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comments9.xml" ContentType="application/vnd.openxmlformats-officedocument.spreadsheetml.comments+xml"/>
  <Override PartName="/xl/threadedComments/threadedComment9.xml" ContentType="application/vnd.ms-excel.threadedcomments+xml"/>
  <Override PartName="/xl/drawings/drawing2.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threadedComments/threadedComment10.xml" ContentType="application/vnd.ms-excel.threadedcomments+xml"/>
  <Override PartName="/xl/comments12.xml" ContentType="application/vnd.openxmlformats-officedocument.spreadsheetml.comments+xml"/>
  <Override PartName="/xl/threadedComments/threadedComment11.xml" ContentType="application/vnd.ms-excel.threadedcomments+xml"/>
  <Override PartName="/xl/comments13.xml" ContentType="application/vnd.openxmlformats-officedocument.spreadsheetml.comments+xml"/>
  <Override PartName="/xl/threadedComments/threadedComment12.xml" ContentType="application/vnd.ms-excel.threadedcomments+xml"/>
  <Override PartName="/xl/comments14.xml" ContentType="application/vnd.openxmlformats-officedocument.spreadsheetml.comments+xml"/>
  <Override PartName="/xl/threadedComments/threadedComment13.xml" ContentType="application/vnd.ms-excel.threadedcomments+xml"/>
  <Override PartName="/xl/comments15.xml" ContentType="application/vnd.openxmlformats-officedocument.spreadsheetml.comments+xml"/>
  <Override PartName="/xl/threadedComments/threadedComment14.xml" ContentType="application/vnd.ms-excel.threadedcomments+xml"/>
  <Override PartName="/xl/comments16.xml" ContentType="application/vnd.openxmlformats-officedocument.spreadsheetml.comments+xml"/>
  <Override PartName="/xl/threadedComments/threadedComment15.xml" ContentType="application/vnd.ms-excel.threadedcomments+xml"/>
  <Override PartName="/xl/comments17.xml" ContentType="application/vnd.openxmlformats-officedocument.spreadsheetml.comments+xml"/>
  <Override PartName="/xl/threadedComments/threadedComment16.xml" ContentType="application/vnd.ms-excel.threadedcomments+xml"/>
  <Override PartName="/xl/comments18.xml" ContentType="application/vnd.openxmlformats-officedocument.spreadsheetml.comments+xml"/>
  <Override PartName="/xl/threadedComments/threadedComment17.xml" ContentType="application/vnd.ms-excel.threadedcomments+xml"/>
  <Override PartName="/xl/comments19.xml" ContentType="application/vnd.openxmlformats-officedocument.spreadsheetml.comments+xml"/>
  <Override PartName="/xl/threadedComments/threadedComment18.xml" ContentType="application/vnd.ms-excel.threadedcomments+xml"/>
  <Override PartName="/xl/comments20.xml" ContentType="application/vnd.openxmlformats-officedocument.spreadsheetml.comments+xml"/>
  <Override PartName="/xl/threadedComments/threadedComment19.xml" ContentType="application/vnd.ms-excel.threadedcomments+xml"/>
  <Override PartName="/xl/comments21.xml" ContentType="application/vnd.openxmlformats-officedocument.spreadsheetml.comments+xml"/>
  <Override PartName="/xl/comments22.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alexavarah/Documents/Documents - MacBook Pro/2_Work/_Projects/Diversification_risks_benefits/data/"/>
    </mc:Choice>
  </mc:AlternateContent>
  <xr:revisionPtr revIDLastSave="0" documentId="13_ncr:1_{87298A1F-DF03-BE42-A6ED-337B04521C8B}" xr6:coauthVersionLast="47" xr6:coauthVersionMax="47" xr10:uidLastSave="{00000000-0000-0000-0000-000000000000}"/>
  <bookViews>
    <workbookView xWindow="3400" yWindow="2080" windowWidth="37320" windowHeight="18420" firstSheet="2" activeTab="5" xr2:uid="{E3A9A01D-98C1-4A44-AFC8-242C6C3BCFC6}"/>
  </bookViews>
  <sheets>
    <sheet name="Metadata" sheetId="2" r:id="rId1"/>
    <sheet name="CFT_input" sheetId="7" r:id="rId2"/>
    <sheet name="Focus Strategies Data All" sheetId="16" r:id="rId3"/>
    <sheet name="Focus Data NSpraying" sheetId="23" r:id="rId4"/>
    <sheet name="Focus Data Tillage by farm" sheetId="32" r:id="rId5"/>
    <sheet name="ECOMOD_input_estimate" sheetId="33" r:id="rId6"/>
    <sheet name="ECOMOD_input_actual" sheetId="34" r:id="rId7"/>
    <sheet name="(From BGRI) Crop Data" sheetId="11" r:id="rId8"/>
    <sheet name="Focus Data Drill Date" sheetId="20" r:id="rId9"/>
    <sheet name="Focus Data Tillage" sheetId="18" r:id="rId10"/>
    <sheet name="Rotation calendar" sheetId="3" r:id="rId11"/>
    <sheet name="Linear presentation of BAU rotn" sheetId="9" r:id="rId12"/>
    <sheet name="BAU Management details" sheetId="4" r:id="rId13"/>
    <sheet name="Northern Managment Details" sheetId="10" r:id="rId14"/>
    <sheet name="HD-HR Management Details" sheetId="13" r:id="rId15"/>
    <sheet name="Focus Data Seed Rate" sheetId="19" r:id="rId16"/>
    <sheet name="Focus Data BGHerbicides" sheetId="21" r:id="rId17"/>
    <sheet name="Focus Data Glyphosate" sheetId="22" r:id="rId18"/>
    <sheet name="Focus Data NFertiliser Rate" sheetId="24" r:id="rId19"/>
    <sheet name="Focus Data CFT NSpraying" sheetId="30" r:id="rId20"/>
    <sheet name="№ Fertiliser sprayings" sheetId="29" r:id="rId21"/>
    <sheet name="Focus Data Crop Rotations" sheetId="31" r:id="rId22"/>
    <sheet name="CFT Specific Data" sheetId="26" r:id="rId23"/>
    <sheet name="(From BGRI) Yield Penalty ↺" sheetId="28" r:id="rId24"/>
    <sheet name="(BGRI) Soil Index &amp; Farm Data" sheetId="12" r:id="rId25"/>
    <sheet name="CFT input_allfields" sheetId="5" r:id="rId26"/>
    <sheet name="Lists" sheetId="6" r:id="rId27"/>
    <sheet name="CFT input original" sheetId="25" r:id="rId28"/>
  </sheets>
  <externalReferences>
    <externalReference r:id="rId29"/>
  </externalReferences>
  <definedNames>
    <definedName name="_xlnm._FilterDatabase" localSheetId="25" hidden="1">'CFT input_allfields'!$A$1:$AK$667</definedName>
    <definedName name="_xlnm._FilterDatabase" localSheetId="1" hidden="1">CFT_input!$A$1:$AP$163</definedName>
    <definedName name="_xlnm._FilterDatabase" localSheetId="5" hidden="1">ECOMOD_input_estimate!$A$1:$DI$55</definedName>
    <definedName name="BGherb_CROPS">'Focus Strategies Data All'!$A$77:$A$93</definedName>
    <definedName name="BGherb_HDHR_C">'Focus Strategies Data All'!$D$77:$D$92</definedName>
    <definedName name="BGherb_HDHR_E">'Focus Strategies Data All'!$B$77:$B$93</definedName>
    <definedName name="BGherb_HDHR_N">'Focus Strategies Data All'!$C$77:$C$93</definedName>
    <definedName name="BGherb_LDHR_C">'Focus Strategies Data All'!$I$77:$I$93</definedName>
    <definedName name="BGherb_LDHR_E">'Focus Strategies Data All'!$G$77:$G$93</definedName>
    <definedName name="BGherb_LDHR_N">'Focus Strategies Data All'!$H$77:$H$93</definedName>
    <definedName name="BGherb_LDLR_C">'Focus Strategies Data All'!$N$77:$N$92</definedName>
    <definedName name="BGherb_LDLR_E">'Focus Strategies Data All'!$L$77:$L$93</definedName>
    <definedName name="BGherb_LDLR_N">'Focus Strategies Data All'!$M$77:$M$93</definedName>
    <definedName name="cropdata">'(From BGRI) Crop Data'!$D$8:$V$36</definedName>
    <definedName name="cropdatacrops">'(From BGRI) Crop Data'!$D$8:$V$8</definedName>
    <definedName name="croprotn_HDHR_C_h">'Focus Strategies Data All'!$D$7:$D$13</definedName>
    <definedName name="croprotn_HDHR_C_l">'Focus Strategies Data All'!$D$15:$D$21</definedName>
    <definedName name="croprotn_HDHR_E_h">'Focus Strategies Data All'!$B$7:$B$13</definedName>
    <definedName name="croprotn_HDHR_E_l">'Focus Strategies Data All'!$B$15:$B$21</definedName>
    <definedName name="croprotn_HDHR_N_h">'Focus Strategies Data All'!$C$7:$C$13</definedName>
    <definedName name="croprotn_HDHR_N_l">'Focus Strategies Data All'!$C$15:$C$21</definedName>
    <definedName name="croprotn_LDHR_C_h">'Focus Strategies Data All'!$I$7:$I$13</definedName>
    <definedName name="croprotn_LDHR_C_l">'Focus Strategies Data All'!$I$15:$I$21</definedName>
    <definedName name="croprotn_LDHR_E_h">'Focus Strategies Data All'!$G$7:$G$13</definedName>
    <definedName name="croprotn_LDHR_E_l">'Focus Strategies Data All'!$G$15:$G$21</definedName>
    <definedName name="croprotn_LDHR_N_h">'Focus Strategies Data All'!$H$7:$H$13</definedName>
    <definedName name="croprotn_LDHR_N_l">'Focus Strategies Data All'!$H$15:$H$21</definedName>
    <definedName name="croprotn_LDLR_C_h">'Focus Strategies Data All'!$N$7:$N$13</definedName>
    <definedName name="croprotn_LDLR_C_l">'Focus Strategies Data All'!$N$15:$N$21</definedName>
    <definedName name="croprotn_LDLR_E_h">'Focus Strategies Data All'!$L$7:$L$13</definedName>
    <definedName name="croprotn_LDLR_E_l">'Focus Strategies Data All'!$L$15:$L$21</definedName>
    <definedName name="croprotn_LDLR_N_h">'Focus Strategies Data All'!$M$7:$M$13</definedName>
    <definedName name="croprotn_LDLR_N_l">'Focus Strategies Data All'!$M$15:$M$21</definedName>
    <definedName name="delayedsowing">'Focus Strategies Data All'!$P$7:$AC$23</definedName>
    <definedName name="delsowcroplookup">'Focus Strategies Data All'!$P$7:$P$23</definedName>
    <definedName name="drilldate_CROPS">'Focus Strategies Data All'!$A$41:$A$57</definedName>
    <definedName name="drilldate_HDHR">'Focus Strategies Data All'!$A$41:$D$57</definedName>
    <definedName name="drilldate_HDHR_C">'Focus Strategies Data All'!$D$41:$D$57</definedName>
    <definedName name="drilldate_HDHR_E">'Focus Strategies Data All'!$B$41:$B$57</definedName>
    <definedName name="drilldate_HDHR_N">'Focus Strategies Data All'!$C$41:$C$57</definedName>
    <definedName name="drilldate_LDHR">'Focus Strategies Data All'!$F$41:$I$57</definedName>
    <definedName name="drilldate_LDHR_C">'Focus Strategies Data All'!$I$41:$I$57</definedName>
    <definedName name="drilldate_LDHR_E">'Focus Strategies Data All'!$G$41:$G$57</definedName>
    <definedName name="drilldate_LDHR_N">'Focus Strategies Data All'!$H$41:$H$56</definedName>
    <definedName name="drilldate_LDLR">'Focus Strategies Data All'!$K$41:$N$57</definedName>
    <definedName name="drilldate_LDLR_C">'Focus Strategies Data All'!$N$41:$N$57</definedName>
    <definedName name="drilldate_LDLR_E">'Focus Strategies Data All'!$L$41:$L$57</definedName>
    <definedName name="drilldate_LDLR_N">'Focus Strategies Data All'!$M$41:$M$57</definedName>
    <definedName name="fertrate_CROPS">'Focus Strategies Data All'!$A$149:$A$165</definedName>
    <definedName name="fertrate_HDHR_C">'Focus Strategies Data All'!$D$149:$D$165</definedName>
    <definedName name="fertrate_HDHR_E">'Focus Strategies Data All'!$B$149:$B$165</definedName>
    <definedName name="fertrate_HDHR_N">'Focus Strategies Data All'!$C$149:$C$165</definedName>
    <definedName name="fertrate_LDHR_C">'Focus Strategies Data All'!$I$149:$I$165</definedName>
    <definedName name="fertrate_LDHR_E">'Focus Strategies Data All'!$G$149:$G$165</definedName>
    <definedName name="fertrate_LDHR_N">'Focus Strategies Data All'!$H$149:$H$165</definedName>
    <definedName name="fertrate_LDLR_C">'Focus Strategies Data All'!$N$149:$N$165</definedName>
    <definedName name="fertrate_LDLR_E">'Focus Strategies Data All'!$L$149:$L$165</definedName>
    <definedName name="fertrate_LDLR_N">'Focus Strategies Data All'!$M$149:$M$165</definedName>
    <definedName name="fertsprays_CROPS">'Focus Strategies Data All'!$A$167:$A$183</definedName>
    <definedName name="fertsprays_HDHR_C">'Focus Strategies Data All'!$D$167:$D$183</definedName>
    <definedName name="fertsprays_HDHR_E">'Focus Strategies Data All'!$B$167:$B$183</definedName>
    <definedName name="fertsprays_HDHR_N">'Focus Strategies Data All'!$C$167:$C$182</definedName>
    <definedName name="fertsprays_LDHR_C">'Focus Strategies Data All'!$I$167:$I$183</definedName>
    <definedName name="fertsprays_LDHR_E">'Focus Strategies Data All'!$G$167:$G$183</definedName>
    <definedName name="fertsprays_LDHR_N">'Focus Strategies Data All'!$H$167:$H$183</definedName>
    <definedName name="fertsprays_LDLR_C">'Focus Strategies Data All'!$N$167:$N$183</definedName>
    <definedName name="fertsprays_LDLR_E">'Focus Strategies Data All'!$L$167:$L$183</definedName>
    <definedName name="fertsprays_LDLR_N">'Focus Strategies Data All'!$M$167:$M$183</definedName>
    <definedName name="fuelprice">'(From BGRI) Crop Data'!$F$35</definedName>
    <definedName name="glyph_CROPS">'Focus Strategies Data All'!$A$95:$A$111</definedName>
    <definedName name="glyph_HDHR_C">'Focus Strategies Data All'!$D$95:$D$111</definedName>
    <definedName name="glyph_HDHR_E">'Focus Strategies Data All'!$B$95:$B$111</definedName>
    <definedName name="glyph_HDHR_N">'Focus Strategies Data All'!$C$95:$C$111</definedName>
    <definedName name="glyph_LDHR_C">'Focus Strategies Data All'!$I$95:$I$111</definedName>
    <definedName name="glyph_LDHR_E">'Focus Strategies Data All'!$G$95:$G$111</definedName>
    <definedName name="glyph_LDHR_N">'Focus Strategies Data All'!$H$95:$H$111</definedName>
    <definedName name="glyph_LDLR_C">'Focus Strategies Data All'!$N$95:$N$111</definedName>
    <definedName name="glyph_LDLR_E">'Focus Strategies Data All'!$L$95:$L$111</definedName>
    <definedName name="glyph_LDLR_N">'Focus Strategies Data All'!$M$95:$M$111</definedName>
    <definedName name="glyprice">'(From BGRI) Crop Data'!$F$24</definedName>
    <definedName name="HDHRheavy">'Focus Strategies Data All'!$B$8:$D$13</definedName>
    <definedName name="HDHRlight">'Focus Strategies Data All'!$B$16:$D$21</definedName>
    <definedName name="herbprice">'(From BGRI) Crop Data'!$F$22</definedName>
    <definedName name="inputs">'(From BGRI) Crop Data'!$D$8:$D$26</definedName>
    <definedName name="Kfertprice">'(From BGRI) Crop Data'!$F$18</definedName>
    <definedName name="Kinput">'(From BGRI) Crop Data'!$Z$14</definedName>
    <definedName name="labour">'(From BGRI) Crop Data'!$F$36</definedName>
    <definedName name="Lateness" comment="A chart of weather a particular crop is late in any given planting month">'Focus Strategies Data All'!$P$7:$AB$21</definedName>
    <definedName name="LDHRheavy">'Focus Strategies Data All'!$G$8:$I$13</definedName>
    <definedName name="LDHRlight">'Focus Strategies Data All'!$G$16:$I$21</definedName>
    <definedName name="LDLRheavy">'Focus Strategies Data All'!$L$8:$N$13</definedName>
    <definedName name="LDLRlight">'Focus Strategies Data All'!$L$16:$N$21</definedName>
    <definedName name="months">'Focus Strategies Data All'!$P$7:$AC$7</definedName>
    <definedName name="Nfertprice">'(From BGRI) Crop Data'!$F$16</definedName>
    <definedName name="nspray_CROPS">'Focus Strategies Data All'!$A$113:$A$129</definedName>
    <definedName name="nspray_HDHR_C">'Focus Strategies Data All'!$D$113:$D$129</definedName>
    <definedName name="nspray_HDHR_E">'Focus Strategies Data All'!$B$113:$B$129</definedName>
    <definedName name="nspray_HDHR_N">'Focus Strategies Data All'!$C$113:$C$129</definedName>
    <definedName name="nspray_LDHR_C">'Focus Strategies Data All'!$I$113:$I$129</definedName>
    <definedName name="nspray_LDHR_E">'Focus Strategies Data All'!$G$113:$G$129</definedName>
    <definedName name="nspray_LDHR_N">'Focus Strategies Data All'!$H$113:$H$129</definedName>
    <definedName name="nspray_LDLR_C">'Focus Strategies Data All'!$N$113:$N$129</definedName>
    <definedName name="nspray_LDLR_E">'Focus Strategies Data All'!$L$113:$L$129</definedName>
    <definedName name="nspray_LDLR_N">'Focus Strategies Data All'!$M$113:$M$129</definedName>
    <definedName name="outputs">'(From BGRI) Crop Data'!$D$8:$D$36</definedName>
    <definedName name="Pfertprice">'(From BGRI) Crop Data'!$F$17</definedName>
    <definedName name="Pinput">'(From BGRI) Crop Data'!$Z$11</definedName>
    <definedName name="rotation_heavy">'Focus Strategies Data All'!$A$7:$A$13</definedName>
    <definedName name="rotation_light">'Focus Strategies Data All'!$A$15:$A$21</definedName>
    <definedName name="seedprice">'(From BGRI) Crop Data'!$D$20</definedName>
    <definedName name="seedrate_CROPS">'Focus Strategies Data All'!$A$23:$A$39</definedName>
    <definedName name="seedrate_HDHR_C">'Focus Strategies Data All'!$D$23:$D$39</definedName>
    <definedName name="seedrate_HDHR_E">'Focus Strategies Data All'!$B$23:$B$39</definedName>
    <definedName name="seedrate_HDHR_N">'Focus Strategies Data All'!$C$23:$C$39</definedName>
    <definedName name="seedrate_LDHR_C">'Focus Strategies Data All'!$I$23:$I$39</definedName>
    <definedName name="seedrate_LDHR_E">'Focus Strategies Data All'!$G$23:$G$39</definedName>
    <definedName name="seedrate_LDHR_N">'Focus Strategies Data All'!$H$23:$H$39</definedName>
    <definedName name="seedrate_LDLR_C">'Focus Strategies Data All'!$N$23:$N$39</definedName>
    <definedName name="seedrate_LDLR_E">'Focus Strategies Data All'!$L$23:$L$39</definedName>
    <definedName name="seedrate_LDLR_N">'Focus Strategies Data All'!$M$23:$M$39</definedName>
    <definedName name="tillage_CROPS">'Focus Strategies Data All'!$A$59:$A$75</definedName>
    <definedName name="tillage_HDHR_C">'Focus Strategies Data All'!$D$59:$D$75</definedName>
    <definedName name="tillage_HDHR_E">'Focus Strategies Data All'!$B$59:$B$75</definedName>
    <definedName name="tillage_HDHR_N">'Focus Strategies Data All'!$C$59:$C$75</definedName>
    <definedName name="tillage_LDHR_C">'Focus Strategies Data All'!$I$59:$I$75</definedName>
    <definedName name="tillage_LDHR_E">'Focus Strategies Data All'!$G$59:$G$75</definedName>
    <definedName name="tillage_LDHR_N">'Focus Strategies Data All'!$H$59:$H$75</definedName>
    <definedName name="tillage_LDLR_C">'Focus Strategies Data All'!$N$59:$N$75</definedName>
    <definedName name="tillage_LDLR_E">'Focus Strategies Data All'!$L$59:$L$75</definedName>
    <definedName name="tillage_LDLR_N">'Focus Strategies Data All'!$M$59:$M$75</definedName>
    <definedName name="TillageHDHR">'Focus Data Tillage'!$A$3:$D$19</definedName>
    <definedName name="TillageLDHR">'Focus Data Tillage'!$F$3:$I$19</definedName>
    <definedName name="TillageLDLR">'Focus Data Tillage'!$K$3:$N$19</definedName>
    <definedName name="yieldsetting">'(From BGRI) Crop Data'!$Z$17</definedName>
    <definedName name="yieldsetting1">'(From BGRI) Crop Data'!$Z$17</definedName>
    <definedName name="yieldsetting2">'(From BGRI) Crop Data'!$Z$18</definedName>
    <definedName name="yieldsource">'(From BGRI) Crop Data'!$Z$20</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U3" i="7" l="1"/>
  <c r="U4" i="7"/>
  <c r="U5" i="7"/>
  <c r="U6" i="7"/>
  <c r="U7" i="7"/>
  <c r="U8" i="7"/>
  <c r="U9" i="7"/>
  <c r="U10" i="7"/>
  <c r="U11" i="7"/>
  <c r="U12" i="7"/>
  <c r="U13" i="7"/>
  <c r="U14" i="7"/>
  <c r="U15" i="7"/>
  <c r="U16" i="7"/>
  <c r="U17" i="7"/>
  <c r="U18" i="7"/>
  <c r="U19" i="7"/>
  <c r="U20" i="7"/>
  <c r="U21" i="7"/>
  <c r="U22" i="7"/>
  <c r="U23" i="7"/>
  <c r="U24" i="7"/>
  <c r="U25" i="7"/>
  <c r="U26" i="7"/>
  <c r="U27" i="7"/>
  <c r="U28" i="7"/>
  <c r="U29" i="7"/>
  <c r="U30" i="7"/>
  <c r="U31" i="7"/>
  <c r="U32" i="7"/>
  <c r="U33" i="7"/>
  <c r="U34" i="7"/>
  <c r="U35" i="7"/>
  <c r="U36" i="7"/>
  <c r="U37" i="7"/>
  <c r="U38" i="7"/>
  <c r="U39" i="7"/>
  <c r="U40" i="7"/>
  <c r="U41" i="7"/>
  <c r="U42" i="7"/>
  <c r="U43" i="7"/>
  <c r="U44" i="7"/>
  <c r="U45" i="7"/>
  <c r="U46" i="7"/>
  <c r="U47" i="7"/>
  <c r="U48" i="7"/>
  <c r="U49" i="7"/>
  <c r="U50" i="7"/>
  <c r="U51" i="7"/>
  <c r="U52" i="7"/>
  <c r="U53" i="7"/>
  <c r="U54" i="7"/>
  <c r="U55" i="7"/>
  <c r="U56" i="7"/>
  <c r="U57" i="7"/>
  <c r="U58" i="7"/>
  <c r="U59" i="7"/>
  <c r="U60" i="7"/>
  <c r="U61" i="7"/>
  <c r="U62" i="7"/>
  <c r="U63" i="7"/>
  <c r="U64" i="7"/>
  <c r="U65" i="7"/>
  <c r="U66" i="7"/>
  <c r="U67" i="7"/>
  <c r="U68" i="7"/>
  <c r="U69" i="7"/>
  <c r="U70" i="7"/>
  <c r="U71" i="7"/>
  <c r="U72" i="7"/>
  <c r="U73" i="7"/>
  <c r="U74" i="7"/>
  <c r="U75" i="7"/>
  <c r="U76" i="7"/>
  <c r="U77" i="7"/>
  <c r="U78" i="7"/>
  <c r="U79" i="7"/>
  <c r="U80" i="7"/>
  <c r="U81" i="7"/>
  <c r="U82" i="7"/>
  <c r="U83" i="7"/>
  <c r="U84" i="7"/>
  <c r="U85" i="7"/>
  <c r="U86" i="7"/>
  <c r="U87" i="7"/>
  <c r="U88" i="7"/>
  <c r="U89" i="7"/>
  <c r="U90" i="7"/>
  <c r="U91" i="7"/>
  <c r="U92" i="7"/>
  <c r="U93" i="7"/>
  <c r="U94" i="7"/>
  <c r="U95" i="7"/>
  <c r="U96" i="7"/>
  <c r="U97" i="7"/>
  <c r="U98" i="7"/>
  <c r="U99" i="7"/>
  <c r="U100" i="7"/>
  <c r="U101" i="7"/>
  <c r="U102" i="7"/>
  <c r="U103" i="7"/>
  <c r="U104" i="7"/>
  <c r="U105" i="7"/>
  <c r="U106" i="7"/>
  <c r="U107" i="7"/>
  <c r="U108" i="7"/>
  <c r="U109" i="7"/>
  <c r="U110" i="7"/>
  <c r="U111" i="7"/>
  <c r="U112" i="7"/>
  <c r="U113" i="7"/>
  <c r="U114" i="7"/>
  <c r="U115" i="7"/>
  <c r="U116" i="7"/>
  <c r="U117" i="7"/>
  <c r="U118" i="7"/>
  <c r="U119" i="7"/>
  <c r="U120" i="7"/>
  <c r="U121" i="7"/>
  <c r="U122" i="7"/>
  <c r="U123" i="7"/>
  <c r="U124" i="7"/>
  <c r="U125" i="7"/>
  <c r="U126" i="7"/>
  <c r="U127" i="7"/>
  <c r="U128" i="7"/>
  <c r="U129" i="7"/>
  <c r="U130" i="7"/>
  <c r="U131" i="7"/>
  <c r="U132" i="7"/>
  <c r="U133" i="7"/>
  <c r="U134" i="7"/>
  <c r="U135" i="7"/>
  <c r="U136" i="7"/>
  <c r="U137" i="7"/>
  <c r="U138" i="7"/>
  <c r="U139" i="7"/>
  <c r="U140" i="7"/>
  <c r="U141" i="7"/>
  <c r="U142" i="7"/>
  <c r="U143" i="7"/>
  <c r="U144" i="7"/>
  <c r="U145" i="7"/>
  <c r="U146" i="7"/>
  <c r="U147" i="7"/>
  <c r="U148" i="7"/>
  <c r="U149" i="7"/>
  <c r="U150" i="7"/>
  <c r="U151" i="7"/>
  <c r="U152" i="7"/>
  <c r="U153" i="7"/>
  <c r="U154" i="7"/>
  <c r="U155" i="7"/>
  <c r="U156" i="7"/>
  <c r="U157" i="7"/>
  <c r="U158" i="7"/>
  <c r="U159" i="7"/>
  <c r="U160" i="7"/>
  <c r="U161" i="7"/>
  <c r="U162" i="7"/>
  <c r="U163" i="7"/>
  <c r="U2" i="7"/>
  <c r="AE17" i="7" a="1"/>
  <c r="AE17" i="7" s="1"/>
  <c r="O7" i="32"/>
  <c r="O8" i="32"/>
  <c r="O9" i="32"/>
  <c r="B3" i="7" l="1" a="1"/>
  <c r="B3" i="7" s="1"/>
  <c r="B4" i="7" a="1"/>
  <c r="B4" i="7" s="1"/>
  <c r="B5" i="7" a="1"/>
  <c r="B5" i="7" s="1"/>
  <c r="B6" i="7" a="1"/>
  <c r="B6" i="7" s="1"/>
  <c r="B7" i="7" a="1"/>
  <c r="B7" i="7" s="1"/>
  <c r="B8" i="7" a="1"/>
  <c r="B8" i="7" s="1"/>
  <c r="B9" i="7" a="1"/>
  <c r="B9" i="7" s="1"/>
  <c r="B10" i="7" a="1"/>
  <c r="B10" i="7" s="1"/>
  <c r="B11" i="7" a="1"/>
  <c r="B11" i="7" s="1"/>
  <c r="B12" i="7" a="1"/>
  <c r="B12" i="7" s="1"/>
  <c r="B13" i="7" a="1"/>
  <c r="B13" i="7" s="1"/>
  <c r="B14" i="7" a="1"/>
  <c r="B14" i="7" s="1"/>
  <c r="B15" i="7" a="1"/>
  <c r="B15" i="7" s="1"/>
  <c r="B16" i="7" a="1"/>
  <c r="B16" i="7" s="1"/>
  <c r="B17" i="7" a="1"/>
  <c r="B17" i="7" s="1"/>
  <c r="B18" i="7" a="1"/>
  <c r="B18" i="7" s="1"/>
  <c r="B19" i="7" a="1"/>
  <c r="B19" i="7" s="1"/>
  <c r="B20" i="7" a="1"/>
  <c r="B20" i="7" s="1"/>
  <c r="B21" i="7" a="1"/>
  <c r="B21" i="7" s="1"/>
  <c r="B22" i="7" a="1"/>
  <c r="B22" i="7" s="1"/>
  <c r="B23" i="7" a="1"/>
  <c r="B23" i="7" s="1"/>
  <c r="B24" i="7" a="1"/>
  <c r="B24" i="7" s="1"/>
  <c r="B25" i="7" a="1"/>
  <c r="B25" i="7" s="1"/>
  <c r="B26" i="7" a="1"/>
  <c r="B26" i="7" s="1"/>
  <c r="B27" i="7" a="1"/>
  <c r="B27" i="7" s="1"/>
  <c r="B28" i="7" a="1"/>
  <c r="B28" i="7" s="1"/>
  <c r="B29" i="7" a="1"/>
  <c r="B29" i="7" s="1"/>
  <c r="B30" i="7" a="1"/>
  <c r="B30" i="7" s="1"/>
  <c r="B31" i="7" a="1"/>
  <c r="B31" i="7" s="1"/>
  <c r="B32" i="7" a="1"/>
  <c r="B32" i="7" s="1"/>
  <c r="B33" i="7" a="1"/>
  <c r="B33" i="7" s="1"/>
  <c r="B34" i="7" a="1"/>
  <c r="B34" i="7" s="1"/>
  <c r="B35" i="7" a="1"/>
  <c r="B35" i="7" s="1"/>
  <c r="B36" i="7" a="1"/>
  <c r="B36" i="7" s="1"/>
  <c r="B37" i="7" a="1"/>
  <c r="B37" i="7" s="1"/>
  <c r="B38" i="7" a="1"/>
  <c r="B38" i="7" s="1"/>
  <c r="B39" i="7" a="1"/>
  <c r="B39" i="7" s="1"/>
  <c r="B40" i="7" a="1"/>
  <c r="B40" i="7" s="1"/>
  <c r="B41" i="7" a="1"/>
  <c r="B41" i="7" s="1"/>
  <c r="B42" i="7" a="1"/>
  <c r="B42" i="7" s="1"/>
  <c r="B43" i="7" a="1"/>
  <c r="B43" i="7" s="1"/>
  <c r="B44" i="7" a="1"/>
  <c r="B44" i="7" s="1"/>
  <c r="B45" i="7" a="1"/>
  <c r="B45" i="7" s="1"/>
  <c r="B46" i="7" a="1"/>
  <c r="B46" i="7" s="1"/>
  <c r="B47" i="7" a="1"/>
  <c r="B47" i="7" s="1"/>
  <c r="B48" i="7" a="1"/>
  <c r="B48" i="7" s="1"/>
  <c r="B49" i="7" a="1"/>
  <c r="B49" i="7" s="1"/>
  <c r="B50" i="7" a="1"/>
  <c r="B50" i="7" s="1"/>
  <c r="B51" i="7" a="1"/>
  <c r="B51" i="7" s="1"/>
  <c r="B52" i="7" a="1"/>
  <c r="B52" i="7" s="1"/>
  <c r="B53" i="7" a="1"/>
  <c r="B53" i="7" s="1"/>
  <c r="B54" i="7" a="1"/>
  <c r="B54" i="7" s="1"/>
  <c r="B55" i="7" a="1"/>
  <c r="B55" i="7" s="1"/>
  <c r="B56" i="7" a="1"/>
  <c r="B56" i="7" s="1"/>
  <c r="B57" i="7" a="1"/>
  <c r="B57" i="7" s="1"/>
  <c r="B58" i="7" a="1"/>
  <c r="B58" i="7" s="1"/>
  <c r="B59" i="7" a="1"/>
  <c r="B59" i="7" s="1"/>
  <c r="B60" i="7" a="1"/>
  <c r="B60" i="7" s="1"/>
  <c r="B61" i="7" a="1"/>
  <c r="B61" i="7" s="1"/>
  <c r="B62" i="7" a="1"/>
  <c r="B62" i="7" s="1"/>
  <c r="B63" i="7" a="1"/>
  <c r="B63" i="7" s="1"/>
  <c r="B64" i="7" a="1"/>
  <c r="B64" i="7" s="1"/>
  <c r="B65" i="7" a="1"/>
  <c r="B65" i="7" s="1"/>
  <c r="B66" i="7" a="1"/>
  <c r="B66" i="7" s="1"/>
  <c r="B67" i="7" a="1"/>
  <c r="B67" i="7" s="1"/>
  <c r="B68" i="7" a="1"/>
  <c r="B68" i="7" s="1"/>
  <c r="B69" i="7" a="1"/>
  <c r="B69" i="7" s="1"/>
  <c r="B70" i="7" a="1"/>
  <c r="B70" i="7" s="1"/>
  <c r="B71" i="7" a="1"/>
  <c r="B71" i="7" s="1"/>
  <c r="B72" i="7" a="1"/>
  <c r="B72" i="7" s="1"/>
  <c r="B73" i="7" a="1"/>
  <c r="B73" i="7" s="1"/>
  <c r="B74" i="7" a="1"/>
  <c r="B74" i="7" s="1"/>
  <c r="B75" i="7" a="1"/>
  <c r="B75" i="7" s="1"/>
  <c r="B76" i="7" a="1"/>
  <c r="B76" i="7" s="1"/>
  <c r="B77" i="7" a="1"/>
  <c r="B77" i="7" s="1"/>
  <c r="B78" i="7" a="1"/>
  <c r="B78" i="7" s="1"/>
  <c r="B79" i="7" a="1"/>
  <c r="B79" i="7" s="1"/>
  <c r="B80" i="7" a="1"/>
  <c r="B80" i="7" s="1"/>
  <c r="B81" i="7" a="1"/>
  <c r="B81" i="7" s="1"/>
  <c r="B82" i="7" a="1"/>
  <c r="B82" i="7" s="1"/>
  <c r="B83" i="7" a="1"/>
  <c r="B83" i="7" s="1"/>
  <c r="B84" i="7" a="1"/>
  <c r="B84" i="7" s="1"/>
  <c r="B85" i="7" a="1"/>
  <c r="B85" i="7" s="1"/>
  <c r="B86" i="7" a="1"/>
  <c r="B86" i="7" s="1"/>
  <c r="B87" i="7" a="1"/>
  <c r="B87" i="7" s="1"/>
  <c r="B88" i="7" a="1"/>
  <c r="B88" i="7" s="1"/>
  <c r="B89" i="7" a="1"/>
  <c r="B89" i="7" s="1"/>
  <c r="B90" i="7" a="1"/>
  <c r="B90" i="7" s="1"/>
  <c r="B91" i="7" a="1"/>
  <c r="B91" i="7" s="1"/>
  <c r="B92" i="7" a="1"/>
  <c r="B92" i="7" s="1"/>
  <c r="B93" i="7" a="1"/>
  <c r="B93" i="7" s="1"/>
  <c r="B94" i="7" a="1"/>
  <c r="B94" i="7" s="1"/>
  <c r="B95" i="7" a="1"/>
  <c r="B95" i="7" s="1"/>
  <c r="B96" i="7" a="1"/>
  <c r="B96" i="7" s="1"/>
  <c r="B97" i="7" a="1"/>
  <c r="B97" i="7" s="1"/>
  <c r="B98" i="7" a="1"/>
  <c r="B98" i="7" s="1"/>
  <c r="B99" i="7" a="1"/>
  <c r="B99" i="7" s="1"/>
  <c r="B100" i="7" a="1"/>
  <c r="B100" i="7" s="1"/>
  <c r="B101" i="7" a="1"/>
  <c r="B101" i="7" s="1"/>
  <c r="B102" i="7" a="1"/>
  <c r="B102" i="7" s="1"/>
  <c r="B103" i="7" a="1"/>
  <c r="B103" i="7" s="1"/>
  <c r="B104" i="7" a="1"/>
  <c r="B104" i="7" s="1"/>
  <c r="B105" i="7" a="1"/>
  <c r="B105" i="7" s="1"/>
  <c r="B106" i="7" a="1"/>
  <c r="B106" i="7" s="1"/>
  <c r="B107" i="7" a="1"/>
  <c r="B107" i="7" s="1"/>
  <c r="B108" i="7" a="1"/>
  <c r="B108" i="7" s="1"/>
  <c r="B109" i="7" a="1"/>
  <c r="B109" i="7" s="1"/>
  <c r="B110" i="7" a="1"/>
  <c r="B110" i="7" s="1"/>
  <c r="B111" i="7" a="1"/>
  <c r="B111" i="7" s="1"/>
  <c r="B112" i="7" a="1"/>
  <c r="B112" i="7" s="1"/>
  <c r="B113" i="7" a="1"/>
  <c r="B113" i="7" s="1"/>
  <c r="B114" i="7" a="1"/>
  <c r="B114" i="7" s="1"/>
  <c r="B115" i="7" a="1"/>
  <c r="B115" i="7" s="1"/>
  <c r="B116" i="7" a="1"/>
  <c r="B116" i="7" s="1"/>
  <c r="B117" i="7" a="1"/>
  <c r="B117" i="7" s="1"/>
  <c r="B118" i="7" a="1"/>
  <c r="B118" i="7" s="1"/>
  <c r="B119" i="7" a="1"/>
  <c r="B119" i="7" s="1"/>
  <c r="B120" i="7" a="1"/>
  <c r="B120" i="7" s="1"/>
  <c r="B121" i="7" a="1"/>
  <c r="B121" i="7" s="1"/>
  <c r="B122" i="7" a="1"/>
  <c r="B122" i="7" s="1"/>
  <c r="B123" i="7" a="1"/>
  <c r="B123" i="7" s="1"/>
  <c r="B124" i="7" a="1"/>
  <c r="B124" i="7" s="1"/>
  <c r="B125" i="7" a="1"/>
  <c r="B125" i="7" s="1"/>
  <c r="B126" i="7" a="1"/>
  <c r="B126" i="7" s="1"/>
  <c r="B127" i="7" a="1"/>
  <c r="B127" i="7" s="1"/>
  <c r="B128" i="7" a="1"/>
  <c r="B128" i="7" s="1"/>
  <c r="B129" i="7" a="1"/>
  <c r="B129" i="7" s="1"/>
  <c r="B130" i="7" a="1"/>
  <c r="B130" i="7" s="1"/>
  <c r="B131" i="7" a="1"/>
  <c r="B131" i="7" s="1"/>
  <c r="B132" i="7" a="1"/>
  <c r="B132" i="7" s="1"/>
  <c r="B133" i="7" a="1"/>
  <c r="B133" i="7" s="1"/>
  <c r="B134" i="7" a="1"/>
  <c r="B134" i="7" s="1"/>
  <c r="B135" i="7" a="1"/>
  <c r="B135" i="7" s="1"/>
  <c r="B136" i="7" a="1"/>
  <c r="B136" i="7" s="1"/>
  <c r="B137" i="7" a="1"/>
  <c r="B137" i="7" s="1"/>
  <c r="B138" i="7" a="1"/>
  <c r="B138" i="7" s="1"/>
  <c r="B139" i="7" a="1"/>
  <c r="B139" i="7" s="1"/>
  <c r="B140" i="7" a="1"/>
  <c r="B140" i="7" s="1"/>
  <c r="B141" i="7" a="1"/>
  <c r="B141" i="7" s="1"/>
  <c r="B142" i="7" a="1"/>
  <c r="B142" i="7" s="1"/>
  <c r="B143" i="7" a="1"/>
  <c r="B143" i="7" s="1"/>
  <c r="B144" i="7" a="1"/>
  <c r="B144" i="7" s="1"/>
  <c r="B145" i="7" a="1"/>
  <c r="B145" i="7" s="1"/>
  <c r="B146" i="7" a="1"/>
  <c r="B146" i="7" s="1"/>
  <c r="B147" i="7" a="1"/>
  <c r="B147" i="7" s="1"/>
  <c r="B148" i="7" a="1"/>
  <c r="B148" i="7" s="1"/>
  <c r="B149" i="7" a="1"/>
  <c r="B149" i="7" s="1"/>
  <c r="B150" i="7" a="1"/>
  <c r="B150" i="7" s="1"/>
  <c r="B151" i="7" a="1"/>
  <c r="B151" i="7" s="1"/>
  <c r="B152" i="7" a="1"/>
  <c r="B152" i="7" s="1"/>
  <c r="B153" i="7" a="1"/>
  <c r="B153" i="7" s="1"/>
  <c r="B154" i="7" a="1"/>
  <c r="B154" i="7" s="1"/>
  <c r="B155" i="7" a="1"/>
  <c r="B155" i="7" s="1"/>
  <c r="B156" i="7" a="1"/>
  <c r="B156" i="7" s="1"/>
  <c r="B157" i="7" a="1"/>
  <c r="B157" i="7" s="1"/>
  <c r="B158" i="7" a="1"/>
  <c r="B158" i="7" s="1"/>
  <c r="B159" i="7" a="1"/>
  <c r="B159" i="7" s="1"/>
  <c r="B160" i="7" a="1"/>
  <c r="B160" i="7" s="1"/>
  <c r="B161" i="7" a="1"/>
  <c r="B161" i="7" s="1"/>
  <c r="B162" i="7" a="1"/>
  <c r="B162" i="7" s="1"/>
  <c r="B163" i="7" a="1"/>
  <c r="B163" i="7" s="1"/>
  <c r="B2" i="7" a="1"/>
  <c r="B2" i="7" s="1"/>
  <c r="AB117" i="7" l="1"/>
  <c r="AB116" i="7"/>
  <c r="AI55" i="34"/>
  <c r="AG18" i="34"/>
  <c r="AG19" i="34"/>
  <c r="AG37" i="34"/>
  <c r="AG54" i="34"/>
  <c r="AG55" i="34"/>
  <c r="AD54" i="34"/>
  <c r="AD55" i="34"/>
  <c r="AD36" i="34"/>
  <c r="AD37" i="34"/>
  <c r="AD18" i="34"/>
  <c r="AD19" i="34"/>
  <c r="Q22" i="34"/>
  <c r="Q24" i="34"/>
  <c r="E3" i="34"/>
  <c r="E4" i="34"/>
  <c r="E5" i="34"/>
  <c r="E6" i="34"/>
  <c r="E7" i="34"/>
  <c r="E8" i="34"/>
  <c r="E9" i="34"/>
  <c r="E10" i="34"/>
  <c r="E11" i="34"/>
  <c r="E12" i="34"/>
  <c r="E13" i="34"/>
  <c r="E14" i="34"/>
  <c r="E15" i="34"/>
  <c r="E16" i="34"/>
  <c r="E17" i="34"/>
  <c r="E18" i="34"/>
  <c r="E19" i="34"/>
  <c r="E20" i="34"/>
  <c r="E21" i="34"/>
  <c r="E22" i="34"/>
  <c r="E23" i="34"/>
  <c r="E24" i="34"/>
  <c r="E25" i="34"/>
  <c r="E26" i="34"/>
  <c r="E27" i="34"/>
  <c r="E28" i="34"/>
  <c r="E29" i="34"/>
  <c r="E30" i="34"/>
  <c r="E31" i="34"/>
  <c r="E32" i="34"/>
  <c r="E33" i="34"/>
  <c r="E34" i="34"/>
  <c r="E35" i="34"/>
  <c r="E36" i="34"/>
  <c r="E37" i="34"/>
  <c r="E38" i="34"/>
  <c r="E39" i="34"/>
  <c r="E40" i="34"/>
  <c r="E41" i="34"/>
  <c r="E42" i="34"/>
  <c r="E43" i="34"/>
  <c r="E44" i="34"/>
  <c r="E45" i="34"/>
  <c r="E46" i="34"/>
  <c r="E47" i="34"/>
  <c r="E48" i="34"/>
  <c r="E49" i="34"/>
  <c r="E50" i="34"/>
  <c r="E51" i="34"/>
  <c r="E52" i="34"/>
  <c r="E53" i="34"/>
  <c r="E54" i="34"/>
  <c r="E55" i="34"/>
  <c r="E2" i="34"/>
  <c r="CF3" i="33" a="1"/>
  <c r="CF3" i="33" s="1"/>
  <c r="CF4" i="33" a="1"/>
  <c r="CF4" i="33" s="1"/>
  <c r="CF5" i="33" a="1"/>
  <c r="CF5" i="33" s="1"/>
  <c r="CF6" i="33" a="1"/>
  <c r="CF6" i="33" s="1"/>
  <c r="CF7" i="33" a="1"/>
  <c r="CF7" i="33" s="1"/>
  <c r="CF8" i="33" a="1"/>
  <c r="CF8" i="33" s="1"/>
  <c r="CF9" i="33" a="1"/>
  <c r="CF9" i="33" s="1"/>
  <c r="CF10" i="33" a="1"/>
  <c r="CF10" i="33" s="1"/>
  <c r="CF11" i="33" a="1"/>
  <c r="CF11" i="33" s="1"/>
  <c r="CF12" i="33" a="1"/>
  <c r="CF12" i="33" s="1"/>
  <c r="CF13" i="33" a="1"/>
  <c r="CF13" i="33" s="1"/>
  <c r="CF14" i="33" a="1"/>
  <c r="CF14" i="33" s="1"/>
  <c r="CF15" i="33" a="1"/>
  <c r="CF15" i="33" s="1"/>
  <c r="CF16" i="33" a="1"/>
  <c r="CF16" i="33" s="1"/>
  <c r="CF17" i="33" a="1"/>
  <c r="CF17" i="33" s="1"/>
  <c r="CF18" i="33" a="1"/>
  <c r="CF18" i="33" s="1"/>
  <c r="CF19" i="33" a="1"/>
  <c r="CF19" i="33" s="1"/>
  <c r="CF20" i="33" a="1"/>
  <c r="CF20" i="33" s="1"/>
  <c r="CF21" i="33" a="1"/>
  <c r="CF21" i="33" s="1"/>
  <c r="CF22" i="33" a="1"/>
  <c r="CF22" i="33" s="1"/>
  <c r="CF23" i="33" a="1"/>
  <c r="CF23" i="33" s="1"/>
  <c r="CF24" i="33" a="1"/>
  <c r="CF24" i="33" s="1"/>
  <c r="CF25" i="33" a="1"/>
  <c r="CF25" i="33" s="1"/>
  <c r="CF26" i="33" a="1"/>
  <c r="CF26" i="33" s="1"/>
  <c r="CF27" i="33" a="1"/>
  <c r="CF27" i="33" s="1"/>
  <c r="CF28" i="33" a="1"/>
  <c r="CF28" i="33" s="1"/>
  <c r="CF29" i="33" a="1"/>
  <c r="CF29" i="33" s="1"/>
  <c r="CF30" i="33" a="1"/>
  <c r="CF30" i="33" s="1"/>
  <c r="CF31" i="33" a="1"/>
  <c r="CF31" i="33" s="1"/>
  <c r="CF32" i="33" a="1"/>
  <c r="CF32" i="33" s="1"/>
  <c r="CF33" i="33" a="1"/>
  <c r="CF33" i="33" s="1"/>
  <c r="CF34" i="33" a="1"/>
  <c r="CF34" i="33" s="1"/>
  <c r="CF35" i="33" a="1"/>
  <c r="CF35" i="33" s="1"/>
  <c r="CF36" i="33" a="1"/>
  <c r="CF36" i="33" s="1"/>
  <c r="CF37" i="33" a="1"/>
  <c r="CF37" i="33" s="1"/>
  <c r="CF38" i="33" a="1"/>
  <c r="CF38" i="33" s="1"/>
  <c r="CF39" i="33" a="1"/>
  <c r="CF39" i="33" s="1"/>
  <c r="CF40" i="33" a="1"/>
  <c r="CF40" i="33" s="1"/>
  <c r="CF41" i="33" a="1"/>
  <c r="CF41" i="33" s="1"/>
  <c r="CF42" i="33" a="1"/>
  <c r="CF42" i="33" s="1"/>
  <c r="CF43" i="33" a="1"/>
  <c r="CF43" i="33" s="1"/>
  <c r="CF44" i="33" a="1"/>
  <c r="CF44" i="33" s="1"/>
  <c r="CF45" i="33" a="1"/>
  <c r="CF45" i="33" s="1"/>
  <c r="CF46" i="33" a="1"/>
  <c r="CF46" i="33" s="1"/>
  <c r="CF47" i="33" a="1"/>
  <c r="CF47" i="33" s="1"/>
  <c r="CF48" i="33" a="1"/>
  <c r="CF48" i="33" s="1"/>
  <c r="CF49" i="33" a="1"/>
  <c r="CF49" i="33" s="1"/>
  <c r="CF50" i="33" a="1"/>
  <c r="CF50" i="33" s="1"/>
  <c r="CF51" i="33" a="1"/>
  <c r="CF51" i="33" s="1"/>
  <c r="CF52" i="33" a="1"/>
  <c r="CF52" i="33" s="1"/>
  <c r="CF53" i="33" a="1"/>
  <c r="CF53" i="33" s="1"/>
  <c r="CF54" i="33" a="1"/>
  <c r="CF54" i="33" s="1"/>
  <c r="CF55" i="33" a="1"/>
  <c r="CF55" i="33" s="1"/>
  <c r="CF2" i="33" a="1"/>
  <c r="CF2" i="33" s="1"/>
  <c r="CE9" i="33" a="1"/>
  <c r="CE9" i="33" s="1"/>
  <c r="CE10" i="33" a="1"/>
  <c r="CE10" i="33" s="1"/>
  <c r="CE11" i="33" a="1"/>
  <c r="CE11" i="33" s="1"/>
  <c r="CE12" i="33" a="1"/>
  <c r="CE12" i="33" s="1"/>
  <c r="CE13" i="33" a="1"/>
  <c r="CE13" i="33" s="1"/>
  <c r="CE14" i="33" a="1"/>
  <c r="CE14" i="33" s="1"/>
  <c r="CE15" i="33" a="1"/>
  <c r="CE15" i="33" s="1"/>
  <c r="CE16" i="33" a="1"/>
  <c r="CE16" i="33" s="1"/>
  <c r="CE17" i="33" a="1"/>
  <c r="CE17" i="33" s="1"/>
  <c r="CE18" i="33" a="1"/>
  <c r="CE18" i="33" s="1"/>
  <c r="CE19" i="33" a="1"/>
  <c r="CE19" i="33" s="1"/>
  <c r="CE20" i="33" a="1"/>
  <c r="CE20" i="33" s="1"/>
  <c r="CE21" i="33" a="1"/>
  <c r="CE21" i="33" s="1"/>
  <c r="CE22" i="33" a="1"/>
  <c r="CE22" i="33" s="1"/>
  <c r="CE23" i="33" a="1"/>
  <c r="CE23" i="33" s="1"/>
  <c r="CE24" i="33" a="1"/>
  <c r="CE24" i="33" s="1"/>
  <c r="CE25" i="33" a="1"/>
  <c r="CE25" i="33" s="1"/>
  <c r="CE26" i="33" a="1"/>
  <c r="CE26" i="33" s="1"/>
  <c r="CE27" i="33" a="1"/>
  <c r="CE27" i="33" s="1"/>
  <c r="CE28" i="33" a="1"/>
  <c r="CE28" i="33" s="1"/>
  <c r="CE29" i="33" a="1"/>
  <c r="CE29" i="33" s="1"/>
  <c r="CE30" i="33" a="1"/>
  <c r="CE30" i="33" s="1"/>
  <c r="CE31" i="33" a="1"/>
  <c r="CE31" i="33" s="1"/>
  <c r="CE32" i="33" a="1"/>
  <c r="CE32" i="33" s="1"/>
  <c r="CE33" i="33" a="1"/>
  <c r="CE33" i="33" s="1"/>
  <c r="CE34" i="33" a="1"/>
  <c r="CE34" i="33" s="1"/>
  <c r="CE35" i="33" a="1"/>
  <c r="CE35" i="33" s="1"/>
  <c r="CE36" i="33" a="1"/>
  <c r="CE36" i="33" s="1"/>
  <c r="CE37" i="33" a="1"/>
  <c r="CE37" i="33" s="1"/>
  <c r="CE38" i="33" a="1"/>
  <c r="CE38" i="33" s="1"/>
  <c r="CE39" i="33" a="1"/>
  <c r="CE39" i="33" s="1"/>
  <c r="CE40" i="33" a="1"/>
  <c r="CE40" i="33" s="1"/>
  <c r="CE41" i="33" a="1"/>
  <c r="CE41" i="33" s="1"/>
  <c r="CE42" i="33" a="1"/>
  <c r="CE42" i="33" s="1"/>
  <c r="CE43" i="33" a="1"/>
  <c r="CE43" i="33" s="1"/>
  <c r="CE44" i="33" a="1"/>
  <c r="CE44" i="33" s="1"/>
  <c r="CE45" i="33" a="1"/>
  <c r="CE45" i="33" s="1"/>
  <c r="CE46" i="33" a="1"/>
  <c r="CE46" i="33" s="1"/>
  <c r="CE47" i="33" a="1"/>
  <c r="CE47" i="33" s="1"/>
  <c r="CE48" i="33" a="1"/>
  <c r="CE48" i="33" s="1"/>
  <c r="CE49" i="33" a="1"/>
  <c r="CE49" i="33" s="1"/>
  <c r="CE50" i="33" a="1"/>
  <c r="CE50" i="33" s="1"/>
  <c r="CE51" i="33" a="1"/>
  <c r="CE51" i="33" s="1"/>
  <c r="CE52" i="33" a="1"/>
  <c r="CE52" i="33" s="1"/>
  <c r="CE53" i="33" a="1"/>
  <c r="CE53" i="33" s="1"/>
  <c r="CE54" i="33" a="1"/>
  <c r="CE54" i="33" s="1"/>
  <c r="CE55" i="33" a="1"/>
  <c r="CE55" i="33" s="1"/>
  <c r="CE7" i="33" a="1"/>
  <c r="CE7" i="33" s="1"/>
  <c r="CE8" i="33" a="1"/>
  <c r="CE8" i="33" s="1"/>
  <c r="CE3" i="33" a="1"/>
  <c r="CE3" i="33" s="1"/>
  <c r="CE4" i="33" a="1"/>
  <c r="CE4" i="33" s="1"/>
  <c r="CE5" i="33" a="1"/>
  <c r="CE5" i="33" s="1"/>
  <c r="CE6" i="33" a="1"/>
  <c r="CE6" i="33" s="1"/>
  <c r="CE2" i="33" a="1"/>
  <c r="CE2" i="33" s="1"/>
  <c r="CD7" i="33" a="1"/>
  <c r="CD7" i="33" s="1"/>
  <c r="CD8" i="33" a="1"/>
  <c r="CD8" i="33" s="1"/>
  <c r="CD9" i="33" a="1"/>
  <c r="CD9" i="33" s="1"/>
  <c r="CD10" i="33" a="1"/>
  <c r="CD10" i="33" s="1"/>
  <c r="CD11" i="33" a="1"/>
  <c r="CD11" i="33" s="1"/>
  <c r="CD12" i="33" a="1"/>
  <c r="CD12" i="33" s="1"/>
  <c r="CD13" i="33" a="1"/>
  <c r="CD13" i="33" s="1"/>
  <c r="CD14" i="33" a="1"/>
  <c r="CD14" i="33" s="1"/>
  <c r="CD15" i="33" a="1"/>
  <c r="CD15" i="33" s="1"/>
  <c r="CD16" i="33" a="1"/>
  <c r="CD16" i="33" s="1"/>
  <c r="CD17" i="33" a="1"/>
  <c r="CD17" i="33" s="1"/>
  <c r="CD18" i="33" a="1"/>
  <c r="CD18" i="33" s="1"/>
  <c r="CD19" i="33" a="1"/>
  <c r="CD19" i="33" s="1"/>
  <c r="CD20" i="33" a="1"/>
  <c r="CD20" i="33" s="1"/>
  <c r="CD21" i="33" a="1"/>
  <c r="CD21" i="33" s="1"/>
  <c r="CD22" i="33" a="1"/>
  <c r="CD22" i="33" s="1"/>
  <c r="CD23" i="33" a="1"/>
  <c r="CD23" i="33" s="1"/>
  <c r="CD24" i="33" a="1"/>
  <c r="CD24" i="33" s="1"/>
  <c r="CD25" i="33" a="1"/>
  <c r="CD25" i="33" s="1"/>
  <c r="CD26" i="33" a="1"/>
  <c r="CD26" i="33" s="1"/>
  <c r="CD27" i="33" a="1"/>
  <c r="CD27" i="33" s="1"/>
  <c r="CD28" i="33" a="1"/>
  <c r="CD28" i="33" s="1"/>
  <c r="CD29" i="33" a="1"/>
  <c r="CD29" i="33" s="1"/>
  <c r="CD30" i="33" a="1"/>
  <c r="CD30" i="33" s="1"/>
  <c r="CD31" i="33" a="1"/>
  <c r="CD31" i="33" s="1"/>
  <c r="CD32" i="33" a="1"/>
  <c r="CD32" i="33" s="1"/>
  <c r="CD33" i="33" a="1"/>
  <c r="CD33" i="33" s="1"/>
  <c r="CD34" i="33" a="1"/>
  <c r="CD34" i="33" s="1"/>
  <c r="CD35" i="33" a="1"/>
  <c r="CD35" i="33" s="1"/>
  <c r="CD36" i="33" a="1"/>
  <c r="CD36" i="33" s="1"/>
  <c r="CD37" i="33" a="1"/>
  <c r="CD37" i="33" s="1"/>
  <c r="CD38" i="33" a="1"/>
  <c r="CD38" i="33" s="1"/>
  <c r="CD39" i="33" a="1"/>
  <c r="CD39" i="33" s="1"/>
  <c r="CD40" i="33" a="1"/>
  <c r="CD40" i="33" s="1"/>
  <c r="CD41" i="33" a="1"/>
  <c r="CD41" i="33" s="1"/>
  <c r="CD42" i="33" a="1"/>
  <c r="CD42" i="33" s="1"/>
  <c r="CD43" i="33" a="1"/>
  <c r="CD43" i="33" s="1"/>
  <c r="CD44" i="33" a="1"/>
  <c r="CD44" i="33" s="1"/>
  <c r="CD45" i="33" a="1"/>
  <c r="CD45" i="33" s="1"/>
  <c r="CD46" i="33" a="1"/>
  <c r="CD46" i="33" s="1"/>
  <c r="CD47" i="33" a="1"/>
  <c r="CD47" i="33" s="1"/>
  <c r="CD48" i="33" a="1"/>
  <c r="CD48" i="33" s="1"/>
  <c r="CD49" i="33" a="1"/>
  <c r="CD49" i="33" s="1"/>
  <c r="CD50" i="33" a="1"/>
  <c r="CD50" i="33" s="1"/>
  <c r="CD51" i="33" a="1"/>
  <c r="CD51" i="33" s="1"/>
  <c r="CD52" i="33" a="1"/>
  <c r="CD52" i="33" s="1"/>
  <c r="CD53" i="33" a="1"/>
  <c r="CD53" i="33" s="1"/>
  <c r="CD54" i="33" a="1"/>
  <c r="CD54" i="33" s="1"/>
  <c r="CD55" i="33" a="1"/>
  <c r="CD55" i="33" s="1"/>
  <c r="CD6" i="33" a="1"/>
  <c r="CD6" i="33" s="1"/>
  <c r="CD3" i="33" a="1"/>
  <c r="CD3" i="33" s="1"/>
  <c r="CD4" i="33" a="1"/>
  <c r="CD4" i="33" s="1"/>
  <c r="CD5" i="33" a="1"/>
  <c r="CD5" i="33" s="1"/>
  <c r="CD2" i="33" a="1"/>
  <c r="CD2" i="33" s="1"/>
  <c r="CC3" i="33" a="1"/>
  <c r="CC3" i="33" s="1"/>
  <c r="CC4" i="33" a="1"/>
  <c r="CC4" i="33" s="1"/>
  <c r="CC5" i="33" a="1"/>
  <c r="CC5" i="33" s="1"/>
  <c r="CC6" i="33" a="1"/>
  <c r="CC6" i="33" s="1"/>
  <c r="CC7" i="33" a="1"/>
  <c r="CC7" i="33" s="1"/>
  <c r="CC8" i="33" a="1"/>
  <c r="CC8" i="33" s="1"/>
  <c r="CC9" i="33" a="1"/>
  <c r="CC9" i="33" s="1"/>
  <c r="CC10" i="33" a="1"/>
  <c r="CC10" i="33" s="1"/>
  <c r="CC11" i="33" a="1"/>
  <c r="CC11" i="33" s="1"/>
  <c r="CC12" i="33" a="1"/>
  <c r="CC12" i="33" s="1"/>
  <c r="CC13" i="33" a="1"/>
  <c r="CC13" i="33" s="1"/>
  <c r="CC14" i="33" a="1"/>
  <c r="CC14" i="33" s="1"/>
  <c r="CC15" i="33" a="1"/>
  <c r="CC15" i="33" s="1"/>
  <c r="CC16" i="33" a="1"/>
  <c r="CC16" i="33" s="1"/>
  <c r="CC17" i="33" a="1"/>
  <c r="CC17" i="33" s="1"/>
  <c r="CC18" i="33" a="1"/>
  <c r="CC18" i="33" s="1"/>
  <c r="CC19" i="33" a="1"/>
  <c r="CC19" i="33" s="1"/>
  <c r="CC20" i="33" a="1"/>
  <c r="CC20" i="33" s="1"/>
  <c r="CC21" i="33" a="1"/>
  <c r="CC21" i="33" s="1"/>
  <c r="CC22" i="33" a="1"/>
  <c r="CC22" i="33" s="1"/>
  <c r="CC23" i="33" a="1"/>
  <c r="CC23" i="33" s="1"/>
  <c r="CC24" i="33" a="1"/>
  <c r="CC24" i="33" s="1"/>
  <c r="CC25" i="33" a="1"/>
  <c r="CC25" i="33" s="1"/>
  <c r="CC26" i="33" a="1"/>
  <c r="CC26" i="33" s="1"/>
  <c r="CC27" i="33" a="1"/>
  <c r="CC27" i="33" s="1"/>
  <c r="CC28" i="33" a="1"/>
  <c r="CC28" i="33" s="1"/>
  <c r="CC29" i="33" a="1"/>
  <c r="CC29" i="33" s="1"/>
  <c r="CC30" i="33" a="1"/>
  <c r="CC30" i="33" s="1"/>
  <c r="CC31" i="33" a="1"/>
  <c r="CC31" i="33" s="1"/>
  <c r="CC32" i="33" a="1"/>
  <c r="CC32" i="33" s="1"/>
  <c r="CC33" i="33" a="1"/>
  <c r="CC33" i="33" s="1"/>
  <c r="CC34" i="33" a="1"/>
  <c r="CC34" i="33" s="1"/>
  <c r="CC35" i="33" a="1"/>
  <c r="CC35" i="33" s="1"/>
  <c r="CC36" i="33" a="1"/>
  <c r="CC36" i="33" s="1"/>
  <c r="CC37" i="33" a="1"/>
  <c r="CC37" i="33" s="1"/>
  <c r="CC38" i="33" a="1"/>
  <c r="CC38" i="33" s="1"/>
  <c r="CC39" i="33" a="1"/>
  <c r="CC39" i="33" s="1"/>
  <c r="CC40" i="33" a="1"/>
  <c r="CC40" i="33" s="1"/>
  <c r="CC41" i="33" a="1"/>
  <c r="CC41" i="33" s="1"/>
  <c r="CC42" i="33" a="1"/>
  <c r="CC42" i="33" s="1"/>
  <c r="CC43" i="33" a="1"/>
  <c r="CC43" i="33" s="1"/>
  <c r="CC44" i="33" a="1"/>
  <c r="CC44" i="33" s="1"/>
  <c r="CC45" i="33" a="1"/>
  <c r="CC45" i="33" s="1"/>
  <c r="CC46" i="33" a="1"/>
  <c r="CC46" i="33" s="1"/>
  <c r="CC47" i="33" a="1"/>
  <c r="CC47" i="33" s="1"/>
  <c r="CC48" i="33" a="1"/>
  <c r="CC48" i="33" s="1"/>
  <c r="CC49" i="33" a="1"/>
  <c r="CC49" i="33" s="1"/>
  <c r="CC50" i="33" a="1"/>
  <c r="CC50" i="33" s="1"/>
  <c r="CC51" i="33" a="1"/>
  <c r="CC51" i="33" s="1"/>
  <c r="CC52" i="33" a="1"/>
  <c r="CC52" i="33" s="1"/>
  <c r="CC53" i="33" a="1"/>
  <c r="CC53" i="33" s="1"/>
  <c r="CC54" i="33" a="1"/>
  <c r="CC54" i="33" s="1"/>
  <c r="CC55" i="33" a="1"/>
  <c r="CC55" i="33" s="1"/>
  <c r="CC2" i="33" a="1"/>
  <c r="CC2" i="33" s="1"/>
  <c r="CB15" i="33" a="1"/>
  <c r="CB15" i="33" s="1"/>
  <c r="CB16" i="33" a="1"/>
  <c r="CB16" i="33" s="1"/>
  <c r="CB17" i="33" a="1"/>
  <c r="CB17" i="33" s="1"/>
  <c r="CB18" i="33" a="1"/>
  <c r="CB18" i="33" s="1"/>
  <c r="CB19" i="33" a="1"/>
  <c r="CB19" i="33" s="1"/>
  <c r="CB20" i="33" a="1"/>
  <c r="CB20" i="33" s="1"/>
  <c r="CB21" i="33" a="1"/>
  <c r="CB21" i="33" s="1"/>
  <c r="CB22" i="33" a="1"/>
  <c r="CB22" i="33" s="1"/>
  <c r="CB23" i="33" a="1"/>
  <c r="CB23" i="33" s="1"/>
  <c r="CB24" i="33" a="1"/>
  <c r="CB24" i="33" s="1"/>
  <c r="CB25" i="33" a="1"/>
  <c r="CB25" i="33" s="1"/>
  <c r="CB26" i="33" a="1"/>
  <c r="CB26" i="33" s="1"/>
  <c r="CB27" i="33" a="1"/>
  <c r="CB27" i="33" s="1"/>
  <c r="CB28" i="33" a="1"/>
  <c r="CB28" i="33" s="1"/>
  <c r="CB29" i="33" a="1"/>
  <c r="CB29" i="33" s="1"/>
  <c r="CB30" i="33" a="1"/>
  <c r="CB30" i="33" s="1"/>
  <c r="CB31" i="33" a="1"/>
  <c r="CB31" i="33" s="1"/>
  <c r="CB32" i="33" a="1"/>
  <c r="CB32" i="33" s="1"/>
  <c r="CB33" i="33" a="1"/>
  <c r="CB33" i="33" s="1"/>
  <c r="CB34" i="33" a="1"/>
  <c r="CB34" i="33" s="1"/>
  <c r="CB35" i="33" a="1"/>
  <c r="CB35" i="33" s="1"/>
  <c r="CB36" i="33" a="1"/>
  <c r="CB36" i="33" s="1"/>
  <c r="CB37" i="33" a="1"/>
  <c r="CB37" i="33" s="1"/>
  <c r="CB38" i="33" a="1"/>
  <c r="CB38" i="33" s="1"/>
  <c r="CB39" i="33" a="1"/>
  <c r="CB39" i="33" s="1"/>
  <c r="CB40" i="33" a="1"/>
  <c r="CB40" i="33" s="1"/>
  <c r="CB41" i="33" a="1"/>
  <c r="CB41" i="33" s="1"/>
  <c r="CB42" i="33" a="1"/>
  <c r="CB42" i="33" s="1"/>
  <c r="CB43" i="33" a="1"/>
  <c r="CB43" i="33" s="1"/>
  <c r="CB44" i="33" a="1"/>
  <c r="CB44" i="33" s="1"/>
  <c r="CB45" i="33" a="1"/>
  <c r="CB45" i="33" s="1"/>
  <c r="CB46" i="33" a="1"/>
  <c r="CB46" i="33" s="1"/>
  <c r="CB47" i="33" a="1"/>
  <c r="CB47" i="33" s="1"/>
  <c r="CB48" i="33" a="1"/>
  <c r="CB48" i="33" s="1"/>
  <c r="CB49" i="33" a="1"/>
  <c r="CB49" i="33" s="1"/>
  <c r="CB50" i="33" a="1"/>
  <c r="CB50" i="33" s="1"/>
  <c r="CB51" i="33" a="1"/>
  <c r="CB51" i="33" s="1"/>
  <c r="CB52" i="33" a="1"/>
  <c r="CB52" i="33" s="1"/>
  <c r="CB53" i="33" a="1"/>
  <c r="CB53" i="33" s="1"/>
  <c r="CB54" i="33" a="1"/>
  <c r="CB54" i="33" s="1"/>
  <c r="CB55" i="33" a="1"/>
  <c r="CB55" i="33" s="1"/>
  <c r="CB14" i="33" a="1"/>
  <c r="CB14" i="33" s="1"/>
  <c r="CB9" i="33" a="1"/>
  <c r="CB9" i="33" s="1"/>
  <c r="CB10" i="33" a="1"/>
  <c r="CB10" i="33" s="1"/>
  <c r="CB11" i="33" a="1"/>
  <c r="CB11" i="33" s="1"/>
  <c r="CB12" i="33" a="1"/>
  <c r="CB12" i="33" s="1"/>
  <c r="CB13" i="33" a="1"/>
  <c r="CB13" i="33" s="1"/>
  <c r="CB3" i="33" a="1"/>
  <c r="CB3" i="33" s="1"/>
  <c r="CB4" i="33" a="1"/>
  <c r="CB4" i="33" s="1"/>
  <c r="CB5" i="33" a="1"/>
  <c r="CB5" i="33" s="1"/>
  <c r="CB6" i="33" a="1"/>
  <c r="CB6" i="33" s="1"/>
  <c r="CB7" i="33" a="1"/>
  <c r="CB7" i="33" s="1"/>
  <c r="CB8" i="33" a="1"/>
  <c r="CB8" i="33" s="1"/>
  <c r="CB2" i="33" a="1"/>
  <c r="CB2" i="33" s="1"/>
  <c r="CA3" i="33" a="1"/>
  <c r="CA3" i="33" s="1"/>
  <c r="CA4" i="33" a="1"/>
  <c r="CA4" i="33" s="1"/>
  <c r="CA5" i="33" a="1"/>
  <c r="CA5" i="33" s="1"/>
  <c r="CA6" i="33" a="1"/>
  <c r="CA6" i="33" s="1"/>
  <c r="CA7" i="33" a="1"/>
  <c r="CA7" i="33" s="1"/>
  <c r="CA8" i="33" a="1"/>
  <c r="CA8" i="33" s="1"/>
  <c r="CA9" i="33" a="1"/>
  <c r="CA9" i="33" s="1"/>
  <c r="CA10" i="33" a="1"/>
  <c r="CA10" i="33" s="1"/>
  <c r="CA11" i="33" a="1"/>
  <c r="CA11" i="33" s="1"/>
  <c r="CA12" i="33" a="1"/>
  <c r="CA12" i="33" s="1"/>
  <c r="CA13" i="33" a="1"/>
  <c r="CA13" i="33" s="1"/>
  <c r="CA14" i="33" a="1"/>
  <c r="CA14" i="33" s="1"/>
  <c r="CA15" i="33" a="1"/>
  <c r="CA15" i="33" s="1"/>
  <c r="CA16" i="33" a="1"/>
  <c r="CA16" i="33" s="1"/>
  <c r="CA17" i="33" a="1"/>
  <c r="CA17" i="33" s="1"/>
  <c r="CA18" i="33" a="1"/>
  <c r="CA18" i="33" s="1"/>
  <c r="CA19" i="33" a="1"/>
  <c r="CA19" i="33" s="1"/>
  <c r="CA20" i="33" a="1"/>
  <c r="CA20" i="33" s="1"/>
  <c r="CA21" i="33" a="1"/>
  <c r="CA21" i="33" s="1"/>
  <c r="CA22" i="33" a="1"/>
  <c r="CA22" i="33" s="1"/>
  <c r="CA23" i="33" a="1"/>
  <c r="CA23" i="33" s="1"/>
  <c r="CA24" i="33" a="1"/>
  <c r="CA24" i="33" s="1"/>
  <c r="CA25" i="33" a="1"/>
  <c r="CA25" i="33" s="1"/>
  <c r="CA26" i="33" a="1"/>
  <c r="CA26" i="33" s="1"/>
  <c r="CA27" i="33" a="1"/>
  <c r="CA27" i="33" s="1"/>
  <c r="CA28" i="33" a="1"/>
  <c r="CA28" i="33" s="1"/>
  <c r="CA29" i="33" a="1"/>
  <c r="CA29" i="33" s="1"/>
  <c r="CA30" i="33" a="1"/>
  <c r="CA30" i="33" s="1"/>
  <c r="CA31" i="33" a="1"/>
  <c r="CA31" i="33" s="1"/>
  <c r="CA32" i="33" a="1"/>
  <c r="CA32" i="33" s="1"/>
  <c r="CA33" i="33" a="1"/>
  <c r="CA33" i="33" s="1"/>
  <c r="CA34" i="33" a="1"/>
  <c r="CA34" i="33" s="1"/>
  <c r="CA35" i="33" a="1"/>
  <c r="CA35" i="33" s="1"/>
  <c r="CA36" i="33" a="1"/>
  <c r="CA36" i="33" s="1"/>
  <c r="CA37" i="33" a="1"/>
  <c r="CA37" i="33" s="1"/>
  <c r="CA38" i="33" a="1"/>
  <c r="CA38" i="33" s="1"/>
  <c r="CA39" i="33" a="1"/>
  <c r="CA39" i="33" s="1"/>
  <c r="CA40" i="33" a="1"/>
  <c r="CA40" i="33" s="1"/>
  <c r="CA41" i="33" a="1"/>
  <c r="CA41" i="33" s="1"/>
  <c r="CA42" i="33" a="1"/>
  <c r="CA42" i="33" s="1"/>
  <c r="CA43" i="33" a="1"/>
  <c r="CA43" i="33" s="1"/>
  <c r="CA44" i="33" a="1"/>
  <c r="CA44" i="33" s="1"/>
  <c r="CA45" i="33" a="1"/>
  <c r="CA45" i="33" s="1"/>
  <c r="CA46" i="33" a="1"/>
  <c r="CA46" i="33" s="1"/>
  <c r="CA47" i="33" a="1"/>
  <c r="CA47" i="33" s="1"/>
  <c r="CA48" i="33" a="1"/>
  <c r="CA48" i="33" s="1"/>
  <c r="CA49" i="33" a="1"/>
  <c r="CA49" i="33" s="1"/>
  <c r="CA50" i="33" a="1"/>
  <c r="CA50" i="33" s="1"/>
  <c r="CA51" i="33" a="1"/>
  <c r="CA51" i="33" s="1"/>
  <c r="CA52" i="33" a="1"/>
  <c r="CA52" i="33" s="1"/>
  <c r="CA53" i="33" a="1"/>
  <c r="CA53" i="33" s="1"/>
  <c r="CA54" i="33" a="1"/>
  <c r="CA54" i="33" s="1"/>
  <c r="CA55" i="33" a="1"/>
  <c r="CA55" i="33" s="1"/>
  <c r="CA2" i="33" a="1"/>
  <c r="CA2" i="33" s="1"/>
  <c r="CG4" i="34"/>
  <c r="CG5" i="34"/>
  <c r="CG6" i="34"/>
  <c r="CG7" i="34"/>
  <c r="CG8" i="34"/>
  <c r="CG9" i="34"/>
  <c r="CG10" i="34"/>
  <c r="CG11" i="34"/>
  <c r="CG12" i="34"/>
  <c r="CG13" i="34"/>
  <c r="CG14" i="34"/>
  <c r="CG15" i="34"/>
  <c r="CG16" i="34"/>
  <c r="CG17" i="34"/>
  <c r="CG18" i="34"/>
  <c r="CG19" i="34"/>
  <c r="CG20" i="34"/>
  <c r="CG21" i="34"/>
  <c r="CG22" i="34"/>
  <c r="CG23" i="34"/>
  <c r="CG24" i="34"/>
  <c r="CG25" i="34"/>
  <c r="CG26" i="34"/>
  <c r="CG27" i="34"/>
  <c r="CG28" i="34"/>
  <c r="CG29" i="34"/>
  <c r="CG30" i="34"/>
  <c r="CG31" i="34"/>
  <c r="CG32" i="34"/>
  <c r="CG33" i="34"/>
  <c r="CG34" i="34"/>
  <c r="CG35" i="34"/>
  <c r="CG36" i="34"/>
  <c r="CG37" i="34"/>
  <c r="CG38" i="34"/>
  <c r="CG39" i="34"/>
  <c r="CG40" i="34"/>
  <c r="CG41" i="34"/>
  <c r="CG42" i="34"/>
  <c r="CG43" i="34"/>
  <c r="CG44" i="34"/>
  <c r="CG45" i="34"/>
  <c r="CG46" i="34"/>
  <c r="CG47" i="34"/>
  <c r="CG48" i="34"/>
  <c r="CG49" i="34"/>
  <c r="CG50" i="34"/>
  <c r="CG51" i="34"/>
  <c r="CG52" i="34"/>
  <c r="CG53" i="34"/>
  <c r="CG54" i="34"/>
  <c r="CG55" i="34"/>
  <c r="CG3" i="34"/>
  <c r="CG2" i="34"/>
  <c r="CG4" i="33"/>
  <c r="CG5" i="33"/>
  <c r="CG6" i="33"/>
  <c r="CG7" i="33"/>
  <c r="CG8" i="33"/>
  <c r="CG9" i="33"/>
  <c r="CG10" i="33"/>
  <c r="CG11" i="33"/>
  <c r="CG12" i="33"/>
  <c r="CG13" i="33"/>
  <c r="CG14" i="33"/>
  <c r="CG15" i="33"/>
  <c r="CG16" i="33"/>
  <c r="CG17" i="33"/>
  <c r="CG18" i="33"/>
  <c r="CG19" i="33"/>
  <c r="CG20" i="33"/>
  <c r="CG21" i="33"/>
  <c r="CG22" i="33"/>
  <c r="CG23" i="33"/>
  <c r="CG24" i="33"/>
  <c r="CG25" i="33"/>
  <c r="CG26" i="33"/>
  <c r="CG27" i="33"/>
  <c r="CG28" i="33"/>
  <c r="CG29" i="33"/>
  <c r="CG30" i="33"/>
  <c r="CG31" i="33"/>
  <c r="CG32" i="33"/>
  <c r="CG33" i="33"/>
  <c r="CG34" i="33"/>
  <c r="CG35" i="33"/>
  <c r="CG36" i="33"/>
  <c r="CG37" i="33"/>
  <c r="CG38" i="33"/>
  <c r="CG39" i="33"/>
  <c r="CG40" i="33"/>
  <c r="CG41" i="33"/>
  <c r="CG42" i="33"/>
  <c r="CG43" i="33"/>
  <c r="CG44" i="33"/>
  <c r="CG45" i="33"/>
  <c r="CG46" i="33"/>
  <c r="CG47" i="33"/>
  <c r="CG48" i="33"/>
  <c r="CG49" i="33"/>
  <c r="CG50" i="33"/>
  <c r="CG51" i="33"/>
  <c r="CG52" i="33"/>
  <c r="CG53" i="33"/>
  <c r="CG54" i="33"/>
  <c r="CG55" i="33"/>
  <c r="CG3" i="33"/>
  <c r="CG2" i="33"/>
  <c r="DI55" i="34"/>
  <c r="DH55" i="34"/>
  <c r="DB55" i="34"/>
  <c r="DA55" i="34"/>
  <c r="CZ55" i="34"/>
  <c r="CY55" i="34"/>
  <c r="CX55" i="34"/>
  <c r="CW55" i="34"/>
  <c r="CV55" i="34"/>
  <c r="CU55" i="34"/>
  <c r="CT55" i="34"/>
  <c r="CS55" i="34"/>
  <c r="CR55" i="34"/>
  <c r="CQ55" i="34"/>
  <c r="CJ55" i="34"/>
  <c r="CI55" i="34"/>
  <c r="CH55" i="34"/>
  <c r="BQ55" i="34"/>
  <c r="BP55" i="34"/>
  <c r="BO55" i="34"/>
  <c r="DI54" i="34"/>
  <c r="DH54" i="34"/>
  <c r="DB54" i="34"/>
  <c r="DA54" i="34"/>
  <c r="CZ54" i="34"/>
  <c r="CY54" i="34"/>
  <c r="CX54" i="34"/>
  <c r="CW54" i="34"/>
  <c r="CV54" i="34"/>
  <c r="CU54" i="34"/>
  <c r="CT54" i="34"/>
  <c r="CS54" i="34"/>
  <c r="CR54" i="34"/>
  <c r="CQ54" i="34"/>
  <c r="CJ54" i="34"/>
  <c r="CI54" i="34"/>
  <c r="CH54" i="34"/>
  <c r="BQ54" i="34"/>
  <c r="BP54" i="34"/>
  <c r="BO54" i="34"/>
  <c r="DI53" i="34"/>
  <c r="DH53" i="34"/>
  <c r="DB53" i="34"/>
  <c r="DA53" i="34"/>
  <c r="CZ53" i="34"/>
  <c r="CY53" i="34"/>
  <c r="CX53" i="34"/>
  <c r="CW53" i="34"/>
  <c r="CV53" i="34"/>
  <c r="CU53" i="34"/>
  <c r="CT53" i="34"/>
  <c r="CS53" i="34"/>
  <c r="CR53" i="34"/>
  <c r="CQ53" i="34"/>
  <c r="CJ53" i="34"/>
  <c r="CI53" i="34"/>
  <c r="CH53" i="34"/>
  <c r="BQ53" i="34"/>
  <c r="BP53" i="34"/>
  <c r="BO53" i="34"/>
  <c r="DI52" i="34"/>
  <c r="DH52" i="34"/>
  <c r="DB52" i="34"/>
  <c r="DA52" i="34"/>
  <c r="CZ52" i="34"/>
  <c r="CY52" i="34"/>
  <c r="CX52" i="34"/>
  <c r="CW52" i="34"/>
  <c r="CV52" i="34"/>
  <c r="CU52" i="34"/>
  <c r="CT52" i="34"/>
  <c r="CS52" i="34"/>
  <c r="CR52" i="34"/>
  <c r="CQ52" i="34"/>
  <c r="CJ52" i="34"/>
  <c r="CI52" i="34"/>
  <c r="CH52" i="34"/>
  <c r="BQ52" i="34"/>
  <c r="BP52" i="34"/>
  <c r="BO52" i="34"/>
  <c r="DI51" i="34"/>
  <c r="DH51" i="34"/>
  <c r="DB51" i="34"/>
  <c r="DA51" i="34"/>
  <c r="CZ51" i="34"/>
  <c r="CY51" i="34"/>
  <c r="CX51" i="34"/>
  <c r="CW51" i="34"/>
  <c r="CV51" i="34"/>
  <c r="CU51" i="34"/>
  <c r="CT51" i="34"/>
  <c r="CS51" i="34"/>
  <c r="CR51" i="34"/>
  <c r="CQ51" i="34"/>
  <c r="CJ51" i="34"/>
  <c r="CI51" i="34"/>
  <c r="CH51" i="34"/>
  <c r="BQ51" i="34"/>
  <c r="BP51" i="34"/>
  <c r="BO51" i="34"/>
  <c r="DI50" i="34"/>
  <c r="DH50" i="34"/>
  <c r="DB50" i="34"/>
  <c r="DA50" i="34"/>
  <c r="CZ50" i="34"/>
  <c r="CY50" i="34"/>
  <c r="CX50" i="34"/>
  <c r="CW50" i="34"/>
  <c r="CV50" i="34"/>
  <c r="CU50" i="34"/>
  <c r="CT50" i="34"/>
  <c r="CS50" i="34"/>
  <c r="CR50" i="34"/>
  <c r="CQ50" i="34"/>
  <c r="CJ50" i="34"/>
  <c r="CI50" i="34"/>
  <c r="CH50" i="34"/>
  <c r="BQ50" i="34"/>
  <c r="BP50" i="34"/>
  <c r="BO50" i="34"/>
  <c r="DI49" i="34"/>
  <c r="DH49" i="34"/>
  <c r="DB49" i="34"/>
  <c r="DA49" i="34"/>
  <c r="CZ49" i="34"/>
  <c r="CY49" i="34"/>
  <c r="CX49" i="34"/>
  <c r="CW49" i="34"/>
  <c r="CV49" i="34"/>
  <c r="CU49" i="34"/>
  <c r="CT49" i="34"/>
  <c r="CS49" i="34"/>
  <c r="CR49" i="34"/>
  <c r="CQ49" i="34"/>
  <c r="CJ49" i="34"/>
  <c r="CI49" i="34"/>
  <c r="CH49" i="34"/>
  <c r="BQ49" i="34"/>
  <c r="BP49" i="34"/>
  <c r="BO49" i="34"/>
  <c r="DI48" i="34"/>
  <c r="DH48" i="34"/>
  <c r="DB48" i="34"/>
  <c r="DA48" i="34"/>
  <c r="CZ48" i="34"/>
  <c r="CY48" i="34"/>
  <c r="CX48" i="34"/>
  <c r="CW48" i="34"/>
  <c r="CV48" i="34"/>
  <c r="CU48" i="34"/>
  <c r="CT48" i="34"/>
  <c r="CS48" i="34"/>
  <c r="CR48" i="34"/>
  <c r="CQ48" i="34"/>
  <c r="CJ48" i="34"/>
  <c r="CI48" i="34"/>
  <c r="CH48" i="34"/>
  <c r="BQ48" i="34"/>
  <c r="BP48" i="34"/>
  <c r="BO48" i="34"/>
  <c r="DI47" i="34"/>
  <c r="DH47" i="34"/>
  <c r="DB47" i="34"/>
  <c r="DA47" i="34"/>
  <c r="CZ47" i="34"/>
  <c r="CY47" i="34"/>
  <c r="CX47" i="34"/>
  <c r="CW47" i="34"/>
  <c r="CV47" i="34"/>
  <c r="CU47" i="34"/>
  <c r="CT47" i="34"/>
  <c r="CS47" i="34"/>
  <c r="CR47" i="34"/>
  <c r="CQ47" i="34"/>
  <c r="CJ47" i="34"/>
  <c r="CI47" i="34"/>
  <c r="CH47" i="34"/>
  <c r="BQ47" i="34"/>
  <c r="BP47" i="34"/>
  <c r="BO47" i="34"/>
  <c r="DI46" i="34"/>
  <c r="DH46" i="34"/>
  <c r="DB46" i="34"/>
  <c r="DA46" i="34"/>
  <c r="CZ46" i="34"/>
  <c r="CY46" i="34"/>
  <c r="CX46" i="34"/>
  <c r="CW46" i="34"/>
  <c r="CV46" i="34"/>
  <c r="CU46" i="34"/>
  <c r="CT46" i="34"/>
  <c r="CS46" i="34"/>
  <c r="CR46" i="34"/>
  <c r="CQ46" i="34"/>
  <c r="CJ46" i="34"/>
  <c r="CI46" i="34"/>
  <c r="CH46" i="34"/>
  <c r="BQ46" i="34"/>
  <c r="BP46" i="34"/>
  <c r="BO46" i="34"/>
  <c r="DI45" i="34"/>
  <c r="DH45" i="34"/>
  <c r="DB45" i="34"/>
  <c r="DA45" i="34"/>
  <c r="CZ45" i="34"/>
  <c r="CY45" i="34"/>
  <c r="CX45" i="34"/>
  <c r="CW45" i="34"/>
  <c r="CV45" i="34"/>
  <c r="CU45" i="34"/>
  <c r="CT45" i="34"/>
  <c r="CS45" i="34"/>
  <c r="CR45" i="34"/>
  <c r="CQ45" i="34"/>
  <c r="CJ45" i="34"/>
  <c r="CI45" i="34"/>
  <c r="CH45" i="34"/>
  <c r="BQ45" i="34"/>
  <c r="BP45" i="34"/>
  <c r="BO45" i="34"/>
  <c r="DI44" i="34"/>
  <c r="DH44" i="34"/>
  <c r="DB44" i="34"/>
  <c r="DA44" i="34"/>
  <c r="CZ44" i="34"/>
  <c r="CY44" i="34"/>
  <c r="CX44" i="34"/>
  <c r="CW44" i="34"/>
  <c r="CV44" i="34"/>
  <c r="CU44" i="34"/>
  <c r="CT44" i="34"/>
  <c r="CS44" i="34"/>
  <c r="CR44" i="34"/>
  <c r="CQ44" i="34"/>
  <c r="CJ44" i="34"/>
  <c r="CI44" i="34"/>
  <c r="CH44" i="34"/>
  <c r="BQ44" i="34"/>
  <c r="BP44" i="34"/>
  <c r="BO44" i="34"/>
  <c r="DI43" i="34"/>
  <c r="DH43" i="34"/>
  <c r="DB43" i="34"/>
  <c r="DA43" i="34"/>
  <c r="CZ43" i="34"/>
  <c r="CY43" i="34"/>
  <c r="CX43" i="34"/>
  <c r="CW43" i="34"/>
  <c r="CV43" i="34"/>
  <c r="CU43" i="34"/>
  <c r="CT43" i="34"/>
  <c r="CS43" i="34"/>
  <c r="CR43" i="34"/>
  <c r="CQ43" i="34"/>
  <c r="CJ43" i="34"/>
  <c r="CI43" i="34"/>
  <c r="CH43" i="34"/>
  <c r="BQ43" i="34"/>
  <c r="BP43" i="34"/>
  <c r="BO43" i="34"/>
  <c r="DI42" i="34"/>
  <c r="DH42" i="34"/>
  <c r="DB42" i="34"/>
  <c r="DA42" i="34"/>
  <c r="CZ42" i="34"/>
  <c r="CY42" i="34"/>
  <c r="CX42" i="34"/>
  <c r="CW42" i="34"/>
  <c r="CV42" i="34"/>
  <c r="CU42" i="34"/>
  <c r="CT42" i="34"/>
  <c r="CS42" i="34"/>
  <c r="CR42" i="34"/>
  <c r="CQ42" i="34"/>
  <c r="CJ42" i="34"/>
  <c r="CI42" i="34"/>
  <c r="CH42" i="34"/>
  <c r="BQ42" i="34"/>
  <c r="BP42" i="34"/>
  <c r="BO42" i="34"/>
  <c r="DI41" i="34"/>
  <c r="DH41" i="34"/>
  <c r="DB41" i="34"/>
  <c r="DA41" i="34"/>
  <c r="CZ41" i="34"/>
  <c r="CY41" i="34"/>
  <c r="CX41" i="34"/>
  <c r="CW41" i="34"/>
  <c r="CV41" i="34"/>
  <c r="CU41" i="34"/>
  <c r="CT41" i="34"/>
  <c r="CS41" i="34"/>
  <c r="CR41" i="34"/>
  <c r="CQ41" i="34"/>
  <c r="CJ41" i="34"/>
  <c r="CI41" i="34"/>
  <c r="CH41" i="34"/>
  <c r="BQ41" i="34"/>
  <c r="BP41" i="34"/>
  <c r="BO41" i="34"/>
  <c r="DI40" i="34"/>
  <c r="DH40" i="34"/>
  <c r="DB40" i="34"/>
  <c r="DA40" i="34"/>
  <c r="CZ40" i="34"/>
  <c r="CY40" i="34"/>
  <c r="CX40" i="34"/>
  <c r="CW40" i="34"/>
  <c r="CV40" i="34"/>
  <c r="CU40" i="34"/>
  <c r="CT40" i="34"/>
  <c r="CS40" i="34"/>
  <c r="CR40" i="34"/>
  <c r="CQ40" i="34"/>
  <c r="CJ40" i="34"/>
  <c r="CI40" i="34"/>
  <c r="CH40" i="34"/>
  <c r="BQ40" i="34"/>
  <c r="BP40" i="34"/>
  <c r="BO40" i="34"/>
  <c r="DI39" i="34"/>
  <c r="DH39" i="34"/>
  <c r="DB39" i="34"/>
  <c r="DA39" i="34"/>
  <c r="CZ39" i="34"/>
  <c r="CY39" i="34"/>
  <c r="CX39" i="34"/>
  <c r="CW39" i="34"/>
  <c r="CV39" i="34"/>
  <c r="CU39" i="34"/>
  <c r="CT39" i="34"/>
  <c r="CS39" i="34"/>
  <c r="CR39" i="34"/>
  <c r="CQ39" i="34"/>
  <c r="CJ39" i="34"/>
  <c r="CI39" i="34"/>
  <c r="CH39" i="34"/>
  <c r="BQ39" i="34"/>
  <c r="BP39" i="34"/>
  <c r="BO39" i="34"/>
  <c r="DI38" i="34"/>
  <c r="DH38" i="34"/>
  <c r="DB38" i="34"/>
  <c r="DA38" i="34"/>
  <c r="CZ38" i="34"/>
  <c r="CY38" i="34"/>
  <c r="CX38" i="34"/>
  <c r="CW38" i="34"/>
  <c r="CV38" i="34"/>
  <c r="CU38" i="34"/>
  <c r="CT38" i="34"/>
  <c r="CS38" i="34"/>
  <c r="CR38" i="34"/>
  <c r="CQ38" i="34"/>
  <c r="CJ38" i="34"/>
  <c r="CI38" i="34"/>
  <c r="CH38" i="34"/>
  <c r="BQ38" i="34"/>
  <c r="BP38" i="34"/>
  <c r="BO38" i="34"/>
  <c r="DI37" i="34"/>
  <c r="DH37" i="34"/>
  <c r="DB37" i="34"/>
  <c r="DA37" i="34"/>
  <c r="CZ37" i="34"/>
  <c r="CY37" i="34"/>
  <c r="CX37" i="34"/>
  <c r="CW37" i="34"/>
  <c r="CV37" i="34"/>
  <c r="CU37" i="34"/>
  <c r="CT37" i="34"/>
  <c r="CS37" i="34"/>
  <c r="CR37" i="34"/>
  <c r="CQ37" i="34"/>
  <c r="CJ37" i="34"/>
  <c r="CI37" i="34"/>
  <c r="CH37" i="34"/>
  <c r="BQ37" i="34"/>
  <c r="BP37" i="34"/>
  <c r="BO37" i="34"/>
  <c r="DI36" i="34"/>
  <c r="DH36" i="34"/>
  <c r="DB36" i="34"/>
  <c r="DA36" i="34"/>
  <c r="CZ36" i="34"/>
  <c r="CY36" i="34"/>
  <c r="CX36" i="34"/>
  <c r="CW36" i="34"/>
  <c r="CV36" i="34"/>
  <c r="CU36" i="34"/>
  <c r="CT36" i="34"/>
  <c r="CS36" i="34"/>
  <c r="CR36" i="34"/>
  <c r="CQ36" i="34"/>
  <c r="CJ36" i="34"/>
  <c r="CI36" i="34"/>
  <c r="CH36" i="34"/>
  <c r="BQ36" i="34"/>
  <c r="BP36" i="34"/>
  <c r="BO36" i="34"/>
  <c r="DI35" i="34"/>
  <c r="DH35" i="34"/>
  <c r="DB35" i="34"/>
  <c r="DA35" i="34"/>
  <c r="CZ35" i="34"/>
  <c r="CY35" i="34"/>
  <c r="CX35" i="34"/>
  <c r="CW35" i="34"/>
  <c r="CV35" i="34"/>
  <c r="CU35" i="34"/>
  <c r="CT35" i="34"/>
  <c r="CS35" i="34"/>
  <c r="CR35" i="34"/>
  <c r="CQ35" i="34"/>
  <c r="CJ35" i="34"/>
  <c r="CI35" i="34"/>
  <c r="CH35" i="34"/>
  <c r="BQ35" i="34"/>
  <c r="BP35" i="34"/>
  <c r="BO35" i="34"/>
  <c r="DI34" i="34"/>
  <c r="DH34" i="34"/>
  <c r="DB34" i="34"/>
  <c r="DA34" i="34"/>
  <c r="CZ34" i="34"/>
  <c r="CY34" i="34"/>
  <c r="CX34" i="34"/>
  <c r="CW34" i="34"/>
  <c r="CV34" i="34"/>
  <c r="CU34" i="34"/>
  <c r="CT34" i="34"/>
  <c r="CS34" i="34"/>
  <c r="CR34" i="34"/>
  <c r="CQ34" i="34"/>
  <c r="CJ34" i="34"/>
  <c r="CI34" i="34"/>
  <c r="CH34" i="34"/>
  <c r="BQ34" i="34"/>
  <c r="BP34" i="34"/>
  <c r="BO34" i="34"/>
  <c r="DI33" i="34"/>
  <c r="DH33" i="34"/>
  <c r="DB33" i="34"/>
  <c r="DA33" i="34"/>
  <c r="CZ33" i="34"/>
  <c r="CY33" i="34"/>
  <c r="CX33" i="34"/>
  <c r="CW33" i="34"/>
  <c r="CV33" i="34"/>
  <c r="CU33" i="34"/>
  <c r="CT33" i="34"/>
  <c r="CS33" i="34"/>
  <c r="CR33" i="34"/>
  <c r="CQ33" i="34"/>
  <c r="CJ33" i="34"/>
  <c r="CI33" i="34"/>
  <c r="CH33" i="34"/>
  <c r="BQ33" i="34"/>
  <c r="BP33" i="34"/>
  <c r="BO33" i="34"/>
  <c r="DI32" i="34"/>
  <c r="DH32" i="34"/>
  <c r="DB32" i="34"/>
  <c r="DA32" i="34"/>
  <c r="CZ32" i="34"/>
  <c r="CY32" i="34"/>
  <c r="CX32" i="34"/>
  <c r="CW32" i="34"/>
  <c r="CV32" i="34"/>
  <c r="CU32" i="34"/>
  <c r="CT32" i="34"/>
  <c r="CS32" i="34"/>
  <c r="CR32" i="34"/>
  <c r="CQ32" i="34"/>
  <c r="CJ32" i="34"/>
  <c r="CI32" i="34"/>
  <c r="CH32" i="34"/>
  <c r="BQ32" i="34"/>
  <c r="BP32" i="34"/>
  <c r="BO32" i="34"/>
  <c r="DI31" i="34"/>
  <c r="DH31" i="34"/>
  <c r="DB31" i="34"/>
  <c r="DA31" i="34"/>
  <c r="CZ31" i="34"/>
  <c r="CY31" i="34"/>
  <c r="CX31" i="34"/>
  <c r="CW31" i="34"/>
  <c r="CV31" i="34"/>
  <c r="CU31" i="34"/>
  <c r="CT31" i="34"/>
  <c r="CS31" i="34"/>
  <c r="CR31" i="34"/>
  <c r="CQ31" i="34"/>
  <c r="CJ31" i="34"/>
  <c r="CI31" i="34"/>
  <c r="CH31" i="34"/>
  <c r="BQ31" i="34"/>
  <c r="BP31" i="34"/>
  <c r="BO31" i="34"/>
  <c r="DI30" i="34"/>
  <c r="DH30" i="34"/>
  <c r="DB30" i="34"/>
  <c r="DA30" i="34"/>
  <c r="CZ30" i="34"/>
  <c r="CY30" i="34"/>
  <c r="CX30" i="34"/>
  <c r="CW30" i="34"/>
  <c r="CV30" i="34"/>
  <c r="CU30" i="34"/>
  <c r="CT30" i="34"/>
  <c r="CS30" i="34"/>
  <c r="CR30" i="34"/>
  <c r="CQ30" i="34"/>
  <c r="CJ30" i="34"/>
  <c r="CI30" i="34"/>
  <c r="CH30" i="34"/>
  <c r="BQ30" i="34"/>
  <c r="BP30" i="34"/>
  <c r="BO30" i="34"/>
  <c r="DI29" i="34"/>
  <c r="DH29" i="34"/>
  <c r="DB29" i="34"/>
  <c r="DA29" i="34"/>
  <c r="CZ29" i="34"/>
  <c r="CY29" i="34"/>
  <c r="CX29" i="34"/>
  <c r="CW29" i="34"/>
  <c r="CV29" i="34"/>
  <c r="CU29" i="34"/>
  <c r="CT29" i="34"/>
  <c r="CS29" i="34"/>
  <c r="CR29" i="34"/>
  <c r="CQ29" i="34"/>
  <c r="CJ29" i="34"/>
  <c r="CI29" i="34"/>
  <c r="CH29" i="34"/>
  <c r="BQ29" i="34"/>
  <c r="BP29" i="34"/>
  <c r="BO29" i="34"/>
  <c r="DI28" i="34"/>
  <c r="DH28" i="34"/>
  <c r="DB28" i="34"/>
  <c r="DA28" i="34"/>
  <c r="CZ28" i="34"/>
  <c r="CY28" i="34"/>
  <c r="CX28" i="34"/>
  <c r="CW28" i="34"/>
  <c r="CV28" i="34"/>
  <c r="CU28" i="34"/>
  <c r="CT28" i="34"/>
  <c r="CS28" i="34"/>
  <c r="CR28" i="34"/>
  <c r="CQ28" i="34"/>
  <c r="CJ28" i="34"/>
  <c r="CI28" i="34"/>
  <c r="CH28" i="34"/>
  <c r="BQ28" i="34"/>
  <c r="BP28" i="34"/>
  <c r="BO28" i="34"/>
  <c r="DI27" i="34"/>
  <c r="DH27" i="34"/>
  <c r="DB27" i="34"/>
  <c r="DA27" i="34"/>
  <c r="CZ27" i="34"/>
  <c r="CY27" i="34"/>
  <c r="CX27" i="34"/>
  <c r="CW27" i="34"/>
  <c r="CV27" i="34"/>
  <c r="CU27" i="34"/>
  <c r="CT27" i="34"/>
  <c r="CS27" i="34"/>
  <c r="CR27" i="34"/>
  <c r="CQ27" i="34"/>
  <c r="CJ27" i="34"/>
  <c r="CI27" i="34"/>
  <c r="CH27" i="34"/>
  <c r="BQ27" i="34"/>
  <c r="BP27" i="34"/>
  <c r="BO27" i="34"/>
  <c r="DI26" i="34"/>
  <c r="DH26" i="34"/>
  <c r="DB26" i="34"/>
  <c r="DA26" i="34"/>
  <c r="CZ26" i="34"/>
  <c r="CY26" i="34"/>
  <c r="CX26" i="34"/>
  <c r="CW26" i="34"/>
  <c r="CV26" i="34"/>
  <c r="CU26" i="34"/>
  <c r="CT26" i="34"/>
  <c r="CS26" i="34"/>
  <c r="CR26" i="34"/>
  <c r="CQ26" i="34"/>
  <c r="CJ26" i="34"/>
  <c r="CI26" i="34"/>
  <c r="CH26" i="34"/>
  <c r="BQ26" i="34"/>
  <c r="BP26" i="34"/>
  <c r="BO26" i="34"/>
  <c r="DI25" i="34"/>
  <c r="DH25" i="34"/>
  <c r="DB25" i="34"/>
  <c r="DA25" i="34"/>
  <c r="CZ25" i="34"/>
  <c r="CY25" i="34"/>
  <c r="CX25" i="34"/>
  <c r="CW25" i="34"/>
  <c r="CV25" i="34"/>
  <c r="CU25" i="34"/>
  <c r="CT25" i="34"/>
  <c r="CS25" i="34"/>
  <c r="CR25" i="34"/>
  <c r="CQ25" i="34"/>
  <c r="CJ25" i="34"/>
  <c r="CI25" i="34"/>
  <c r="CH25" i="34"/>
  <c r="BQ25" i="34"/>
  <c r="BP25" i="34"/>
  <c r="BO25" i="34"/>
  <c r="DI24" i="34"/>
  <c r="DH24" i="34"/>
  <c r="DB24" i="34"/>
  <c r="DA24" i="34"/>
  <c r="CZ24" i="34"/>
  <c r="CY24" i="34"/>
  <c r="CX24" i="34"/>
  <c r="CW24" i="34"/>
  <c r="CV24" i="34"/>
  <c r="CU24" i="34"/>
  <c r="CT24" i="34"/>
  <c r="CS24" i="34"/>
  <c r="CR24" i="34"/>
  <c r="CQ24" i="34"/>
  <c r="CJ24" i="34"/>
  <c r="CI24" i="34"/>
  <c r="CH24" i="34"/>
  <c r="BQ24" i="34"/>
  <c r="BP24" i="34"/>
  <c r="BO24" i="34"/>
  <c r="DI23" i="34"/>
  <c r="DH23" i="34"/>
  <c r="DB23" i="34"/>
  <c r="DA23" i="34"/>
  <c r="CZ23" i="34"/>
  <c r="CY23" i="34"/>
  <c r="CX23" i="34"/>
  <c r="CW23" i="34"/>
  <c r="CV23" i="34"/>
  <c r="CU23" i="34"/>
  <c r="CT23" i="34"/>
  <c r="CS23" i="34"/>
  <c r="CR23" i="34"/>
  <c r="CQ23" i="34"/>
  <c r="CJ23" i="34"/>
  <c r="CI23" i="34"/>
  <c r="CH23" i="34"/>
  <c r="BQ23" i="34"/>
  <c r="BP23" i="34"/>
  <c r="BO23" i="34"/>
  <c r="DI22" i="34"/>
  <c r="DH22" i="34"/>
  <c r="DB22" i="34"/>
  <c r="DA22" i="34"/>
  <c r="CZ22" i="34"/>
  <c r="CY22" i="34"/>
  <c r="CX22" i="34"/>
  <c r="CW22" i="34"/>
  <c r="CV22" i="34"/>
  <c r="CU22" i="34"/>
  <c r="CT22" i="34"/>
  <c r="CS22" i="34"/>
  <c r="CR22" i="34"/>
  <c r="CQ22" i="34"/>
  <c r="CJ22" i="34"/>
  <c r="CI22" i="34"/>
  <c r="CH22" i="34"/>
  <c r="BQ22" i="34"/>
  <c r="BP22" i="34"/>
  <c r="BO22" i="34"/>
  <c r="DI21" i="34"/>
  <c r="DH21" i="34"/>
  <c r="DB21" i="34"/>
  <c r="DA21" i="34"/>
  <c r="CZ21" i="34"/>
  <c r="CY21" i="34"/>
  <c r="CX21" i="34"/>
  <c r="CW21" i="34"/>
  <c r="CV21" i="34"/>
  <c r="CU21" i="34"/>
  <c r="CT21" i="34"/>
  <c r="CS21" i="34"/>
  <c r="CR21" i="34"/>
  <c r="CQ21" i="34"/>
  <c r="CJ21" i="34"/>
  <c r="CI21" i="34"/>
  <c r="CH21" i="34"/>
  <c r="BQ21" i="34"/>
  <c r="BP21" i="34"/>
  <c r="BO21" i="34"/>
  <c r="DI20" i="34"/>
  <c r="DH20" i="34"/>
  <c r="DB20" i="34"/>
  <c r="DA20" i="34"/>
  <c r="CZ20" i="34"/>
  <c r="CY20" i="34"/>
  <c r="CX20" i="34"/>
  <c r="CW20" i="34"/>
  <c r="CV20" i="34"/>
  <c r="CU20" i="34"/>
  <c r="CT20" i="34"/>
  <c r="CS20" i="34"/>
  <c r="CR20" i="34"/>
  <c r="CQ20" i="34"/>
  <c r="CJ20" i="34"/>
  <c r="CI20" i="34"/>
  <c r="CH20" i="34"/>
  <c r="BQ20" i="34"/>
  <c r="BP20" i="34"/>
  <c r="BO20" i="34"/>
  <c r="DI19" i="34"/>
  <c r="DH19" i="34"/>
  <c r="DB19" i="34"/>
  <c r="DA19" i="34"/>
  <c r="CZ19" i="34"/>
  <c r="CY19" i="34"/>
  <c r="CX19" i="34"/>
  <c r="CW19" i="34"/>
  <c r="CV19" i="34"/>
  <c r="CU19" i="34"/>
  <c r="CT19" i="34"/>
  <c r="CS19" i="34"/>
  <c r="CR19" i="34"/>
  <c r="CQ19" i="34"/>
  <c r="CJ19" i="34"/>
  <c r="CI19" i="34"/>
  <c r="CH19" i="34"/>
  <c r="BQ19" i="34"/>
  <c r="BP19" i="34"/>
  <c r="BO19" i="34"/>
  <c r="DI18" i="34"/>
  <c r="DH18" i="34"/>
  <c r="DB18" i="34"/>
  <c r="DA18" i="34"/>
  <c r="CZ18" i="34"/>
  <c r="CY18" i="34"/>
  <c r="CX18" i="34"/>
  <c r="CW18" i="34"/>
  <c r="CV18" i="34"/>
  <c r="CU18" i="34"/>
  <c r="CT18" i="34"/>
  <c r="CS18" i="34"/>
  <c r="CR18" i="34"/>
  <c r="CQ18" i="34"/>
  <c r="CJ18" i="34"/>
  <c r="CI18" i="34"/>
  <c r="CH18" i="34"/>
  <c r="BQ18" i="34"/>
  <c r="BP18" i="34"/>
  <c r="BO18" i="34"/>
  <c r="DI17" i="34"/>
  <c r="DH17" i="34"/>
  <c r="DB17" i="34"/>
  <c r="DA17" i="34"/>
  <c r="CZ17" i="34"/>
  <c r="CY17" i="34"/>
  <c r="CX17" i="34"/>
  <c r="CW17" i="34"/>
  <c r="CV17" i="34"/>
  <c r="CU17" i="34"/>
  <c r="CT17" i="34"/>
  <c r="CS17" i="34"/>
  <c r="CR17" i="34"/>
  <c r="CQ17" i="34"/>
  <c r="CJ17" i="34"/>
  <c r="CI17" i="34"/>
  <c r="CH17" i="34"/>
  <c r="BQ17" i="34"/>
  <c r="BP17" i="34"/>
  <c r="BO17" i="34"/>
  <c r="DI16" i="34"/>
  <c r="DH16" i="34"/>
  <c r="DB16" i="34"/>
  <c r="DA16" i="34"/>
  <c r="CZ16" i="34"/>
  <c r="CY16" i="34"/>
  <c r="CX16" i="34"/>
  <c r="CW16" i="34"/>
  <c r="CV16" i="34"/>
  <c r="CU16" i="34"/>
  <c r="CT16" i="34"/>
  <c r="CS16" i="34"/>
  <c r="CR16" i="34"/>
  <c r="CQ16" i="34"/>
  <c r="CJ16" i="34"/>
  <c r="CI16" i="34"/>
  <c r="CH16" i="34"/>
  <c r="BQ16" i="34"/>
  <c r="BP16" i="34"/>
  <c r="BO16" i="34"/>
  <c r="DI15" i="34"/>
  <c r="DH15" i="34"/>
  <c r="DB15" i="34"/>
  <c r="DA15" i="34"/>
  <c r="CZ15" i="34"/>
  <c r="CY15" i="34"/>
  <c r="CX15" i="34"/>
  <c r="CW15" i="34"/>
  <c r="CV15" i="34"/>
  <c r="CU15" i="34"/>
  <c r="CT15" i="34"/>
  <c r="CS15" i="34"/>
  <c r="CR15" i="34"/>
  <c r="CQ15" i="34"/>
  <c r="CJ15" i="34"/>
  <c r="CI15" i="34"/>
  <c r="CH15" i="34"/>
  <c r="BQ15" i="34"/>
  <c r="BP15" i="34"/>
  <c r="BO15" i="34"/>
  <c r="DI14" i="34"/>
  <c r="DH14" i="34"/>
  <c r="DB14" i="34"/>
  <c r="DA14" i="34"/>
  <c r="CZ14" i="34"/>
  <c r="CY14" i="34"/>
  <c r="CX14" i="34"/>
  <c r="CW14" i="34"/>
  <c r="CV14" i="34"/>
  <c r="CU14" i="34"/>
  <c r="CT14" i="34"/>
  <c r="CS14" i="34"/>
  <c r="CR14" i="34"/>
  <c r="CQ14" i="34"/>
  <c r="CJ14" i="34"/>
  <c r="CI14" i="34"/>
  <c r="CH14" i="34"/>
  <c r="BQ14" i="34"/>
  <c r="BP14" i="34"/>
  <c r="BO14" i="34"/>
  <c r="DI13" i="34"/>
  <c r="DH13" i="34"/>
  <c r="DB13" i="34"/>
  <c r="DA13" i="34"/>
  <c r="CZ13" i="34"/>
  <c r="CY13" i="34"/>
  <c r="CX13" i="34"/>
  <c r="CW13" i="34"/>
  <c r="CV13" i="34"/>
  <c r="CU13" i="34"/>
  <c r="CT13" i="34"/>
  <c r="CS13" i="34"/>
  <c r="CR13" i="34"/>
  <c r="CQ13" i="34"/>
  <c r="CJ13" i="34"/>
  <c r="CI13" i="34"/>
  <c r="CH13" i="34"/>
  <c r="BQ13" i="34"/>
  <c r="BP13" i="34"/>
  <c r="BO13" i="34"/>
  <c r="DI12" i="34"/>
  <c r="DH12" i="34"/>
  <c r="DB12" i="34"/>
  <c r="DA12" i="34"/>
  <c r="CZ12" i="34"/>
  <c r="CY12" i="34"/>
  <c r="CX12" i="34"/>
  <c r="CW12" i="34"/>
  <c r="CV12" i="34"/>
  <c r="CU12" i="34"/>
  <c r="CT12" i="34"/>
  <c r="CS12" i="34"/>
  <c r="CR12" i="34"/>
  <c r="CQ12" i="34"/>
  <c r="CJ12" i="34"/>
  <c r="CI12" i="34"/>
  <c r="CH12" i="34"/>
  <c r="BQ12" i="34"/>
  <c r="BP12" i="34"/>
  <c r="BO12" i="34"/>
  <c r="DI11" i="34"/>
  <c r="DH11" i="34"/>
  <c r="DB11" i="34"/>
  <c r="DA11" i="34"/>
  <c r="CZ11" i="34"/>
  <c r="CY11" i="34"/>
  <c r="CX11" i="34"/>
  <c r="CW11" i="34"/>
  <c r="CV11" i="34"/>
  <c r="CU11" i="34"/>
  <c r="CT11" i="34"/>
  <c r="CS11" i="34"/>
  <c r="CR11" i="34"/>
  <c r="CQ11" i="34"/>
  <c r="CJ11" i="34"/>
  <c r="CI11" i="34"/>
  <c r="CH11" i="34"/>
  <c r="BQ11" i="34"/>
  <c r="BP11" i="34"/>
  <c r="BO11" i="34"/>
  <c r="DI10" i="34"/>
  <c r="DH10" i="34"/>
  <c r="DB10" i="34"/>
  <c r="DA10" i="34"/>
  <c r="CZ10" i="34"/>
  <c r="CY10" i="34"/>
  <c r="CX10" i="34"/>
  <c r="CW10" i="34"/>
  <c r="CV10" i="34"/>
  <c r="CU10" i="34"/>
  <c r="CT10" i="34"/>
  <c r="CS10" i="34"/>
  <c r="CR10" i="34"/>
  <c r="CQ10" i="34"/>
  <c r="CJ10" i="34"/>
  <c r="CI10" i="34"/>
  <c r="CH10" i="34"/>
  <c r="BQ10" i="34"/>
  <c r="BP10" i="34"/>
  <c r="BO10" i="34"/>
  <c r="DI9" i="34"/>
  <c r="DH9" i="34"/>
  <c r="DB9" i="34"/>
  <c r="DA9" i="34"/>
  <c r="CZ9" i="34"/>
  <c r="CY9" i="34"/>
  <c r="CX9" i="34"/>
  <c r="CW9" i="34"/>
  <c r="CV9" i="34"/>
  <c r="CU9" i="34"/>
  <c r="CT9" i="34"/>
  <c r="CS9" i="34"/>
  <c r="CR9" i="34"/>
  <c r="CQ9" i="34"/>
  <c r="CJ9" i="34"/>
  <c r="CI9" i="34"/>
  <c r="CH9" i="34"/>
  <c r="BQ9" i="34"/>
  <c r="BP9" i="34"/>
  <c r="BO9" i="34"/>
  <c r="DI8" i="34"/>
  <c r="DH8" i="34"/>
  <c r="DB8" i="34"/>
  <c r="DA8" i="34"/>
  <c r="CZ8" i="34"/>
  <c r="CY8" i="34"/>
  <c r="CX8" i="34"/>
  <c r="CW8" i="34"/>
  <c r="CV8" i="34"/>
  <c r="CU8" i="34"/>
  <c r="CT8" i="34"/>
  <c r="CS8" i="34"/>
  <c r="CR8" i="34"/>
  <c r="CQ8" i="34"/>
  <c r="CJ8" i="34"/>
  <c r="CI8" i="34"/>
  <c r="CH8" i="34"/>
  <c r="BQ8" i="34"/>
  <c r="BP8" i="34"/>
  <c r="BO8" i="34"/>
  <c r="DI7" i="34"/>
  <c r="DH7" i="34"/>
  <c r="DB7" i="34"/>
  <c r="DA7" i="34"/>
  <c r="CZ7" i="34"/>
  <c r="CY7" i="34"/>
  <c r="CX7" i="34"/>
  <c r="CW7" i="34"/>
  <c r="CV7" i="34"/>
  <c r="CU7" i="34"/>
  <c r="CT7" i="34"/>
  <c r="CS7" i="34"/>
  <c r="CR7" i="34"/>
  <c r="CQ7" i="34"/>
  <c r="CJ7" i="34"/>
  <c r="CI7" i="34"/>
  <c r="CH7" i="34"/>
  <c r="BQ7" i="34"/>
  <c r="BP7" i="34"/>
  <c r="BO7" i="34"/>
  <c r="DI6" i="34"/>
  <c r="DH6" i="34"/>
  <c r="DB6" i="34"/>
  <c r="DA6" i="34"/>
  <c r="CZ6" i="34"/>
  <c r="CY6" i="34"/>
  <c r="CX6" i="34"/>
  <c r="CW6" i="34"/>
  <c r="CV6" i="34"/>
  <c r="CU6" i="34"/>
  <c r="CT6" i="34"/>
  <c r="CS6" i="34"/>
  <c r="CR6" i="34"/>
  <c r="CQ6" i="34"/>
  <c r="CJ6" i="34"/>
  <c r="CI6" i="34"/>
  <c r="CH6" i="34"/>
  <c r="BQ6" i="34"/>
  <c r="BP6" i="34"/>
  <c r="BO6" i="34"/>
  <c r="DI5" i="34"/>
  <c r="DH5" i="34"/>
  <c r="DB5" i="34"/>
  <c r="DA5" i="34"/>
  <c r="CZ5" i="34"/>
  <c r="CY5" i="34"/>
  <c r="CX5" i="34"/>
  <c r="CW5" i="34"/>
  <c r="CV5" i="34"/>
  <c r="CU5" i="34"/>
  <c r="CT5" i="34"/>
  <c r="CS5" i="34"/>
  <c r="CR5" i="34"/>
  <c r="CQ5" i="34"/>
  <c r="CJ5" i="34"/>
  <c r="CI5" i="34"/>
  <c r="CH5" i="34"/>
  <c r="BQ5" i="34"/>
  <c r="BP5" i="34"/>
  <c r="BO5" i="34"/>
  <c r="DI4" i="34"/>
  <c r="DH4" i="34"/>
  <c r="DB4" i="34"/>
  <c r="DA4" i="34"/>
  <c r="CZ4" i="34"/>
  <c r="CY4" i="34"/>
  <c r="CX4" i="34"/>
  <c r="CW4" i="34"/>
  <c r="CV4" i="34"/>
  <c r="CU4" i="34"/>
  <c r="CT4" i="34"/>
  <c r="CS4" i="34"/>
  <c r="CR4" i="34"/>
  <c r="CQ4" i="34"/>
  <c r="CJ4" i="34"/>
  <c r="CI4" i="34"/>
  <c r="CH4" i="34"/>
  <c r="BQ4" i="34"/>
  <c r="BP4" i="34"/>
  <c r="BO4" i="34"/>
  <c r="DI3" i="34"/>
  <c r="DH3" i="34"/>
  <c r="DB3" i="34"/>
  <c r="DA3" i="34"/>
  <c r="CZ3" i="34"/>
  <c r="CY3" i="34"/>
  <c r="CX3" i="34"/>
  <c r="CW3" i="34"/>
  <c r="CV3" i="34"/>
  <c r="CU3" i="34"/>
  <c r="CT3" i="34"/>
  <c r="CS3" i="34"/>
  <c r="CR3" i="34"/>
  <c r="CQ3" i="34"/>
  <c r="CJ3" i="34"/>
  <c r="CI3" i="34"/>
  <c r="CH3" i="34"/>
  <c r="BQ3" i="34"/>
  <c r="BP3" i="34"/>
  <c r="BO3" i="34"/>
  <c r="DI2" i="34"/>
  <c r="DH2" i="34"/>
  <c r="DB2" i="34"/>
  <c r="DA2" i="34"/>
  <c r="CZ2" i="34"/>
  <c r="CY2" i="34"/>
  <c r="CX2" i="34"/>
  <c r="CW2" i="34"/>
  <c r="CV2" i="34"/>
  <c r="CU2" i="34"/>
  <c r="CT2" i="34"/>
  <c r="CS2" i="34"/>
  <c r="CR2" i="34"/>
  <c r="CQ2" i="34"/>
  <c r="CJ2" i="34"/>
  <c r="CI2" i="34"/>
  <c r="CH2" i="34"/>
  <c r="BQ2" i="34"/>
  <c r="BP2" i="34"/>
  <c r="BO2" i="34"/>
  <c r="AQ8" i="33"/>
  <c r="AQ9" i="33"/>
  <c r="AQ10" i="33"/>
  <c r="AQ11" i="33"/>
  <c r="AQ12" i="33"/>
  <c r="AQ13" i="33"/>
  <c r="AK9" i="33"/>
  <c r="AK10" i="33"/>
  <c r="AK11" i="33"/>
  <c r="AK12" i="33"/>
  <c r="AK13" i="33"/>
  <c r="AK8" i="33"/>
  <c r="DI3" i="33" l="1"/>
  <c r="DI20" i="33"/>
  <c r="DI21" i="33"/>
  <c r="DI38" i="33"/>
  <c r="DI39" i="33"/>
  <c r="DI4" i="33"/>
  <c r="DI5" i="33"/>
  <c r="DI22" i="33"/>
  <c r="DI23" i="33"/>
  <c r="DI40" i="33"/>
  <c r="DI41" i="33"/>
  <c r="DI6" i="33"/>
  <c r="DI7" i="33"/>
  <c r="DI24" i="33"/>
  <c r="DI25" i="33"/>
  <c r="DI42" i="33"/>
  <c r="DI43" i="33"/>
  <c r="DI8" i="33"/>
  <c r="DI9" i="33"/>
  <c r="DI26" i="33"/>
  <c r="DI27" i="33"/>
  <c r="DI44" i="33"/>
  <c r="DI45" i="33"/>
  <c r="DI10" i="33"/>
  <c r="DI11" i="33"/>
  <c r="DI28" i="33"/>
  <c r="DI29" i="33"/>
  <c r="DI46" i="33"/>
  <c r="DI47" i="33"/>
  <c r="DI12" i="33"/>
  <c r="DI13" i="33"/>
  <c r="DI30" i="33"/>
  <c r="DI31" i="33"/>
  <c r="DI48" i="33"/>
  <c r="DI49" i="33"/>
  <c r="DI14" i="33"/>
  <c r="DI15" i="33"/>
  <c r="DI32" i="33"/>
  <c r="DI33" i="33"/>
  <c r="DI50" i="33"/>
  <c r="DI51" i="33"/>
  <c r="DI16" i="33"/>
  <c r="DI17" i="33"/>
  <c r="DI34" i="33"/>
  <c r="DI35" i="33"/>
  <c r="DI52" i="33"/>
  <c r="DI53" i="33"/>
  <c r="DI18" i="33"/>
  <c r="DI19" i="33"/>
  <c r="DI36" i="33"/>
  <c r="DI37" i="33"/>
  <c r="DI54" i="33"/>
  <c r="DI55" i="33"/>
  <c r="DI2" i="33"/>
  <c r="DH3" i="33"/>
  <c r="DH20" i="33"/>
  <c r="DH21" i="33"/>
  <c r="DH38" i="33"/>
  <c r="DH39" i="33"/>
  <c r="DH4" i="33"/>
  <c r="DH5" i="33"/>
  <c r="DH22" i="33"/>
  <c r="DH23" i="33"/>
  <c r="DH40" i="33"/>
  <c r="DH41" i="33"/>
  <c r="DH6" i="33"/>
  <c r="DH7" i="33"/>
  <c r="DH24" i="33"/>
  <c r="DH25" i="33"/>
  <c r="DH42" i="33"/>
  <c r="DH43" i="33"/>
  <c r="DH8" i="33"/>
  <c r="DH9" i="33"/>
  <c r="DH26" i="33"/>
  <c r="DH27" i="33"/>
  <c r="DH44" i="33"/>
  <c r="DH45" i="33"/>
  <c r="DH10" i="33"/>
  <c r="DH11" i="33"/>
  <c r="DH28" i="33"/>
  <c r="DH29" i="33"/>
  <c r="DH46" i="33"/>
  <c r="DH47" i="33"/>
  <c r="DH12" i="33"/>
  <c r="DH13" i="33"/>
  <c r="DH30" i="33"/>
  <c r="DH31" i="33"/>
  <c r="DH48" i="33"/>
  <c r="DH49" i="33"/>
  <c r="DH14" i="33"/>
  <c r="DH15" i="33"/>
  <c r="DH32" i="33"/>
  <c r="DH33" i="33"/>
  <c r="DH50" i="33"/>
  <c r="DH51" i="33"/>
  <c r="DH16" i="33"/>
  <c r="DH17" i="33"/>
  <c r="DH34" i="33"/>
  <c r="DH35" i="33"/>
  <c r="DH52" i="33"/>
  <c r="DH53" i="33"/>
  <c r="DH18" i="33"/>
  <c r="DH19" i="33"/>
  <c r="DH36" i="33"/>
  <c r="DH37" i="33"/>
  <c r="DH54" i="33"/>
  <c r="DH55" i="33"/>
  <c r="DH2" i="33"/>
  <c r="CW3" i="33"/>
  <c r="CX3" i="33"/>
  <c r="CY3" i="33"/>
  <c r="CZ3" i="33"/>
  <c r="DA3" i="33"/>
  <c r="DB3" i="33"/>
  <c r="CW20" i="33"/>
  <c r="CX20" i="33"/>
  <c r="CY20" i="33"/>
  <c r="CZ20" i="33"/>
  <c r="DA20" i="33"/>
  <c r="DB20" i="33"/>
  <c r="CW21" i="33"/>
  <c r="CX21" i="33"/>
  <c r="CY21" i="33"/>
  <c r="CZ21" i="33"/>
  <c r="DA21" i="33"/>
  <c r="DB21" i="33"/>
  <c r="CW38" i="33"/>
  <c r="CX38" i="33"/>
  <c r="CY38" i="33"/>
  <c r="CZ38" i="33"/>
  <c r="DA38" i="33"/>
  <c r="DB38" i="33"/>
  <c r="CW39" i="33"/>
  <c r="CX39" i="33"/>
  <c r="CY39" i="33"/>
  <c r="CZ39" i="33"/>
  <c r="DA39" i="33"/>
  <c r="DB39" i="33"/>
  <c r="CW4" i="33"/>
  <c r="CX4" i="33"/>
  <c r="CY4" i="33"/>
  <c r="CZ4" i="33"/>
  <c r="DA4" i="33"/>
  <c r="DB4" i="33"/>
  <c r="CW5" i="33"/>
  <c r="CX5" i="33"/>
  <c r="CY5" i="33"/>
  <c r="CZ5" i="33"/>
  <c r="DA5" i="33"/>
  <c r="DB5" i="33"/>
  <c r="CW22" i="33"/>
  <c r="CX22" i="33"/>
  <c r="CY22" i="33"/>
  <c r="CZ22" i="33"/>
  <c r="DA22" i="33"/>
  <c r="DB22" i="33"/>
  <c r="CW23" i="33"/>
  <c r="CX23" i="33"/>
  <c r="CY23" i="33"/>
  <c r="CZ23" i="33"/>
  <c r="DA23" i="33"/>
  <c r="DB23" i="33"/>
  <c r="CW40" i="33"/>
  <c r="CX40" i="33"/>
  <c r="CY40" i="33"/>
  <c r="CZ40" i="33"/>
  <c r="DA40" i="33"/>
  <c r="DB40" i="33"/>
  <c r="CW41" i="33"/>
  <c r="CX41" i="33"/>
  <c r="CY41" i="33"/>
  <c r="CZ41" i="33"/>
  <c r="DA41" i="33"/>
  <c r="DB41" i="33"/>
  <c r="CW6" i="33"/>
  <c r="CX6" i="33"/>
  <c r="CY6" i="33"/>
  <c r="CZ6" i="33"/>
  <c r="DA6" i="33"/>
  <c r="DB6" i="33"/>
  <c r="CW7" i="33"/>
  <c r="CX7" i="33"/>
  <c r="CY7" i="33"/>
  <c r="CZ7" i="33"/>
  <c r="DA7" i="33"/>
  <c r="DB7" i="33"/>
  <c r="CW24" i="33"/>
  <c r="CX24" i="33"/>
  <c r="CY24" i="33"/>
  <c r="CZ24" i="33"/>
  <c r="DA24" i="33"/>
  <c r="DB24" i="33"/>
  <c r="CW25" i="33"/>
  <c r="CX25" i="33"/>
  <c r="CY25" i="33"/>
  <c r="CZ25" i="33"/>
  <c r="DA25" i="33"/>
  <c r="DB25" i="33"/>
  <c r="CW42" i="33"/>
  <c r="CX42" i="33"/>
  <c r="CY42" i="33"/>
  <c r="CZ42" i="33"/>
  <c r="DA42" i="33"/>
  <c r="DB42" i="33"/>
  <c r="CW43" i="33"/>
  <c r="CX43" i="33"/>
  <c r="CY43" i="33"/>
  <c r="CZ43" i="33"/>
  <c r="DA43" i="33"/>
  <c r="DB43" i="33"/>
  <c r="CW8" i="33"/>
  <c r="CX8" i="33"/>
  <c r="CY8" i="33"/>
  <c r="CZ8" i="33"/>
  <c r="DA8" i="33"/>
  <c r="DB8" i="33"/>
  <c r="CW9" i="33"/>
  <c r="CX9" i="33"/>
  <c r="CY9" i="33"/>
  <c r="CZ9" i="33"/>
  <c r="DA9" i="33"/>
  <c r="DB9" i="33"/>
  <c r="CW26" i="33"/>
  <c r="CX26" i="33"/>
  <c r="CY26" i="33"/>
  <c r="CZ26" i="33"/>
  <c r="DA26" i="33"/>
  <c r="DB26" i="33"/>
  <c r="CW27" i="33"/>
  <c r="CX27" i="33"/>
  <c r="CY27" i="33"/>
  <c r="CZ27" i="33"/>
  <c r="DA27" i="33"/>
  <c r="DB27" i="33"/>
  <c r="CW44" i="33"/>
  <c r="CX44" i="33"/>
  <c r="CY44" i="33"/>
  <c r="CZ44" i="33"/>
  <c r="DA44" i="33"/>
  <c r="DB44" i="33"/>
  <c r="CW45" i="33"/>
  <c r="CX45" i="33"/>
  <c r="CY45" i="33"/>
  <c r="CZ45" i="33"/>
  <c r="DA45" i="33"/>
  <c r="DB45" i="33"/>
  <c r="CW10" i="33"/>
  <c r="CX10" i="33"/>
  <c r="CY10" i="33"/>
  <c r="CZ10" i="33"/>
  <c r="DA10" i="33"/>
  <c r="DB10" i="33"/>
  <c r="CW11" i="33"/>
  <c r="CX11" i="33"/>
  <c r="CY11" i="33"/>
  <c r="CZ11" i="33"/>
  <c r="DA11" i="33"/>
  <c r="DB11" i="33"/>
  <c r="CW28" i="33"/>
  <c r="CX28" i="33"/>
  <c r="CY28" i="33"/>
  <c r="CZ28" i="33"/>
  <c r="DA28" i="33"/>
  <c r="DB28" i="33"/>
  <c r="CW29" i="33"/>
  <c r="CX29" i="33"/>
  <c r="CY29" i="33"/>
  <c r="CZ29" i="33"/>
  <c r="DA29" i="33"/>
  <c r="DB29" i="33"/>
  <c r="CW46" i="33"/>
  <c r="CX46" i="33"/>
  <c r="CY46" i="33"/>
  <c r="CZ46" i="33"/>
  <c r="DA46" i="33"/>
  <c r="DB46" i="33"/>
  <c r="CW47" i="33"/>
  <c r="CX47" i="33"/>
  <c r="CY47" i="33"/>
  <c r="CZ47" i="33"/>
  <c r="DA47" i="33"/>
  <c r="DB47" i="33"/>
  <c r="CW12" i="33"/>
  <c r="CX12" i="33"/>
  <c r="CY12" i="33"/>
  <c r="CZ12" i="33"/>
  <c r="DA12" i="33"/>
  <c r="DB12" i="33"/>
  <c r="CW13" i="33"/>
  <c r="CX13" i="33"/>
  <c r="CY13" i="33"/>
  <c r="CZ13" i="33"/>
  <c r="DA13" i="33"/>
  <c r="DB13" i="33"/>
  <c r="CW30" i="33"/>
  <c r="CX30" i="33"/>
  <c r="CY30" i="33"/>
  <c r="CZ30" i="33"/>
  <c r="DA30" i="33"/>
  <c r="DB30" i="33"/>
  <c r="CW31" i="33"/>
  <c r="CX31" i="33"/>
  <c r="CY31" i="33"/>
  <c r="CZ31" i="33"/>
  <c r="DA31" i="33"/>
  <c r="DB31" i="33"/>
  <c r="CW48" i="33"/>
  <c r="CX48" i="33"/>
  <c r="CY48" i="33"/>
  <c r="CZ48" i="33"/>
  <c r="DA48" i="33"/>
  <c r="DB48" i="33"/>
  <c r="CW49" i="33"/>
  <c r="CX49" i="33"/>
  <c r="CY49" i="33"/>
  <c r="CZ49" i="33"/>
  <c r="DA49" i="33"/>
  <c r="DB49" i="33"/>
  <c r="CW14" i="33"/>
  <c r="CX14" i="33"/>
  <c r="CY14" i="33"/>
  <c r="CZ14" i="33"/>
  <c r="DA14" i="33"/>
  <c r="DB14" i="33"/>
  <c r="CW15" i="33"/>
  <c r="CX15" i="33"/>
  <c r="CY15" i="33"/>
  <c r="CZ15" i="33"/>
  <c r="DA15" i="33"/>
  <c r="DB15" i="33"/>
  <c r="CW32" i="33"/>
  <c r="CX32" i="33"/>
  <c r="CY32" i="33"/>
  <c r="CZ32" i="33"/>
  <c r="DA32" i="33"/>
  <c r="DB32" i="33"/>
  <c r="CW33" i="33"/>
  <c r="CX33" i="33"/>
  <c r="CY33" i="33"/>
  <c r="CZ33" i="33"/>
  <c r="DA33" i="33"/>
  <c r="DB33" i="33"/>
  <c r="CW50" i="33"/>
  <c r="CX50" i="33"/>
  <c r="CY50" i="33"/>
  <c r="CZ50" i="33"/>
  <c r="DA50" i="33"/>
  <c r="DB50" i="33"/>
  <c r="CW51" i="33"/>
  <c r="CX51" i="33"/>
  <c r="CY51" i="33"/>
  <c r="CZ51" i="33"/>
  <c r="DA51" i="33"/>
  <c r="DB51" i="33"/>
  <c r="CW16" i="33"/>
  <c r="CX16" i="33"/>
  <c r="CY16" i="33"/>
  <c r="CZ16" i="33"/>
  <c r="DA16" i="33"/>
  <c r="DB16" i="33"/>
  <c r="CW17" i="33"/>
  <c r="CX17" i="33"/>
  <c r="CY17" i="33"/>
  <c r="CZ17" i="33"/>
  <c r="DA17" i="33"/>
  <c r="DB17" i="33"/>
  <c r="CW34" i="33"/>
  <c r="CX34" i="33"/>
  <c r="CY34" i="33"/>
  <c r="CZ34" i="33"/>
  <c r="DA34" i="33"/>
  <c r="DB34" i="33"/>
  <c r="CW35" i="33"/>
  <c r="CX35" i="33"/>
  <c r="CY35" i="33"/>
  <c r="CZ35" i="33"/>
  <c r="DA35" i="33"/>
  <c r="DB35" i="33"/>
  <c r="CW52" i="33"/>
  <c r="CX52" i="33"/>
  <c r="CY52" i="33"/>
  <c r="CZ52" i="33"/>
  <c r="DA52" i="33"/>
  <c r="DB52" i="33"/>
  <c r="CW53" i="33"/>
  <c r="CX53" i="33"/>
  <c r="CY53" i="33"/>
  <c r="CZ53" i="33"/>
  <c r="DA53" i="33"/>
  <c r="DB53" i="33"/>
  <c r="CW18" i="33"/>
  <c r="CX18" i="33"/>
  <c r="CY18" i="33"/>
  <c r="CZ18" i="33"/>
  <c r="DA18" i="33"/>
  <c r="DB18" i="33"/>
  <c r="CW19" i="33"/>
  <c r="CX19" i="33"/>
  <c r="CY19" i="33"/>
  <c r="CZ19" i="33"/>
  <c r="DA19" i="33"/>
  <c r="DB19" i="33"/>
  <c r="CW36" i="33"/>
  <c r="CX36" i="33"/>
  <c r="CY36" i="33"/>
  <c r="CZ36" i="33"/>
  <c r="DA36" i="33"/>
  <c r="DB36" i="33"/>
  <c r="CW37" i="33"/>
  <c r="CX37" i="33"/>
  <c r="CY37" i="33"/>
  <c r="CZ37" i="33"/>
  <c r="DA37" i="33"/>
  <c r="DB37" i="33"/>
  <c r="CW54" i="33"/>
  <c r="CX54" i="33"/>
  <c r="CY54" i="33"/>
  <c r="CZ54" i="33"/>
  <c r="DA54" i="33"/>
  <c r="DB54" i="33"/>
  <c r="CW55" i="33"/>
  <c r="CX55" i="33"/>
  <c r="CY55" i="33"/>
  <c r="CZ55" i="33"/>
  <c r="DA55" i="33"/>
  <c r="DB55" i="33"/>
  <c r="CX2" i="33"/>
  <c r="CY2" i="33"/>
  <c r="CZ2" i="33"/>
  <c r="DA2" i="33"/>
  <c r="DB2" i="33"/>
  <c r="CW2" i="33"/>
  <c r="CQ3" i="33"/>
  <c r="CR3" i="33"/>
  <c r="CS3" i="33"/>
  <c r="CT3" i="33"/>
  <c r="CU3" i="33"/>
  <c r="CV3" i="33"/>
  <c r="CQ20" i="33"/>
  <c r="CR20" i="33"/>
  <c r="CS20" i="33"/>
  <c r="CT20" i="33"/>
  <c r="CU20" i="33"/>
  <c r="CV20" i="33"/>
  <c r="CQ21" i="33"/>
  <c r="CR21" i="33"/>
  <c r="CS21" i="33"/>
  <c r="CT21" i="33"/>
  <c r="CU21" i="33"/>
  <c r="CV21" i="33"/>
  <c r="CQ38" i="33"/>
  <c r="CR38" i="33"/>
  <c r="CS38" i="33"/>
  <c r="CT38" i="33"/>
  <c r="CU38" i="33"/>
  <c r="CV38" i="33"/>
  <c r="CQ39" i="33"/>
  <c r="CR39" i="33"/>
  <c r="CS39" i="33"/>
  <c r="CT39" i="33"/>
  <c r="CU39" i="33"/>
  <c r="CV39" i="33"/>
  <c r="CQ4" i="33"/>
  <c r="CR4" i="33"/>
  <c r="CS4" i="33"/>
  <c r="CT4" i="33"/>
  <c r="CU4" i="33"/>
  <c r="CV4" i="33"/>
  <c r="CQ5" i="33"/>
  <c r="CR5" i="33"/>
  <c r="CS5" i="33"/>
  <c r="CT5" i="33"/>
  <c r="CU5" i="33"/>
  <c r="CV5" i="33"/>
  <c r="CQ22" i="33"/>
  <c r="CR22" i="33"/>
  <c r="CS22" i="33"/>
  <c r="CT22" i="33"/>
  <c r="CU22" i="33"/>
  <c r="CV22" i="33"/>
  <c r="CQ23" i="33"/>
  <c r="CR23" i="33"/>
  <c r="CS23" i="33"/>
  <c r="CT23" i="33"/>
  <c r="CU23" i="33"/>
  <c r="CV23" i="33"/>
  <c r="CQ40" i="33"/>
  <c r="CR40" i="33"/>
  <c r="CS40" i="33"/>
  <c r="CT40" i="33"/>
  <c r="CU40" i="33"/>
  <c r="CV40" i="33"/>
  <c r="CQ41" i="33"/>
  <c r="CR41" i="33"/>
  <c r="CS41" i="33"/>
  <c r="CT41" i="33"/>
  <c r="CU41" i="33"/>
  <c r="CV41" i="33"/>
  <c r="CQ6" i="33"/>
  <c r="CR6" i="33"/>
  <c r="CS6" i="33"/>
  <c r="CT6" i="33"/>
  <c r="CU6" i="33"/>
  <c r="CV6" i="33"/>
  <c r="CQ7" i="33"/>
  <c r="CR7" i="33"/>
  <c r="CS7" i="33"/>
  <c r="CT7" i="33"/>
  <c r="CU7" i="33"/>
  <c r="CV7" i="33"/>
  <c r="CQ24" i="33"/>
  <c r="CR24" i="33"/>
  <c r="CS24" i="33"/>
  <c r="CT24" i="33"/>
  <c r="CU24" i="33"/>
  <c r="CV24" i="33"/>
  <c r="CQ25" i="33"/>
  <c r="CR25" i="33"/>
  <c r="CS25" i="33"/>
  <c r="CT25" i="33"/>
  <c r="CU25" i="33"/>
  <c r="CV25" i="33"/>
  <c r="CQ42" i="33"/>
  <c r="CR42" i="33"/>
  <c r="CS42" i="33"/>
  <c r="CT42" i="33"/>
  <c r="CU42" i="33"/>
  <c r="CV42" i="33"/>
  <c r="CQ43" i="33"/>
  <c r="CR43" i="33"/>
  <c r="CS43" i="33"/>
  <c r="CT43" i="33"/>
  <c r="CU43" i="33"/>
  <c r="CV43" i="33"/>
  <c r="CQ8" i="33"/>
  <c r="CR8" i="33"/>
  <c r="CS8" i="33"/>
  <c r="CT8" i="33"/>
  <c r="CU8" i="33"/>
  <c r="CV8" i="33"/>
  <c r="CQ9" i="33"/>
  <c r="CR9" i="33"/>
  <c r="CS9" i="33"/>
  <c r="CT9" i="33"/>
  <c r="CU9" i="33"/>
  <c r="CV9" i="33"/>
  <c r="CQ26" i="33"/>
  <c r="CR26" i="33"/>
  <c r="CS26" i="33"/>
  <c r="CT26" i="33"/>
  <c r="CU26" i="33"/>
  <c r="CV26" i="33"/>
  <c r="CQ27" i="33"/>
  <c r="CR27" i="33"/>
  <c r="CS27" i="33"/>
  <c r="CT27" i="33"/>
  <c r="CU27" i="33"/>
  <c r="CV27" i="33"/>
  <c r="CQ44" i="33"/>
  <c r="CR44" i="33"/>
  <c r="CS44" i="33"/>
  <c r="CT44" i="33"/>
  <c r="CU44" i="33"/>
  <c r="CV44" i="33"/>
  <c r="CQ45" i="33"/>
  <c r="CR45" i="33"/>
  <c r="CS45" i="33"/>
  <c r="CT45" i="33"/>
  <c r="CU45" i="33"/>
  <c r="CV45" i="33"/>
  <c r="CQ10" i="33"/>
  <c r="CR10" i="33"/>
  <c r="CS10" i="33"/>
  <c r="CT10" i="33"/>
  <c r="CU10" i="33"/>
  <c r="CV10" i="33"/>
  <c r="CQ11" i="33"/>
  <c r="CR11" i="33"/>
  <c r="CS11" i="33"/>
  <c r="CT11" i="33"/>
  <c r="CU11" i="33"/>
  <c r="CV11" i="33"/>
  <c r="CQ28" i="33"/>
  <c r="CR28" i="33"/>
  <c r="CS28" i="33"/>
  <c r="CT28" i="33"/>
  <c r="CU28" i="33"/>
  <c r="CV28" i="33"/>
  <c r="CQ29" i="33"/>
  <c r="CR29" i="33"/>
  <c r="CS29" i="33"/>
  <c r="CT29" i="33"/>
  <c r="CU29" i="33"/>
  <c r="CV29" i="33"/>
  <c r="CQ46" i="33"/>
  <c r="CR46" i="33"/>
  <c r="CS46" i="33"/>
  <c r="CT46" i="33"/>
  <c r="CU46" i="33"/>
  <c r="CV46" i="33"/>
  <c r="CQ47" i="33"/>
  <c r="CR47" i="33"/>
  <c r="CS47" i="33"/>
  <c r="CT47" i="33"/>
  <c r="CU47" i="33"/>
  <c r="CV47" i="33"/>
  <c r="CQ12" i="33"/>
  <c r="CR12" i="33"/>
  <c r="CS12" i="33"/>
  <c r="CT12" i="33"/>
  <c r="CU12" i="33"/>
  <c r="CV12" i="33"/>
  <c r="CQ13" i="33"/>
  <c r="CR13" i="33"/>
  <c r="CS13" i="33"/>
  <c r="CT13" i="33"/>
  <c r="CU13" i="33"/>
  <c r="CV13" i="33"/>
  <c r="CQ30" i="33"/>
  <c r="CR30" i="33"/>
  <c r="CS30" i="33"/>
  <c r="CT30" i="33"/>
  <c r="CU30" i="33"/>
  <c r="CV30" i="33"/>
  <c r="CQ31" i="33"/>
  <c r="CR31" i="33"/>
  <c r="CS31" i="33"/>
  <c r="CT31" i="33"/>
  <c r="CU31" i="33"/>
  <c r="CV31" i="33"/>
  <c r="CQ48" i="33"/>
  <c r="CR48" i="33"/>
  <c r="CS48" i="33"/>
  <c r="CT48" i="33"/>
  <c r="CU48" i="33"/>
  <c r="CV48" i="33"/>
  <c r="CQ49" i="33"/>
  <c r="CR49" i="33"/>
  <c r="CS49" i="33"/>
  <c r="CT49" i="33"/>
  <c r="CU49" i="33"/>
  <c r="CV49" i="33"/>
  <c r="CQ14" i="33"/>
  <c r="CR14" i="33"/>
  <c r="CS14" i="33"/>
  <c r="CT14" i="33"/>
  <c r="CU14" i="33"/>
  <c r="CV14" i="33"/>
  <c r="CQ15" i="33"/>
  <c r="CR15" i="33"/>
  <c r="CS15" i="33"/>
  <c r="CT15" i="33"/>
  <c r="CU15" i="33"/>
  <c r="CV15" i="33"/>
  <c r="CQ32" i="33"/>
  <c r="CR32" i="33"/>
  <c r="CS32" i="33"/>
  <c r="CT32" i="33"/>
  <c r="CU32" i="33"/>
  <c r="CV32" i="33"/>
  <c r="CQ33" i="33"/>
  <c r="CR33" i="33"/>
  <c r="CS33" i="33"/>
  <c r="CT33" i="33"/>
  <c r="CU33" i="33"/>
  <c r="CV33" i="33"/>
  <c r="CQ50" i="33"/>
  <c r="CR50" i="33"/>
  <c r="CS50" i="33"/>
  <c r="CT50" i="33"/>
  <c r="CU50" i="33"/>
  <c r="CV50" i="33"/>
  <c r="CQ51" i="33"/>
  <c r="CR51" i="33"/>
  <c r="CS51" i="33"/>
  <c r="CT51" i="33"/>
  <c r="CU51" i="33"/>
  <c r="CV51" i="33"/>
  <c r="CQ16" i="33"/>
  <c r="CR16" i="33"/>
  <c r="CS16" i="33"/>
  <c r="CT16" i="33"/>
  <c r="CU16" i="33"/>
  <c r="CV16" i="33"/>
  <c r="CQ17" i="33"/>
  <c r="CR17" i="33"/>
  <c r="CS17" i="33"/>
  <c r="CT17" i="33"/>
  <c r="CU17" i="33"/>
  <c r="CV17" i="33"/>
  <c r="CQ34" i="33"/>
  <c r="CR34" i="33"/>
  <c r="CS34" i="33"/>
  <c r="CT34" i="33"/>
  <c r="CU34" i="33"/>
  <c r="CV34" i="33"/>
  <c r="CQ35" i="33"/>
  <c r="CR35" i="33"/>
  <c r="CS35" i="33"/>
  <c r="CT35" i="33"/>
  <c r="CU35" i="33"/>
  <c r="CV35" i="33"/>
  <c r="CQ52" i="33"/>
  <c r="CR52" i="33"/>
  <c r="CS52" i="33"/>
  <c r="CT52" i="33"/>
  <c r="CU52" i="33"/>
  <c r="CV52" i="33"/>
  <c r="CQ53" i="33"/>
  <c r="CR53" i="33"/>
  <c r="CS53" i="33"/>
  <c r="CT53" i="33"/>
  <c r="CU53" i="33"/>
  <c r="CV53" i="33"/>
  <c r="CQ18" i="33"/>
  <c r="CR18" i="33"/>
  <c r="CS18" i="33"/>
  <c r="CT18" i="33"/>
  <c r="CU18" i="33"/>
  <c r="CV18" i="33"/>
  <c r="CQ19" i="33"/>
  <c r="CR19" i="33"/>
  <c r="CS19" i="33"/>
  <c r="CT19" i="33"/>
  <c r="CU19" i="33"/>
  <c r="CV19" i="33"/>
  <c r="CQ36" i="33"/>
  <c r="CR36" i="33"/>
  <c r="CS36" i="33"/>
  <c r="CT36" i="33"/>
  <c r="CU36" i="33"/>
  <c r="CV36" i="33"/>
  <c r="CQ37" i="33"/>
  <c r="CR37" i="33"/>
  <c r="CS37" i="33"/>
  <c r="CT37" i="33"/>
  <c r="CU37" i="33"/>
  <c r="CV37" i="33"/>
  <c r="CQ54" i="33"/>
  <c r="CR54" i="33"/>
  <c r="CS54" i="33"/>
  <c r="CT54" i="33"/>
  <c r="CU54" i="33"/>
  <c r="CV54" i="33"/>
  <c r="CQ55" i="33"/>
  <c r="CR55" i="33"/>
  <c r="CS55" i="33"/>
  <c r="CT55" i="33"/>
  <c r="CU55" i="33"/>
  <c r="CV55" i="33"/>
  <c r="CR2" i="33"/>
  <c r="CS2" i="33"/>
  <c r="CT2" i="33"/>
  <c r="CU2" i="33"/>
  <c r="CV2" i="33"/>
  <c r="CQ2" i="33"/>
  <c r="CJ3" i="33"/>
  <c r="CJ20" i="33"/>
  <c r="CJ21" i="33"/>
  <c r="CJ38" i="33"/>
  <c r="CJ39" i="33"/>
  <c r="CJ4" i="33"/>
  <c r="CJ5" i="33"/>
  <c r="CJ22" i="33"/>
  <c r="CJ23" i="33"/>
  <c r="CJ40" i="33"/>
  <c r="CJ41" i="33"/>
  <c r="CJ6" i="33"/>
  <c r="CJ7" i="33"/>
  <c r="CJ24" i="33"/>
  <c r="CJ25" i="33"/>
  <c r="CJ42" i="33"/>
  <c r="CJ43" i="33"/>
  <c r="CJ8" i="33"/>
  <c r="CJ9" i="33"/>
  <c r="CJ26" i="33"/>
  <c r="CJ27" i="33"/>
  <c r="CJ44" i="33"/>
  <c r="CJ45" i="33"/>
  <c r="CJ10" i="33"/>
  <c r="CJ11" i="33"/>
  <c r="CJ28" i="33"/>
  <c r="CJ29" i="33"/>
  <c r="CJ46" i="33"/>
  <c r="CJ47" i="33"/>
  <c r="CJ12" i="33"/>
  <c r="CJ13" i="33"/>
  <c r="CJ30" i="33"/>
  <c r="CJ31" i="33"/>
  <c r="CJ48" i="33"/>
  <c r="CJ49" i="33"/>
  <c r="CJ14" i="33"/>
  <c r="CJ15" i="33"/>
  <c r="CJ32" i="33"/>
  <c r="CJ33" i="33"/>
  <c r="CJ50" i="33"/>
  <c r="CJ51" i="33"/>
  <c r="CJ16" i="33"/>
  <c r="CJ17" i="33"/>
  <c r="CJ34" i="33"/>
  <c r="CJ35" i="33"/>
  <c r="CJ52" i="33"/>
  <c r="CJ53" i="33"/>
  <c r="CJ18" i="33"/>
  <c r="CJ19" i="33"/>
  <c r="CJ36" i="33"/>
  <c r="CJ37" i="33"/>
  <c r="CJ54" i="33"/>
  <c r="CJ55" i="33"/>
  <c r="CJ2" i="33"/>
  <c r="CI3" i="33"/>
  <c r="CI20" i="33"/>
  <c r="CI21" i="33"/>
  <c r="CI38" i="33"/>
  <c r="CI39" i="33"/>
  <c r="CI4" i="33"/>
  <c r="CI5" i="33"/>
  <c r="CI22" i="33"/>
  <c r="CI23" i="33"/>
  <c r="CI40" i="33"/>
  <c r="CI41" i="33"/>
  <c r="CI6" i="33"/>
  <c r="CI7" i="33"/>
  <c r="CI24" i="33"/>
  <c r="CI25" i="33"/>
  <c r="CI42" i="33"/>
  <c r="CI43" i="33"/>
  <c r="CI8" i="33"/>
  <c r="CI9" i="33"/>
  <c r="CI26" i="33"/>
  <c r="CI27" i="33"/>
  <c r="CI44" i="33"/>
  <c r="CI45" i="33"/>
  <c r="CI10" i="33"/>
  <c r="CI11" i="33"/>
  <c r="CI28" i="33"/>
  <c r="CI29" i="33"/>
  <c r="CI46" i="33"/>
  <c r="CI47" i="33"/>
  <c r="CI12" i="33"/>
  <c r="CI13" i="33"/>
  <c r="CI30" i="33"/>
  <c r="CI31" i="33"/>
  <c r="CI48" i="33"/>
  <c r="CI49" i="33"/>
  <c r="CI14" i="33"/>
  <c r="CI15" i="33"/>
  <c r="CI32" i="33"/>
  <c r="CI33" i="33"/>
  <c r="CI50" i="33"/>
  <c r="CI51" i="33"/>
  <c r="CI16" i="33"/>
  <c r="CI17" i="33"/>
  <c r="CI34" i="33"/>
  <c r="CI35" i="33"/>
  <c r="CI52" i="33"/>
  <c r="CI53" i="33"/>
  <c r="CI18" i="33"/>
  <c r="CI19" i="33"/>
  <c r="CI36" i="33"/>
  <c r="CI37" i="33"/>
  <c r="CI54" i="33"/>
  <c r="CI55" i="33"/>
  <c r="CI2" i="33"/>
  <c r="CH3" i="33"/>
  <c r="CH20" i="33"/>
  <c r="CH21" i="33"/>
  <c r="CH38" i="33"/>
  <c r="CH39" i="33"/>
  <c r="CH4" i="33"/>
  <c r="CH5" i="33"/>
  <c r="CH22" i="33"/>
  <c r="CH23" i="33"/>
  <c r="CH40" i="33"/>
  <c r="CH41" i="33"/>
  <c r="CH6" i="33"/>
  <c r="CH7" i="33"/>
  <c r="CH24" i="33"/>
  <c r="CH25" i="33"/>
  <c r="CH42" i="33"/>
  <c r="CH43" i="33"/>
  <c r="CH8" i="33"/>
  <c r="CH9" i="33"/>
  <c r="CH26" i="33"/>
  <c r="CH27" i="33"/>
  <c r="CH44" i="33"/>
  <c r="CH45" i="33"/>
  <c r="CH10" i="33"/>
  <c r="CH11" i="33"/>
  <c r="CH28" i="33"/>
  <c r="CH29" i="33"/>
  <c r="CH46" i="33"/>
  <c r="CH47" i="33"/>
  <c r="CH12" i="33"/>
  <c r="CH13" i="33"/>
  <c r="CH30" i="33"/>
  <c r="CH31" i="33"/>
  <c r="CH48" i="33"/>
  <c r="CH49" i="33"/>
  <c r="CH14" i="33"/>
  <c r="CH15" i="33"/>
  <c r="CH32" i="33"/>
  <c r="CH33" i="33"/>
  <c r="CH50" i="33"/>
  <c r="CH51" i="33"/>
  <c r="CH16" i="33"/>
  <c r="CH17" i="33"/>
  <c r="CH34" i="33"/>
  <c r="CH35" i="33"/>
  <c r="CH52" i="33"/>
  <c r="CH53" i="33"/>
  <c r="CH18" i="33"/>
  <c r="CH19" i="33"/>
  <c r="CH36" i="33"/>
  <c r="CH37" i="33"/>
  <c r="CH54" i="33"/>
  <c r="CH55" i="33"/>
  <c r="CH2" i="33"/>
  <c r="K3" i="33"/>
  <c r="K20" i="33"/>
  <c r="K21" i="33"/>
  <c r="K38" i="33"/>
  <c r="K39" i="33"/>
  <c r="K4" i="33"/>
  <c r="K5" i="33"/>
  <c r="K22" i="33"/>
  <c r="K23" i="33"/>
  <c r="K40" i="33"/>
  <c r="K41" i="33"/>
  <c r="K6" i="33"/>
  <c r="K7" i="33"/>
  <c r="K24" i="33"/>
  <c r="K25" i="33"/>
  <c r="K42" i="33"/>
  <c r="K43" i="33"/>
  <c r="K8" i="33"/>
  <c r="K9" i="33"/>
  <c r="K39" i="34" s="1"/>
  <c r="CF39" i="34" s="1" a="1"/>
  <c r="CF39" i="34" s="1"/>
  <c r="K26" i="33"/>
  <c r="K27" i="33"/>
  <c r="K44" i="33"/>
  <c r="K45" i="33"/>
  <c r="K10" i="33"/>
  <c r="K11" i="33"/>
  <c r="K28" i="33"/>
  <c r="K29" i="33"/>
  <c r="K46" i="33"/>
  <c r="K47" i="33"/>
  <c r="K12" i="33"/>
  <c r="K13" i="33"/>
  <c r="K30" i="33"/>
  <c r="K31" i="33"/>
  <c r="K48" i="33"/>
  <c r="K49" i="33"/>
  <c r="K14" i="33"/>
  <c r="K15" i="33"/>
  <c r="K32" i="33"/>
  <c r="K4" i="34" s="1"/>
  <c r="K33" i="33"/>
  <c r="K6" i="34" s="1"/>
  <c r="K50" i="33"/>
  <c r="K5" i="34" s="1"/>
  <c r="K51" i="33"/>
  <c r="K16" i="33"/>
  <c r="K17" i="33"/>
  <c r="K9" i="34" s="1"/>
  <c r="K34" i="33"/>
  <c r="K35" i="33"/>
  <c r="K52" i="33"/>
  <c r="K53" i="33"/>
  <c r="K18" i="33"/>
  <c r="K14" i="34" s="1"/>
  <c r="K19" i="33"/>
  <c r="K36" i="33"/>
  <c r="K37" i="33"/>
  <c r="K54" i="33"/>
  <c r="K55" i="33"/>
  <c r="K2" i="33"/>
  <c r="J25" i="33"/>
  <c r="J42" i="33"/>
  <c r="J43" i="33"/>
  <c r="J8" i="33"/>
  <c r="J9" i="33"/>
  <c r="J26" i="33"/>
  <c r="J27" i="33"/>
  <c r="J44" i="33"/>
  <c r="J45" i="33"/>
  <c r="J10" i="33"/>
  <c r="J11" i="33"/>
  <c r="J28" i="33"/>
  <c r="J29" i="33"/>
  <c r="J46" i="33"/>
  <c r="J47" i="33"/>
  <c r="J12" i="33"/>
  <c r="J13" i="33"/>
  <c r="J30" i="33"/>
  <c r="J31" i="33"/>
  <c r="J48" i="33"/>
  <c r="J49" i="33"/>
  <c r="J14" i="33"/>
  <c r="J15" i="33"/>
  <c r="J32" i="33"/>
  <c r="J33" i="33"/>
  <c r="J50" i="33"/>
  <c r="J51" i="33"/>
  <c r="J16" i="33"/>
  <c r="J17" i="33"/>
  <c r="J9" i="34" s="1"/>
  <c r="J34" i="33"/>
  <c r="J35" i="33"/>
  <c r="J52" i="33"/>
  <c r="J53" i="33"/>
  <c r="J13" i="34" s="1"/>
  <c r="J18" i="33"/>
  <c r="J14" i="34" s="1"/>
  <c r="J19" i="33"/>
  <c r="J15" i="34" s="1"/>
  <c r="J36" i="33"/>
  <c r="J37" i="33"/>
  <c r="J54" i="33"/>
  <c r="J55" i="33"/>
  <c r="J24" i="33"/>
  <c r="J3" i="33"/>
  <c r="J20" i="33"/>
  <c r="J21" i="33"/>
  <c r="J38" i="33"/>
  <c r="J39" i="33"/>
  <c r="J4" i="33"/>
  <c r="J26" i="34" s="1"/>
  <c r="J5" i="33"/>
  <c r="J22" i="33"/>
  <c r="J23" i="33"/>
  <c r="J40" i="33"/>
  <c r="J41" i="33"/>
  <c r="J6" i="33"/>
  <c r="J7" i="33"/>
  <c r="J2" i="33"/>
  <c r="I24" i="33"/>
  <c r="I25" i="33"/>
  <c r="I42" i="33"/>
  <c r="I43" i="33"/>
  <c r="I8" i="33"/>
  <c r="I9" i="33"/>
  <c r="I26" i="33"/>
  <c r="I27" i="33"/>
  <c r="I44" i="33"/>
  <c r="I45" i="33"/>
  <c r="I10" i="33"/>
  <c r="I11" i="33"/>
  <c r="I28" i="33"/>
  <c r="I29" i="33"/>
  <c r="I46" i="33"/>
  <c r="I47" i="33"/>
  <c r="I12" i="33"/>
  <c r="I13" i="33"/>
  <c r="I30" i="33"/>
  <c r="I31" i="33"/>
  <c r="I48" i="33"/>
  <c r="I49" i="33"/>
  <c r="I14" i="33"/>
  <c r="I15" i="33"/>
  <c r="I32" i="33"/>
  <c r="I33" i="33"/>
  <c r="I50" i="33"/>
  <c r="I51" i="33"/>
  <c r="I16" i="33"/>
  <c r="I8" i="34" s="1"/>
  <c r="I17" i="33"/>
  <c r="I34" i="33"/>
  <c r="I35" i="33"/>
  <c r="I52" i="33"/>
  <c r="I53" i="33"/>
  <c r="I18" i="33"/>
  <c r="AY18" i="33" s="1"/>
  <c r="I19" i="33"/>
  <c r="AY19" i="33" s="1"/>
  <c r="I36" i="33"/>
  <c r="I16" i="34" s="1"/>
  <c r="I37" i="33"/>
  <c r="I54" i="33"/>
  <c r="I55" i="33"/>
  <c r="I23" i="33"/>
  <c r="I40" i="33"/>
  <c r="I41" i="33"/>
  <c r="I6" i="33"/>
  <c r="I32" i="34" s="1"/>
  <c r="BK32" i="34" s="1"/>
  <c r="I7" i="33"/>
  <c r="I21" i="33"/>
  <c r="I38" i="33"/>
  <c r="I39" i="33"/>
  <c r="I4" i="33"/>
  <c r="I5" i="33"/>
  <c r="I22" i="33"/>
  <c r="I3" i="33"/>
  <c r="I20" i="33"/>
  <c r="I2" i="33"/>
  <c r="H3" i="33"/>
  <c r="H20" i="33"/>
  <c r="H21" i="33"/>
  <c r="H38" i="33"/>
  <c r="H39" i="33"/>
  <c r="H4" i="33"/>
  <c r="H5" i="33"/>
  <c r="H22" i="33"/>
  <c r="H23" i="33"/>
  <c r="H40" i="33"/>
  <c r="H41" i="33"/>
  <c r="H6" i="33"/>
  <c r="H7" i="33"/>
  <c r="H24" i="33"/>
  <c r="H25" i="33"/>
  <c r="H42" i="33"/>
  <c r="H43" i="33"/>
  <c r="H8" i="33"/>
  <c r="H9" i="33"/>
  <c r="H26" i="33"/>
  <c r="H27" i="33"/>
  <c r="H44" i="33"/>
  <c r="H45" i="33"/>
  <c r="H10" i="33"/>
  <c r="H11" i="33"/>
  <c r="H28" i="33"/>
  <c r="H29" i="33"/>
  <c r="H46" i="33"/>
  <c r="H47" i="33"/>
  <c r="H12" i="33"/>
  <c r="H13" i="33"/>
  <c r="H30" i="33"/>
  <c r="H31" i="33"/>
  <c r="H48" i="33"/>
  <c r="H49" i="33"/>
  <c r="H14" i="33"/>
  <c r="H15" i="33"/>
  <c r="H32" i="33"/>
  <c r="H4" i="34" s="1"/>
  <c r="H33" i="33"/>
  <c r="H50" i="33"/>
  <c r="H51" i="33"/>
  <c r="H16" i="33"/>
  <c r="H17" i="33"/>
  <c r="H34" i="33"/>
  <c r="H35" i="33"/>
  <c r="H52" i="33"/>
  <c r="H53" i="33"/>
  <c r="H18" i="33"/>
  <c r="H19" i="33"/>
  <c r="H36" i="33"/>
  <c r="H37" i="33"/>
  <c r="H54" i="33"/>
  <c r="H55" i="33"/>
  <c r="H2" i="33"/>
  <c r="G31" i="33"/>
  <c r="G48" i="33"/>
  <c r="G49" i="33"/>
  <c r="G14" i="33"/>
  <c r="G15" i="33"/>
  <c r="G32" i="33"/>
  <c r="G33" i="33"/>
  <c r="G50" i="33"/>
  <c r="G51" i="33"/>
  <c r="G16" i="33"/>
  <c r="G17" i="33"/>
  <c r="G34" i="33"/>
  <c r="G35" i="33"/>
  <c r="G52" i="33"/>
  <c r="G53" i="33"/>
  <c r="G18" i="33"/>
  <c r="G19" i="33"/>
  <c r="G15" i="34" s="1"/>
  <c r="G36" i="33"/>
  <c r="G37" i="33"/>
  <c r="G54" i="33"/>
  <c r="G55" i="33"/>
  <c r="G29" i="33"/>
  <c r="G46" i="33"/>
  <c r="G47" i="33"/>
  <c r="G30" i="33"/>
  <c r="G27" i="33"/>
  <c r="G44" i="33"/>
  <c r="G44" i="34" s="1"/>
  <c r="CB44" i="34" s="1" a="1"/>
  <c r="CB44" i="34" s="1"/>
  <c r="G45" i="33"/>
  <c r="G45" i="34" s="1"/>
  <c r="CB45" i="34" s="1" a="1"/>
  <c r="CB45" i="34" s="1"/>
  <c r="G28" i="33"/>
  <c r="G3" i="33"/>
  <c r="G20" i="33"/>
  <c r="G21" i="33"/>
  <c r="G38" i="33"/>
  <c r="G38" i="34" s="1"/>
  <c r="BV38" i="34" s="1"/>
  <c r="G39" i="33"/>
  <c r="G4" i="33"/>
  <c r="G5" i="33"/>
  <c r="G22" i="33"/>
  <c r="G28" i="34" s="1"/>
  <c r="G23" i="33"/>
  <c r="G40" i="33"/>
  <c r="G41" i="33"/>
  <c r="G6" i="33"/>
  <c r="G7" i="33"/>
  <c r="G24" i="33"/>
  <c r="G25" i="33"/>
  <c r="G42" i="33"/>
  <c r="G43" i="33"/>
  <c r="BV9" i="33"/>
  <c r="G26" i="33"/>
  <c r="G2" i="33"/>
  <c r="G20" i="34" s="1"/>
  <c r="F3" i="33" a="1"/>
  <c r="F3" i="33" s="1"/>
  <c r="F20" i="33" a="1"/>
  <c r="F20" i="33" s="1"/>
  <c r="F21" i="33" a="1"/>
  <c r="F21" i="33" s="1"/>
  <c r="F38" i="33" a="1"/>
  <c r="F38" i="33" s="1"/>
  <c r="F39" i="33" a="1"/>
  <c r="F39" i="33" s="1"/>
  <c r="F4" i="33" a="1"/>
  <c r="F4" i="33" s="1"/>
  <c r="F5" i="33" a="1"/>
  <c r="F5" i="33" s="1"/>
  <c r="F22" i="33" a="1"/>
  <c r="F22" i="33" s="1"/>
  <c r="F23" i="33" a="1"/>
  <c r="F23" i="33" s="1"/>
  <c r="F40" i="33" a="1"/>
  <c r="F40" i="33" s="1"/>
  <c r="F41" i="33" a="1"/>
  <c r="F41" i="33" s="1"/>
  <c r="F6" i="33" a="1"/>
  <c r="F6" i="33" s="1"/>
  <c r="F7" i="33" a="1"/>
  <c r="F7" i="33" s="1"/>
  <c r="F24" i="33" a="1"/>
  <c r="F24" i="33" s="1"/>
  <c r="F25" i="33" a="1"/>
  <c r="F25" i="33" s="1"/>
  <c r="F42" i="33" a="1"/>
  <c r="F42" i="33" s="1"/>
  <c r="F43" i="33" a="1"/>
  <c r="F43" i="33" s="1"/>
  <c r="F8" i="33" a="1"/>
  <c r="F8" i="33" s="1"/>
  <c r="F9" i="33" a="1"/>
  <c r="F9" i="33" s="1"/>
  <c r="F26" i="33" a="1"/>
  <c r="F26" i="33" s="1"/>
  <c r="F27" i="33" a="1"/>
  <c r="F27" i="33" s="1"/>
  <c r="F44" i="33" a="1"/>
  <c r="F44" i="33" s="1"/>
  <c r="F45" i="33" a="1"/>
  <c r="F45" i="33" s="1"/>
  <c r="F10" i="33" a="1"/>
  <c r="F10" i="33" s="1"/>
  <c r="F11" i="33" a="1"/>
  <c r="F11" i="33" s="1"/>
  <c r="F28" i="33" a="1"/>
  <c r="F28" i="33" s="1"/>
  <c r="F29" i="33" a="1"/>
  <c r="F29" i="33" s="1"/>
  <c r="F46" i="33" a="1"/>
  <c r="F46" i="33" s="1"/>
  <c r="F47" i="33" a="1"/>
  <c r="F47" i="33" s="1"/>
  <c r="F12" i="33" a="1"/>
  <c r="F12" i="33" s="1"/>
  <c r="F13" i="33" a="1"/>
  <c r="F13" i="33" s="1"/>
  <c r="F30" i="33" a="1"/>
  <c r="F30" i="33" s="1"/>
  <c r="F52" i="34" s="1"/>
  <c r="CA52" i="34" s="1" a="1"/>
  <c r="CA52" i="34" s="1"/>
  <c r="F31" i="33" a="1"/>
  <c r="F31" i="33" s="1"/>
  <c r="F48" i="33" a="1"/>
  <c r="F48" i="33" s="1"/>
  <c r="F49" i="33" a="1"/>
  <c r="F49" i="33" s="1"/>
  <c r="F14" i="33" a="1"/>
  <c r="F14" i="33" s="1"/>
  <c r="F15" i="33" a="1"/>
  <c r="F15" i="33" s="1"/>
  <c r="F32" i="33" a="1"/>
  <c r="F32" i="33" s="1"/>
  <c r="F33" i="33" a="1"/>
  <c r="F33" i="33" s="1"/>
  <c r="F50" i="33" a="1"/>
  <c r="F50" i="33" s="1"/>
  <c r="F5" i="34" s="1"/>
  <c r="F51" i="33" a="1"/>
  <c r="F51" i="33" s="1"/>
  <c r="F16" i="33" a="1"/>
  <c r="F16" i="33" s="1"/>
  <c r="F8" i="34" s="1"/>
  <c r="F17" i="33" a="1"/>
  <c r="F17" i="33" s="1"/>
  <c r="F34" i="33" a="1"/>
  <c r="F34" i="33" s="1"/>
  <c r="F35" i="33" a="1"/>
  <c r="F35" i="33" s="1"/>
  <c r="F52" i="33" a="1"/>
  <c r="F52" i="33" s="1"/>
  <c r="F53" i="33" a="1"/>
  <c r="F53" i="33" s="1"/>
  <c r="F18" i="33" a="1"/>
  <c r="F18" i="33" s="1"/>
  <c r="F19" i="33" a="1"/>
  <c r="F19" i="33" s="1"/>
  <c r="AV19" i="33" s="1"/>
  <c r="F36" i="33" a="1"/>
  <c r="F36" i="33" s="1"/>
  <c r="F16" i="34" s="1"/>
  <c r="F37" i="33" a="1"/>
  <c r="F37" i="33" s="1"/>
  <c r="F54" i="33" a="1"/>
  <c r="F54" i="33" s="1"/>
  <c r="F55" i="33" a="1"/>
  <c r="F55" i="33" s="1"/>
  <c r="F2" i="33" a="1"/>
  <c r="F2" i="33" s="1"/>
  <c r="S11" i="33"/>
  <c r="M9" i="33"/>
  <c r="U5" i="33"/>
  <c r="G49" i="34" l="1"/>
  <c r="H41" i="34"/>
  <c r="BD41" i="34" s="1"/>
  <c r="J29" i="34"/>
  <c r="K41" i="34"/>
  <c r="BG41" i="34" s="1"/>
  <c r="G14" i="34"/>
  <c r="G34" i="34"/>
  <c r="BI34" i="34" s="1"/>
  <c r="H13" i="34"/>
  <c r="J31" i="34"/>
  <c r="BF31" i="34" s="1"/>
  <c r="H47" i="34"/>
  <c r="CC47" i="34" s="1" a="1"/>
  <c r="CC47" i="34" s="1"/>
  <c r="H40" i="34"/>
  <c r="BJ40" i="34" s="1"/>
  <c r="F38" i="34"/>
  <c r="BH38" i="34" s="1"/>
  <c r="G22" i="34"/>
  <c r="AW22" i="34" s="1"/>
  <c r="I31" i="34"/>
  <c r="CD31" i="34" s="1" a="1"/>
  <c r="CD31" i="34" s="1"/>
  <c r="J30" i="34"/>
  <c r="AZ30" i="34" s="1"/>
  <c r="F54" i="34"/>
  <c r="CK54" i="34" s="1"/>
  <c r="I28" i="34"/>
  <c r="AY28" i="34" s="1"/>
  <c r="K11" i="34"/>
  <c r="J5" i="34"/>
  <c r="F3" i="34"/>
  <c r="AV3" i="34" s="1"/>
  <c r="I29" i="34"/>
  <c r="AY29" i="34" s="1"/>
  <c r="J28" i="34"/>
  <c r="BF28" i="34" s="1"/>
  <c r="F53" i="34"/>
  <c r="CA53" i="34" s="1" a="1"/>
  <c r="CA53" i="34" s="1"/>
  <c r="F46" i="34"/>
  <c r="CA46" i="34" s="1" a="1"/>
  <c r="CA46" i="34" s="1"/>
  <c r="F29" i="34"/>
  <c r="CK29" i="34" s="1"/>
  <c r="G30" i="34"/>
  <c r="AW30" i="34" s="1"/>
  <c r="J4" i="34"/>
  <c r="K34" i="34"/>
  <c r="BM34" i="34" s="1"/>
  <c r="F14" i="34"/>
  <c r="AV14" i="34" s="1"/>
  <c r="AV18" i="33"/>
  <c r="F19" i="34"/>
  <c r="AV19" i="34" s="1"/>
  <c r="H20" i="34"/>
  <c r="CM20" i="34" s="1"/>
  <c r="K20" i="34"/>
  <c r="BG20" i="34" s="1"/>
  <c r="F15" i="34"/>
  <c r="BH15" i="34" s="1"/>
  <c r="F7" i="34"/>
  <c r="F45" i="34"/>
  <c r="BB45" i="34" s="1"/>
  <c r="F30" i="34"/>
  <c r="CA30" i="34" s="1" a="1"/>
  <c r="CA30" i="34" s="1"/>
  <c r="G33" i="34"/>
  <c r="CB33" i="34" s="1" a="1"/>
  <c r="CB33" i="34" s="1"/>
  <c r="I18" i="34"/>
  <c r="AY18" i="34" s="1"/>
  <c r="G54" i="34"/>
  <c r="CB54" i="34" s="1" a="1"/>
  <c r="CB54" i="34" s="1"/>
  <c r="H36" i="34"/>
  <c r="CC36" i="34" s="1" a="1"/>
  <c r="CC36" i="34" s="1"/>
  <c r="H3" i="34"/>
  <c r="BD3" i="34" s="1"/>
  <c r="F33" i="34"/>
  <c r="F25" i="34"/>
  <c r="BH25" i="34" s="1"/>
  <c r="G21" i="34"/>
  <c r="CL21" i="34" s="1"/>
  <c r="G4" i="34"/>
  <c r="AW4" i="34" s="1"/>
  <c r="H2" i="34"/>
  <c r="AX2" i="34" s="1"/>
  <c r="H32" i="34"/>
  <c r="BJ32" i="34" s="1"/>
  <c r="J41" i="34"/>
  <c r="CE41" i="34" s="1" a="1"/>
  <c r="CE41" i="34" s="1"/>
  <c r="F12" i="34"/>
  <c r="BB12" i="34" s="1"/>
  <c r="F49" i="34"/>
  <c r="CA49" i="34" s="1" a="1"/>
  <c r="CA49" i="34" s="1"/>
  <c r="F42" i="34"/>
  <c r="CA42" i="34" s="1" a="1"/>
  <c r="CA42" i="34" s="1"/>
  <c r="G37" i="34"/>
  <c r="AW37" i="34" s="1"/>
  <c r="H23" i="34"/>
  <c r="CM23" i="34" s="1"/>
  <c r="F17" i="34"/>
  <c r="AV17" i="34" s="1"/>
  <c r="K3" i="34"/>
  <c r="CF3" i="34" s="1" a="1"/>
  <c r="CF3" i="34" s="1"/>
  <c r="K31" i="34"/>
  <c r="BZ31" i="34" s="1"/>
  <c r="F18" i="34"/>
  <c r="AV18" i="34" s="1"/>
  <c r="F55" i="34"/>
  <c r="CA55" i="34" s="1" a="1"/>
  <c r="CA55" i="34" s="1"/>
  <c r="F48" i="34"/>
  <c r="CA48" i="34" s="1" a="1"/>
  <c r="CA48" i="34" s="1"/>
  <c r="F39" i="34"/>
  <c r="BU39" i="34" s="1"/>
  <c r="F31" i="34"/>
  <c r="CA31" i="34" s="1" a="1"/>
  <c r="CA31" i="34" s="1"/>
  <c r="F24" i="34"/>
  <c r="CK24" i="34" s="1"/>
  <c r="G27" i="34"/>
  <c r="CL27" i="34" s="1"/>
  <c r="J17" i="34"/>
  <c r="CE17" i="34" s="1" a="1"/>
  <c r="CE17" i="34" s="1"/>
  <c r="J40" i="34"/>
  <c r="BL40" i="34" s="1"/>
  <c r="BI44" i="34"/>
  <c r="CL38" i="34"/>
  <c r="G26" i="34"/>
  <c r="AW26" i="34" s="1"/>
  <c r="K48" i="34"/>
  <c r="BM48" i="34" s="1"/>
  <c r="K24" i="34"/>
  <c r="CP24" i="34" s="1"/>
  <c r="BI38" i="34"/>
  <c r="BC44" i="34"/>
  <c r="BC45" i="34"/>
  <c r="F35" i="34"/>
  <c r="BB35" i="34" s="1"/>
  <c r="F28" i="34"/>
  <c r="BB28" i="34" s="1"/>
  <c r="AW38" i="34"/>
  <c r="CB38" i="34" a="1"/>
  <c r="CB38" i="34" s="1"/>
  <c r="G52" i="34"/>
  <c r="CL52" i="34" s="1"/>
  <c r="G7" i="34"/>
  <c r="CB7" i="34" s="1" a="1"/>
  <c r="CB7" i="34" s="1"/>
  <c r="G51" i="34"/>
  <c r="H6" i="34"/>
  <c r="CM6" i="34" s="1"/>
  <c r="H51" i="34"/>
  <c r="CC51" i="34" s="1" a="1"/>
  <c r="CC51" i="34" s="1"/>
  <c r="I53" i="34"/>
  <c r="CD53" i="34" s="1" a="1"/>
  <c r="CD53" i="34" s="1"/>
  <c r="I46" i="34"/>
  <c r="CD46" i="34" s="1" a="1"/>
  <c r="CD46" i="34" s="1"/>
  <c r="I38" i="34"/>
  <c r="CD38" i="34" s="1" a="1"/>
  <c r="CD38" i="34" s="1"/>
  <c r="J24" i="34"/>
  <c r="CO24" i="34" s="1"/>
  <c r="J7" i="34"/>
  <c r="AZ7" i="34" s="1"/>
  <c r="J54" i="34"/>
  <c r="BF54" i="34" s="1"/>
  <c r="J37" i="34"/>
  <c r="CE37" i="34" s="1" a="1"/>
  <c r="CE37" i="34" s="1"/>
  <c r="AW45" i="34"/>
  <c r="CL45" i="34"/>
  <c r="BC38" i="34"/>
  <c r="F36" i="34"/>
  <c r="BH36" i="34" s="1"/>
  <c r="G5" i="34"/>
  <c r="AW5" i="34" s="1"/>
  <c r="G50" i="34"/>
  <c r="H34" i="34"/>
  <c r="CM34" i="34" s="1"/>
  <c r="I21" i="34"/>
  <c r="CD21" i="34" s="1" a="1"/>
  <c r="CD21" i="34" s="1"/>
  <c r="J22" i="34"/>
  <c r="J52" i="34"/>
  <c r="CE52" i="34" s="1" a="1"/>
  <c r="CE52" i="34" s="1"/>
  <c r="J44" i="34"/>
  <c r="BY44" i="34" s="1"/>
  <c r="J35" i="34"/>
  <c r="BY35" i="34" s="1"/>
  <c r="K52" i="34"/>
  <c r="CF52" i="34" s="1" a="1"/>
  <c r="CF52" i="34" s="1"/>
  <c r="K44" i="34"/>
  <c r="CF44" i="34" s="1" a="1"/>
  <c r="CF44" i="34" s="1"/>
  <c r="K35" i="34"/>
  <c r="BM35" i="34" s="1"/>
  <c r="K28" i="34"/>
  <c r="CF28" i="34" s="1" a="1"/>
  <c r="CF28" i="34" s="1"/>
  <c r="CL44" i="34"/>
  <c r="BV45" i="34"/>
  <c r="G25" i="34"/>
  <c r="BC25" i="34" s="1"/>
  <c r="G39" i="34"/>
  <c r="F34" i="34"/>
  <c r="BU34" i="34" s="1"/>
  <c r="G29" i="34"/>
  <c r="BI29" i="34" s="1"/>
  <c r="H19" i="34"/>
  <c r="CM19" i="34" s="1"/>
  <c r="H25" i="34"/>
  <c r="BJ25" i="34" s="1"/>
  <c r="J51" i="34"/>
  <c r="AZ51" i="34" s="1"/>
  <c r="J43" i="34"/>
  <c r="BF43" i="34" s="1"/>
  <c r="J36" i="34"/>
  <c r="BY36" i="34" s="1"/>
  <c r="K51" i="34"/>
  <c r="BG51" i="34" s="1"/>
  <c r="K43" i="34"/>
  <c r="BM43" i="34" s="1"/>
  <c r="K36" i="34"/>
  <c r="BZ36" i="34" s="1"/>
  <c r="BV44" i="34"/>
  <c r="AW44" i="34"/>
  <c r="K26" i="34"/>
  <c r="BI45" i="34"/>
  <c r="F10" i="34"/>
  <c r="CA10" i="34" s="1" a="1"/>
  <c r="CA10" i="34" s="1"/>
  <c r="F2" i="34"/>
  <c r="CA2" i="34" s="1" a="1"/>
  <c r="CA2" i="34" s="1"/>
  <c r="F47" i="34"/>
  <c r="CA47" i="34" s="1" a="1"/>
  <c r="CA47" i="34" s="1"/>
  <c r="F32" i="34"/>
  <c r="BB32" i="34" s="1"/>
  <c r="F23" i="34"/>
  <c r="BU23" i="34" s="1"/>
  <c r="G46" i="34"/>
  <c r="CB46" i="34" s="1" a="1"/>
  <c r="CB46" i="34" s="1"/>
  <c r="J49" i="34"/>
  <c r="BL49" i="34" s="1"/>
  <c r="K25" i="34"/>
  <c r="CP25" i="34" s="1"/>
  <c r="BB15" i="34"/>
  <c r="AV7" i="34"/>
  <c r="CA7" i="34" a="1"/>
  <c r="CA7" i="34" s="1"/>
  <c r="BB7" i="34"/>
  <c r="CK7" i="34"/>
  <c r="BU7" i="34"/>
  <c r="BH7" i="34"/>
  <c r="BH45" i="34"/>
  <c r="AP43" i="33"/>
  <c r="F37" i="34"/>
  <c r="AP3" i="33"/>
  <c r="F21" i="34"/>
  <c r="AK27" i="33"/>
  <c r="G42" i="34"/>
  <c r="CL36" i="33"/>
  <c r="G16" i="34"/>
  <c r="BV16" i="33"/>
  <c r="G8" i="34"/>
  <c r="CL48" i="33"/>
  <c r="G53" i="34"/>
  <c r="CM18" i="33"/>
  <c r="H14" i="34"/>
  <c r="AR50" i="33"/>
  <c r="H5" i="34"/>
  <c r="BW30" i="33"/>
  <c r="H52" i="34"/>
  <c r="AL10" i="33"/>
  <c r="H44" i="34"/>
  <c r="AL42" i="33"/>
  <c r="H35" i="34"/>
  <c r="AL22" i="33"/>
  <c r="H28" i="34"/>
  <c r="CN2" i="33"/>
  <c r="I20" i="34"/>
  <c r="AS21" i="33"/>
  <c r="I24" i="34"/>
  <c r="AM17" i="33"/>
  <c r="I9" i="34"/>
  <c r="AM49" i="33"/>
  <c r="I55" i="34"/>
  <c r="AM29" i="33"/>
  <c r="I48" i="34"/>
  <c r="AM9" i="33"/>
  <c r="I39" i="34"/>
  <c r="AN6" i="33"/>
  <c r="J32" i="34"/>
  <c r="AT38" i="33"/>
  <c r="J23" i="34"/>
  <c r="CO36" i="33"/>
  <c r="J16" i="34"/>
  <c r="AT16" i="33"/>
  <c r="J8" i="34"/>
  <c r="AN48" i="33"/>
  <c r="J53" i="34"/>
  <c r="AT28" i="33"/>
  <c r="J46" i="34"/>
  <c r="CO8" i="33"/>
  <c r="J38" i="34"/>
  <c r="AO36" i="33"/>
  <c r="K16" i="34"/>
  <c r="AI36" i="33"/>
  <c r="AO16" i="33"/>
  <c r="K8" i="34"/>
  <c r="AO48" i="33"/>
  <c r="K53" i="34"/>
  <c r="AU28" i="33"/>
  <c r="K46" i="34"/>
  <c r="AO8" i="33"/>
  <c r="K38" i="34"/>
  <c r="AO40" i="33"/>
  <c r="K29" i="34"/>
  <c r="CP20" i="33"/>
  <c r="K22" i="34"/>
  <c r="BW51" i="34"/>
  <c r="BD47" i="34"/>
  <c r="BU52" i="34"/>
  <c r="BW40" i="34"/>
  <c r="BH49" i="34"/>
  <c r="AP10" i="33"/>
  <c r="F44" i="34"/>
  <c r="CL7" i="34"/>
  <c r="BJ13" i="34"/>
  <c r="AX13" i="34"/>
  <c r="CC13" i="34" a="1"/>
  <c r="CC13" i="34" s="1"/>
  <c r="BD13" i="34"/>
  <c r="BW13" i="34"/>
  <c r="CM13" i="34"/>
  <c r="BW6" i="34"/>
  <c r="AR45" i="33"/>
  <c r="H43" i="34"/>
  <c r="CM5" i="33"/>
  <c r="H27" i="34"/>
  <c r="CN20" i="33"/>
  <c r="I22" i="34"/>
  <c r="BX7" i="33"/>
  <c r="I33" i="34"/>
  <c r="CD16" i="34" a="1"/>
  <c r="CD16" i="34" s="1"/>
  <c r="CN16" i="34"/>
  <c r="BX16" i="34"/>
  <c r="AY16" i="34"/>
  <c r="BK8" i="34"/>
  <c r="CD8" i="34" a="1"/>
  <c r="CD8" i="34" s="1"/>
  <c r="BE8" i="34"/>
  <c r="AY8" i="34"/>
  <c r="BX8" i="34"/>
  <c r="CN8" i="34"/>
  <c r="AZ15" i="34"/>
  <c r="CE15" i="34" a="1"/>
  <c r="CE15" i="34" s="1"/>
  <c r="BL15" i="34"/>
  <c r="BY15" i="34"/>
  <c r="BF15" i="34"/>
  <c r="CO15" i="34"/>
  <c r="CO7" i="34"/>
  <c r="AN11" i="33"/>
  <c r="J45" i="34"/>
  <c r="BZ19" i="33"/>
  <c r="K15" i="34"/>
  <c r="CP51" i="33"/>
  <c r="K7" i="34"/>
  <c r="AO31" i="33"/>
  <c r="K54" i="34"/>
  <c r="CP11" i="33"/>
  <c r="K45" i="34"/>
  <c r="AU43" i="33"/>
  <c r="K37" i="34"/>
  <c r="CP23" i="33"/>
  <c r="K30" i="34"/>
  <c r="AO3" i="33"/>
  <c r="K21" i="34"/>
  <c r="BU54" i="34"/>
  <c r="AX51" i="34"/>
  <c r="AX47" i="34"/>
  <c r="CK52" i="34"/>
  <c r="BU49" i="34"/>
  <c r="CL34" i="34"/>
  <c r="CA35" i="34" a="1"/>
  <c r="CA35" i="34" s="1"/>
  <c r="CK35" i="34"/>
  <c r="BU35" i="34"/>
  <c r="BH35" i="34"/>
  <c r="BC20" i="34"/>
  <c r="CB20" i="34" a="1"/>
  <c r="CB20" i="34" s="1"/>
  <c r="AW20" i="34"/>
  <c r="BI20" i="34"/>
  <c r="CL20" i="34"/>
  <c r="BV20" i="34"/>
  <c r="AJ5" i="33"/>
  <c r="F27" i="34"/>
  <c r="AQ26" i="33"/>
  <c r="G40" i="34"/>
  <c r="CL41" i="33"/>
  <c r="G31" i="34"/>
  <c r="AK21" i="33"/>
  <c r="G24" i="34"/>
  <c r="CB49" i="34" a="1"/>
  <c r="CB49" i="34" s="1"/>
  <c r="BC49" i="34"/>
  <c r="AW49" i="34"/>
  <c r="BC14" i="34"/>
  <c r="CB14" i="34" a="1"/>
  <c r="CB14" i="34" s="1"/>
  <c r="BI14" i="34"/>
  <c r="CL14" i="34"/>
  <c r="AW14" i="34"/>
  <c r="BV14" i="34"/>
  <c r="AX20" i="34"/>
  <c r="BW52" i="33"/>
  <c r="H11" i="34"/>
  <c r="CC4" i="34" a="1"/>
  <c r="CC4" i="34" s="1"/>
  <c r="BD4" i="34"/>
  <c r="BJ4" i="34"/>
  <c r="AX4" i="34"/>
  <c r="CM4" i="34"/>
  <c r="BW4" i="34"/>
  <c r="CM12" i="33"/>
  <c r="H50" i="34"/>
  <c r="CC41" i="34" a="1"/>
  <c r="CC41" i="34" s="1"/>
  <c r="BJ41" i="34"/>
  <c r="AX41" i="34"/>
  <c r="AR4" i="33"/>
  <c r="H26" i="34"/>
  <c r="AY21" i="34"/>
  <c r="CD32" i="34" a="1"/>
  <c r="CD32" i="34" s="1"/>
  <c r="AY32" i="34"/>
  <c r="BE32" i="34"/>
  <c r="AM19" i="33"/>
  <c r="I15" i="34"/>
  <c r="AM51" i="33"/>
  <c r="I7" i="34"/>
  <c r="AM31" i="33"/>
  <c r="I54" i="34"/>
  <c r="AM11" i="33"/>
  <c r="I45" i="34"/>
  <c r="AS43" i="33"/>
  <c r="I37" i="34"/>
  <c r="CE29" i="34" a="1"/>
  <c r="CE29" i="34" s="1"/>
  <c r="AZ29" i="34"/>
  <c r="BY29" i="34"/>
  <c r="CO29" i="34"/>
  <c r="BL29" i="34"/>
  <c r="BF29" i="34"/>
  <c r="CE22" i="34" a="1"/>
  <c r="CE22" i="34" s="1"/>
  <c r="BL22" i="34"/>
  <c r="BF22" i="34"/>
  <c r="AZ22" i="34"/>
  <c r="CO22" i="34"/>
  <c r="BY22" i="34"/>
  <c r="CE14" i="34" a="1"/>
  <c r="CE14" i="34" s="1"/>
  <c r="CO14" i="34"/>
  <c r="BL14" i="34"/>
  <c r="BF14" i="34"/>
  <c r="BY14" i="34"/>
  <c r="AZ14" i="34"/>
  <c r="CE5" i="34" a="1"/>
  <c r="CE5" i="34" s="1"/>
  <c r="AZ5" i="34"/>
  <c r="BF5" i="34"/>
  <c r="CO5" i="34"/>
  <c r="BY5" i="34"/>
  <c r="BL5" i="34"/>
  <c r="CF14" i="34" a="1"/>
  <c r="CF14" i="34" s="1"/>
  <c r="BA14" i="34"/>
  <c r="BG14" i="34"/>
  <c r="CP14" i="34"/>
  <c r="BZ14" i="34"/>
  <c r="BM14" i="34"/>
  <c r="CF5" i="34" a="1"/>
  <c r="CF5" i="34" s="1"/>
  <c r="BA5" i="34"/>
  <c r="CP5" i="34"/>
  <c r="BZ5" i="34"/>
  <c r="BM5" i="34"/>
  <c r="BG5" i="34"/>
  <c r="BY49" i="34"/>
  <c r="CL49" i="34"/>
  <c r="BI49" i="34"/>
  <c r="AV55" i="34"/>
  <c r="BB52" i="34"/>
  <c r="BG39" i="34"/>
  <c r="CK49" i="34"/>
  <c r="BV34" i="34"/>
  <c r="AV35" i="34"/>
  <c r="AP53" i="33"/>
  <c r="F13" i="34"/>
  <c r="BU52" i="33"/>
  <c r="F11" i="34"/>
  <c r="AP32" i="33"/>
  <c r="F4" i="34"/>
  <c r="AJ12" i="33"/>
  <c r="F50" i="34"/>
  <c r="AJ44" i="33"/>
  <c r="F41" i="34"/>
  <c r="CA34" i="34" a="1"/>
  <c r="CA34" i="34" s="1"/>
  <c r="AP4" i="33"/>
  <c r="F26" i="34"/>
  <c r="CB29" i="34" a="1"/>
  <c r="CB29" i="34" s="1"/>
  <c r="AQ46" i="33"/>
  <c r="G47" i="34"/>
  <c r="AQ53" i="33"/>
  <c r="AQ13" i="34" s="1"/>
  <c r="G13" i="34"/>
  <c r="AQ33" i="33"/>
  <c r="G6" i="34"/>
  <c r="CM35" i="33"/>
  <c r="H12" i="34"/>
  <c r="BW3" i="34"/>
  <c r="CM47" i="33"/>
  <c r="H49" i="34"/>
  <c r="AR27" i="33"/>
  <c r="H42" i="34"/>
  <c r="CM7" i="33"/>
  <c r="H33" i="34"/>
  <c r="BW25" i="34"/>
  <c r="AM18" i="33"/>
  <c r="I14" i="34"/>
  <c r="CN50" i="33"/>
  <c r="I5" i="34"/>
  <c r="BX30" i="33"/>
  <c r="I52" i="34"/>
  <c r="CN10" i="33"/>
  <c r="I44" i="34"/>
  <c r="AM42" i="33"/>
  <c r="I35" i="34"/>
  <c r="AT3" i="33"/>
  <c r="J21" i="34"/>
  <c r="CE13" i="34" a="1"/>
  <c r="CE13" i="34" s="1"/>
  <c r="BL13" i="34"/>
  <c r="BF13" i="34"/>
  <c r="CO13" i="34"/>
  <c r="BY13" i="34"/>
  <c r="AZ13" i="34"/>
  <c r="AN33" i="33"/>
  <c r="J6" i="34"/>
  <c r="CE51" i="34" a="1"/>
  <c r="CE51" i="34" s="1"/>
  <c r="BF51" i="34"/>
  <c r="AO53" i="33"/>
  <c r="K13" i="34"/>
  <c r="CF6" i="34" a="1"/>
  <c r="CF6" i="34" s="1"/>
  <c r="BG6" i="34"/>
  <c r="BM6" i="34"/>
  <c r="BZ6" i="34"/>
  <c r="CP6" i="34"/>
  <c r="BA6" i="34"/>
  <c r="AU5" i="33"/>
  <c r="K27" i="34"/>
  <c r="CO51" i="34"/>
  <c r="BV49" i="34"/>
  <c r="BH55" i="34"/>
  <c r="BZ44" i="34"/>
  <c r="BB49" i="34"/>
  <c r="CL33" i="34"/>
  <c r="CB15" i="34" a="1"/>
  <c r="CB15" i="34" s="1"/>
  <c r="BV15" i="34"/>
  <c r="CL15" i="34"/>
  <c r="BI15" i="34"/>
  <c r="BC15" i="34"/>
  <c r="AW15" i="34"/>
  <c r="AJ45" i="33"/>
  <c r="F43" i="34"/>
  <c r="AP2" i="33"/>
  <c r="F20" i="34"/>
  <c r="CA12" i="34" a="1"/>
  <c r="CA12" i="34" s="1"/>
  <c r="CA33" i="34" a="1"/>
  <c r="CA33" i="34" s="1"/>
  <c r="CK33" i="34"/>
  <c r="BU33" i="34"/>
  <c r="BC30" i="34"/>
  <c r="AQ29" i="33"/>
  <c r="G48" i="34"/>
  <c r="AQ52" i="33"/>
  <c r="AQ11" i="34" s="1"/>
  <c r="G11" i="34"/>
  <c r="AR54" i="33"/>
  <c r="H17" i="34"/>
  <c r="AR34" i="33"/>
  <c r="H10" i="34"/>
  <c r="AX40" i="34"/>
  <c r="CC40" i="34" a="1"/>
  <c r="CC40" i="34" s="1"/>
  <c r="CC32" i="34" a="1"/>
  <c r="CC32" i="34" s="1"/>
  <c r="O5" i="33"/>
  <c r="I27" i="34"/>
  <c r="CN53" i="33"/>
  <c r="I13" i="34"/>
  <c r="AM33" i="33"/>
  <c r="I6" i="34"/>
  <c r="BX13" i="33"/>
  <c r="I51" i="34"/>
  <c r="AM45" i="33"/>
  <c r="I43" i="34"/>
  <c r="AM25" i="33"/>
  <c r="I36" i="34"/>
  <c r="CO24" i="33"/>
  <c r="J34" i="34"/>
  <c r="AT52" i="33"/>
  <c r="J11" i="34"/>
  <c r="CE4" i="34" a="1"/>
  <c r="CE4" i="34" s="1"/>
  <c r="BY4" i="34"/>
  <c r="BL4" i="34"/>
  <c r="BF4" i="34"/>
  <c r="AZ4" i="34"/>
  <c r="CO4" i="34"/>
  <c r="AT12" i="33"/>
  <c r="J50" i="34"/>
  <c r="CP20" i="34"/>
  <c r="CF11" i="34" a="1"/>
  <c r="CF11" i="34" s="1"/>
  <c r="BG11" i="34"/>
  <c r="BZ11" i="34"/>
  <c r="CP11" i="34"/>
  <c r="BM11" i="34"/>
  <c r="BA11" i="34"/>
  <c r="CF4" i="34" a="1"/>
  <c r="CF4" i="34" s="1"/>
  <c r="BZ4" i="34"/>
  <c r="BG4" i="34"/>
  <c r="BA4" i="34"/>
  <c r="BM4" i="34"/>
  <c r="CP4" i="34"/>
  <c r="AU12" i="33"/>
  <c r="K50" i="34"/>
  <c r="CF41" i="34" a="1"/>
  <c r="CF41" i="34" s="1"/>
  <c r="BA41" i="34"/>
  <c r="BM26" i="34"/>
  <c r="BA26" i="34"/>
  <c r="CP26" i="34"/>
  <c r="CF26" i="34" a="1"/>
  <c r="CF26" i="34" s="1"/>
  <c r="BG26" i="34"/>
  <c r="BY51" i="34"/>
  <c r="BC46" i="34"/>
  <c r="BU55" i="34"/>
  <c r="CP41" i="34"/>
  <c r="CK53" i="34"/>
  <c r="BM41" i="34"/>
  <c r="CL46" i="34"/>
  <c r="CP39" i="34"/>
  <c r="AV49" i="34"/>
  <c r="CN32" i="34"/>
  <c r="BC34" i="34"/>
  <c r="AQ6" i="33"/>
  <c r="G32" i="34"/>
  <c r="AJ13" i="33"/>
  <c r="F51" i="34"/>
  <c r="BU26" i="33"/>
  <c r="F40" i="34"/>
  <c r="AV32" i="34"/>
  <c r="CL42" i="33"/>
  <c r="G35" i="34"/>
  <c r="CB28" i="34" a="1"/>
  <c r="CB28" i="34" s="1"/>
  <c r="CL28" i="34"/>
  <c r="BI28" i="34"/>
  <c r="AW28" i="34"/>
  <c r="BV28" i="34"/>
  <c r="BC28" i="34"/>
  <c r="AK55" i="33"/>
  <c r="G19" i="34"/>
  <c r="AK35" i="33"/>
  <c r="AK12" i="34" s="1"/>
  <c r="G12" i="34"/>
  <c r="AK15" i="33"/>
  <c r="G3" i="34"/>
  <c r="AL37" i="33"/>
  <c r="H18" i="34"/>
  <c r="AL17" i="33"/>
  <c r="H9" i="34"/>
  <c r="AL49" i="33"/>
  <c r="H55" i="34"/>
  <c r="AL29" i="33"/>
  <c r="H48" i="34"/>
  <c r="AL9" i="33"/>
  <c r="H39" i="34"/>
  <c r="AL41" i="33"/>
  <c r="H31" i="34"/>
  <c r="AR21" i="33"/>
  <c r="H24" i="34"/>
  <c r="AA4" i="33"/>
  <c r="I26" i="34"/>
  <c r="AM23" i="33"/>
  <c r="I30" i="34"/>
  <c r="AM52" i="33"/>
  <c r="I11" i="34"/>
  <c r="AM32" i="33"/>
  <c r="I4" i="34"/>
  <c r="AM12" i="33"/>
  <c r="I50" i="34"/>
  <c r="AM44" i="33"/>
  <c r="I41" i="34"/>
  <c r="AM24" i="33"/>
  <c r="I34" i="34"/>
  <c r="CO5" i="33"/>
  <c r="J27" i="34"/>
  <c r="CO55" i="33"/>
  <c r="J19" i="34"/>
  <c r="AN35" i="33"/>
  <c r="J12" i="34"/>
  <c r="AN15" i="33"/>
  <c r="J3" i="34"/>
  <c r="CE49" i="34" a="1"/>
  <c r="CE49" i="34" s="1"/>
  <c r="BF49" i="34"/>
  <c r="BY27" i="33"/>
  <c r="J42" i="34"/>
  <c r="AO55" i="33"/>
  <c r="K19" i="34"/>
  <c r="AO35" i="33"/>
  <c r="K12" i="34"/>
  <c r="AU47" i="33"/>
  <c r="K49" i="34"/>
  <c r="AO27" i="33"/>
  <c r="K42" i="34"/>
  <c r="AO7" i="33"/>
  <c r="K33" i="34"/>
  <c r="BL51" i="34"/>
  <c r="CL54" i="34"/>
  <c r="BJ51" i="34"/>
  <c r="BJ47" i="34"/>
  <c r="CK55" i="34"/>
  <c r="BD40" i="34"/>
  <c r="BZ41" i="34"/>
  <c r="BZ39" i="34"/>
  <c r="BM39" i="34"/>
  <c r="BX32" i="34"/>
  <c r="BB33" i="34"/>
  <c r="BU18" i="34"/>
  <c r="CK17" i="33"/>
  <c r="F9" i="34"/>
  <c r="CL25" i="33"/>
  <c r="G36" i="34"/>
  <c r="AQ45" i="33"/>
  <c r="G43" i="34"/>
  <c r="AK54" i="33"/>
  <c r="G17" i="34"/>
  <c r="AK34" i="33"/>
  <c r="AK10" i="34" s="1"/>
  <c r="G10" i="34"/>
  <c r="BV14" i="33"/>
  <c r="G2" i="34"/>
  <c r="AL36" i="33"/>
  <c r="H16" i="34"/>
  <c r="CM16" i="33"/>
  <c r="H8" i="34"/>
  <c r="AL48" i="33"/>
  <c r="H53" i="34"/>
  <c r="AR28" i="33"/>
  <c r="H46" i="34"/>
  <c r="AL8" i="33"/>
  <c r="H38" i="34"/>
  <c r="AR40" i="33"/>
  <c r="H29" i="34"/>
  <c r="AL20" i="33"/>
  <c r="H22" i="34"/>
  <c r="AS39" i="33"/>
  <c r="I25" i="34"/>
  <c r="AM55" i="33"/>
  <c r="I19" i="34"/>
  <c r="AY19" i="34" s="1"/>
  <c r="AM35" i="33"/>
  <c r="I12" i="34"/>
  <c r="AM15" i="33"/>
  <c r="I3" i="34"/>
  <c r="AS47" i="33"/>
  <c r="I49" i="34"/>
  <c r="CN27" i="33"/>
  <c r="I42" i="34"/>
  <c r="CO2" i="33"/>
  <c r="J20" i="34"/>
  <c r="CE26" i="34" a="1"/>
  <c r="CE26" i="34" s="1"/>
  <c r="BL26" i="34"/>
  <c r="AZ26" i="34"/>
  <c r="BF26" i="34"/>
  <c r="BY26" i="34"/>
  <c r="CO26" i="34"/>
  <c r="BY17" i="34"/>
  <c r="AN34" i="33"/>
  <c r="J10" i="34"/>
  <c r="CO14" i="33"/>
  <c r="J2" i="34"/>
  <c r="AN46" i="33"/>
  <c r="J47" i="34"/>
  <c r="AO54" i="33"/>
  <c r="K17" i="34"/>
  <c r="CP34" i="33"/>
  <c r="K10" i="34"/>
  <c r="AU14" i="33"/>
  <c r="K2" i="34"/>
  <c r="BZ46" i="33"/>
  <c r="K47" i="34"/>
  <c r="AO26" i="33"/>
  <c r="K40" i="34"/>
  <c r="AO6" i="33"/>
  <c r="K32" i="34"/>
  <c r="AO38" i="33"/>
  <c r="K23" i="34"/>
  <c r="BD51" i="34"/>
  <c r="BW47" i="34"/>
  <c r="BB55" i="34"/>
  <c r="AV52" i="34"/>
  <c r="CM41" i="34"/>
  <c r="AV33" i="34"/>
  <c r="BZ26" i="34"/>
  <c r="AV5" i="34"/>
  <c r="BB5" i="34"/>
  <c r="CA5" i="34" a="1"/>
  <c r="CA5" i="34" s="1"/>
  <c r="CK5" i="34"/>
  <c r="BH5" i="34"/>
  <c r="BU5" i="34"/>
  <c r="CL38" i="33"/>
  <c r="G23" i="34"/>
  <c r="AP33" i="33"/>
  <c r="F6" i="34"/>
  <c r="BU10" i="34"/>
  <c r="AV16" i="34"/>
  <c r="CA16" i="34" a="1"/>
  <c r="CA16" i="34" s="1"/>
  <c r="CK16" i="34"/>
  <c r="BU16" i="34"/>
  <c r="BH16" i="34"/>
  <c r="BB16" i="34"/>
  <c r="AV8" i="34"/>
  <c r="CA8" i="34" a="1"/>
  <c r="CA8" i="34" s="1"/>
  <c r="CK8" i="34"/>
  <c r="BU8" i="34"/>
  <c r="BH8" i="34"/>
  <c r="BB8" i="34"/>
  <c r="CA29" i="34" a="1"/>
  <c r="CA29" i="34" s="1"/>
  <c r="AP20" i="33"/>
  <c r="F22" i="34"/>
  <c r="AW34" i="34"/>
  <c r="CB34" i="34" a="1"/>
  <c r="CB34" i="34" s="1"/>
  <c r="BC26" i="34"/>
  <c r="AK44" i="33"/>
  <c r="G41" i="34"/>
  <c r="AQ37" i="33"/>
  <c r="G18" i="34"/>
  <c r="CL17" i="33"/>
  <c r="G9" i="34"/>
  <c r="AK49" i="33"/>
  <c r="G55" i="34"/>
  <c r="AR19" i="33"/>
  <c r="H15" i="34"/>
  <c r="AR51" i="33"/>
  <c r="H7" i="34"/>
  <c r="AL31" i="33"/>
  <c r="H54" i="34"/>
  <c r="AR11" i="33"/>
  <c r="H45" i="34"/>
  <c r="AL43" i="33"/>
  <c r="H37" i="34"/>
  <c r="AR23" i="33"/>
  <c r="H30" i="34"/>
  <c r="AL3" i="33"/>
  <c r="H21" i="34"/>
  <c r="AM38" i="33"/>
  <c r="I23" i="34"/>
  <c r="AM54" i="33"/>
  <c r="I17" i="34"/>
  <c r="AM34" i="33"/>
  <c r="I10" i="34"/>
  <c r="AM14" i="33"/>
  <c r="I2" i="34"/>
  <c r="AM46" i="33"/>
  <c r="I47" i="34"/>
  <c r="AM26" i="33"/>
  <c r="I40" i="34"/>
  <c r="AN7" i="33"/>
  <c r="J33" i="34"/>
  <c r="BY39" i="33"/>
  <c r="J25" i="34"/>
  <c r="BY37" i="33"/>
  <c r="J18" i="34"/>
  <c r="AZ9" i="34"/>
  <c r="BF9" i="34"/>
  <c r="BL9" i="34"/>
  <c r="CE9" i="34" a="1"/>
  <c r="CE9" i="34" s="1"/>
  <c r="BY9" i="34"/>
  <c r="CO9" i="34"/>
  <c r="BY49" i="33"/>
  <c r="J55" i="34"/>
  <c r="AT29" i="33"/>
  <c r="J48" i="34"/>
  <c r="BY9" i="33"/>
  <c r="J39" i="34"/>
  <c r="K18" i="34"/>
  <c r="AI37" i="33"/>
  <c r="CF9" i="34" a="1"/>
  <c r="CF9" i="34" s="1"/>
  <c r="BM9" i="34"/>
  <c r="BA9" i="34"/>
  <c r="BG9" i="34"/>
  <c r="CP9" i="34"/>
  <c r="BZ9" i="34"/>
  <c r="BZ49" i="33"/>
  <c r="K55" i="34"/>
  <c r="CF48" i="34" a="1"/>
  <c r="CF48" i="34" s="1"/>
  <c r="BM24" i="34"/>
  <c r="CM51" i="34"/>
  <c r="CP52" i="34"/>
  <c r="AZ49" i="34"/>
  <c r="CM47" i="34"/>
  <c r="BH52" i="34"/>
  <c r="BA39" i="34"/>
  <c r="CM40" i="34"/>
  <c r="AV46" i="34"/>
  <c r="BW41" i="34"/>
  <c r="BZ35" i="34"/>
  <c r="BH33" i="34"/>
  <c r="O4" i="33"/>
  <c r="AA5" i="33"/>
  <c r="AJ25" i="33"/>
  <c r="CM24" i="33"/>
  <c r="AO25" i="33"/>
  <c r="AO36" i="34" s="1"/>
  <c r="AU24" i="33"/>
  <c r="CK24" i="33"/>
  <c r="AM37" i="33"/>
  <c r="AN24" i="33"/>
  <c r="AT24" i="33"/>
  <c r="AN14" i="33"/>
  <c r="AT9" i="33"/>
  <c r="AO34" i="33"/>
  <c r="CP19" i="33"/>
  <c r="BY5" i="33"/>
  <c r="BY46" i="33"/>
  <c r="AT5" i="33"/>
  <c r="CL30" i="33"/>
  <c r="BV30" i="33"/>
  <c r="AQ30" i="33"/>
  <c r="AK30" i="33"/>
  <c r="CK19" i="33"/>
  <c r="BU19" i="33"/>
  <c r="AP19" i="33"/>
  <c r="AJ19" i="33"/>
  <c r="CK47" i="33"/>
  <c r="BU47" i="33"/>
  <c r="AP47" i="33"/>
  <c r="AJ47" i="33"/>
  <c r="CK35" i="33"/>
  <c r="BU35" i="33"/>
  <c r="AP35" i="33"/>
  <c r="AJ35" i="33"/>
  <c r="AP15" i="33"/>
  <c r="AP3" i="34" s="1"/>
  <c r="CK15" i="33"/>
  <c r="BU15" i="33"/>
  <c r="AJ15" i="33"/>
  <c r="CL40" i="33"/>
  <c r="AQ40" i="33"/>
  <c r="AK40" i="33"/>
  <c r="BV40" i="33"/>
  <c r="CK27" i="33"/>
  <c r="BU27" i="33"/>
  <c r="AP27" i="33"/>
  <c r="AJ27" i="33"/>
  <c r="CK34" i="33"/>
  <c r="BU34" i="33"/>
  <c r="AJ34" i="33"/>
  <c r="AP34" i="33"/>
  <c r="CK55" i="33"/>
  <c r="AP55" i="33"/>
  <c r="BU55" i="33"/>
  <c r="AJ55" i="33"/>
  <c r="CK39" i="33"/>
  <c r="BU39" i="33"/>
  <c r="AP39" i="33"/>
  <c r="AJ39" i="33"/>
  <c r="CL8" i="33"/>
  <c r="BV8" i="33"/>
  <c r="M8" i="33"/>
  <c r="CK54" i="33"/>
  <c r="BU54" i="33"/>
  <c r="AJ54" i="33"/>
  <c r="AP54" i="33"/>
  <c r="AP14" i="33"/>
  <c r="CK14" i="33"/>
  <c r="BU14" i="33"/>
  <c r="AJ14" i="33"/>
  <c r="CK46" i="33"/>
  <c r="AJ46" i="33"/>
  <c r="AP46" i="33"/>
  <c r="BU46" i="33"/>
  <c r="BU6" i="33"/>
  <c r="CK6" i="33"/>
  <c r="AP6" i="33"/>
  <c r="AJ6" i="33"/>
  <c r="CK7" i="33"/>
  <c r="BU7" i="33"/>
  <c r="AJ7" i="33"/>
  <c r="AP7" i="33"/>
  <c r="CL20" i="33"/>
  <c r="BV20" i="33"/>
  <c r="AQ20" i="33"/>
  <c r="AK20" i="33"/>
  <c r="AQ43" i="33"/>
  <c r="BV43" i="33"/>
  <c r="CL43" i="33"/>
  <c r="BV23" i="33"/>
  <c r="AQ23" i="33"/>
  <c r="CL23" i="33"/>
  <c r="BV3" i="33"/>
  <c r="CL3" i="33"/>
  <c r="CK37" i="33"/>
  <c r="BU37" i="33"/>
  <c r="CK29" i="33"/>
  <c r="AP29" i="33"/>
  <c r="AP9" i="33"/>
  <c r="BU9" i="33"/>
  <c r="CK9" i="33"/>
  <c r="CK41" i="33"/>
  <c r="AP41" i="33"/>
  <c r="CK21" i="33"/>
  <c r="BU21" i="33"/>
  <c r="BV22" i="33"/>
  <c r="CL22" i="33"/>
  <c r="BV28" i="33"/>
  <c r="AQ28" i="33"/>
  <c r="S12" i="33"/>
  <c r="CL12" i="33"/>
  <c r="BV12" i="33"/>
  <c r="CL19" i="33"/>
  <c r="AQ19" i="33"/>
  <c r="BV51" i="33"/>
  <c r="CL51" i="33"/>
  <c r="AQ51" i="33"/>
  <c r="AQ31" i="33"/>
  <c r="CL31" i="33"/>
  <c r="CM53" i="33"/>
  <c r="BW53" i="33"/>
  <c r="AR53" i="33"/>
  <c r="AR33" i="33"/>
  <c r="CM33" i="33"/>
  <c r="CM13" i="33"/>
  <c r="BW13" i="33"/>
  <c r="AR13" i="33"/>
  <c r="BW25" i="33"/>
  <c r="CM25" i="33"/>
  <c r="AR25" i="33"/>
  <c r="CN36" i="33"/>
  <c r="BX36" i="33"/>
  <c r="AS36" i="33"/>
  <c r="CN16" i="33"/>
  <c r="BX16" i="33"/>
  <c r="AS16" i="33"/>
  <c r="CN48" i="33"/>
  <c r="BX48" i="33"/>
  <c r="AS48" i="33"/>
  <c r="CN28" i="33"/>
  <c r="BX28" i="33"/>
  <c r="AS28" i="33"/>
  <c r="CN8" i="33"/>
  <c r="BX8" i="33"/>
  <c r="AS8" i="33"/>
  <c r="BY41" i="33"/>
  <c r="CO41" i="33"/>
  <c r="BY21" i="33"/>
  <c r="CO21" i="33"/>
  <c r="BY19" i="33"/>
  <c r="CO19" i="33"/>
  <c r="BY51" i="33"/>
  <c r="CO51" i="33"/>
  <c r="BY31" i="33"/>
  <c r="CO31" i="33"/>
  <c r="BY11" i="33"/>
  <c r="CO11" i="33"/>
  <c r="AT11" i="33"/>
  <c r="BY43" i="33"/>
  <c r="CO43" i="33"/>
  <c r="AT43" i="33"/>
  <c r="CP31" i="33"/>
  <c r="BZ31" i="33"/>
  <c r="CP3" i="33"/>
  <c r="AU3" i="33"/>
  <c r="AJ53" i="33"/>
  <c r="AJ33" i="33"/>
  <c r="AK26" i="33"/>
  <c r="AK6" i="33"/>
  <c r="AK38" i="33"/>
  <c r="AL21" i="33"/>
  <c r="AM43" i="33"/>
  <c r="AN5" i="33"/>
  <c r="AN19" i="33"/>
  <c r="AN43" i="33"/>
  <c r="AO14" i="33"/>
  <c r="AO11" i="33"/>
  <c r="AT21" i="33"/>
  <c r="AQ22" i="33"/>
  <c r="AQ38" i="33"/>
  <c r="AU40" i="33"/>
  <c r="AS27" i="33"/>
  <c r="AS54" i="33"/>
  <c r="AU19" i="33"/>
  <c r="AS34" i="33"/>
  <c r="AU51" i="33"/>
  <c r="AU31" i="33"/>
  <c r="BV41" i="33"/>
  <c r="BV36" i="33"/>
  <c r="BW24" i="33"/>
  <c r="BX32" i="33"/>
  <c r="BY24" i="33"/>
  <c r="BZ16" i="33"/>
  <c r="BZ20" i="33"/>
  <c r="CL9" i="33"/>
  <c r="CO39" i="33"/>
  <c r="CK38" i="33"/>
  <c r="AP38" i="33"/>
  <c r="M13" i="33"/>
  <c r="CL13" i="33"/>
  <c r="BV13" i="33"/>
  <c r="CK49" i="33"/>
  <c r="BU49" i="33"/>
  <c r="AP49" i="33"/>
  <c r="CK36" i="33"/>
  <c r="BU36" i="33"/>
  <c r="AP36" i="33"/>
  <c r="CK16" i="33"/>
  <c r="BU16" i="33"/>
  <c r="AP16" i="33"/>
  <c r="CK48" i="33"/>
  <c r="BU48" i="33"/>
  <c r="AP48" i="33"/>
  <c r="AP53" i="34" s="1"/>
  <c r="CK28" i="33"/>
  <c r="BU28" i="33"/>
  <c r="AP28" i="33"/>
  <c r="CK8" i="33"/>
  <c r="BU8" i="33"/>
  <c r="AP8" i="33"/>
  <c r="CK40" i="33"/>
  <c r="AP40" i="33"/>
  <c r="CK20" i="33"/>
  <c r="BU20" i="33"/>
  <c r="BV5" i="33"/>
  <c r="CL5" i="33"/>
  <c r="AQ5" i="33"/>
  <c r="BV11" i="33"/>
  <c r="CL11" i="33"/>
  <c r="CL47" i="33"/>
  <c r="BV47" i="33"/>
  <c r="AQ47" i="33"/>
  <c r="CL18" i="33"/>
  <c r="BV18" i="33"/>
  <c r="AQ18" i="33"/>
  <c r="CL50" i="33"/>
  <c r="BV50" i="33"/>
  <c r="AQ50" i="33"/>
  <c r="CM2" i="33"/>
  <c r="BW2" i="33"/>
  <c r="AR2" i="33"/>
  <c r="CM52" i="33"/>
  <c r="AR52" i="33"/>
  <c r="AR32" i="33"/>
  <c r="CM32" i="33"/>
  <c r="BW32" i="33"/>
  <c r="CM44" i="33"/>
  <c r="BW44" i="33"/>
  <c r="CM4" i="33"/>
  <c r="BW4" i="33"/>
  <c r="U3" i="33"/>
  <c r="CN3" i="33"/>
  <c r="BX3" i="33"/>
  <c r="CN6" i="33"/>
  <c r="BX6" i="33"/>
  <c r="CN19" i="33"/>
  <c r="BX19" i="33"/>
  <c r="AS19" i="33"/>
  <c r="CN51" i="33"/>
  <c r="BX51" i="33"/>
  <c r="AS51" i="33"/>
  <c r="CN31" i="33"/>
  <c r="BX31" i="33"/>
  <c r="AS31" i="33"/>
  <c r="AS54" i="34" s="1"/>
  <c r="CN11" i="33"/>
  <c r="BX11" i="33"/>
  <c r="CN43" i="33"/>
  <c r="BX43" i="33"/>
  <c r="BY40" i="33"/>
  <c r="CO40" i="33"/>
  <c r="BY20" i="33"/>
  <c r="CO20" i="33"/>
  <c r="AT20" i="33"/>
  <c r="BY18" i="33"/>
  <c r="CO18" i="33"/>
  <c r="AT18" i="33"/>
  <c r="BY50" i="33"/>
  <c r="CO50" i="33"/>
  <c r="AT50" i="33"/>
  <c r="BY30" i="33"/>
  <c r="CO30" i="33"/>
  <c r="AT30" i="33"/>
  <c r="BY10" i="33"/>
  <c r="CO10" i="33"/>
  <c r="AT10" i="33"/>
  <c r="BY42" i="33"/>
  <c r="CO42" i="33"/>
  <c r="AT42" i="33"/>
  <c r="CP18" i="33"/>
  <c r="BZ18" i="33"/>
  <c r="CP50" i="33"/>
  <c r="BZ50" i="33"/>
  <c r="CP30" i="33"/>
  <c r="BZ30" i="33"/>
  <c r="AU30" i="33"/>
  <c r="CP10" i="33"/>
  <c r="BZ10" i="33"/>
  <c r="AU10" i="33"/>
  <c r="CP42" i="33"/>
  <c r="BZ42" i="33"/>
  <c r="AU42" i="33"/>
  <c r="CP22" i="33"/>
  <c r="BZ22" i="33"/>
  <c r="AJ2" i="33"/>
  <c r="AJ52" i="33"/>
  <c r="AJ32" i="33"/>
  <c r="AJ24" i="33"/>
  <c r="AJ34" i="34" s="1"/>
  <c r="AJ4" i="33"/>
  <c r="AK41" i="33"/>
  <c r="AK14" i="33"/>
  <c r="AL16" i="33"/>
  <c r="AL28" i="33"/>
  <c r="AL40" i="33"/>
  <c r="AL29" i="34" s="1"/>
  <c r="AM21" i="33"/>
  <c r="AM50" i="33"/>
  <c r="AM30" i="33"/>
  <c r="AM10" i="33"/>
  <c r="AN2" i="33"/>
  <c r="AN39" i="33"/>
  <c r="AN18" i="33"/>
  <c r="AN28" i="33"/>
  <c r="AN42" i="33"/>
  <c r="AO10" i="33"/>
  <c r="AO20" i="33"/>
  <c r="AT6" i="33"/>
  <c r="AT40" i="33"/>
  <c r="AP26" i="33"/>
  <c r="AR43" i="33"/>
  <c r="AT19" i="33"/>
  <c r="AT51" i="33"/>
  <c r="AT31" i="33"/>
  <c r="BU29" i="33"/>
  <c r="BV19" i="33"/>
  <c r="BW35" i="33"/>
  <c r="BW7" i="33"/>
  <c r="BX15" i="33"/>
  <c r="BY7" i="33"/>
  <c r="BY48" i="33"/>
  <c r="BZ51" i="33"/>
  <c r="BZ3" i="33"/>
  <c r="CL28" i="33"/>
  <c r="CK51" i="33"/>
  <c r="BU51" i="33"/>
  <c r="AP51" i="33"/>
  <c r="BV24" i="33"/>
  <c r="CL24" i="33"/>
  <c r="AQ24" i="33"/>
  <c r="BV4" i="33"/>
  <c r="CL4" i="33"/>
  <c r="AQ4" i="33"/>
  <c r="M10" i="33"/>
  <c r="BV10" i="33"/>
  <c r="CL10" i="33"/>
  <c r="CL33" i="33"/>
  <c r="BV33" i="33"/>
  <c r="CM15" i="33"/>
  <c r="AR15" i="33"/>
  <c r="BW15" i="33"/>
  <c r="CM27" i="33"/>
  <c r="BW27" i="33"/>
  <c r="CM39" i="33"/>
  <c r="BW39" i="33"/>
  <c r="AR39" i="33"/>
  <c r="AR25" i="34" s="1"/>
  <c r="CN22" i="33"/>
  <c r="AS22" i="33"/>
  <c r="CN41" i="33"/>
  <c r="BX41" i="33"/>
  <c r="AS41" i="33"/>
  <c r="BX18" i="33"/>
  <c r="CN18" i="33"/>
  <c r="BX42" i="33"/>
  <c r="CN42" i="33"/>
  <c r="BY23" i="33"/>
  <c r="CO23" i="33"/>
  <c r="AT23" i="33"/>
  <c r="AN23" i="33"/>
  <c r="BY3" i="33"/>
  <c r="CO3" i="33"/>
  <c r="AN3" i="33"/>
  <c r="BY53" i="33"/>
  <c r="CO53" i="33"/>
  <c r="AT53" i="33"/>
  <c r="BY33" i="33"/>
  <c r="CO33" i="33"/>
  <c r="AT33" i="33"/>
  <c r="BY13" i="33"/>
  <c r="CO13" i="33"/>
  <c r="BY45" i="33"/>
  <c r="CO45" i="33"/>
  <c r="CO25" i="33"/>
  <c r="BY25" i="33"/>
  <c r="CP53" i="33"/>
  <c r="BZ53" i="33"/>
  <c r="AU53" i="33"/>
  <c r="CP33" i="33"/>
  <c r="BZ33" i="33"/>
  <c r="AU33" i="33"/>
  <c r="CP13" i="33"/>
  <c r="BZ13" i="33"/>
  <c r="AU13" i="33"/>
  <c r="CP45" i="33"/>
  <c r="BZ45" i="33"/>
  <c r="AU45" i="33"/>
  <c r="AU43" i="34" s="1"/>
  <c r="CP25" i="33"/>
  <c r="BZ25" i="33"/>
  <c r="AU25" i="33"/>
  <c r="CP5" i="33"/>
  <c r="BZ5" i="33"/>
  <c r="AK37" i="33"/>
  <c r="AK17" i="33"/>
  <c r="AK9" i="34" s="1"/>
  <c r="AL19" i="33"/>
  <c r="AL51" i="33"/>
  <c r="AL11" i="33"/>
  <c r="AL23" i="33"/>
  <c r="AM20" i="33"/>
  <c r="AM53" i="33"/>
  <c r="AM13" i="33"/>
  <c r="AN38" i="33"/>
  <c r="AN53" i="33"/>
  <c r="AN25" i="33"/>
  <c r="AO45" i="33"/>
  <c r="AS3" i="33"/>
  <c r="AT39" i="33"/>
  <c r="AS6" i="33"/>
  <c r="AT45" i="33"/>
  <c r="AR12" i="33"/>
  <c r="BV38" i="33"/>
  <c r="BV17" i="33"/>
  <c r="BW33" i="33"/>
  <c r="BW5" i="33"/>
  <c r="CL16" i="33"/>
  <c r="CL53" i="33"/>
  <c r="BV53" i="33"/>
  <c r="CK30" i="33"/>
  <c r="BU30" i="33"/>
  <c r="CM54" i="33"/>
  <c r="BW54" i="33"/>
  <c r="CM34" i="33"/>
  <c r="BW34" i="33"/>
  <c r="CM14" i="33"/>
  <c r="BW14" i="33"/>
  <c r="CM46" i="33"/>
  <c r="BW46" i="33"/>
  <c r="AR46" i="33"/>
  <c r="CM26" i="33"/>
  <c r="BW26" i="33"/>
  <c r="AR26" i="33"/>
  <c r="CM6" i="33"/>
  <c r="BW6" i="33"/>
  <c r="AR6" i="33"/>
  <c r="CM38" i="33"/>
  <c r="BW38" i="33"/>
  <c r="CN5" i="33"/>
  <c r="BX5" i="33"/>
  <c r="CN40" i="33"/>
  <c r="BX40" i="33"/>
  <c r="AS40" i="33"/>
  <c r="CN33" i="33"/>
  <c r="BX33" i="33"/>
  <c r="CN13" i="33"/>
  <c r="AS13" i="33"/>
  <c r="AS51" i="34" s="1"/>
  <c r="CN45" i="33"/>
  <c r="BX45" i="33"/>
  <c r="AS45" i="33"/>
  <c r="CN25" i="33"/>
  <c r="AS25" i="33"/>
  <c r="CO22" i="33"/>
  <c r="BY22" i="33"/>
  <c r="BY52" i="33"/>
  <c r="CO52" i="33"/>
  <c r="AN52" i="33"/>
  <c r="BY32" i="33"/>
  <c r="CO32" i="33"/>
  <c r="AT32" i="33"/>
  <c r="AN32" i="33"/>
  <c r="BY12" i="33"/>
  <c r="CO12" i="33"/>
  <c r="AN12" i="33"/>
  <c r="BY44" i="33"/>
  <c r="CO44" i="33"/>
  <c r="AN44" i="33"/>
  <c r="CP2" i="33"/>
  <c r="BZ2" i="33"/>
  <c r="AU2" i="33"/>
  <c r="AO2" i="33"/>
  <c r="CP52" i="33"/>
  <c r="BZ52" i="33"/>
  <c r="AU52" i="33"/>
  <c r="AO52" i="33"/>
  <c r="CP32" i="33"/>
  <c r="BZ32" i="33"/>
  <c r="AU32" i="33"/>
  <c r="AO32" i="33"/>
  <c r="CP12" i="33"/>
  <c r="BZ12" i="33"/>
  <c r="AO12" i="33"/>
  <c r="CP44" i="33"/>
  <c r="BZ44" i="33"/>
  <c r="AO44" i="33"/>
  <c r="CP24" i="33"/>
  <c r="BZ24" i="33"/>
  <c r="AO24" i="33"/>
  <c r="CP4" i="33"/>
  <c r="BZ4" i="33"/>
  <c r="AO4" i="33"/>
  <c r="AJ26" i="33"/>
  <c r="AJ38" i="33"/>
  <c r="AK43" i="33"/>
  <c r="AK23" i="33"/>
  <c r="AK3" i="33"/>
  <c r="AK21" i="34" s="1"/>
  <c r="AK36" i="33"/>
  <c r="AK16" i="33"/>
  <c r="AK8" i="34" s="1"/>
  <c r="AK48" i="33"/>
  <c r="AL18" i="33"/>
  <c r="AL50" i="33"/>
  <c r="AL30" i="33"/>
  <c r="AM2" i="33"/>
  <c r="AM3" i="33"/>
  <c r="AN21" i="33"/>
  <c r="AN10" i="33"/>
  <c r="AO30" i="33"/>
  <c r="AO52" i="34" s="1"/>
  <c r="AP21" i="33"/>
  <c r="AQ3" i="33"/>
  <c r="AS5" i="33"/>
  <c r="AR24" i="33"/>
  <c r="AU23" i="33"/>
  <c r="AS42" i="33"/>
  <c r="AU11" i="33"/>
  <c r="AS30" i="33"/>
  <c r="AS37" i="33"/>
  <c r="AU18" i="33"/>
  <c r="AU14" i="34" s="1"/>
  <c r="AS17" i="33"/>
  <c r="AU50" i="33"/>
  <c r="BU24" i="33"/>
  <c r="BX20" i="33"/>
  <c r="BX10" i="33"/>
  <c r="BY55" i="33"/>
  <c r="CP43" i="33"/>
  <c r="CK43" i="33"/>
  <c r="BU43" i="33"/>
  <c r="CL46" i="33"/>
  <c r="BV46" i="33"/>
  <c r="CK18" i="33"/>
  <c r="BU18" i="33"/>
  <c r="CK42" i="33"/>
  <c r="BU42" i="33"/>
  <c r="CK22" i="33"/>
  <c r="BU22" i="33"/>
  <c r="AP22" i="33"/>
  <c r="CL2" i="33"/>
  <c r="BV2" i="33"/>
  <c r="CL39" i="33"/>
  <c r="BV39" i="33"/>
  <c r="CL52" i="33"/>
  <c r="BV52" i="33"/>
  <c r="CK53" i="33"/>
  <c r="BU53" i="33"/>
  <c r="CK13" i="33"/>
  <c r="BU13" i="33"/>
  <c r="AP13" i="33"/>
  <c r="AP51" i="34" s="1"/>
  <c r="CK45" i="33"/>
  <c r="BU45" i="33"/>
  <c r="AP45" i="33"/>
  <c r="CK25" i="33"/>
  <c r="BU25" i="33"/>
  <c r="AP25" i="33"/>
  <c r="CK5" i="33"/>
  <c r="BU5" i="33"/>
  <c r="CL26" i="33"/>
  <c r="BV26" i="33"/>
  <c r="CL6" i="33"/>
  <c r="BV6" i="33"/>
  <c r="CL44" i="33"/>
  <c r="BV44" i="33"/>
  <c r="AQ44" i="33"/>
  <c r="CL55" i="33"/>
  <c r="BV55" i="33"/>
  <c r="AQ55" i="33"/>
  <c r="CL35" i="33"/>
  <c r="BV35" i="33"/>
  <c r="AQ35" i="33"/>
  <c r="AQ12" i="34" s="1"/>
  <c r="CL15" i="33"/>
  <c r="BV15" i="33"/>
  <c r="AQ15" i="33"/>
  <c r="CM37" i="33"/>
  <c r="BW37" i="33"/>
  <c r="AR37" i="33"/>
  <c r="CM17" i="33"/>
  <c r="BW17" i="33"/>
  <c r="AR17" i="33"/>
  <c r="CM49" i="33"/>
  <c r="BW49" i="33"/>
  <c r="CM29" i="33"/>
  <c r="BW29" i="33"/>
  <c r="AR29" i="33"/>
  <c r="CM9" i="33"/>
  <c r="BW9" i="33"/>
  <c r="AR9" i="33"/>
  <c r="CM41" i="33"/>
  <c r="BW41" i="33"/>
  <c r="CM21" i="33"/>
  <c r="BW21" i="33"/>
  <c r="U4" i="33"/>
  <c r="BX4" i="33"/>
  <c r="CN4" i="33"/>
  <c r="CN23" i="33"/>
  <c r="BX23" i="33"/>
  <c r="CN52" i="33"/>
  <c r="BX52" i="33"/>
  <c r="AS52" i="33"/>
  <c r="AS32" i="33"/>
  <c r="CN32" i="33"/>
  <c r="AS12" i="33"/>
  <c r="CN12" i="33"/>
  <c r="BX12" i="33"/>
  <c r="AS44" i="33"/>
  <c r="AS41" i="34" s="1"/>
  <c r="CN44" i="33"/>
  <c r="CN24" i="33"/>
  <c r="AS24" i="33"/>
  <c r="BX24" i="33"/>
  <c r="CO35" i="33"/>
  <c r="BY35" i="33"/>
  <c r="CO15" i="33"/>
  <c r="AT15" i="33"/>
  <c r="CO47" i="33"/>
  <c r="BY47" i="33"/>
  <c r="AT47" i="33"/>
  <c r="CO27" i="33"/>
  <c r="AT27" i="33"/>
  <c r="CP55" i="33"/>
  <c r="BZ55" i="33"/>
  <c r="CP35" i="33"/>
  <c r="BZ35" i="33"/>
  <c r="CP15" i="33"/>
  <c r="BZ15" i="33"/>
  <c r="AU15" i="33"/>
  <c r="CP47" i="33"/>
  <c r="BZ47" i="33"/>
  <c r="CP27" i="33"/>
  <c r="BZ27" i="33"/>
  <c r="CP7" i="33"/>
  <c r="BZ7" i="33"/>
  <c r="CP39" i="33"/>
  <c r="BZ39" i="33"/>
  <c r="AU39" i="33"/>
  <c r="AJ37" i="33"/>
  <c r="AJ17" i="33"/>
  <c r="AJ49" i="33"/>
  <c r="AJ55" i="34" s="1"/>
  <c r="AJ29" i="33"/>
  <c r="AJ9" i="33"/>
  <c r="AJ41" i="33"/>
  <c r="AJ21" i="33"/>
  <c r="AK42" i="33"/>
  <c r="AK22" i="33"/>
  <c r="AK28" i="33"/>
  <c r="AK19" i="33"/>
  <c r="AK51" i="33"/>
  <c r="AK31" i="33"/>
  <c r="AL53" i="33"/>
  <c r="AL33" i="33"/>
  <c r="AL13" i="33"/>
  <c r="AL45" i="33"/>
  <c r="AL25" i="33"/>
  <c r="AL5" i="33"/>
  <c r="AM22" i="33"/>
  <c r="AM47" i="33"/>
  <c r="AM27" i="33"/>
  <c r="AM7" i="33"/>
  <c r="AM33" i="34" s="1"/>
  <c r="AN20" i="33"/>
  <c r="AN31" i="33"/>
  <c r="AN45" i="33"/>
  <c r="AO51" i="33"/>
  <c r="AO13" i="33"/>
  <c r="AO23" i="33"/>
  <c r="AQ2" i="33"/>
  <c r="AU20" i="33"/>
  <c r="AR5" i="33"/>
  <c r="AR27" i="34" s="1"/>
  <c r="AQ39" i="33"/>
  <c r="AP24" i="33"/>
  <c r="AS23" i="33"/>
  <c r="AU8" i="33"/>
  <c r="AQ42" i="33"/>
  <c r="AS11" i="33"/>
  <c r="AU44" i="33"/>
  <c r="AU55" i="33"/>
  <c r="AS18" i="33"/>
  <c r="AU35" i="33"/>
  <c r="AQ17" i="33"/>
  <c r="AQ9" i="34" s="1"/>
  <c r="AS50" i="33"/>
  <c r="AS14" i="33"/>
  <c r="BU41" i="33"/>
  <c r="BV42" i="33"/>
  <c r="BV48" i="33"/>
  <c r="BW12" i="33"/>
  <c r="BX22" i="33"/>
  <c r="BX44" i="33"/>
  <c r="BZ11" i="33"/>
  <c r="CM45" i="33"/>
  <c r="AP31" i="33"/>
  <c r="AP54" i="34" s="1"/>
  <c r="CK31" i="33"/>
  <c r="BU31" i="33"/>
  <c r="CK11" i="33"/>
  <c r="BU11" i="33"/>
  <c r="CK23" i="33"/>
  <c r="BU23" i="33"/>
  <c r="CK3" i="33"/>
  <c r="BU3" i="33"/>
  <c r="CM55" i="33"/>
  <c r="BW55" i="33"/>
  <c r="CK50" i="33"/>
  <c r="BU50" i="33"/>
  <c r="CK10" i="33"/>
  <c r="BU10" i="33"/>
  <c r="CL7" i="33"/>
  <c r="AQ7" i="33"/>
  <c r="BV45" i="33"/>
  <c r="CL45" i="33"/>
  <c r="CL29" i="33"/>
  <c r="BV29" i="33"/>
  <c r="CL32" i="33"/>
  <c r="BV32" i="33"/>
  <c r="AQ32" i="33"/>
  <c r="CK33" i="33"/>
  <c r="BU33" i="33"/>
  <c r="L2" i="33"/>
  <c r="BU2" i="33"/>
  <c r="CK2" i="33"/>
  <c r="CK52" i="33"/>
  <c r="AP52" i="33"/>
  <c r="BU32" i="33"/>
  <c r="CK32" i="33"/>
  <c r="CK12" i="33"/>
  <c r="AP12" i="33"/>
  <c r="CK44" i="33"/>
  <c r="BU44" i="33"/>
  <c r="AP44" i="33"/>
  <c r="AP41" i="34" s="1"/>
  <c r="BU4" i="33"/>
  <c r="CK4" i="33"/>
  <c r="CL21" i="33"/>
  <c r="BV21" i="33"/>
  <c r="AQ21" i="33"/>
  <c r="BV27" i="33"/>
  <c r="AQ27" i="33"/>
  <c r="CL27" i="33"/>
  <c r="AQ54" i="33"/>
  <c r="CL54" i="33"/>
  <c r="CL34" i="33"/>
  <c r="BV34" i="33"/>
  <c r="AQ34" i="33"/>
  <c r="AQ10" i="34" s="1"/>
  <c r="AQ14" i="33"/>
  <c r="CL14" i="33"/>
  <c r="BW36" i="33"/>
  <c r="CM36" i="33"/>
  <c r="AR36" i="33"/>
  <c r="BW16" i="33"/>
  <c r="AR16" i="33"/>
  <c r="AR48" i="33"/>
  <c r="BW48" i="33"/>
  <c r="CM48" i="33"/>
  <c r="BW28" i="33"/>
  <c r="CM28" i="33"/>
  <c r="BW8" i="33"/>
  <c r="CM8" i="33"/>
  <c r="BW40" i="33"/>
  <c r="CM40" i="33"/>
  <c r="CM20" i="33"/>
  <c r="BW20" i="33"/>
  <c r="BX39" i="33"/>
  <c r="CN39" i="33"/>
  <c r="AS55" i="33"/>
  <c r="AS19" i="34" s="1"/>
  <c r="CN55" i="33"/>
  <c r="AS35" i="33"/>
  <c r="CN35" i="33"/>
  <c r="BX35" i="33"/>
  <c r="AS15" i="33"/>
  <c r="CN15" i="33"/>
  <c r="CN47" i="33"/>
  <c r="BX47" i="33"/>
  <c r="CO4" i="33"/>
  <c r="AT4" i="33"/>
  <c r="AN4" i="33"/>
  <c r="BY4" i="33"/>
  <c r="BY54" i="33"/>
  <c r="AT54" i="33"/>
  <c r="CO54" i="33"/>
  <c r="CO34" i="33"/>
  <c r="AT34" i="33"/>
  <c r="BY14" i="33"/>
  <c r="AT14" i="33"/>
  <c r="CO46" i="33"/>
  <c r="AT46" i="33"/>
  <c r="CO26" i="33"/>
  <c r="BY26" i="33"/>
  <c r="AT26" i="33"/>
  <c r="CP54" i="33"/>
  <c r="BZ54" i="33"/>
  <c r="BZ14" i="33"/>
  <c r="CP14" i="33"/>
  <c r="CP46" i="33"/>
  <c r="AU46" i="33"/>
  <c r="CP26" i="33"/>
  <c r="AU26" i="33"/>
  <c r="CP6" i="33"/>
  <c r="BZ6" i="33"/>
  <c r="AU6" i="33"/>
  <c r="AU38" i="33"/>
  <c r="AU23" i="34" s="1"/>
  <c r="BZ38" i="33"/>
  <c r="CP38" i="33"/>
  <c r="AJ36" i="33"/>
  <c r="AJ16" i="33"/>
  <c r="AJ48" i="33"/>
  <c r="AJ28" i="33"/>
  <c r="AJ8" i="33"/>
  <c r="AJ40" i="33"/>
  <c r="AJ20" i="33"/>
  <c r="AK25" i="33"/>
  <c r="AK5" i="33"/>
  <c r="AK47" i="33"/>
  <c r="AK18" i="33"/>
  <c r="AK50" i="33"/>
  <c r="AL2" i="33"/>
  <c r="AL52" i="33"/>
  <c r="AL32" i="33"/>
  <c r="AL12" i="33"/>
  <c r="AL44" i="33"/>
  <c r="AL24" i="33"/>
  <c r="AL4" i="33"/>
  <c r="AM5" i="33"/>
  <c r="AM6" i="33"/>
  <c r="AN41" i="33"/>
  <c r="AN31" i="34" s="1"/>
  <c r="AN55" i="33"/>
  <c r="AN19" i="34" s="1"/>
  <c r="AN16" i="33"/>
  <c r="AN30" i="33"/>
  <c r="AN27" i="33"/>
  <c r="AN42" i="34" s="1"/>
  <c r="AO50" i="33"/>
  <c r="AO47" i="33"/>
  <c r="AO22" i="33"/>
  <c r="AS2" i="33"/>
  <c r="AS20" i="33"/>
  <c r="AU22" i="33"/>
  <c r="AP5" i="33"/>
  <c r="AU7" i="33"/>
  <c r="AT41" i="33"/>
  <c r="AT31" i="34" s="1"/>
  <c r="AT8" i="33"/>
  <c r="AP42" i="33"/>
  <c r="AT44" i="33"/>
  <c r="AP30" i="33"/>
  <c r="AR47" i="33"/>
  <c r="AT55" i="33"/>
  <c r="AT19" i="34" s="1"/>
  <c r="AP37" i="33"/>
  <c r="AR18" i="33"/>
  <c r="AT35" i="33"/>
  <c r="AP17" i="33"/>
  <c r="AR14" i="33"/>
  <c r="BU17" i="33"/>
  <c r="BU40" i="33"/>
  <c r="BV25" i="33"/>
  <c r="BV31" i="33"/>
  <c r="BW47" i="33"/>
  <c r="BX55" i="33"/>
  <c r="BX27" i="33"/>
  <c r="BY36" i="33"/>
  <c r="BY8" i="33"/>
  <c r="BZ26" i="33"/>
  <c r="CL37" i="33"/>
  <c r="BV37" i="33"/>
  <c r="CL49" i="33"/>
  <c r="BV49" i="33"/>
  <c r="AQ49" i="33"/>
  <c r="BW19" i="33"/>
  <c r="CM19" i="33"/>
  <c r="BW51" i="33"/>
  <c r="CM51" i="33"/>
  <c r="BW31" i="33"/>
  <c r="AR31" i="33"/>
  <c r="CM31" i="33"/>
  <c r="BW11" i="33"/>
  <c r="CM11" i="33"/>
  <c r="BW43" i="33"/>
  <c r="CM43" i="33"/>
  <c r="BW23" i="33"/>
  <c r="CM23" i="33"/>
  <c r="CM3" i="33"/>
  <c r="AR3" i="33"/>
  <c r="BX38" i="33"/>
  <c r="CN38" i="33"/>
  <c r="AS38" i="33"/>
  <c r="CN54" i="33"/>
  <c r="BX54" i="33"/>
  <c r="CN34" i="33"/>
  <c r="BX34" i="33"/>
  <c r="CN14" i="33"/>
  <c r="BX14" i="33"/>
  <c r="CN46" i="33"/>
  <c r="BX46" i="33"/>
  <c r="CN26" i="33"/>
  <c r="BX26" i="33"/>
  <c r="AB7" i="33"/>
  <c r="CO7" i="33"/>
  <c r="AT7" i="33"/>
  <c r="CO37" i="33"/>
  <c r="AN37" i="33"/>
  <c r="AT37" i="33"/>
  <c r="CO17" i="33"/>
  <c r="AN17" i="33"/>
  <c r="AT17" i="33"/>
  <c r="BY17" i="33"/>
  <c r="AT49" i="33"/>
  <c r="CO49" i="33"/>
  <c r="AN49" i="33"/>
  <c r="CO29" i="33"/>
  <c r="AN29" i="33"/>
  <c r="BY29" i="33"/>
  <c r="CO9" i="33"/>
  <c r="AN9" i="33"/>
  <c r="CP37" i="33"/>
  <c r="AO37" i="33"/>
  <c r="AU37" i="33"/>
  <c r="CP17" i="33"/>
  <c r="BZ17" i="33"/>
  <c r="AO17" i="33"/>
  <c r="AU17" i="33"/>
  <c r="AU49" i="33"/>
  <c r="CP49" i="33"/>
  <c r="AO49" i="33"/>
  <c r="CP29" i="33"/>
  <c r="BZ29" i="33"/>
  <c r="AU29" i="33"/>
  <c r="AO29" i="33"/>
  <c r="CP9" i="33"/>
  <c r="BZ9" i="33"/>
  <c r="AU9" i="33"/>
  <c r="AO9" i="33"/>
  <c r="CP41" i="33"/>
  <c r="BZ41" i="33"/>
  <c r="AU41" i="33"/>
  <c r="AO41" i="33"/>
  <c r="CP21" i="33"/>
  <c r="BZ21" i="33"/>
  <c r="AO21" i="33"/>
  <c r="AJ51" i="33"/>
  <c r="AJ31" i="33"/>
  <c r="AJ11" i="33"/>
  <c r="AJ43" i="33"/>
  <c r="AJ23" i="33"/>
  <c r="AJ3" i="33"/>
  <c r="AK24" i="33"/>
  <c r="AK4" i="33"/>
  <c r="AK46" i="33"/>
  <c r="AK53" i="33"/>
  <c r="AK13" i="34" s="1"/>
  <c r="AK33" i="33"/>
  <c r="AL55" i="33"/>
  <c r="AL35" i="33"/>
  <c r="AL15" i="33"/>
  <c r="AL47" i="33"/>
  <c r="AL27" i="33"/>
  <c r="AL7" i="33"/>
  <c r="AL39" i="33"/>
  <c r="AM4" i="33"/>
  <c r="AM41" i="33"/>
  <c r="AN40" i="33"/>
  <c r="AN54" i="33"/>
  <c r="AN51" i="33"/>
  <c r="AN13" i="33"/>
  <c r="AN26" i="33"/>
  <c r="AO19" i="33"/>
  <c r="AO33" i="33"/>
  <c r="AO46" i="33"/>
  <c r="AO43" i="33"/>
  <c r="AO5" i="33"/>
  <c r="AO27" i="34" s="1"/>
  <c r="AT2" i="33"/>
  <c r="AR20" i="33"/>
  <c r="AT22" i="33"/>
  <c r="AU4" i="33"/>
  <c r="AS7" i="33"/>
  <c r="AR41" i="33"/>
  <c r="AP23" i="33"/>
  <c r="AR8" i="33"/>
  <c r="AT25" i="33"/>
  <c r="AP11" i="33"/>
  <c r="AR44" i="33"/>
  <c r="AT13" i="33"/>
  <c r="AR55" i="33"/>
  <c r="AT36" i="33"/>
  <c r="AT16" i="34" s="1"/>
  <c r="AP18" i="33"/>
  <c r="AR35" i="33"/>
  <c r="AR12" i="34" s="1"/>
  <c r="AP50" i="33"/>
  <c r="AR49" i="33"/>
  <c r="BU38" i="33"/>
  <c r="BW3" i="33"/>
  <c r="BW45" i="33"/>
  <c r="BX53" i="33"/>
  <c r="BX25" i="33"/>
  <c r="BY34" i="33"/>
  <c r="BZ37" i="33"/>
  <c r="BZ43" i="33"/>
  <c r="CN30" i="33"/>
  <c r="BW50" i="33"/>
  <c r="CM50" i="33"/>
  <c r="CM30" i="33"/>
  <c r="AR30" i="33"/>
  <c r="CM10" i="33"/>
  <c r="BW10" i="33"/>
  <c r="AR10" i="33"/>
  <c r="AR42" i="33"/>
  <c r="CM42" i="33"/>
  <c r="BW22" i="33"/>
  <c r="CM22" i="33"/>
  <c r="U2" i="33"/>
  <c r="BX2" i="33"/>
  <c r="BX21" i="33"/>
  <c r="CN21" i="33"/>
  <c r="CN37" i="33"/>
  <c r="BX37" i="33"/>
  <c r="CN17" i="33"/>
  <c r="BX17" i="33"/>
  <c r="CN49" i="33"/>
  <c r="BX49" i="33"/>
  <c r="AS49" i="33"/>
  <c r="CN29" i="33"/>
  <c r="BX29" i="33"/>
  <c r="AS29" i="33"/>
  <c r="CN9" i="33"/>
  <c r="BX9" i="33"/>
  <c r="AS9" i="33"/>
  <c r="P6" i="33"/>
  <c r="BY6" i="33"/>
  <c r="CO6" i="33"/>
  <c r="BY38" i="33"/>
  <c r="CO38" i="33"/>
  <c r="CO16" i="33"/>
  <c r="BY16" i="33"/>
  <c r="AT48" i="33"/>
  <c r="CO48" i="33"/>
  <c r="CO28" i="33"/>
  <c r="BY28" i="33"/>
  <c r="CP36" i="33"/>
  <c r="AU36" i="33"/>
  <c r="BZ36" i="33"/>
  <c r="CP16" i="33"/>
  <c r="AU16" i="33"/>
  <c r="AU8" i="34" s="1"/>
  <c r="AU48" i="33"/>
  <c r="AU53" i="34" s="1"/>
  <c r="CP48" i="33"/>
  <c r="BZ48" i="33"/>
  <c r="CP28" i="33"/>
  <c r="BZ28" i="33"/>
  <c r="CP8" i="33"/>
  <c r="BZ8" i="33"/>
  <c r="CP40" i="33"/>
  <c r="BZ40" i="33"/>
  <c r="AJ18" i="33"/>
  <c r="AJ50" i="33"/>
  <c r="AJ30" i="33"/>
  <c r="AJ10" i="33"/>
  <c r="AJ44" i="34" s="1"/>
  <c r="AJ42" i="33"/>
  <c r="AJ22" i="33"/>
  <c r="AK2" i="33"/>
  <c r="AK7" i="33"/>
  <c r="AK39" i="33"/>
  <c r="AK45" i="33"/>
  <c r="AK29" i="33"/>
  <c r="AK52" i="33"/>
  <c r="AK11" i="34" s="1"/>
  <c r="AK32" i="33"/>
  <c r="AL54" i="33"/>
  <c r="AL34" i="33"/>
  <c r="AL14" i="33"/>
  <c r="AL46" i="33"/>
  <c r="AL47" i="34" s="1"/>
  <c r="AL26" i="33"/>
  <c r="AL6" i="33"/>
  <c r="AL38" i="33"/>
  <c r="AL23" i="34" s="1"/>
  <c r="AM39" i="33"/>
  <c r="AM36" i="33"/>
  <c r="AM16" i="33"/>
  <c r="AM48" i="33"/>
  <c r="AM28" i="33"/>
  <c r="AM8" i="33"/>
  <c r="AM40" i="33"/>
  <c r="AN22" i="33"/>
  <c r="AN36" i="33"/>
  <c r="AN50" i="33"/>
  <c r="AN47" i="33"/>
  <c r="AN8" i="33"/>
  <c r="AN38" i="34" s="1"/>
  <c r="AO18" i="33"/>
  <c r="AO15" i="33"/>
  <c r="AO3" i="34" s="1"/>
  <c r="AO28" i="33"/>
  <c r="AO42" i="33"/>
  <c r="AO39" i="33"/>
  <c r="AU21" i="33"/>
  <c r="AR22" i="33"/>
  <c r="AS4" i="33"/>
  <c r="AR38" i="33"/>
  <c r="AR7" i="33"/>
  <c r="AR33" i="34" s="1"/>
  <c r="AQ41" i="33"/>
  <c r="AS26" i="33"/>
  <c r="AQ25" i="33"/>
  <c r="AS10" i="33"/>
  <c r="AS44" i="34" s="1"/>
  <c r="AU27" i="33"/>
  <c r="AS46" i="33"/>
  <c r="AU54" i="33"/>
  <c r="AQ36" i="33"/>
  <c r="AS53" i="33"/>
  <c r="AS13" i="34" s="1"/>
  <c r="AU34" i="33"/>
  <c r="AQ16" i="33"/>
  <c r="AQ8" i="34" s="1"/>
  <c r="AS33" i="33"/>
  <c r="AS6" i="34" s="1"/>
  <c r="AQ48" i="33"/>
  <c r="BU12" i="33"/>
  <c r="BV7" i="33"/>
  <c r="BV54" i="33"/>
  <c r="BW18" i="33"/>
  <c r="BW42" i="33"/>
  <c r="BX50" i="33"/>
  <c r="BY2" i="33"/>
  <c r="BY15" i="33"/>
  <c r="BZ34" i="33"/>
  <c r="BZ23" i="33"/>
  <c r="CK26" i="33"/>
  <c r="CN7" i="33"/>
  <c r="V6" i="33"/>
  <c r="AB6" i="33"/>
  <c r="V7" i="33"/>
  <c r="P7" i="33"/>
  <c r="AA3" i="33"/>
  <c r="O3" i="33"/>
  <c r="O2" i="33"/>
  <c r="AA2" i="33"/>
  <c r="Y13" i="33"/>
  <c r="M12" i="33"/>
  <c r="S13" i="33"/>
  <c r="Y12" i="33"/>
  <c r="M11" i="33"/>
  <c r="Y11" i="33"/>
  <c r="Y10" i="33"/>
  <c r="S10" i="33"/>
  <c r="S8" i="33"/>
  <c r="Y8" i="33"/>
  <c r="S9" i="33"/>
  <c r="Y9" i="33"/>
  <c r="AR54" i="34" l="1"/>
  <c r="BG35" i="34"/>
  <c r="AZ17" i="34"/>
  <c r="BM20" i="34"/>
  <c r="AZ31" i="34"/>
  <c r="CP35" i="34"/>
  <c r="BL17" i="34"/>
  <c r="CF20" i="34" a="1"/>
  <c r="CF20" i="34" s="1"/>
  <c r="CC34" i="34" a="1"/>
  <c r="CC34" i="34" s="1"/>
  <c r="BJ36" i="34"/>
  <c r="AV29" i="34"/>
  <c r="CO31" i="34"/>
  <c r="BL41" i="34"/>
  <c r="BH29" i="34"/>
  <c r="BF41" i="34"/>
  <c r="BK28" i="34"/>
  <c r="BA31" i="34"/>
  <c r="AM17" i="34"/>
  <c r="BU29" i="34"/>
  <c r="CF35" i="34" a="1"/>
  <c r="CF35" i="34" s="1"/>
  <c r="AK34" i="34"/>
  <c r="CF31" i="34" a="1"/>
  <c r="CF31" i="34" s="1"/>
  <c r="BB29" i="34"/>
  <c r="AZ41" i="34"/>
  <c r="BF17" i="34"/>
  <c r="CA23" i="34" a="1"/>
  <c r="CA23" i="34" s="1"/>
  <c r="CM36" i="34"/>
  <c r="BJ34" i="34"/>
  <c r="BM31" i="34"/>
  <c r="CO17" i="34"/>
  <c r="BD36" i="34"/>
  <c r="BJ19" i="34"/>
  <c r="AN48" i="34"/>
  <c r="AL22" i="34"/>
  <c r="AR45" i="34"/>
  <c r="CB26" i="34" a="1"/>
  <c r="CB26" i="34" s="1"/>
  <c r="BH39" i="34"/>
  <c r="CA39" i="34" a="1"/>
  <c r="CA39" i="34" s="1"/>
  <c r="AU47" i="34"/>
  <c r="AJ13" i="34"/>
  <c r="BC21" i="34"/>
  <c r="AZ44" i="34"/>
  <c r="CO49" i="34"/>
  <c r="CD29" i="34" a="1"/>
  <c r="CD29" i="34" s="1"/>
  <c r="CB37" i="34" a="1"/>
  <c r="CB37" i="34" s="1"/>
  <c r="BF36" i="34"/>
  <c r="BI22" i="34"/>
  <c r="AS47" i="34"/>
  <c r="AU42" i="34"/>
  <c r="AZ54" i="34"/>
  <c r="CK23" i="34"/>
  <c r="BL54" i="34"/>
  <c r="BA20" i="34"/>
  <c r="BY41" i="34"/>
  <c r="BE28" i="34"/>
  <c r="BW19" i="34"/>
  <c r="BL31" i="34"/>
  <c r="AV23" i="34"/>
  <c r="AN6" i="34"/>
  <c r="CD28" i="34" a="1"/>
  <c r="CD28" i="34" s="1"/>
  <c r="CC19" i="34" a="1"/>
  <c r="CC19" i="34" s="1"/>
  <c r="BW34" i="34"/>
  <c r="BD34" i="34"/>
  <c r="CE31" i="34" a="1"/>
  <c r="CE31" i="34" s="1"/>
  <c r="AS22" i="34"/>
  <c r="BY31" i="34"/>
  <c r="CP31" i="34"/>
  <c r="BZ20" i="34"/>
  <c r="BA35" i="34"/>
  <c r="AX34" i="34"/>
  <c r="BW36" i="34"/>
  <c r="CF25" i="34" a="1"/>
  <c r="CF25" i="34" s="1"/>
  <c r="CK25" i="34"/>
  <c r="BH23" i="34"/>
  <c r="BG31" i="34"/>
  <c r="CN28" i="34"/>
  <c r="AX19" i="34"/>
  <c r="CO41" i="34"/>
  <c r="BY54" i="34"/>
  <c r="AX36" i="34"/>
  <c r="AT10" i="34"/>
  <c r="BB23" i="34"/>
  <c r="CF34" i="34" a="1"/>
  <c r="CF34" i="34" s="1"/>
  <c r="BX28" i="34"/>
  <c r="BD19" i="34"/>
  <c r="CO54" i="34"/>
  <c r="AL3" i="34"/>
  <c r="CE54" i="34" a="1"/>
  <c r="CE54" i="34" s="1"/>
  <c r="AM51" i="34"/>
  <c r="AQ26" i="34"/>
  <c r="BU38" i="34"/>
  <c r="BU3" i="34"/>
  <c r="AO55" i="34"/>
  <c r="BX53" i="34"/>
  <c r="AZ43" i="34"/>
  <c r="AR4" i="34"/>
  <c r="AJ12" i="34"/>
  <c r="BB48" i="34"/>
  <c r="CK48" i="34"/>
  <c r="CN53" i="34"/>
  <c r="CA28" i="34" a="1"/>
  <c r="CA28" i="34" s="1"/>
  <c r="AT38" i="34"/>
  <c r="BB38" i="34"/>
  <c r="BU42" i="34"/>
  <c r="BH42" i="34"/>
  <c r="BZ25" i="34"/>
  <c r="BG34" i="34"/>
  <c r="BU25" i="34"/>
  <c r="BH3" i="34"/>
  <c r="AV28" i="34"/>
  <c r="BY43" i="34"/>
  <c r="CA45" i="34" a="1"/>
  <c r="CA45" i="34" s="1"/>
  <c r="AM49" i="34"/>
  <c r="AR50" i="34"/>
  <c r="AT52" i="34"/>
  <c r="CK38" i="34"/>
  <c r="BB25" i="34"/>
  <c r="BB3" i="34"/>
  <c r="CE43" i="34" a="1"/>
  <c r="CE43" i="34" s="1"/>
  <c r="AV45" i="34"/>
  <c r="AN46" i="34"/>
  <c r="AV38" i="34"/>
  <c r="BL43" i="34"/>
  <c r="AV42" i="34"/>
  <c r="AV48" i="34"/>
  <c r="CA25" i="34" a="1"/>
  <c r="CA25" i="34" s="1"/>
  <c r="CK3" i="34"/>
  <c r="BY52" i="34"/>
  <c r="BL52" i="34"/>
  <c r="AO31" i="34"/>
  <c r="CO43" i="34"/>
  <c r="AL17" i="34"/>
  <c r="CA38" i="34" a="1"/>
  <c r="CA38" i="34" s="1"/>
  <c r="BA25" i="34"/>
  <c r="AV25" i="34"/>
  <c r="CA3" i="34" a="1"/>
  <c r="CA3" i="34" s="1"/>
  <c r="BB42" i="34"/>
  <c r="BK53" i="34"/>
  <c r="BH28" i="34"/>
  <c r="BF52" i="34"/>
  <c r="CO52" i="34"/>
  <c r="CK42" i="34"/>
  <c r="AK55" i="34"/>
  <c r="BG25" i="34"/>
  <c r="CP34" i="34"/>
  <c r="BU45" i="34"/>
  <c r="BU28" i="34"/>
  <c r="CK45" i="34"/>
  <c r="BM25" i="34"/>
  <c r="BZ34" i="34"/>
  <c r="CK28" i="34"/>
  <c r="BE53" i="34"/>
  <c r="AT28" i="34"/>
  <c r="AL20" i="34"/>
  <c r="BA34" i="34"/>
  <c r="AZ52" i="34"/>
  <c r="BU48" i="34"/>
  <c r="BH48" i="34"/>
  <c r="BZ48" i="34"/>
  <c r="BH31" i="34"/>
  <c r="AK14" i="34"/>
  <c r="AQ20" i="34"/>
  <c r="AV36" i="34"/>
  <c r="CB25" i="34" a="1"/>
  <c r="CB25" i="34" s="1"/>
  <c r="AU40" i="34"/>
  <c r="AO48" i="34"/>
  <c r="BI4" i="34"/>
  <c r="CE35" i="34" a="1"/>
  <c r="CE35" i="34" s="1"/>
  <c r="BB10" i="34"/>
  <c r="CN46" i="34"/>
  <c r="CL26" i="34"/>
  <c r="BH10" i="34"/>
  <c r="CK39" i="34"/>
  <c r="BX29" i="34"/>
  <c r="AW21" i="34"/>
  <c r="CL37" i="34"/>
  <c r="CO36" i="34"/>
  <c r="BC22" i="34"/>
  <c r="BH30" i="34"/>
  <c r="AW25" i="34"/>
  <c r="AV10" i="34"/>
  <c r="CL25" i="34"/>
  <c r="BX46" i="34"/>
  <c r="BV21" i="34"/>
  <c r="CE36" i="34" a="1"/>
  <c r="CE36" i="34" s="1"/>
  <c r="BV22" i="34"/>
  <c r="BU30" i="34"/>
  <c r="BL44" i="34"/>
  <c r="CK14" i="34"/>
  <c r="AL37" i="34"/>
  <c r="BE29" i="34"/>
  <c r="CB21" i="34" a="1"/>
  <c r="CB21" i="34" s="1"/>
  <c r="CL22" i="34"/>
  <c r="BC37" i="34"/>
  <c r="CE44" i="34" a="1"/>
  <c r="CE44" i="34" s="1"/>
  <c r="BB14" i="34"/>
  <c r="AM44" i="34"/>
  <c r="BV26" i="34"/>
  <c r="CO44" i="34"/>
  <c r="BF44" i="34"/>
  <c r="BI21" i="34"/>
  <c r="CK30" i="34"/>
  <c r="CB22" i="34" a="1"/>
  <c r="CB22" i="34" s="1"/>
  <c r="BU14" i="34"/>
  <c r="BB30" i="34"/>
  <c r="AP10" i="34"/>
  <c r="BI26" i="34"/>
  <c r="CK10" i="34"/>
  <c r="BB39" i="34"/>
  <c r="BE46" i="34"/>
  <c r="AV39" i="34"/>
  <c r="BV25" i="34"/>
  <c r="CN29" i="34"/>
  <c r="AZ36" i="34"/>
  <c r="CA14" i="34" a="1"/>
  <c r="CA14" i="34" s="1"/>
  <c r="AV30" i="34"/>
  <c r="BK29" i="34"/>
  <c r="BL36" i="34"/>
  <c r="BH14" i="34"/>
  <c r="AR23" i="34"/>
  <c r="AN7" i="34"/>
  <c r="AN35" i="34"/>
  <c r="BV37" i="34"/>
  <c r="BI37" i="34"/>
  <c r="BK46" i="34"/>
  <c r="BI25" i="34"/>
  <c r="AR34" i="34"/>
  <c r="AV24" i="34"/>
  <c r="BA52" i="34"/>
  <c r="AM11" i="34"/>
  <c r="BD2" i="34"/>
  <c r="AT3" i="34"/>
  <c r="AN33" i="34"/>
  <c r="AL36" i="34"/>
  <c r="AN11" i="34"/>
  <c r="AL8" i="34"/>
  <c r="BG52" i="34"/>
  <c r="CM2" i="34"/>
  <c r="BH19" i="34"/>
  <c r="BV52" i="34"/>
  <c r="AV34" i="34"/>
  <c r="AS21" i="34"/>
  <c r="BB17" i="34"/>
  <c r="BH47" i="34"/>
  <c r="BB53" i="34"/>
  <c r="AV47" i="34"/>
  <c r="BA43" i="34"/>
  <c r="BW2" i="34"/>
  <c r="BB19" i="34"/>
  <c r="BB47" i="34"/>
  <c r="BU53" i="34"/>
  <c r="BY30" i="34"/>
  <c r="BH34" i="34"/>
  <c r="CE24" i="34" a="1"/>
  <c r="CE24" i="34" s="1"/>
  <c r="CB52" i="34" a="1"/>
  <c r="CB52" i="34" s="1"/>
  <c r="AM29" i="34"/>
  <c r="AM32" i="34"/>
  <c r="AK35" i="34"/>
  <c r="BA24" i="34"/>
  <c r="BB24" i="34"/>
  <c r="CK17" i="34"/>
  <c r="CC2" i="34" a="1"/>
  <c r="CC2" i="34" s="1"/>
  <c r="BU19" i="34"/>
  <c r="BL30" i="34"/>
  <c r="BM52" i="34"/>
  <c r="BF24" i="34"/>
  <c r="AR21" i="34"/>
  <c r="AN34" i="34"/>
  <c r="CP43" i="34"/>
  <c r="BZ24" i="34"/>
  <c r="AV53" i="34"/>
  <c r="BU24" i="34"/>
  <c r="BU17" i="34"/>
  <c r="BJ2" i="34"/>
  <c r="CA19" i="34" a="1"/>
  <c r="CA19" i="34" s="1"/>
  <c r="BG43" i="34"/>
  <c r="BF30" i="34"/>
  <c r="CL5" i="34"/>
  <c r="BU47" i="34"/>
  <c r="AJ5" i="34"/>
  <c r="AL49" i="34"/>
  <c r="AQ33" i="34"/>
  <c r="AP43" i="34"/>
  <c r="BG24" i="34"/>
  <c r="BH24" i="34"/>
  <c r="BH17" i="34"/>
  <c r="BB34" i="34"/>
  <c r="CK19" i="34"/>
  <c r="CF43" i="34" a="1"/>
  <c r="CF43" i="34" s="1"/>
  <c r="CO30" i="34"/>
  <c r="CK47" i="34"/>
  <c r="BH53" i="34"/>
  <c r="AW52" i="34"/>
  <c r="BV5" i="34"/>
  <c r="BX18" i="34"/>
  <c r="BC52" i="34"/>
  <c r="CF24" i="34" a="1"/>
  <c r="CF24" i="34" s="1"/>
  <c r="CA24" i="34" a="1"/>
  <c r="CA24" i="34" s="1"/>
  <c r="CA17" i="34" a="1"/>
  <c r="CA17" i="34" s="1"/>
  <c r="CE30" i="34" a="1"/>
  <c r="CE30" i="34" s="1"/>
  <c r="CK34" i="34"/>
  <c r="BC5" i="34"/>
  <c r="CD18" i="34" a="1"/>
  <c r="CD18" i="34" s="1"/>
  <c r="AL10" i="34"/>
  <c r="AT6" i="34"/>
  <c r="CB5" i="34" a="1"/>
  <c r="CB5" i="34" s="1"/>
  <c r="AS34" i="34"/>
  <c r="BG48" i="34"/>
  <c r="BB31" i="34"/>
  <c r="CE28" i="34" a="1"/>
  <c r="CE28" i="34" s="1"/>
  <c r="BC4" i="34"/>
  <c r="AY38" i="34"/>
  <c r="AZ35" i="34"/>
  <c r="BU36" i="34"/>
  <c r="BI33" i="34"/>
  <c r="AQ53" i="34"/>
  <c r="AR28" i="34"/>
  <c r="AS39" i="34"/>
  <c r="AS52" i="34"/>
  <c r="AO26" i="34"/>
  <c r="AO11" i="34"/>
  <c r="AT43" i="34"/>
  <c r="AP46" i="34"/>
  <c r="AS8" i="34"/>
  <c r="BU31" i="34"/>
  <c r="BM51" i="34"/>
  <c r="BU2" i="34"/>
  <c r="BD23" i="34"/>
  <c r="CB4" i="34" a="1"/>
  <c r="CB4" i="34" s="1"/>
  <c r="BI5" i="34"/>
  <c r="BI52" i="34"/>
  <c r="AU28" i="34"/>
  <c r="CO35" i="34"/>
  <c r="CK31" i="34"/>
  <c r="BA51" i="34"/>
  <c r="CK2" i="34"/>
  <c r="BW23" i="34"/>
  <c r="BE31" i="34"/>
  <c r="BZ43" i="34"/>
  <c r="AK6" i="34"/>
  <c r="AJ45" i="34"/>
  <c r="AT30" i="34"/>
  <c r="AV31" i="34"/>
  <c r="BB2" i="34"/>
  <c r="AY31" i="34"/>
  <c r="CP48" i="34"/>
  <c r="AZ28" i="34"/>
  <c r="BJ23" i="34"/>
  <c r="CN31" i="34"/>
  <c r="BF35" i="34"/>
  <c r="AJ54" i="34"/>
  <c r="BH2" i="34"/>
  <c r="CO28" i="34"/>
  <c r="BL28" i="34"/>
  <c r="CC23" i="34" a="1"/>
  <c r="CC23" i="34" s="1"/>
  <c r="BV4" i="34"/>
  <c r="BX31" i="34"/>
  <c r="BB36" i="34"/>
  <c r="BA48" i="34"/>
  <c r="BL24" i="34"/>
  <c r="BX38" i="34"/>
  <c r="AW33" i="34"/>
  <c r="AU10" i="34"/>
  <c r="AT51" i="34"/>
  <c r="AJ7" i="34"/>
  <c r="AQ55" i="34"/>
  <c r="BK38" i="34"/>
  <c r="BE38" i="34"/>
  <c r="BV33" i="34"/>
  <c r="BY28" i="34"/>
  <c r="AX23" i="34"/>
  <c r="CL4" i="34"/>
  <c r="CF51" i="34" a="1"/>
  <c r="CF51" i="34" s="1"/>
  <c r="BK31" i="34"/>
  <c r="CK36" i="34"/>
  <c r="CN38" i="34"/>
  <c r="AZ24" i="34"/>
  <c r="BC33" i="34"/>
  <c r="AT12" i="34"/>
  <c r="BZ51" i="34"/>
  <c r="CP51" i="34"/>
  <c r="BL35" i="34"/>
  <c r="CA36" i="34" a="1"/>
  <c r="CA36" i="34" s="1"/>
  <c r="BY24" i="34"/>
  <c r="BZ52" i="34"/>
  <c r="CN18" i="34"/>
  <c r="AN29" i="34"/>
  <c r="AL12" i="34"/>
  <c r="AL41" i="34"/>
  <c r="AK27" i="34"/>
  <c r="AQ17" i="34"/>
  <c r="AJ47" i="34"/>
  <c r="BA44" i="34"/>
  <c r="CB27" i="34" a="1"/>
  <c r="CB27" i="34" s="1"/>
  <c r="CK32" i="34"/>
  <c r="AX32" i="34"/>
  <c r="CL29" i="34"/>
  <c r="BI54" i="34"/>
  <c r="BW20" i="34"/>
  <c r="BY7" i="34"/>
  <c r="BW32" i="34"/>
  <c r="BB54" i="34"/>
  <c r="AS31" i="34"/>
  <c r="AO25" i="34"/>
  <c r="AN16" i="34"/>
  <c r="AM25" i="34"/>
  <c r="AS23" i="34"/>
  <c r="AN43" i="34"/>
  <c r="AK16" i="34"/>
  <c r="AU52" i="34"/>
  <c r="AN15" i="34"/>
  <c r="AM12" i="34"/>
  <c r="BZ3" i="34"/>
  <c r="BH32" i="34"/>
  <c r="BV29" i="34"/>
  <c r="BH54" i="34"/>
  <c r="AW29" i="34"/>
  <c r="BJ20" i="34"/>
  <c r="BF7" i="34"/>
  <c r="BV7" i="34"/>
  <c r="BM44" i="34"/>
  <c r="CA54" i="34" a="1"/>
  <c r="CA54" i="34" s="1"/>
  <c r="AN18" i="34"/>
  <c r="AP36" i="34"/>
  <c r="AO34" i="34"/>
  <c r="CM32" i="34"/>
  <c r="BV27" i="34"/>
  <c r="BB46" i="34"/>
  <c r="BC54" i="34"/>
  <c r="BA3" i="34"/>
  <c r="CA32" i="34" a="1"/>
  <c r="CA32" i="34" s="1"/>
  <c r="BM36" i="34"/>
  <c r="BD20" i="34"/>
  <c r="BL7" i="34"/>
  <c r="BI7" i="34"/>
  <c r="AV54" i="34"/>
  <c r="AO35" i="34"/>
  <c r="AO46" i="34"/>
  <c r="AT42" i="34"/>
  <c r="AK30" i="34"/>
  <c r="CP3" i="34"/>
  <c r="CP44" i="34"/>
  <c r="CC20" i="34" a="1"/>
  <c r="CC20" i="34" s="1"/>
  <c r="CE7" i="34" a="1"/>
  <c r="CE7" i="34" s="1"/>
  <c r="AW7" i="34"/>
  <c r="BG44" i="34"/>
  <c r="AJ15" i="34"/>
  <c r="BH46" i="34"/>
  <c r="BI27" i="34"/>
  <c r="BG3" i="34"/>
  <c r="BG36" i="34"/>
  <c r="BU32" i="34"/>
  <c r="AW54" i="34"/>
  <c r="BC7" i="34"/>
  <c r="AL42" i="34"/>
  <c r="AS45" i="34"/>
  <c r="AR13" i="34"/>
  <c r="BV54" i="34"/>
  <c r="AW27" i="34"/>
  <c r="CK46" i="34"/>
  <c r="BM3" i="34"/>
  <c r="BA36" i="34"/>
  <c r="BC29" i="34"/>
  <c r="AM52" i="34"/>
  <c r="AM53" i="34"/>
  <c r="AN23" i="34"/>
  <c r="AM24" i="34"/>
  <c r="BU46" i="34"/>
  <c r="BC27" i="34"/>
  <c r="BD32" i="34"/>
  <c r="CF36" i="34" a="1"/>
  <c r="CF36" i="34" s="1"/>
  <c r="AO24" i="34"/>
  <c r="AU3" i="34"/>
  <c r="AT40" i="34"/>
  <c r="AQ4" i="34"/>
  <c r="AS36" i="34"/>
  <c r="AS26" i="34"/>
  <c r="AN49" i="34"/>
  <c r="AT53" i="34"/>
  <c r="AJ16" i="34"/>
  <c r="AN5" i="34"/>
  <c r="AM23" i="34"/>
  <c r="AS3" i="34"/>
  <c r="AP40" i="34"/>
  <c r="AU25" i="34"/>
  <c r="AL45" i="34"/>
  <c r="AP55" i="34"/>
  <c r="AL52" i="34"/>
  <c r="AQ28" i="34"/>
  <c r="AJ25" i="34"/>
  <c r="AU17" i="34"/>
  <c r="AS55" i="34"/>
  <c r="AR14" i="34"/>
  <c r="AO5" i="34"/>
  <c r="AJ31" i="34"/>
  <c r="AP48" i="34"/>
  <c r="AP33" i="34"/>
  <c r="AU38" i="34"/>
  <c r="AN41" i="34"/>
  <c r="AJ37" i="34"/>
  <c r="AN14" i="34"/>
  <c r="CK18" i="34"/>
  <c r="CB30" i="34" a="1"/>
  <c r="CB30" i="34" s="1"/>
  <c r="AV12" i="34"/>
  <c r="CC25" i="34" a="1"/>
  <c r="CC25" i="34" s="1"/>
  <c r="BJ3" i="34"/>
  <c r="CP28" i="34"/>
  <c r="CN21" i="34"/>
  <c r="AX6" i="34"/>
  <c r="CA15" i="34" a="1"/>
  <c r="CA15" i="34" s="1"/>
  <c r="AQ31" i="34"/>
  <c r="AL32" i="34"/>
  <c r="AR41" i="34"/>
  <c r="AN22" i="34"/>
  <c r="AT44" i="34"/>
  <c r="BB18" i="34"/>
  <c r="AX3" i="34"/>
  <c r="BZ28" i="34"/>
  <c r="BE21" i="34"/>
  <c r="BD6" i="34"/>
  <c r="BU15" i="34"/>
  <c r="AQ16" i="34"/>
  <c r="AM38" i="34"/>
  <c r="AR55" i="34"/>
  <c r="AU22" i="34"/>
  <c r="AS27" i="34"/>
  <c r="CA18" i="34" a="1"/>
  <c r="CA18" i="34" s="1"/>
  <c r="CM3" i="34"/>
  <c r="AP4" i="34"/>
  <c r="BM28" i="34"/>
  <c r="BX21" i="34"/>
  <c r="BY37" i="34"/>
  <c r="BJ6" i="34"/>
  <c r="BY40" i="34"/>
  <c r="AV15" i="34"/>
  <c r="AM46" i="34"/>
  <c r="AJ14" i="34"/>
  <c r="AJ53" i="34"/>
  <c r="AM42" i="34"/>
  <c r="AL5" i="34"/>
  <c r="AR11" i="34"/>
  <c r="AM18" i="34"/>
  <c r="CK12" i="34"/>
  <c r="BL37" i="34"/>
  <c r="CM25" i="34"/>
  <c r="CC3" i="34" a="1"/>
  <c r="CC3" i="34" s="1"/>
  <c r="BA28" i="34"/>
  <c r="BK21" i="34"/>
  <c r="AZ37" i="34"/>
  <c r="CC6" i="34" a="1"/>
  <c r="CC6" i="34" s="1"/>
  <c r="AT36" i="34"/>
  <c r="AN39" i="34"/>
  <c r="AT9" i="34"/>
  <c r="AK49" i="34"/>
  <c r="AS2" i="34"/>
  <c r="AS18" i="34"/>
  <c r="AU13" i="34"/>
  <c r="AO40" i="34"/>
  <c r="AW46" i="34"/>
  <c r="BI46" i="34"/>
  <c r="BI30" i="34"/>
  <c r="BH12" i="34"/>
  <c r="BD25" i="34"/>
  <c r="BG28" i="34"/>
  <c r="BF37" i="34"/>
  <c r="AK20" i="34"/>
  <c r="AP30" i="34"/>
  <c r="AP27" i="34"/>
  <c r="AN52" i="34"/>
  <c r="AO51" i="34"/>
  <c r="AK53" i="34"/>
  <c r="AS29" i="34"/>
  <c r="AT15" i="34"/>
  <c r="BF40" i="34"/>
  <c r="BV30" i="34"/>
  <c r="BU12" i="34"/>
  <c r="BV46" i="34"/>
  <c r="AX25" i="34"/>
  <c r="AZ40" i="34"/>
  <c r="CO37" i="34"/>
  <c r="CK15" i="34"/>
  <c r="AM31" i="34"/>
  <c r="CO40" i="34"/>
  <c r="CE40" i="34" a="1"/>
  <c r="CE40" i="34" s="1"/>
  <c r="BH18" i="34"/>
  <c r="CL30" i="34"/>
  <c r="AJ30" i="34"/>
  <c r="AS33" i="34"/>
  <c r="AJ22" i="34"/>
  <c r="AR44" i="34"/>
  <c r="AU39" i="34"/>
  <c r="AO49" i="34"/>
  <c r="AS12" i="34"/>
  <c r="AU41" i="34"/>
  <c r="AU4" i="34"/>
  <c r="AR47" i="34"/>
  <c r="AL48" i="34"/>
  <c r="AU55" i="34"/>
  <c r="AQ14" i="34"/>
  <c r="AP25" i="34"/>
  <c r="AU33" i="34"/>
  <c r="AJ40" i="34"/>
  <c r="AJ33" i="34"/>
  <c r="AO9" i="34"/>
  <c r="AJ11" i="34"/>
  <c r="AT22" i="34"/>
  <c r="AO2" i="34"/>
  <c r="AU34" i="34"/>
  <c r="AM40" i="34"/>
  <c r="AR15" i="34"/>
  <c r="AO37" i="34"/>
  <c r="AK22" i="34"/>
  <c r="AJ32" i="34"/>
  <c r="AJ2" i="34"/>
  <c r="AP2" i="34"/>
  <c r="AN9" i="34"/>
  <c r="AR35" i="34"/>
  <c r="AK47" i="34"/>
  <c r="AO39" i="34"/>
  <c r="AO18" i="34"/>
  <c r="AP35" i="34"/>
  <c r="AJ38" i="34"/>
  <c r="AT2" i="34"/>
  <c r="AR53" i="34"/>
  <c r="AQ24" i="34"/>
  <c r="AM20" i="34"/>
  <c r="AS28" i="34"/>
  <c r="AT32" i="34"/>
  <c r="AK31" i="34"/>
  <c r="AM37" i="34"/>
  <c r="AJ48" i="34"/>
  <c r="AL40" i="34"/>
  <c r="AP45" i="34"/>
  <c r="AR22" i="34"/>
  <c r="AN51" i="34"/>
  <c r="AK26" i="34"/>
  <c r="AT55" i="34"/>
  <c r="AT33" i="34"/>
  <c r="AM27" i="34"/>
  <c r="AJ46" i="34"/>
  <c r="AT26" i="34"/>
  <c r="AR8" i="34"/>
  <c r="AL6" i="34"/>
  <c r="AJ24" i="34"/>
  <c r="AS9" i="34"/>
  <c r="AK37" i="34"/>
  <c r="AN36" i="34"/>
  <c r="AL7" i="34"/>
  <c r="AO22" i="34"/>
  <c r="AJ26" i="34"/>
  <c r="AT14" i="34"/>
  <c r="AP38" i="34"/>
  <c r="AU54" i="34"/>
  <c r="AL24" i="34"/>
  <c r="AS53" i="34"/>
  <c r="AR6" i="34"/>
  <c r="AP39" i="34"/>
  <c r="AQ30" i="34"/>
  <c r="AT27" i="34"/>
  <c r="AO32" i="34"/>
  <c r="AR29" i="34"/>
  <c r="AK17" i="34"/>
  <c r="AO33" i="34"/>
  <c r="AM50" i="34"/>
  <c r="AK3" i="34"/>
  <c r="AU50" i="34"/>
  <c r="AQ47" i="34"/>
  <c r="CP36" i="34"/>
  <c r="AO16" i="34"/>
  <c r="AQ19" i="34"/>
  <c r="AM19" i="34"/>
  <c r="AM6" i="34"/>
  <c r="AM28" i="34"/>
  <c r="AL19" i="34"/>
  <c r="AL50" i="34"/>
  <c r="AS43" i="34"/>
  <c r="AR51" i="34"/>
  <c r="AQ37" i="34"/>
  <c r="AL9" i="34"/>
  <c r="AR52" i="34"/>
  <c r="AK40" i="34"/>
  <c r="AQ42" i="34"/>
  <c r="AK18" i="34"/>
  <c r="AL4" i="34"/>
  <c r="AT47" i="34"/>
  <c r="AJ9" i="34"/>
  <c r="AQ52" i="34"/>
  <c r="AK43" i="34"/>
  <c r="AK45" i="34"/>
  <c r="AK25" i="34"/>
  <c r="AK39" i="34"/>
  <c r="AL2" i="34"/>
  <c r="AK33" i="34"/>
  <c r="AR38" i="34"/>
  <c r="AN17" i="34"/>
  <c r="AJ21" i="34"/>
  <c r="AU9" i="34"/>
  <c r="AP18" i="34"/>
  <c r="AL34" i="34"/>
  <c r="AJ8" i="34"/>
  <c r="AR16" i="34"/>
  <c r="AQ35" i="34"/>
  <c r="AO30" i="34"/>
  <c r="AK54" i="34"/>
  <c r="AJ39" i="34"/>
  <c r="AS11" i="34"/>
  <c r="AP24" i="34"/>
  <c r="AL14" i="34"/>
  <c r="AT4" i="34"/>
  <c r="AR32" i="34"/>
  <c r="AT7" i="34"/>
  <c r="AJ4" i="34"/>
  <c r="AU44" i="34"/>
  <c r="AS15" i="34"/>
  <c r="AS10" i="34"/>
  <c r="AO45" i="34"/>
  <c r="AK32" i="34"/>
  <c r="AT37" i="34"/>
  <c r="AS38" i="34"/>
  <c r="AP47" i="34"/>
  <c r="AJ17" i="34"/>
  <c r="AQ29" i="34"/>
  <c r="AO17" i="34"/>
  <c r="AN10" i="34"/>
  <c r="AL38" i="34"/>
  <c r="AL16" i="34"/>
  <c r="AQ43" i="34"/>
  <c r="AQ45" i="34"/>
  <c r="AO42" i="34"/>
  <c r="AM4" i="34"/>
  <c r="AR24" i="34"/>
  <c r="AL55" i="34"/>
  <c r="AO13" i="34"/>
  <c r="AR42" i="34"/>
  <c r="AU46" i="34"/>
  <c r="AL35" i="34"/>
  <c r="AK42" i="34"/>
  <c r="CL50" i="34"/>
  <c r="CB50" i="34" a="1"/>
  <c r="CB50" i="34" s="1"/>
  <c r="AW50" i="34"/>
  <c r="BI50" i="34"/>
  <c r="BV50" i="34"/>
  <c r="BC50" i="34"/>
  <c r="AP14" i="34"/>
  <c r="AU27" i="34"/>
  <c r="AM45" i="34"/>
  <c r="AK24" i="34"/>
  <c r="AO21" i="34"/>
  <c r="AO54" i="34"/>
  <c r="AR43" i="34"/>
  <c r="AM48" i="34"/>
  <c r="AU20" i="34"/>
  <c r="AK7" i="34"/>
  <c r="AK51" i="34"/>
  <c r="AK41" i="34"/>
  <c r="AK44" i="34"/>
  <c r="AQ48" i="34"/>
  <c r="AU24" i="34"/>
  <c r="AM16" i="34"/>
  <c r="AJ28" i="34"/>
  <c r="AR31" i="34"/>
  <c r="AO47" i="34"/>
  <c r="AU31" i="34"/>
  <c r="AU48" i="34"/>
  <c r="AR49" i="34"/>
  <c r="AN8" i="34"/>
  <c r="AK36" i="34"/>
  <c r="AT17" i="34"/>
  <c r="AS30" i="34"/>
  <c r="AO7" i="34"/>
  <c r="AL27" i="34"/>
  <c r="AK15" i="34"/>
  <c r="AQ3" i="34"/>
  <c r="AU45" i="34"/>
  <c r="AN44" i="34"/>
  <c r="AO50" i="34"/>
  <c r="AU11" i="34"/>
  <c r="AS32" i="34"/>
  <c r="AM13" i="34"/>
  <c r="AU51" i="34"/>
  <c r="AN30" i="34"/>
  <c r="AP7" i="34"/>
  <c r="AR37" i="34"/>
  <c r="AL46" i="34"/>
  <c r="AJ20" i="34"/>
  <c r="AT35" i="34"/>
  <c r="AQ49" i="34"/>
  <c r="AP16" i="34"/>
  <c r="AS17" i="34"/>
  <c r="AN37" i="34"/>
  <c r="AJ6" i="34"/>
  <c r="AP31" i="34"/>
  <c r="AJ19" i="34"/>
  <c r="AJ42" i="34"/>
  <c r="AJ3" i="34"/>
  <c r="AJ49" i="34"/>
  <c r="AK52" i="34"/>
  <c r="AO10" i="34"/>
  <c r="AP6" i="34"/>
  <c r="AS49" i="34"/>
  <c r="AS25" i="34"/>
  <c r="AR46" i="34"/>
  <c r="AU49" i="34"/>
  <c r="AO12" i="34"/>
  <c r="AN3" i="34"/>
  <c r="AM34" i="34"/>
  <c r="AL31" i="34"/>
  <c r="AK19" i="34"/>
  <c r="AT50" i="34"/>
  <c r="AT11" i="34"/>
  <c r="AQ6" i="34"/>
  <c r="AJ41" i="34"/>
  <c r="AP13" i="34"/>
  <c r="AR26" i="34"/>
  <c r="AO53" i="34"/>
  <c r="AS24" i="34"/>
  <c r="AL44" i="34"/>
  <c r="AP21" i="34"/>
  <c r="CB39" i="34" a="1"/>
  <c r="CB39" i="34" s="1"/>
  <c r="BC39" i="34"/>
  <c r="AW39" i="34"/>
  <c r="BV39" i="34"/>
  <c r="CL39" i="34"/>
  <c r="BI39" i="34"/>
  <c r="AR20" i="34"/>
  <c r="AJ35" i="34"/>
  <c r="AM26" i="34"/>
  <c r="AP52" i="34"/>
  <c r="AP34" i="34"/>
  <c r="AN24" i="34"/>
  <c r="AR40" i="34"/>
  <c r="AT25" i="34"/>
  <c r="AM22" i="34"/>
  <c r="AN25" i="34"/>
  <c r="AT5" i="34"/>
  <c r="AP23" i="34"/>
  <c r="AS42" i="34"/>
  <c r="AT45" i="34"/>
  <c r="AS46" i="34"/>
  <c r="AQ54" i="34"/>
  <c r="AP42" i="34"/>
  <c r="AP49" i="34"/>
  <c r="AT39" i="34"/>
  <c r="AM47" i="34"/>
  <c r="AP22" i="34"/>
  <c r="AM36" i="34"/>
  <c r="AP20" i="34"/>
  <c r="AM35" i="34"/>
  <c r="AM14" i="34"/>
  <c r="AP26" i="34"/>
  <c r="AM54" i="34"/>
  <c r="AT46" i="34"/>
  <c r="AT23" i="34"/>
  <c r="AM55" i="34"/>
  <c r="AT48" i="34"/>
  <c r="AQ36" i="34"/>
  <c r="AK4" i="34"/>
  <c r="AR19" i="34"/>
  <c r="AO6" i="34"/>
  <c r="AT18" i="34"/>
  <c r="AU12" i="34"/>
  <c r="AK46" i="34"/>
  <c r="AQ41" i="34"/>
  <c r="AQ44" i="34"/>
  <c r="AS35" i="34"/>
  <c r="AS40" i="34"/>
  <c r="AN28" i="34"/>
  <c r="AU16" i="34"/>
  <c r="AS48" i="34"/>
  <c r="AU26" i="34"/>
  <c r="AO15" i="34"/>
  <c r="AL25" i="34"/>
  <c r="AU18" i="34"/>
  <c r="AN55" i="34"/>
  <c r="AR2" i="34"/>
  <c r="AT41" i="34"/>
  <c r="AS20" i="34"/>
  <c r="AL11" i="34"/>
  <c r="AJ29" i="34"/>
  <c r="AQ2" i="34"/>
  <c r="AS14" i="34"/>
  <c r="AQ25" i="34"/>
  <c r="AQ39" i="34"/>
  <c r="AN54" i="34"/>
  <c r="AL43" i="34"/>
  <c r="AK28" i="34"/>
  <c r="AJ18" i="34"/>
  <c r="AR39" i="34"/>
  <c r="AR9" i="34"/>
  <c r="AU30" i="34"/>
  <c r="AM21" i="34"/>
  <c r="AN50" i="34"/>
  <c r="AL30" i="34"/>
  <c r="AU36" i="34"/>
  <c r="AT13" i="34"/>
  <c r="AT29" i="34"/>
  <c r="AN20" i="34"/>
  <c r="AK2" i="34"/>
  <c r="AQ5" i="34"/>
  <c r="AQ50" i="34"/>
  <c r="AP29" i="34"/>
  <c r="AU29" i="34"/>
  <c r="AN27" i="34"/>
  <c r="AU21" i="34"/>
  <c r="AS16" i="34"/>
  <c r="AQ7" i="34"/>
  <c r="AQ51" i="34"/>
  <c r="AQ46" i="34"/>
  <c r="AQ22" i="34"/>
  <c r="AP32" i="34"/>
  <c r="AP19" i="34"/>
  <c r="AN2" i="34"/>
  <c r="AJ36" i="34"/>
  <c r="AI37" i="34"/>
  <c r="AO23" i="34"/>
  <c r="AU2" i="34"/>
  <c r="AN47" i="34"/>
  <c r="AM3" i="34"/>
  <c r="AL53" i="34"/>
  <c r="AO19" i="34"/>
  <c r="AN12" i="34"/>
  <c r="AM41" i="34"/>
  <c r="AM30" i="34"/>
  <c r="AL39" i="34"/>
  <c r="AL18" i="34"/>
  <c r="AT21" i="34"/>
  <c r="AJ50" i="34"/>
  <c r="AN45" i="34"/>
  <c r="AO29" i="34"/>
  <c r="AO8" i="34"/>
  <c r="AK5" i="34"/>
  <c r="AK50" i="34"/>
  <c r="AM8" i="34"/>
  <c r="AP11" i="34"/>
  <c r="AS5" i="34"/>
  <c r="AU15" i="34"/>
  <c r="AK48" i="34"/>
  <c r="AJ52" i="34"/>
  <c r="AN40" i="34"/>
  <c r="AL33" i="34"/>
  <c r="AP9" i="34"/>
  <c r="AO28" i="34"/>
  <c r="AU32" i="34"/>
  <c r="AN26" i="34"/>
  <c r="AP50" i="34"/>
  <c r="AU19" i="34"/>
  <c r="AL51" i="34"/>
  <c r="AS50" i="34"/>
  <c r="AP28" i="34"/>
  <c r="AU5" i="34"/>
  <c r="AO4" i="34"/>
  <c r="AO20" i="34"/>
  <c r="AO43" i="34"/>
  <c r="AU6" i="34"/>
  <c r="AR3" i="34"/>
  <c r="AU35" i="34"/>
  <c r="AS7" i="34"/>
  <c r="AQ23" i="34"/>
  <c r="AQ38" i="34"/>
  <c r="AT34" i="34"/>
  <c r="AM2" i="34"/>
  <c r="AL21" i="34"/>
  <c r="AL54" i="34"/>
  <c r="AJ51" i="34"/>
  <c r="AM43" i="34"/>
  <c r="AR10" i="34"/>
  <c r="AJ43" i="34"/>
  <c r="AM7" i="34"/>
  <c r="AQ40" i="34"/>
  <c r="AU37" i="34"/>
  <c r="AP44" i="34"/>
  <c r="AI36" i="34"/>
  <c r="AN53" i="34"/>
  <c r="AN32" i="34"/>
  <c r="AM9" i="34"/>
  <c r="AO38" i="34"/>
  <c r="AL28" i="34"/>
  <c r="AR5" i="34"/>
  <c r="O4" i="34"/>
  <c r="AO14" i="34"/>
  <c r="AP5" i="34"/>
  <c r="AT20" i="34"/>
  <c r="AL26" i="34"/>
  <c r="AL13" i="34"/>
  <c r="AT49" i="34"/>
  <c r="AS4" i="34"/>
  <c r="AR48" i="34"/>
  <c r="AR18" i="34"/>
  <c r="AQ21" i="34"/>
  <c r="AJ23" i="34"/>
  <c r="AO41" i="34"/>
  <c r="AN4" i="34"/>
  <c r="AN13" i="34"/>
  <c r="AL15" i="34"/>
  <c r="AN21" i="34"/>
  <c r="AQ34" i="34"/>
  <c r="AT54" i="34"/>
  <c r="AO44" i="34"/>
  <c r="AM5" i="34"/>
  <c r="AQ27" i="34"/>
  <c r="AP8" i="34"/>
  <c r="AU7" i="34"/>
  <c r="AT24" i="34"/>
  <c r="AK23" i="34"/>
  <c r="AK38" i="34"/>
  <c r="AR36" i="34"/>
  <c r="AQ15" i="34"/>
  <c r="AP17" i="34"/>
  <c r="AJ10" i="34"/>
  <c r="AK29" i="34"/>
  <c r="AP12" i="34"/>
  <c r="AP15" i="34"/>
  <c r="AM10" i="34"/>
  <c r="AR30" i="34"/>
  <c r="AR7" i="34"/>
  <c r="AQ18" i="34"/>
  <c r="AQ32" i="34"/>
  <c r="AR17" i="34"/>
  <c r="AS37" i="34"/>
  <c r="AM15" i="34"/>
  <c r="AJ27" i="34"/>
  <c r="AT8" i="34"/>
  <c r="AM39" i="34"/>
  <c r="AP37" i="34"/>
  <c r="AW51" i="34"/>
  <c r="CB51" i="34" a="1"/>
  <c r="CB51" i="34" s="1"/>
  <c r="BV51" i="34"/>
  <c r="CL51" i="34"/>
  <c r="BC51" i="34"/>
  <c r="BI51" i="34"/>
  <c r="CE55" i="34" a="1"/>
  <c r="CE55" i="34" s="1"/>
  <c r="BL55" i="34"/>
  <c r="AZ55" i="34"/>
  <c r="BY55" i="34"/>
  <c r="CO55" i="34"/>
  <c r="BF55" i="34"/>
  <c r="CE18" i="34" a="1"/>
  <c r="CE18" i="34" s="1"/>
  <c r="BL18" i="34"/>
  <c r="BF18" i="34"/>
  <c r="AZ18" i="34"/>
  <c r="BY18" i="34"/>
  <c r="CO18" i="34"/>
  <c r="CD47" i="34" a="1"/>
  <c r="CD47" i="34" s="1"/>
  <c r="BK47" i="34"/>
  <c r="BE47" i="34"/>
  <c r="CN47" i="34"/>
  <c r="BX47" i="34"/>
  <c r="CD23" i="34" a="1"/>
  <c r="CD23" i="34" s="1"/>
  <c r="CN23" i="34"/>
  <c r="AY23" i="34"/>
  <c r="BK23" i="34"/>
  <c r="BX23" i="34"/>
  <c r="BE23" i="34"/>
  <c r="CC45" i="34" a="1"/>
  <c r="CC45" i="34" s="1"/>
  <c r="AX45" i="34"/>
  <c r="BW45" i="34"/>
  <c r="CM45" i="34"/>
  <c r="BD45" i="34"/>
  <c r="BJ45" i="34"/>
  <c r="BC55" i="34"/>
  <c r="CB55" i="34" a="1"/>
  <c r="CB55" i="34" s="1"/>
  <c r="CL55" i="34"/>
  <c r="BI55" i="34"/>
  <c r="AW55" i="34"/>
  <c r="BV55" i="34"/>
  <c r="AV22" i="34"/>
  <c r="CA22" i="34" a="1"/>
  <c r="CA22" i="34" s="1"/>
  <c r="BB22" i="34"/>
  <c r="CK22" i="34"/>
  <c r="BU22" i="34"/>
  <c r="BH22" i="34"/>
  <c r="CD36" i="34" a="1"/>
  <c r="CD36" i="34" s="1"/>
  <c r="AY36" i="34"/>
  <c r="BK36" i="34"/>
  <c r="BE36" i="34"/>
  <c r="BX36" i="34"/>
  <c r="CN36" i="34"/>
  <c r="CD13" i="34" a="1"/>
  <c r="CD13" i="34" s="1"/>
  <c r="CN13" i="34"/>
  <c r="BK13" i="34"/>
  <c r="AY13" i="34"/>
  <c r="BX13" i="34"/>
  <c r="BE13" i="34"/>
  <c r="AV20" i="34"/>
  <c r="CA20" i="34" a="1"/>
  <c r="CA20" i="34" s="1"/>
  <c r="BH20" i="34"/>
  <c r="BB20" i="34"/>
  <c r="CK20" i="34"/>
  <c r="BU20" i="34"/>
  <c r="CD35" i="34" a="1"/>
  <c r="CD35" i="34" s="1"/>
  <c r="CN35" i="34"/>
  <c r="BK35" i="34"/>
  <c r="BX35" i="34"/>
  <c r="BE35" i="34"/>
  <c r="AY35" i="34"/>
  <c r="AY14" i="34"/>
  <c r="CN14" i="34"/>
  <c r="BX14" i="34"/>
  <c r="CD14" i="34" a="1"/>
  <c r="CD14" i="34" s="1"/>
  <c r="CA26" i="34" a="1"/>
  <c r="CA26" i="34" s="1"/>
  <c r="AV26" i="34"/>
  <c r="BH26" i="34"/>
  <c r="BB26" i="34"/>
  <c r="CK26" i="34"/>
  <c r="BU26" i="34"/>
  <c r="BE54" i="34"/>
  <c r="CD54" i="34" a="1"/>
  <c r="CD54" i="34" s="1"/>
  <c r="BK54" i="34"/>
  <c r="BX54" i="34"/>
  <c r="CN54" i="34"/>
  <c r="CB31" i="34" a="1"/>
  <c r="CB31" i="34" s="1"/>
  <c r="CL31" i="34"/>
  <c r="BI31" i="34"/>
  <c r="BV31" i="34"/>
  <c r="BC31" i="34"/>
  <c r="AW31" i="34"/>
  <c r="CF30" i="34" a="1"/>
  <c r="CF30" i="34" s="1"/>
  <c r="BG30" i="34"/>
  <c r="CP30" i="34"/>
  <c r="BZ30" i="34"/>
  <c r="BA30" i="34"/>
  <c r="BM30" i="34"/>
  <c r="CF7" i="34" a="1"/>
  <c r="CF7" i="34" s="1"/>
  <c r="BZ7" i="34"/>
  <c r="CP7" i="34"/>
  <c r="BA7" i="34"/>
  <c r="BG7" i="34"/>
  <c r="BM7" i="34"/>
  <c r="BD27" i="34"/>
  <c r="CC27" i="34" a="1"/>
  <c r="CC27" i="34" s="1"/>
  <c r="AX27" i="34"/>
  <c r="BJ27" i="34"/>
  <c r="BW27" i="34"/>
  <c r="CM27" i="34"/>
  <c r="CE46" i="34" a="1"/>
  <c r="CE46" i="34" s="1"/>
  <c r="BF46" i="34"/>
  <c r="CO46" i="34"/>
  <c r="BL46" i="34"/>
  <c r="BY46" i="34"/>
  <c r="AZ46" i="34"/>
  <c r="CE23" i="34" a="1"/>
  <c r="CE23" i="34" s="1"/>
  <c r="BF23" i="34"/>
  <c r="CO23" i="34"/>
  <c r="BY23" i="34"/>
  <c r="BL23" i="34"/>
  <c r="AZ23" i="34"/>
  <c r="CD55" i="34" a="1"/>
  <c r="CD55" i="34" s="1"/>
  <c r="CN55" i="34"/>
  <c r="BE55" i="34"/>
  <c r="BK55" i="34"/>
  <c r="BX55" i="34"/>
  <c r="CB23" i="34" a="1"/>
  <c r="CB23" i="34" s="1"/>
  <c r="BV23" i="34"/>
  <c r="BC23" i="34"/>
  <c r="CL23" i="34"/>
  <c r="AW23" i="34"/>
  <c r="BI23" i="34"/>
  <c r="CF23" i="34" a="1"/>
  <c r="CF23" i="34" s="1"/>
  <c r="CP23" i="34"/>
  <c r="BZ23" i="34"/>
  <c r="BM23" i="34"/>
  <c r="BA23" i="34"/>
  <c r="BG23" i="34"/>
  <c r="CF2" i="34" a="1"/>
  <c r="CF2" i="34" s="1"/>
  <c r="BG2" i="34"/>
  <c r="BZ2" i="34"/>
  <c r="BM2" i="34"/>
  <c r="CP2" i="34"/>
  <c r="BA2" i="34"/>
  <c r="CE47" i="34" a="1"/>
  <c r="CE47" i="34" s="1"/>
  <c r="AZ47" i="34"/>
  <c r="BY47" i="34"/>
  <c r="CO47" i="34"/>
  <c r="BF47" i="34"/>
  <c r="BL47" i="34"/>
  <c r="CD3" i="34" a="1"/>
  <c r="CD3" i="34" s="1"/>
  <c r="BX3" i="34"/>
  <c r="BE3" i="34"/>
  <c r="BK3" i="34"/>
  <c r="AY3" i="34"/>
  <c r="CN3" i="34"/>
  <c r="CC22" i="34" a="1"/>
  <c r="CC22" i="34" s="1"/>
  <c r="CM22" i="34"/>
  <c r="BD22" i="34"/>
  <c r="BJ22" i="34"/>
  <c r="BW22" i="34"/>
  <c r="AX22" i="34"/>
  <c r="CC53" i="34" a="1"/>
  <c r="CC53" i="34" s="1"/>
  <c r="BJ53" i="34"/>
  <c r="AX53" i="34"/>
  <c r="BW53" i="34"/>
  <c r="CM53" i="34"/>
  <c r="BD53" i="34"/>
  <c r="BV10" i="34"/>
  <c r="CB10" i="34" a="1"/>
  <c r="CB10" i="34" s="1"/>
  <c r="BC10" i="34"/>
  <c r="CL10" i="34"/>
  <c r="AW10" i="34"/>
  <c r="BI10" i="34"/>
  <c r="CF19" i="34" a="1"/>
  <c r="CF19" i="34" s="1"/>
  <c r="BZ19" i="34"/>
  <c r="BG19" i="34"/>
  <c r="BA19" i="34"/>
  <c r="CP19" i="34"/>
  <c r="BM19" i="34"/>
  <c r="CE12" i="34" a="1"/>
  <c r="CE12" i="34" s="1"/>
  <c r="CO12" i="34"/>
  <c r="BY12" i="34"/>
  <c r="BF12" i="34"/>
  <c r="BL12" i="34"/>
  <c r="AZ12" i="34"/>
  <c r="CD41" i="34" a="1"/>
  <c r="CD41" i="34" s="1"/>
  <c r="BX41" i="34"/>
  <c r="CN41" i="34"/>
  <c r="BE41" i="34"/>
  <c r="AY41" i="34"/>
  <c r="BK41" i="34"/>
  <c r="CD30" i="34" a="1"/>
  <c r="CD30" i="34" s="1"/>
  <c r="AY30" i="34"/>
  <c r="CN30" i="34"/>
  <c r="BX30" i="34"/>
  <c r="BK30" i="34"/>
  <c r="BE30" i="34"/>
  <c r="BD39" i="34"/>
  <c r="CC39" i="34" a="1"/>
  <c r="CC39" i="34" s="1"/>
  <c r="AX39" i="34"/>
  <c r="CM39" i="34"/>
  <c r="BJ39" i="34"/>
  <c r="BW39" i="34"/>
  <c r="AX18" i="34"/>
  <c r="BD18" i="34"/>
  <c r="BW18" i="34"/>
  <c r="BJ18" i="34"/>
  <c r="CM18" i="34"/>
  <c r="CC18" i="34" a="1"/>
  <c r="CC18" i="34" s="1"/>
  <c r="CE34" i="34" a="1"/>
  <c r="CE34" i="34" s="1"/>
  <c r="BF34" i="34"/>
  <c r="CO34" i="34"/>
  <c r="BY34" i="34"/>
  <c r="BL34" i="34"/>
  <c r="AZ34" i="34"/>
  <c r="CE6" i="34" a="1"/>
  <c r="CE6" i="34" s="1"/>
  <c r="BL6" i="34"/>
  <c r="AZ6" i="34"/>
  <c r="BF6" i="34"/>
  <c r="CO6" i="34"/>
  <c r="BY6" i="34"/>
  <c r="CE21" i="34" a="1"/>
  <c r="CE21" i="34" s="1"/>
  <c r="CO21" i="34"/>
  <c r="BY21" i="34"/>
  <c r="BL21" i="34"/>
  <c r="AZ21" i="34"/>
  <c r="BF21" i="34"/>
  <c r="BV13" i="34"/>
  <c r="BC13" i="34"/>
  <c r="BI13" i="34"/>
  <c r="AW13" i="34"/>
  <c r="CL13" i="34"/>
  <c r="CB13" i="34" a="1"/>
  <c r="CB13" i="34" s="1"/>
  <c r="CA50" i="34" a="1"/>
  <c r="CA50" i="34" s="1"/>
  <c r="BB50" i="34"/>
  <c r="CK50" i="34"/>
  <c r="BU50" i="34"/>
  <c r="BH50" i="34"/>
  <c r="AV50" i="34"/>
  <c r="AZ45" i="34"/>
  <c r="CE45" i="34" a="1"/>
  <c r="CE45" i="34" s="1"/>
  <c r="BY45" i="34"/>
  <c r="CO45" i="34"/>
  <c r="BL45" i="34"/>
  <c r="BF45" i="34"/>
  <c r="CF29" i="34" a="1"/>
  <c r="CF29" i="34" s="1"/>
  <c r="BZ29" i="34"/>
  <c r="CP29" i="34"/>
  <c r="BM29" i="34"/>
  <c r="BA29" i="34"/>
  <c r="BG29" i="34"/>
  <c r="CF8" i="34" a="1"/>
  <c r="CF8" i="34" s="1"/>
  <c r="BA8" i="34"/>
  <c r="BZ8" i="34"/>
  <c r="CP8" i="34"/>
  <c r="BM8" i="34"/>
  <c r="BG8" i="34"/>
  <c r="CD20" i="34" a="1"/>
  <c r="CD20" i="34" s="1"/>
  <c r="BE20" i="34"/>
  <c r="CN20" i="34"/>
  <c r="BX20" i="34"/>
  <c r="BK20" i="34"/>
  <c r="AY20" i="34"/>
  <c r="CC52" i="34" a="1"/>
  <c r="CC52" i="34" s="1"/>
  <c r="BJ52" i="34"/>
  <c r="AX52" i="34"/>
  <c r="BW52" i="34"/>
  <c r="CM52" i="34"/>
  <c r="BD52" i="34"/>
  <c r="BI8" i="34"/>
  <c r="CB8" i="34" a="1"/>
  <c r="CB8" i="34" s="1"/>
  <c r="BV8" i="34"/>
  <c r="BC8" i="34"/>
  <c r="CL8" i="34"/>
  <c r="AW8" i="34"/>
  <c r="CF55" i="34" a="1"/>
  <c r="CF55" i="34" s="1"/>
  <c r="CP55" i="34"/>
  <c r="BM55" i="34"/>
  <c r="BA55" i="34"/>
  <c r="BG55" i="34"/>
  <c r="BZ55" i="34"/>
  <c r="CO25" i="34"/>
  <c r="BL25" i="34"/>
  <c r="AZ25" i="34"/>
  <c r="CE25" i="34" a="1"/>
  <c r="CE25" i="34" s="1"/>
  <c r="BF25" i="34"/>
  <c r="BY25" i="34"/>
  <c r="CD2" i="34" a="1"/>
  <c r="CD2" i="34" s="1"/>
  <c r="AY2" i="34"/>
  <c r="BX2" i="34"/>
  <c r="CN2" i="34"/>
  <c r="BK2" i="34"/>
  <c r="BE2" i="34"/>
  <c r="AX21" i="34"/>
  <c r="CC21" i="34" a="1"/>
  <c r="CC21" i="34" s="1"/>
  <c r="BJ21" i="34"/>
  <c r="CM21" i="34"/>
  <c r="BW21" i="34"/>
  <c r="BD21" i="34"/>
  <c r="CC54" i="34" a="1"/>
  <c r="CC54" i="34" s="1"/>
  <c r="BD54" i="34"/>
  <c r="BJ54" i="34"/>
  <c r="AX54" i="34"/>
  <c r="BW54" i="34"/>
  <c r="CM54" i="34"/>
  <c r="CB9" i="34" a="1"/>
  <c r="CB9" i="34" s="1"/>
  <c r="CL9" i="34"/>
  <c r="BI9" i="34"/>
  <c r="BV9" i="34"/>
  <c r="BC9" i="34"/>
  <c r="AW9" i="34"/>
  <c r="CA51" i="34" a="1"/>
  <c r="CA51" i="34" s="1"/>
  <c r="AV51" i="34"/>
  <c r="BB51" i="34"/>
  <c r="CK51" i="34"/>
  <c r="BU51" i="34"/>
  <c r="BH51" i="34"/>
  <c r="AY43" i="34"/>
  <c r="CD43" i="34" a="1"/>
  <c r="CD43" i="34" s="1"/>
  <c r="BX43" i="34"/>
  <c r="BK43" i="34"/>
  <c r="CN43" i="34"/>
  <c r="BE43" i="34"/>
  <c r="CC10" i="34" a="1"/>
  <c r="CC10" i="34" s="1"/>
  <c r="BJ10" i="34"/>
  <c r="AX10" i="34"/>
  <c r="BD10" i="34"/>
  <c r="CM10" i="34"/>
  <c r="BW10" i="34"/>
  <c r="CA43" i="34" a="1"/>
  <c r="CA43" i="34" s="1"/>
  <c r="CK43" i="34"/>
  <c r="BU43" i="34"/>
  <c r="BH43" i="34"/>
  <c r="AV43" i="34"/>
  <c r="BB43" i="34"/>
  <c r="CD44" i="34" a="1"/>
  <c r="CD44" i="34" s="1"/>
  <c r="CN44" i="34"/>
  <c r="BX44" i="34"/>
  <c r="BE44" i="34"/>
  <c r="BK44" i="34"/>
  <c r="CD7" i="34" a="1"/>
  <c r="CD7" i="34" s="1"/>
  <c r="CN7" i="34"/>
  <c r="AY7" i="34"/>
  <c r="BK7" i="34"/>
  <c r="BX7" i="34"/>
  <c r="BE7" i="34"/>
  <c r="CB40" i="34" a="1"/>
  <c r="CB40" i="34" s="1"/>
  <c r="CL40" i="34"/>
  <c r="BI40" i="34"/>
  <c r="AW40" i="34"/>
  <c r="BC40" i="34"/>
  <c r="BV40" i="34"/>
  <c r="CF37" i="34" a="1"/>
  <c r="CF37" i="34" s="1"/>
  <c r="CP37" i="34"/>
  <c r="BA37" i="34"/>
  <c r="BG37" i="34"/>
  <c r="BM37" i="34"/>
  <c r="BZ37" i="34"/>
  <c r="CF15" i="34" a="1"/>
  <c r="CF15" i="34" s="1"/>
  <c r="BG15" i="34"/>
  <c r="CP15" i="34"/>
  <c r="BZ15" i="34"/>
  <c r="BM15" i="34"/>
  <c r="BA15" i="34"/>
  <c r="CA44" i="34" a="1"/>
  <c r="CA44" i="34" s="1"/>
  <c r="BB44" i="34"/>
  <c r="BU44" i="34"/>
  <c r="BH44" i="34"/>
  <c r="CK44" i="34"/>
  <c r="AV44" i="34"/>
  <c r="CE53" i="34" a="1"/>
  <c r="CE53" i="34" s="1"/>
  <c r="BF53" i="34"/>
  <c r="BY53" i="34"/>
  <c r="AZ53" i="34"/>
  <c r="CO53" i="34"/>
  <c r="BL53" i="34"/>
  <c r="CE32" i="34" a="1"/>
  <c r="CE32" i="34" s="1"/>
  <c r="CO32" i="34"/>
  <c r="BY32" i="34"/>
  <c r="BL32" i="34"/>
  <c r="AZ32" i="34"/>
  <c r="BF32" i="34"/>
  <c r="CD9" i="34" a="1"/>
  <c r="CD9" i="34" s="1"/>
  <c r="BE9" i="34"/>
  <c r="AY9" i="34"/>
  <c r="BX9" i="34"/>
  <c r="CN9" i="34"/>
  <c r="BK9" i="34"/>
  <c r="CF18" i="34" a="1"/>
  <c r="CF18" i="34" s="1"/>
  <c r="CP18" i="34"/>
  <c r="BA18" i="34"/>
  <c r="BM18" i="34"/>
  <c r="BZ18" i="34"/>
  <c r="BG18" i="34"/>
  <c r="CF32" i="34" a="1"/>
  <c r="CF32" i="34" s="1"/>
  <c r="BG32" i="34"/>
  <c r="BM32" i="34"/>
  <c r="CP32" i="34"/>
  <c r="BZ32" i="34"/>
  <c r="BA32" i="34"/>
  <c r="CF10" i="34" a="1"/>
  <c r="CF10" i="34" s="1"/>
  <c r="BM10" i="34"/>
  <c r="BZ10" i="34"/>
  <c r="BA10" i="34"/>
  <c r="CP10" i="34"/>
  <c r="BG10" i="34"/>
  <c r="CE2" i="34" a="1"/>
  <c r="CE2" i="34" s="1"/>
  <c r="BF2" i="34"/>
  <c r="AZ2" i="34"/>
  <c r="BY2" i="34"/>
  <c r="CO2" i="34"/>
  <c r="BL2" i="34"/>
  <c r="CE20" i="34" a="1"/>
  <c r="CE20" i="34" s="1"/>
  <c r="BF20" i="34"/>
  <c r="CO20" i="34"/>
  <c r="BL20" i="34"/>
  <c r="AZ20" i="34"/>
  <c r="BY20" i="34"/>
  <c r="CD12" i="34" a="1"/>
  <c r="CD12" i="34" s="1"/>
  <c r="BX12" i="34"/>
  <c r="AY12" i="34"/>
  <c r="BK12" i="34"/>
  <c r="CN12" i="34"/>
  <c r="BE12" i="34"/>
  <c r="BJ29" i="34"/>
  <c r="CC29" i="34" a="1"/>
  <c r="CC29" i="34" s="1"/>
  <c r="BD29" i="34"/>
  <c r="AX29" i="34"/>
  <c r="CM29" i="34"/>
  <c r="BW29" i="34"/>
  <c r="CC8" i="34" a="1"/>
  <c r="CC8" i="34" s="1"/>
  <c r="BJ8" i="34"/>
  <c r="CM8" i="34"/>
  <c r="AX8" i="34"/>
  <c r="BW8" i="34"/>
  <c r="BD8" i="34"/>
  <c r="CB17" i="34" a="1"/>
  <c r="CB17" i="34" s="1"/>
  <c r="CL17" i="34"/>
  <c r="BI17" i="34"/>
  <c r="BC17" i="34"/>
  <c r="BV17" i="34"/>
  <c r="AW17" i="34"/>
  <c r="BV36" i="34"/>
  <c r="CB36" i="34" a="1"/>
  <c r="CB36" i="34" s="1"/>
  <c r="CL36" i="34"/>
  <c r="BI36" i="34"/>
  <c r="BC36" i="34"/>
  <c r="AW36" i="34"/>
  <c r="BA33" i="34"/>
  <c r="CF33" i="34" a="1"/>
  <c r="CF33" i="34" s="1"/>
  <c r="BZ33" i="34"/>
  <c r="CP33" i="34"/>
  <c r="BG33" i="34"/>
  <c r="BM33" i="34"/>
  <c r="CE42" i="34" a="1"/>
  <c r="CE42" i="34" s="1"/>
  <c r="AZ42" i="34"/>
  <c r="BF42" i="34"/>
  <c r="BY42" i="34"/>
  <c r="BL42" i="34"/>
  <c r="CO42" i="34"/>
  <c r="CE19" i="34" a="1"/>
  <c r="CE19" i="34" s="1"/>
  <c r="AZ19" i="34"/>
  <c r="BY19" i="34"/>
  <c r="BL19" i="34"/>
  <c r="CO19" i="34"/>
  <c r="BF19" i="34"/>
  <c r="CD50" i="34" a="1"/>
  <c r="CD50" i="34" s="1"/>
  <c r="BK50" i="34"/>
  <c r="BX50" i="34"/>
  <c r="CN50" i="34"/>
  <c r="BE50" i="34"/>
  <c r="CD26" i="34" a="1"/>
  <c r="CD26" i="34" s="1"/>
  <c r="CN26" i="34"/>
  <c r="BK26" i="34"/>
  <c r="BX26" i="34"/>
  <c r="AY26" i="34"/>
  <c r="BE26" i="34"/>
  <c r="CC48" i="34" a="1"/>
  <c r="CC48" i="34" s="1"/>
  <c r="AX48" i="34"/>
  <c r="BJ48" i="34"/>
  <c r="BW48" i="34"/>
  <c r="CM48" i="34"/>
  <c r="BD48" i="34"/>
  <c r="BI3" i="34"/>
  <c r="AW3" i="34"/>
  <c r="BV3" i="34"/>
  <c r="BC3" i="34"/>
  <c r="CB3" i="34" a="1"/>
  <c r="CB3" i="34" s="1"/>
  <c r="CL3" i="34"/>
  <c r="CA40" i="34" a="1"/>
  <c r="CA40" i="34" s="1"/>
  <c r="AV40" i="34"/>
  <c r="BB40" i="34"/>
  <c r="CK40" i="34"/>
  <c r="BU40" i="34"/>
  <c r="BH40" i="34"/>
  <c r="CF50" i="34" a="1"/>
  <c r="CF50" i="34" s="1"/>
  <c r="BZ50" i="34"/>
  <c r="CP50" i="34"/>
  <c r="BG50" i="34"/>
  <c r="BM50" i="34"/>
  <c r="BA50" i="34"/>
  <c r="AX33" i="34"/>
  <c r="BW33" i="34"/>
  <c r="BJ33" i="34"/>
  <c r="CC33" i="34" a="1"/>
  <c r="CC33" i="34" s="1"/>
  <c r="CM33" i="34"/>
  <c r="BD33" i="34"/>
  <c r="CB47" i="34" a="1"/>
  <c r="CB47" i="34" s="1"/>
  <c r="BI47" i="34"/>
  <c r="AW47" i="34"/>
  <c r="BC47" i="34"/>
  <c r="CL47" i="34"/>
  <c r="BV47" i="34"/>
  <c r="AV4" i="34"/>
  <c r="CA4" i="34" a="1"/>
  <c r="CA4" i="34" s="1"/>
  <c r="BU4" i="34"/>
  <c r="BH4" i="34"/>
  <c r="BB4" i="34"/>
  <c r="CK4" i="34"/>
  <c r="BA38" i="34"/>
  <c r="BM38" i="34"/>
  <c r="CP38" i="34"/>
  <c r="BG38" i="34"/>
  <c r="CF38" i="34" a="1"/>
  <c r="CF38" i="34" s="1"/>
  <c r="BZ38" i="34"/>
  <c r="CC28" i="34" a="1"/>
  <c r="CC28" i="34" s="1"/>
  <c r="BJ28" i="34"/>
  <c r="BD28" i="34"/>
  <c r="AX28" i="34"/>
  <c r="BW28" i="34"/>
  <c r="CM28" i="34"/>
  <c r="CC5" i="34" a="1"/>
  <c r="CC5" i="34" s="1"/>
  <c r="BJ5" i="34"/>
  <c r="BW5" i="34"/>
  <c r="BD5" i="34"/>
  <c r="CM5" i="34"/>
  <c r="AX5" i="34"/>
  <c r="CB16" i="34" a="1"/>
  <c r="CB16" i="34" s="1"/>
  <c r="AW16" i="34"/>
  <c r="BC16" i="34"/>
  <c r="BI16" i="34"/>
  <c r="BV16" i="34"/>
  <c r="CL16" i="34"/>
  <c r="CE39" i="34" a="1"/>
  <c r="CE39" i="34" s="1"/>
  <c r="AZ39" i="34"/>
  <c r="BL39" i="34"/>
  <c r="BF39" i="34"/>
  <c r="BY39" i="34"/>
  <c r="CO39" i="34"/>
  <c r="CE33" i="34" a="1"/>
  <c r="CE33" i="34" s="1"/>
  <c r="BL33" i="34"/>
  <c r="AZ33" i="34"/>
  <c r="BY33" i="34"/>
  <c r="BF33" i="34"/>
  <c r="CO33" i="34"/>
  <c r="CD10" i="34" a="1"/>
  <c r="CD10" i="34" s="1"/>
  <c r="BK10" i="34"/>
  <c r="BE10" i="34"/>
  <c r="BX10" i="34"/>
  <c r="CN10" i="34"/>
  <c r="AY10" i="34"/>
  <c r="CC30" i="34" a="1"/>
  <c r="CC30" i="34" s="1"/>
  <c r="BD30" i="34"/>
  <c r="CM30" i="34"/>
  <c r="AX30" i="34"/>
  <c r="BW30" i="34"/>
  <c r="BJ30" i="34"/>
  <c r="AX7" i="34"/>
  <c r="CC7" i="34" a="1"/>
  <c r="CC7" i="34" s="1"/>
  <c r="BD7" i="34"/>
  <c r="BW7" i="34"/>
  <c r="CM7" i="34"/>
  <c r="BJ7" i="34"/>
  <c r="CB18" i="34" a="1"/>
  <c r="CB18" i="34" s="1"/>
  <c r="BV18" i="34"/>
  <c r="CL18" i="34"/>
  <c r="BC18" i="34"/>
  <c r="AW18" i="34"/>
  <c r="BI18" i="34"/>
  <c r="CB32" i="34" a="1"/>
  <c r="CB32" i="34" s="1"/>
  <c r="AW32" i="34"/>
  <c r="BI32" i="34"/>
  <c r="BC32" i="34"/>
  <c r="BV32" i="34"/>
  <c r="CL32" i="34"/>
  <c r="CD51" i="34" a="1"/>
  <c r="CD51" i="34" s="1"/>
  <c r="BE51" i="34"/>
  <c r="BX51" i="34"/>
  <c r="CN51" i="34"/>
  <c r="BK51" i="34"/>
  <c r="CM17" i="34"/>
  <c r="CC17" i="34" a="1"/>
  <c r="CC17" i="34" s="1"/>
  <c r="AX17" i="34"/>
  <c r="BD17" i="34"/>
  <c r="BJ17" i="34"/>
  <c r="BW17" i="34"/>
  <c r="CL11" i="34"/>
  <c r="CB11" i="34" a="1"/>
  <c r="CB11" i="34" s="1"/>
  <c r="BI11" i="34"/>
  <c r="BC11" i="34"/>
  <c r="AW11" i="34"/>
  <c r="BV11" i="34"/>
  <c r="CD52" i="34" a="1"/>
  <c r="CD52" i="34" s="1"/>
  <c r="BX52" i="34"/>
  <c r="BK52" i="34"/>
  <c r="CN52" i="34"/>
  <c r="BE52" i="34"/>
  <c r="CD37" i="34" a="1"/>
  <c r="CD37" i="34" s="1"/>
  <c r="BX37" i="34"/>
  <c r="BK37" i="34"/>
  <c r="CN37" i="34"/>
  <c r="AY37" i="34"/>
  <c r="BE37" i="34"/>
  <c r="CD15" i="34" a="1"/>
  <c r="CD15" i="34" s="1"/>
  <c r="BX15" i="34"/>
  <c r="AY15" i="34"/>
  <c r="CN15" i="34"/>
  <c r="CA27" i="34" a="1"/>
  <c r="CA27" i="34" s="1"/>
  <c r="BB27" i="34"/>
  <c r="CK27" i="34"/>
  <c r="BU27" i="34"/>
  <c r="BH27" i="34"/>
  <c r="AV27" i="34"/>
  <c r="CF45" i="34" a="1"/>
  <c r="CF45" i="34" s="1"/>
  <c r="CP45" i="34"/>
  <c r="BA45" i="34"/>
  <c r="BG45" i="34"/>
  <c r="BM45" i="34"/>
  <c r="BZ45" i="34"/>
  <c r="CD33" i="34" a="1"/>
  <c r="CD33" i="34" s="1"/>
  <c r="BX33" i="34"/>
  <c r="CN33" i="34"/>
  <c r="BK33" i="34"/>
  <c r="AY33" i="34"/>
  <c r="BE33" i="34"/>
  <c r="CF16" i="34" a="1"/>
  <c r="CF16" i="34" s="1"/>
  <c r="CP16" i="34"/>
  <c r="BG16" i="34"/>
  <c r="BZ16" i="34"/>
  <c r="BA16" i="34"/>
  <c r="BM16" i="34"/>
  <c r="CE8" i="34" a="1"/>
  <c r="CE8" i="34" s="1"/>
  <c r="BF8" i="34"/>
  <c r="BL8" i="34"/>
  <c r="BY8" i="34"/>
  <c r="CO8" i="34"/>
  <c r="AZ8" i="34"/>
  <c r="CD39" i="34" a="1"/>
  <c r="CD39" i="34" s="1"/>
  <c r="CN39" i="34"/>
  <c r="BX39" i="34"/>
  <c r="BE39" i="34"/>
  <c r="AY39" i="34"/>
  <c r="BK39" i="34"/>
  <c r="CA37" i="34" a="1"/>
  <c r="CA37" i="34" s="1"/>
  <c r="AV37" i="34"/>
  <c r="BH37" i="34"/>
  <c r="CK37" i="34"/>
  <c r="BB37" i="34"/>
  <c r="BU37" i="34"/>
  <c r="CF40" i="34" a="1"/>
  <c r="CF40" i="34" s="1"/>
  <c r="BG40" i="34"/>
  <c r="BZ40" i="34"/>
  <c r="CP40" i="34"/>
  <c r="BA40" i="34"/>
  <c r="BM40" i="34"/>
  <c r="BM17" i="34"/>
  <c r="CP17" i="34"/>
  <c r="CF17" i="34" a="1"/>
  <c r="CF17" i="34" s="1"/>
  <c r="BA17" i="34"/>
  <c r="BZ17" i="34"/>
  <c r="BG17" i="34"/>
  <c r="CE10" i="34" a="1"/>
  <c r="CE10" i="34" s="1"/>
  <c r="AZ10" i="34"/>
  <c r="BL10" i="34"/>
  <c r="CO10" i="34"/>
  <c r="BF10" i="34"/>
  <c r="BY10" i="34"/>
  <c r="CD42" i="34" a="1"/>
  <c r="CD42" i="34" s="1"/>
  <c r="BX42" i="34"/>
  <c r="CN42" i="34"/>
  <c r="AY42" i="34"/>
  <c r="BK42" i="34"/>
  <c r="BE42" i="34"/>
  <c r="CD19" i="34" a="1"/>
  <c r="CD19" i="34" s="1"/>
  <c r="BX19" i="34"/>
  <c r="CN19" i="34"/>
  <c r="CC38" i="34" a="1"/>
  <c r="CC38" i="34" s="1"/>
  <c r="BD38" i="34"/>
  <c r="CM38" i="34"/>
  <c r="BW38" i="34"/>
  <c r="BJ38" i="34"/>
  <c r="AX38" i="34"/>
  <c r="CC16" i="34" a="1"/>
  <c r="CC16" i="34" s="1"/>
  <c r="BD16" i="34"/>
  <c r="BW16" i="34"/>
  <c r="AX16" i="34"/>
  <c r="CM16" i="34"/>
  <c r="BJ16" i="34"/>
  <c r="CB43" i="34" a="1"/>
  <c r="CB43" i="34" s="1"/>
  <c r="BV43" i="34"/>
  <c r="CL43" i="34"/>
  <c r="BC43" i="34"/>
  <c r="BI43" i="34"/>
  <c r="AW43" i="34"/>
  <c r="CF42" i="34" a="1"/>
  <c r="CF42" i="34" s="1"/>
  <c r="BA42" i="34"/>
  <c r="BZ42" i="34"/>
  <c r="CP42" i="34"/>
  <c r="BG42" i="34"/>
  <c r="BM42" i="34"/>
  <c r="CE27" i="34" a="1"/>
  <c r="CE27" i="34" s="1"/>
  <c r="BL27" i="34"/>
  <c r="BY27" i="34"/>
  <c r="CO27" i="34"/>
  <c r="BF27" i="34"/>
  <c r="AZ27" i="34"/>
  <c r="CD4" i="34" a="1"/>
  <c r="CD4" i="34" s="1"/>
  <c r="BE4" i="34"/>
  <c r="BX4" i="34"/>
  <c r="CN4" i="34"/>
  <c r="AY4" i="34"/>
  <c r="BK4" i="34"/>
  <c r="CC24" i="34" a="1"/>
  <c r="CC24" i="34" s="1"/>
  <c r="BD24" i="34"/>
  <c r="BJ24" i="34"/>
  <c r="AX24" i="34"/>
  <c r="BW24" i="34"/>
  <c r="CM24" i="34"/>
  <c r="CC55" i="34" a="1"/>
  <c r="CC55" i="34" s="1"/>
  <c r="BD55" i="34"/>
  <c r="CM55" i="34"/>
  <c r="AX55" i="34"/>
  <c r="BJ55" i="34"/>
  <c r="BW55" i="34"/>
  <c r="BC12" i="34"/>
  <c r="BV12" i="34"/>
  <c r="AW12" i="34"/>
  <c r="CL12" i="34"/>
  <c r="BI12" i="34"/>
  <c r="CB12" i="34" a="1"/>
  <c r="CB12" i="34" s="1"/>
  <c r="CF13" i="34" a="1"/>
  <c r="CF13" i="34" s="1"/>
  <c r="BA13" i="34"/>
  <c r="BG13" i="34"/>
  <c r="CP13" i="34"/>
  <c r="BZ13" i="34"/>
  <c r="BM13" i="34"/>
  <c r="CC42" i="34" a="1"/>
  <c r="CC42" i="34" s="1"/>
  <c r="AX42" i="34"/>
  <c r="BJ42" i="34"/>
  <c r="BW42" i="34"/>
  <c r="CM42" i="34"/>
  <c r="BD42" i="34"/>
  <c r="AV11" i="34"/>
  <c r="CA11" i="34" a="1"/>
  <c r="CA11" i="34" s="1"/>
  <c r="BB11" i="34"/>
  <c r="BH11" i="34"/>
  <c r="CK11" i="34"/>
  <c r="BU11" i="34"/>
  <c r="CF46" i="34" a="1"/>
  <c r="CF46" i="34" s="1"/>
  <c r="BM46" i="34"/>
  <c r="CP46" i="34"/>
  <c r="BA46" i="34"/>
  <c r="BZ46" i="34"/>
  <c r="BG46" i="34"/>
  <c r="CC35" i="34" a="1"/>
  <c r="CC35" i="34" s="1"/>
  <c r="BW35" i="34"/>
  <c r="AX35" i="34"/>
  <c r="CM35" i="34"/>
  <c r="BJ35" i="34"/>
  <c r="BD35" i="34"/>
  <c r="CC14" i="34" a="1"/>
  <c r="CC14" i="34" s="1"/>
  <c r="AX14" i="34"/>
  <c r="BD14" i="34"/>
  <c r="CM14" i="34"/>
  <c r="BW14" i="34"/>
  <c r="BJ14" i="34"/>
  <c r="BV42" i="34"/>
  <c r="CL42" i="34"/>
  <c r="CB42" i="34" a="1"/>
  <c r="CB42" i="34" s="1"/>
  <c r="AW42" i="34"/>
  <c r="BI42" i="34"/>
  <c r="BC42" i="34"/>
  <c r="CE48" i="34" a="1"/>
  <c r="CE48" i="34" s="1"/>
  <c r="BF48" i="34"/>
  <c r="BY48" i="34"/>
  <c r="CO48" i="34"/>
  <c r="BL48" i="34"/>
  <c r="AZ48" i="34"/>
  <c r="CD40" i="34" a="1"/>
  <c r="CD40" i="34" s="1"/>
  <c r="BK40" i="34"/>
  <c r="AY40" i="34"/>
  <c r="BE40" i="34"/>
  <c r="BX40" i="34"/>
  <c r="CN40" i="34"/>
  <c r="CN17" i="34"/>
  <c r="CD17" i="34" a="1"/>
  <c r="CD17" i="34" s="1"/>
  <c r="BX17" i="34"/>
  <c r="AY17" i="34"/>
  <c r="CC37" i="34" a="1"/>
  <c r="CC37" i="34" s="1"/>
  <c r="BD37" i="34"/>
  <c r="CM37" i="34"/>
  <c r="AX37" i="34"/>
  <c r="BJ37" i="34"/>
  <c r="BW37" i="34"/>
  <c r="CC15" i="34" a="1"/>
  <c r="CC15" i="34" s="1"/>
  <c r="AX15" i="34"/>
  <c r="BD15" i="34"/>
  <c r="CM15" i="34"/>
  <c r="BW15" i="34"/>
  <c r="BJ15" i="34"/>
  <c r="CB41" i="34" a="1"/>
  <c r="CB41" i="34" s="1"/>
  <c r="CL41" i="34"/>
  <c r="AW41" i="34"/>
  <c r="BV41" i="34"/>
  <c r="BI41" i="34"/>
  <c r="BC41" i="34"/>
  <c r="AV9" i="34"/>
  <c r="CA9" i="34" a="1"/>
  <c r="CA9" i="34" s="1"/>
  <c r="BB9" i="34"/>
  <c r="CK9" i="34"/>
  <c r="BU9" i="34"/>
  <c r="BH9" i="34"/>
  <c r="CD6" i="34" a="1"/>
  <c r="CD6" i="34" s="1"/>
  <c r="BE6" i="34"/>
  <c r="AY6" i="34"/>
  <c r="CN6" i="34"/>
  <c r="BK6" i="34"/>
  <c r="BX6" i="34"/>
  <c r="CB48" i="34" a="1"/>
  <c r="CB48" i="34" s="1"/>
  <c r="AW48" i="34"/>
  <c r="BV48" i="34"/>
  <c r="CL48" i="34"/>
  <c r="BI48" i="34"/>
  <c r="BC48" i="34"/>
  <c r="CF27" i="34" a="1"/>
  <c r="CF27" i="34" s="1"/>
  <c r="BZ27" i="34"/>
  <c r="CP27" i="34"/>
  <c r="BA27" i="34"/>
  <c r="BM27" i="34"/>
  <c r="BG27" i="34"/>
  <c r="CD5" i="34" a="1"/>
  <c r="CD5" i="34" s="1"/>
  <c r="BK5" i="34"/>
  <c r="BX5" i="34"/>
  <c r="BE5" i="34"/>
  <c r="CN5" i="34"/>
  <c r="AY5" i="34"/>
  <c r="CD45" i="34" a="1"/>
  <c r="CD45" i="34" s="1"/>
  <c r="CN45" i="34"/>
  <c r="BX45" i="34"/>
  <c r="BK45" i="34"/>
  <c r="BE45" i="34"/>
  <c r="BI24" i="34"/>
  <c r="CB24" i="34" a="1"/>
  <c r="CB24" i="34" s="1"/>
  <c r="AW24" i="34"/>
  <c r="BV24" i="34"/>
  <c r="BC24" i="34"/>
  <c r="CL24" i="34"/>
  <c r="CF21" i="34" a="1"/>
  <c r="CF21" i="34" s="1"/>
  <c r="BA21" i="34"/>
  <c r="CP21" i="34"/>
  <c r="BZ21" i="34"/>
  <c r="BG21" i="34"/>
  <c r="BM21" i="34"/>
  <c r="CF54" i="34" a="1"/>
  <c r="CF54" i="34" s="1"/>
  <c r="BM54" i="34"/>
  <c r="BZ54" i="34"/>
  <c r="CP54" i="34"/>
  <c r="BG54" i="34"/>
  <c r="BA54" i="34"/>
  <c r="BX22" i="34"/>
  <c r="CD22" i="34" a="1"/>
  <c r="CD22" i="34" s="1"/>
  <c r="AY22" i="34"/>
  <c r="BK22" i="34"/>
  <c r="CN22" i="34"/>
  <c r="BE22" i="34"/>
  <c r="CC43" i="34" a="1"/>
  <c r="CC43" i="34" s="1"/>
  <c r="BD43" i="34"/>
  <c r="BW43" i="34"/>
  <c r="CM43" i="34"/>
  <c r="AX43" i="34"/>
  <c r="BJ43" i="34"/>
  <c r="CE38" i="34" a="1"/>
  <c r="CE38" i="34" s="1"/>
  <c r="CO38" i="34"/>
  <c r="AZ38" i="34"/>
  <c r="BF38" i="34"/>
  <c r="BL38" i="34"/>
  <c r="BY38" i="34"/>
  <c r="CE16" i="34" a="1"/>
  <c r="CE16" i="34" s="1"/>
  <c r="CO16" i="34"/>
  <c r="BF16" i="34"/>
  <c r="AZ16" i="34"/>
  <c r="BY16" i="34"/>
  <c r="BL16" i="34"/>
  <c r="CD48" i="34" a="1"/>
  <c r="CD48" i="34" s="1"/>
  <c r="BK48" i="34"/>
  <c r="BE48" i="34"/>
  <c r="BX48" i="34"/>
  <c r="CN48" i="34"/>
  <c r="AV6" i="34"/>
  <c r="BB6" i="34"/>
  <c r="CA6" i="34" a="1"/>
  <c r="CA6" i="34" s="1"/>
  <c r="CK6" i="34"/>
  <c r="BU6" i="34"/>
  <c r="BH6" i="34"/>
  <c r="CF47" i="34" a="1"/>
  <c r="CF47" i="34" s="1"/>
  <c r="BM47" i="34"/>
  <c r="BG47" i="34"/>
  <c r="BA47" i="34"/>
  <c r="BZ47" i="34"/>
  <c r="CP47" i="34"/>
  <c r="CD49" i="34" a="1"/>
  <c r="CD49" i="34" s="1"/>
  <c r="BE49" i="34"/>
  <c r="BK49" i="34"/>
  <c r="BX49" i="34"/>
  <c r="CN49" i="34"/>
  <c r="CD25" i="34" a="1"/>
  <c r="CD25" i="34" s="1"/>
  <c r="BX25" i="34"/>
  <c r="AY25" i="34"/>
  <c r="CN25" i="34"/>
  <c r="BK25" i="34"/>
  <c r="BE25" i="34"/>
  <c r="CC46" i="34" a="1"/>
  <c r="CC46" i="34" s="1"/>
  <c r="BJ46" i="34"/>
  <c r="BD46" i="34"/>
  <c r="CM46" i="34"/>
  <c r="AX46" i="34"/>
  <c r="BW46" i="34"/>
  <c r="CB2" i="34" a="1"/>
  <c r="CB2" i="34" s="1"/>
  <c r="BI2" i="34"/>
  <c r="CL2" i="34"/>
  <c r="BV2" i="34"/>
  <c r="BC2" i="34"/>
  <c r="AW2" i="34"/>
  <c r="CF49" i="34" a="1"/>
  <c r="CF49" i="34" s="1"/>
  <c r="CP49" i="34"/>
  <c r="BG49" i="34"/>
  <c r="BZ49" i="34"/>
  <c r="BA49" i="34"/>
  <c r="BM49" i="34"/>
  <c r="CF12" i="34" a="1"/>
  <c r="CF12" i="34" s="1"/>
  <c r="BG12" i="34"/>
  <c r="BM12" i="34"/>
  <c r="BA12" i="34"/>
  <c r="CP12" i="34"/>
  <c r="BZ12" i="34"/>
  <c r="CE3" i="34" a="1"/>
  <c r="CE3" i="34" s="1"/>
  <c r="BF3" i="34"/>
  <c r="CO3" i="34"/>
  <c r="BY3" i="34"/>
  <c r="BL3" i="34"/>
  <c r="AZ3" i="34"/>
  <c r="CD34" i="34" a="1"/>
  <c r="CD34" i="34" s="1"/>
  <c r="AY34" i="34"/>
  <c r="BE34" i="34"/>
  <c r="BK34" i="34"/>
  <c r="BX34" i="34"/>
  <c r="CN34" i="34"/>
  <c r="CD11" i="34" a="1"/>
  <c r="CD11" i="34" s="1"/>
  <c r="BX11" i="34"/>
  <c r="CN11" i="34"/>
  <c r="BE11" i="34"/>
  <c r="BK11" i="34"/>
  <c r="AY11" i="34"/>
  <c r="CC31" i="34" a="1"/>
  <c r="CC31" i="34" s="1"/>
  <c r="BJ31" i="34"/>
  <c r="BW31" i="34"/>
  <c r="BD31" i="34"/>
  <c r="CM31" i="34"/>
  <c r="AX31" i="34"/>
  <c r="CC9" i="34" a="1"/>
  <c r="CC9" i="34" s="1"/>
  <c r="BW9" i="34"/>
  <c r="CM9" i="34"/>
  <c r="BD9" i="34"/>
  <c r="BJ9" i="34"/>
  <c r="AX9" i="34"/>
  <c r="CB19" i="34" a="1"/>
  <c r="CB19" i="34" s="1"/>
  <c r="BV19" i="34"/>
  <c r="CL19" i="34"/>
  <c r="BI19" i="34"/>
  <c r="AW19" i="34"/>
  <c r="BC19" i="34"/>
  <c r="CB35" i="34" a="1"/>
  <c r="CB35" i="34" s="1"/>
  <c r="BC35" i="34"/>
  <c r="BI35" i="34"/>
  <c r="AW35" i="34"/>
  <c r="BV35" i="34"/>
  <c r="CL35" i="34"/>
  <c r="CE50" i="34" a="1"/>
  <c r="CE50" i="34" s="1"/>
  <c r="BY50" i="34"/>
  <c r="AZ50" i="34"/>
  <c r="CO50" i="34"/>
  <c r="BL50" i="34"/>
  <c r="BF50" i="34"/>
  <c r="CE11" i="34" a="1"/>
  <c r="CE11" i="34" s="1"/>
  <c r="AZ11" i="34"/>
  <c r="BL11" i="34"/>
  <c r="BY11" i="34"/>
  <c r="CO11" i="34"/>
  <c r="BF11" i="34"/>
  <c r="CD27" i="34" a="1"/>
  <c r="CD27" i="34" s="1"/>
  <c r="BX27" i="34"/>
  <c r="CN27" i="34"/>
  <c r="BK27" i="34"/>
  <c r="AY27" i="34"/>
  <c r="BE27" i="34"/>
  <c r="CC49" i="34" a="1"/>
  <c r="CC49" i="34" s="1"/>
  <c r="AX49" i="34"/>
  <c r="BW49" i="34"/>
  <c r="CM49" i="34"/>
  <c r="BJ49" i="34"/>
  <c r="BD49" i="34"/>
  <c r="AX12" i="34"/>
  <c r="CC12" i="34" a="1"/>
  <c r="CC12" i="34" s="1"/>
  <c r="BD12" i="34"/>
  <c r="BJ12" i="34"/>
  <c r="CM12" i="34"/>
  <c r="BW12" i="34"/>
  <c r="CB6" i="34" a="1"/>
  <c r="CB6" i="34" s="1"/>
  <c r="BV6" i="34"/>
  <c r="AW6" i="34"/>
  <c r="BC6" i="34"/>
  <c r="CL6" i="34"/>
  <c r="BI6" i="34"/>
  <c r="CA41" i="34" a="1"/>
  <c r="CA41" i="34" s="1"/>
  <c r="BB41" i="34"/>
  <c r="BH41" i="34"/>
  <c r="BU41" i="34"/>
  <c r="CK41" i="34"/>
  <c r="AV41" i="34"/>
  <c r="AV13" i="34"/>
  <c r="CA13" i="34" a="1"/>
  <c r="CA13" i="34" s="1"/>
  <c r="CK13" i="34"/>
  <c r="BH13" i="34"/>
  <c r="BU13" i="34"/>
  <c r="BB13" i="34"/>
  <c r="CM26" i="34"/>
  <c r="CC26" i="34" a="1"/>
  <c r="CC26" i="34" s="1"/>
  <c r="BW26" i="34"/>
  <c r="BJ26" i="34"/>
  <c r="BD26" i="34"/>
  <c r="AX26" i="34"/>
  <c r="BJ50" i="34"/>
  <c r="CC50" i="34" a="1"/>
  <c r="CC50" i="34" s="1"/>
  <c r="BD50" i="34"/>
  <c r="AX50" i="34"/>
  <c r="BW50" i="34"/>
  <c r="CM50" i="34"/>
  <c r="CC11" i="34" a="1"/>
  <c r="CC11" i="34" s="1"/>
  <c r="BJ11" i="34"/>
  <c r="BW11" i="34"/>
  <c r="CM11" i="34"/>
  <c r="AX11" i="34"/>
  <c r="BD11" i="34"/>
  <c r="CF22" i="34" a="1"/>
  <c r="CF22" i="34" s="1"/>
  <c r="CP22" i="34"/>
  <c r="BG22" i="34"/>
  <c r="BZ22" i="34"/>
  <c r="BA22" i="34"/>
  <c r="BM22" i="34"/>
  <c r="CF53" i="34" a="1"/>
  <c r="CF53" i="34" s="1"/>
  <c r="CP53" i="34"/>
  <c r="BA53" i="34"/>
  <c r="BM53" i="34"/>
  <c r="BG53" i="34"/>
  <c r="BZ53" i="34"/>
  <c r="CD24" i="34" a="1"/>
  <c r="CD24" i="34" s="1"/>
  <c r="BK24" i="34"/>
  <c r="AY24" i="34"/>
  <c r="BE24" i="34"/>
  <c r="CN24" i="34"/>
  <c r="BX24" i="34"/>
  <c r="BD44" i="34"/>
  <c r="CC44" i="34" a="1"/>
  <c r="CC44" i="34" s="1"/>
  <c r="BW44" i="34"/>
  <c r="CM44" i="34"/>
  <c r="BJ44" i="34"/>
  <c r="AX44" i="34"/>
  <c r="CB53" i="34" a="1"/>
  <c r="CB53" i="34" s="1"/>
  <c r="AW53" i="34"/>
  <c r="BI53" i="34"/>
  <c r="BV53" i="34"/>
  <c r="CL53" i="34"/>
  <c r="BC53" i="34"/>
  <c r="AV21" i="34"/>
  <c r="CA21" i="34" a="1"/>
  <c r="CA21" i="34" s="1"/>
  <c r="CK21" i="34"/>
  <c r="BB21" i="34"/>
  <c r="BH21" i="34"/>
  <c r="BU21" i="34"/>
  <c r="AG3" i="33"/>
  <c r="AG2" i="33"/>
  <c r="BI12" i="33"/>
  <c r="BI13" i="33"/>
  <c r="BI8" i="33"/>
  <c r="BI9" i="33"/>
  <c r="BI10" i="33"/>
  <c r="BI11" i="33"/>
  <c r="BK3" i="33"/>
  <c r="BK4" i="33"/>
  <c r="BK5" i="33"/>
  <c r="BL6" i="33"/>
  <c r="BL7" i="33"/>
  <c r="BK2" i="33"/>
  <c r="BC8" i="33" l="1"/>
  <c r="BC9" i="33"/>
  <c r="BC10" i="33"/>
  <c r="BC11" i="33"/>
  <c r="BC12" i="33"/>
  <c r="BC13" i="33"/>
  <c r="BF6" i="33"/>
  <c r="BF7" i="33"/>
  <c r="BE3" i="33"/>
  <c r="BE4" i="33"/>
  <c r="BE5" i="33"/>
  <c r="BE2" i="33"/>
  <c r="AZ6" i="33"/>
  <c r="AZ7" i="33"/>
  <c r="AY3" i="33"/>
  <c r="AY4" i="33"/>
  <c r="AY5" i="33"/>
  <c r="AY2" i="33"/>
  <c r="AW11" i="33"/>
  <c r="AW10" i="33"/>
  <c r="AW9" i="33"/>
  <c r="AW8" i="33"/>
  <c r="AW12" i="33"/>
  <c r="AW13" i="33"/>
  <c r="A5" i="18" l="1"/>
  <c r="A6" i="18"/>
  <c r="A7" i="18"/>
  <c r="A8" i="18"/>
  <c r="A9" i="18"/>
  <c r="A10" i="18"/>
  <c r="A11" i="18"/>
  <c r="A12" i="18"/>
  <c r="A13" i="18"/>
  <c r="A14" i="18"/>
  <c r="A15" i="18"/>
  <c r="A16" i="18"/>
  <c r="A17" i="18"/>
  <c r="A18" i="18"/>
  <c r="A19" i="18"/>
  <c r="A4" i="18"/>
  <c r="D16" i="20"/>
  <c r="E16" i="20"/>
  <c r="F16" i="20"/>
  <c r="D17" i="20"/>
  <c r="E17" i="20"/>
  <c r="F17" i="20"/>
  <c r="D18" i="20"/>
  <c r="E18" i="20"/>
  <c r="F18" i="20"/>
  <c r="D19" i="20"/>
  <c r="E19" i="20"/>
  <c r="F19" i="20"/>
  <c r="I18" i="20"/>
  <c r="J18" i="20"/>
  <c r="K18" i="20"/>
  <c r="I19" i="20"/>
  <c r="J19" i="20"/>
  <c r="K19" i="20"/>
  <c r="N18" i="20"/>
  <c r="O18" i="20"/>
  <c r="P18" i="20"/>
  <c r="N19" i="20"/>
  <c r="O19" i="20"/>
  <c r="P19" i="20"/>
  <c r="R4" i="20"/>
  <c r="S4" i="20"/>
  <c r="T4" i="20"/>
  <c r="U4" i="20"/>
  <c r="V4" i="20"/>
  <c r="W4" i="20"/>
  <c r="X4" i="20"/>
  <c r="Y4" i="20"/>
  <c r="Z4" i="20"/>
  <c r="AA4" i="20"/>
  <c r="AB4" i="20"/>
  <c r="AC4" i="20"/>
  <c r="AD4" i="20"/>
  <c r="AE4" i="20"/>
  <c r="R5" i="20"/>
  <c r="S5" i="20"/>
  <c r="T5" i="20"/>
  <c r="U5" i="20"/>
  <c r="V5" i="20"/>
  <c r="W5" i="20"/>
  <c r="X5" i="20"/>
  <c r="Y5" i="20"/>
  <c r="Z5" i="20"/>
  <c r="AA5" i="20"/>
  <c r="AB5" i="20"/>
  <c r="AC5" i="20"/>
  <c r="AD5" i="20"/>
  <c r="AE5" i="20"/>
  <c r="R6" i="20"/>
  <c r="S6" i="20"/>
  <c r="T6" i="20"/>
  <c r="U6" i="20"/>
  <c r="V6" i="20"/>
  <c r="W6" i="20"/>
  <c r="X6" i="20"/>
  <c r="Y6" i="20"/>
  <c r="Z6" i="20"/>
  <c r="AA6" i="20"/>
  <c r="AB6" i="20"/>
  <c r="AC6" i="20"/>
  <c r="AD6" i="20"/>
  <c r="AE6" i="20"/>
  <c r="R7" i="20"/>
  <c r="S7" i="20"/>
  <c r="T7" i="20"/>
  <c r="U7" i="20"/>
  <c r="V7" i="20"/>
  <c r="W7" i="20"/>
  <c r="X7" i="20"/>
  <c r="Y7" i="20"/>
  <c r="Z7" i="20"/>
  <c r="AA7" i="20"/>
  <c r="AB7" i="20"/>
  <c r="AC7" i="20"/>
  <c r="AD7" i="20"/>
  <c r="AE7" i="20"/>
  <c r="R8" i="20"/>
  <c r="S8" i="20"/>
  <c r="T8" i="20"/>
  <c r="U8" i="20"/>
  <c r="V8" i="20"/>
  <c r="W8" i="20"/>
  <c r="X8" i="20"/>
  <c r="Y8" i="20"/>
  <c r="Z8" i="20"/>
  <c r="AA8" i="20"/>
  <c r="AB8" i="20"/>
  <c r="AC8" i="20"/>
  <c r="AD8" i="20"/>
  <c r="AE8" i="20"/>
  <c r="R9" i="20"/>
  <c r="S9" i="20"/>
  <c r="T9" i="20"/>
  <c r="U9" i="20"/>
  <c r="V9" i="20"/>
  <c r="W9" i="20"/>
  <c r="X9" i="20"/>
  <c r="Y9" i="20"/>
  <c r="Z9" i="20"/>
  <c r="AA9" i="20"/>
  <c r="AB9" i="20"/>
  <c r="AC9" i="20"/>
  <c r="AD9" i="20"/>
  <c r="AE9" i="20"/>
  <c r="R10" i="20"/>
  <c r="S10" i="20"/>
  <c r="T10" i="20"/>
  <c r="U10" i="20"/>
  <c r="V10" i="20"/>
  <c r="W10" i="20"/>
  <c r="X10" i="20"/>
  <c r="Y10" i="20"/>
  <c r="Z10" i="20"/>
  <c r="AA10" i="20"/>
  <c r="AB10" i="20"/>
  <c r="AC10" i="20"/>
  <c r="AD10" i="20"/>
  <c r="AE10" i="20"/>
  <c r="R11" i="20"/>
  <c r="S11" i="20"/>
  <c r="T11" i="20"/>
  <c r="U11" i="20"/>
  <c r="V11" i="20"/>
  <c r="W11" i="20"/>
  <c r="X11" i="20"/>
  <c r="Y11" i="20"/>
  <c r="Z11" i="20"/>
  <c r="AA11" i="20"/>
  <c r="AB11" i="20"/>
  <c r="AC11" i="20"/>
  <c r="AD11" i="20"/>
  <c r="AE11" i="20"/>
  <c r="R12" i="20"/>
  <c r="S12" i="20"/>
  <c r="T12" i="20"/>
  <c r="U12" i="20"/>
  <c r="V12" i="20"/>
  <c r="W12" i="20"/>
  <c r="X12" i="20"/>
  <c r="Y12" i="20"/>
  <c r="Z12" i="20"/>
  <c r="AA12" i="20"/>
  <c r="AB12" i="20"/>
  <c r="AC12" i="20"/>
  <c r="AD12" i="20"/>
  <c r="AE12" i="20"/>
  <c r="R13" i="20"/>
  <c r="S13" i="20"/>
  <c r="T13" i="20"/>
  <c r="U13" i="20"/>
  <c r="V13" i="20"/>
  <c r="W13" i="20"/>
  <c r="X13" i="20"/>
  <c r="Y13" i="20"/>
  <c r="Z13" i="20"/>
  <c r="AA13" i="20"/>
  <c r="AB13" i="20"/>
  <c r="AC13" i="20"/>
  <c r="AD13" i="20"/>
  <c r="AE13" i="20"/>
  <c r="R14" i="20"/>
  <c r="S14" i="20"/>
  <c r="T14" i="20"/>
  <c r="U14" i="20"/>
  <c r="V14" i="20"/>
  <c r="W14" i="20"/>
  <c r="X14" i="20"/>
  <c r="Y14" i="20"/>
  <c r="Z14" i="20"/>
  <c r="AA14" i="20"/>
  <c r="AB14" i="20"/>
  <c r="AC14" i="20"/>
  <c r="AD14" i="20"/>
  <c r="AE14" i="20"/>
  <c r="R15" i="20"/>
  <c r="S15" i="20"/>
  <c r="T15" i="20"/>
  <c r="U15" i="20"/>
  <c r="V15" i="20"/>
  <c r="W15" i="20"/>
  <c r="X15" i="20"/>
  <c r="Y15" i="20"/>
  <c r="Z15" i="20"/>
  <c r="AA15" i="20"/>
  <c r="AB15" i="20"/>
  <c r="AC15" i="20"/>
  <c r="AD15" i="20"/>
  <c r="AE15" i="20"/>
  <c r="R16" i="20"/>
  <c r="S16" i="20"/>
  <c r="T16" i="20"/>
  <c r="U16" i="20"/>
  <c r="V16" i="20"/>
  <c r="W16" i="20"/>
  <c r="X16" i="20"/>
  <c r="Y16" i="20"/>
  <c r="Z16" i="20"/>
  <c r="AA16" i="20"/>
  <c r="AB16" i="20"/>
  <c r="AC16" i="20"/>
  <c r="AD16" i="20"/>
  <c r="AE16" i="20"/>
  <c r="R17" i="20"/>
  <c r="S17" i="20"/>
  <c r="T17" i="20"/>
  <c r="U17" i="20"/>
  <c r="V17" i="20"/>
  <c r="W17" i="20"/>
  <c r="X17" i="20"/>
  <c r="Y17" i="20"/>
  <c r="Z17" i="20"/>
  <c r="AA17" i="20"/>
  <c r="AB17" i="20"/>
  <c r="AC17" i="20"/>
  <c r="AD17" i="20"/>
  <c r="AE17" i="20"/>
  <c r="R18" i="20"/>
  <c r="S18" i="20"/>
  <c r="T18" i="20"/>
  <c r="U18" i="20"/>
  <c r="V18" i="20"/>
  <c r="W18" i="20"/>
  <c r="X18" i="20"/>
  <c r="Y18" i="20"/>
  <c r="Z18" i="20"/>
  <c r="AA18" i="20"/>
  <c r="AB18" i="20"/>
  <c r="AC18" i="20"/>
  <c r="AD18" i="20"/>
  <c r="AE18" i="20"/>
  <c r="R19" i="20"/>
  <c r="S19" i="20"/>
  <c r="T19" i="20"/>
  <c r="U19" i="20"/>
  <c r="V19" i="20"/>
  <c r="W19" i="20"/>
  <c r="X19" i="20"/>
  <c r="Y19" i="20"/>
  <c r="Z19" i="20"/>
  <c r="AA19" i="20"/>
  <c r="AB19" i="20"/>
  <c r="AC19" i="20"/>
  <c r="AD19" i="20"/>
  <c r="AE19" i="20"/>
  <c r="L18" i="18"/>
  <c r="M18" i="18"/>
  <c r="N18" i="18"/>
  <c r="L19" i="18"/>
  <c r="M19" i="18"/>
  <c r="N19" i="18"/>
  <c r="G18" i="18"/>
  <c r="H18" i="18"/>
  <c r="I18" i="18"/>
  <c r="G19" i="18"/>
  <c r="H19" i="18"/>
  <c r="I19" i="18"/>
  <c r="D18" i="18"/>
  <c r="D19" i="18"/>
  <c r="B18" i="18"/>
  <c r="C18" i="18"/>
  <c r="B19" i="18"/>
  <c r="C19" i="18"/>
  <c r="N18" i="21"/>
  <c r="O18" i="21"/>
  <c r="P18" i="21"/>
  <c r="N19" i="21"/>
  <c r="O19" i="21"/>
  <c r="P19" i="21"/>
  <c r="I18" i="21"/>
  <c r="J18" i="21"/>
  <c r="K18" i="21"/>
  <c r="I19" i="21"/>
  <c r="J19" i="21"/>
  <c r="K19" i="21"/>
  <c r="D18" i="21"/>
  <c r="E18" i="21"/>
  <c r="F18" i="21"/>
  <c r="D19" i="21"/>
  <c r="E19" i="21"/>
  <c r="F19" i="21"/>
  <c r="N18" i="22"/>
  <c r="O18" i="22"/>
  <c r="P18" i="22"/>
  <c r="N19" i="22"/>
  <c r="O19" i="22"/>
  <c r="P19" i="22"/>
  <c r="I18" i="22"/>
  <c r="J18" i="22"/>
  <c r="K18" i="22"/>
  <c r="I19" i="22"/>
  <c r="J19" i="22"/>
  <c r="K19" i="22"/>
  <c r="D18" i="22"/>
  <c r="E18" i="22"/>
  <c r="F18" i="22"/>
  <c r="D19" i="22"/>
  <c r="E19" i="22"/>
  <c r="F19" i="22"/>
  <c r="E18" i="29"/>
  <c r="F18" i="29"/>
  <c r="E19" i="29"/>
  <c r="F19" i="29"/>
  <c r="D18" i="29"/>
  <c r="D19" i="29"/>
  <c r="F19" i="19"/>
  <c r="E19" i="19"/>
  <c r="D19" i="19"/>
  <c r="BQ3" i="33" l="1"/>
  <c r="BQ20" i="33"/>
  <c r="BQ21" i="33"/>
  <c r="BQ38" i="33"/>
  <c r="BQ39" i="33"/>
  <c r="BQ4" i="33"/>
  <c r="BQ5" i="33"/>
  <c r="BQ22" i="33"/>
  <c r="BQ23" i="33"/>
  <c r="BQ40" i="33"/>
  <c r="BQ41" i="33"/>
  <c r="BQ6" i="33"/>
  <c r="BQ7" i="33"/>
  <c r="BQ24" i="33"/>
  <c r="BQ25" i="33"/>
  <c r="BQ42" i="33"/>
  <c r="BQ43" i="33"/>
  <c r="BQ8" i="33"/>
  <c r="BQ9" i="33"/>
  <c r="BQ26" i="33"/>
  <c r="BQ27" i="33"/>
  <c r="BQ44" i="33"/>
  <c r="BQ45" i="33"/>
  <c r="BQ10" i="33"/>
  <c r="BQ11" i="33"/>
  <c r="BQ28" i="33"/>
  <c r="BQ29" i="33"/>
  <c r="BQ46" i="33"/>
  <c r="BQ47" i="33"/>
  <c r="BQ12" i="33"/>
  <c r="BQ13" i="33"/>
  <c r="BQ30" i="33"/>
  <c r="BQ31" i="33"/>
  <c r="BQ48" i="33"/>
  <c r="BQ49" i="33"/>
  <c r="BQ14" i="33"/>
  <c r="BQ15" i="33"/>
  <c r="BQ32" i="33"/>
  <c r="BQ33" i="33"/>
  <c r="BQ50" i="33"/>
  <c r="BQ51" i="33"/>
  <c r="BQ16" i="33"/>
  <c r="BQ17" i="33"/>
  <c r="BQ34" i="33"/>
  <c r="BQ35" i="33"/>
  <c r="BQ52" i="33"/>
  <c r="BQ53" i="33"/>
  <c r="BQ18" i="33"/>
  <c r="BQ19" i="33"/>
  <c r="BQ36" i="33"/>
  <c r="BQ37" i="33"/>
  <c r="BQ54" i="33"/>
  <c r="BQ55" i="33"/>
  <c r="BQ2" i="33"/>
  <c r="BP3" i="33"/>
  <c r="BP20" i="33"/>
  <c r="BP21" i="33"/>
  <c r="BP38" i="33"/>
  <c r="BP39" i="33"/>
  <c r="BP4" i="33"/>
  <c r="BP5" i="33"/>
  <c r="BP22" i="33"/>
  <c r="BP23" i="33"/>
  <c r="BP40" i="33"/>
  <c r="BP41" i="33"/>
  <c r="BP6" i="33"/>
  <c r="BP7" i="33"/>
  <c r="BP24" i="33"/>
  <c r="BP25" i="33"/>
  <c r="BP42" i="33"/>
  <c r="BP43" i="33"/>
  <c r="BP8" i="33"/>
  <c r="BP9" i="33"/>
  <c r="BP26" i="33"/>
  <c r="BP27" i="33"/>
  <c r="BP44" i="33"/>
  <c r="BP45" i="33"/>
  <c r="BP10" i="33"/>
  <c r="BP11" i="33"/>
  <c r="BP28" i="33"/>
  <c r="BP29" i="33"/>
  <c r="BP46" i="33"/>
  <c r="BP47" i="33"/>
  <c r="BP12" i="33"/>
  <c r="BP13" i="33"/>
  <c r="BP30" i="33"/>
  <c r="BP31" i="33"/>
  <c r="BP48" i="33"/>
  <c r="BP49" i="33"/>
  <c r="BP14" i="33"/>
  <c r="BP15" i="33"/>
  <c r="BP32" i="33"/>
  <c r="BP33" i="33"/>
  <c r="BP50" i="33"/>
  <c r="BP51" i="33"/>
  <c r="BP16" i="33"/>
  <c r="BP17" i="33"/>
  <c r="BP34" i="33"/>
  <c r="BP35" i="33"/>
  <c r="BP52" i="33"/>
  <c r="BP53" i="33"/>
  <c r="BP18" i="33"/>
  <c r="BP19" i="33"/>
  <c r="BP36" i="33"/>
  <c r="BP37" i="33"/>
  <c r="BP54" i="33"/>
  <c r="BP55" i="33"/>
  <c r="BP2" i="33"/>
  <c r="BO2" i="33"/>
  <c r="BO3" i="33"/>
  <c r="BO20" i="33"/>
  <c r="BO21" i="33"/>
  <c r="BO38" i="33"/>
  <c r="BO39" i="33"/>
  <c r="BO4" i="33"/>
  <c r="BO5" i="33"/>
  <c r="BO22" i="33"/>
  <c r="BO23" i="33"/>
  <c r="BO40" i="33"/>
  <c r="BO41" i="33"/>
  <c r="BO6" i="33"/>
  <c r="BO7" i="33"/>
  <c r="BO24" i="33"/>
  <c r="BO25" i="33"/>
  <c r="BO42" i="33"/>
  <c r="BO43" i="33"/>
  <c r="BO8" i="33"/>
  <c r="BO9" i="33"/>
  <c r="BO26" i="33"/>
  <c r="BO27" i="33"/>
  <c r="BO44" i="33"/>
  <c r="BO45" i="33"/>
  <c r="BO10" i="33"/>
  <c r="BO11" i="33"/>
  <c r="BO28" i="33"/>
  <c r="BO29" i="33"/>
  <c r="BO46" i="33"/>
  <c r="BO47" i="33"/>
  <c r="BO12" i="33"/>
  <c r="BO13" i="33"/>
  <c r="BO30" i="33"/>
  <c r="BO31" i="33"/>
  <c r="BO48" i="33"/>
  <c r="BO49" i="33"/>
  <c r="BO14" i="33"/>
  <c r="BO15" i="33"/>
  <c r="BO32" i="33"/>
  <c r="BO33" i="33"/>
  <c r="BO50" i="33"/>
  <c r="BO51" i="33"/>
  <c r="BO16" i="33"/>
  <c r="BO17" i="33"/>
  <c r="BO34" i="33"/>
  <c r="BO35" i="33"/>
  <c r="BO52" i="33"/>
  <c r="BO53" i="33"/>
  <c r="BO18" i="33"/>
  <c r="BO19" i="33"/>
  <c r="BO36" i="33"/>
  <c r="BO37" i="33"/>
  <c r="BO54" i="33"/>
  <c r="BO55" i="33"/>
  <c r="D55" i="33" l="1"/>
  <c r="D37" i="33"/>
  <c r="D19" i="33"/>
  <c r="D15" i="34" s="1"/>
  <c r="D53" i="33"/>
  <c r="D35" i="33"/>
  <c r="D17" i="33"/>
  <c r="D51" i="33"/>
  <c r="D33" i="33"/>
  <c r="D15" i="33"/>
  <c r="D49" i="33"/>
  <c r="D55" i="34" s="1"/>
  <c r="D31" i="33"/>
  <c r="D13" i="33"/>
  <c r="D47" i="33"/>
  <c r="D29" i="33"/>
  <c r="D11" i="33"/>
  <c r="D45" i="33"/>
  <c r="D27" i="33"/>
  <c r="D9" i="33"/>
  <c r="D39" i="34" s="1"/>
  <c r="D43" i="33"/>
  <c r="D37" i="34" s="1"/>
  <c r="D25" i="33"/>
  <c r="D7" i="33"/>
  <c r="D41" i="33"/>
  <c r="D23" i="33"/>
  <c r="D5" i="33"/>
  <c r="D27" i="34" s="1"/>
  <c r="D39" i="33"/>
  <c r="D21" i="33"/>
  <c r="D3" i="33"/>
  <c r="D21" i="34" s="1"/>
  <c r="D7" i="34" l="1"/>
  <c r="D9" i="34"/>
  <c r="D43" i="34"/>
  <c r="D31" i="34"/>
  <c r="D33" i="34"/>
  <c r="D49" i="34"/>
  <c r="D45" i="34"/>
  <c r="D51" i="34"/>
  <c r="D13" i="34"/>
  <c r="D25" i="34"/>
  <c r="D3" i="34"/>
  <c r="D19" i="34"/>
  <c r="D42" i="33"/>
  <c r="D35" i="34" s="1"/>
  <c r="D24" i="33"/>
  <c r="D6" i="33"/>
  <c r="D32" i="34" s="1"/>
  <c r="D40" i="33"/>
  <c r="D29" i="34" s="1"/>
  <c r="D22" i="33"/>
  <c r="D4" i="33"/>
  <c r="D38" i="33"/>
  <c r="D23" i="34" s="1"/>
  <c r="D20" i="33"/>
  <c r="D22" i="34" s="1"/>
  <c r="D2" i="33"/>
  <c r="D54" i="33"/>
  <c r="D17" i="34" s="1"/>
  <c r="D36" i="33"/>
  <c r="D16" i="34" s="1"/>
  <c r="D18" i="33"/>
  <c r="D52" i="33"/>
  <c r="D11" i="34" s="1"/>
  <c r="D34" i="33"/>
  <c r="D16" i="33"/>
  <c r="D50" i="33"/>
  <c r="D5" i="34" s="1"/>
  <c r="D32" i="33"/>
  <c r="D4" i="34" s="1"/>
  <c r="D14" i="33"/>
  <c r="D48" i="33"/>
  <c r="D53" i="34" s="1"/>
  <c r="D30" i="33"/>
  <c r="D52" i="34" s="1"/>
  <c r="D12" i="33"/>
  <c r="D50" i="34" s="1"/>
  <c r="D46" i="33"/>
  <c r="D47" i="34" s="1"/>
  <c r="D28" i="33"/>
  <c r="D10" i="33"/>
  <c r="D44" i="33"/>
  <c r="D41" i="34" s="1"/>
  <c r="D26" i="33"/>
  <c r="D8" i="33"/>
  <c r="D38" i="34" s="1"/>
  <c r="D20" i="34" l="1"/>
  <c r="D2" i="34"/>
  <c r="D34" i="34"/>
  <c r="D46" i="34"/>
  <c r="D24" i="34"/>
  <c r="D14" i="34"/>
  <c r="D18" i="34"/>
  <c r="D6" i="34"/>
  <c r="D54" i="34"/>
  <c r="D8" i="34"/>
  <c r="D36" i="34"/>
  <c r="D40" i="34"/>
  <c r="D44" i="34"/>
  <c r="D10" i="34"/>
  <c r="D26" i="34"/>
  <c r="D42" i="34"/>
  <c r="D48" i="34"/>
  <c r="D28" i="34"/>
  <c r="D12" i="34"/>
  <c r="D30" i="34"/>
  <c r="CW48" i="26" l="1"/>
  <c r="BN49" i="26"/>
  <c r="U64" i="26"/>
  <c r="AE46" i="26"/>
  <c r="P55" i="26"/>
  <c r="P50" i="26"/>
  <c r="P44" i="26"/>
  <c r="J6" i="29"/>
  <c r="F4" i="20" l="1"/>
  <c r="T27" i="11"/>
  <c r="S27" i="11"/>
  <c r="R27" i="11"/>
  <c r="P27" i="11"/>
  <c r="O27" i="11"/>
  <c r="N27" i="11"/>
  <c r="M27" i="11"/>
  <c r="L27" i="11"/>
  <c r="K27" i="11"/>
  <c r="J27" i="11"/>
  <c r="J32" i="11" s="1"/>
  <c r="I27" i="11"/>
  <c r="I32" i="11" s="1"/>
  <c r="H27" i="11"/>
  <c r="H32" i="11" s="1"/>
  <c r="G27" i="11"/>
  <c r="G32" i="11" s="1"/>
  <c r="AT66" i="26" l="1"/>
  <c r="AT65" i="26"/>
  <c r="AT64" i="26"/>
  <c r="AT63" i="26"/>
  <c r="AT62" i="26"/>
  <c r="AT61" i="26"/>
  <c r="AT60" i="26"/>
  <c r="AT70" i="26"/>
  <c r="AT71" i="26" s="1"/>
  <c r="FO46" i="26"/>
  <c r="BD62" i="26" l="1"/>
  <c r="BD61" i="26"/>
  <c r="BD60" i="26"/>
  <c r="AO62" i="26"/>
  <c r="AO61" i="26"/>
  <c r="AO60" i="26"/>
  <c r="U63" i="26"/>
  <c r="U62" i="26"/>
  <c r="U61" i="26"/>
  <c r="U60" i="26"/>
  <c r="U70" i="26" s="1"/>
  <c r="U71" i="26" s="1"/>
  <c r="P49" i="26"/>
  <c r="P48" i="26"/>
  <c r="P47" i="26"/>
  <c r="P46" i="26"/>
  <c r="P45" i="26"/>
  <c r="BD70" i="26" l="1"/>
  <c r="BD71" i="26" s="1"/>
  <c r="AO70" i="26"/>
  <c r="AO71" i="26" s="1"/>
  <c r="AB3" i="7" l="1"/>
  <c r="AB4" i="7"/>
  <c r="AB5" i="7"/>
  <c r="AB6" i="7"/>
  <c r="AB7" i="7"/>
  <c r="AB8" i="7"/>
  <c r="AB9" i="7"/>
  <c r="AB10" i="7"/>
  <c r="AB11" i="7"/>
  <c r="AB12" i="7"/>
  <c r="AB13" i="7"/>
  <c r="AB14" i="7"/>
  <c r="AB15" i="7"/>
  <c r="AB16" i="7"/>
  <c r="AB17" i="7"/>
  <c r="AB18" i="7"/>
  <c r="AB19" i="7"/>
  <c r="AB20" i="7"/>
  <c r="AB21" i="7"/>
  <c r="AB22" i="7"/>
  <c r="AB23" i="7"/>
  <c r="AB24" i="7"/>
  <c r="AB25" i="7"/>
  <c r="AB26" i="7"/>
  <c r="AB27" i="7"/>
  <c r="AB28" i="7"/>
  <c r="AB29" i="7"/>
  <c r="AB30" i="7"/>
  <c r="AB31" i="7"/>
  <c r="AB32" i="7"/>
  <c r="AB33" i="7"/>
  <c r="AB34" i="7"/>
  <c r="AB35" i="7"/>
  <c r="AB36" i="7"/>
  <c r="AB37" i="7"/>
  <c r="AB57" i="7"/>
  <c r="AB58" i="7"/>
  <c r="AB59" i="7"/>
  <c r="AB60" i="7"/>
  <c r="AB61" i="7"/>
  <c r="AB62" i="7"/>
  <c r="AB63" i="7"/>
  <c r="AB64" i="7"/>
  <c r="AB65" i="7"/>
  <c r="AB66" i="7"/>
  <c r="AB67" i="7"/>
  <c r="AB68" i="7"/>
  <c r="AB69" i="7"/>
  <c r="AB70" i="7"/>
  <c r="AB71" i="7"/>
  <c r="AB72" i="7"/>
  <c r="AB73" i="7"/>
  <c r="AB74" i="7"/>
  <c r="AB75" i="7"/>
  <c r="AB76" i="7"/>
  <c r="AB77" i="7"/>
  <c r="AB78" i="7"/>
  <c r="AB79" i="7"/>
  <c r="AB80" i="7"/>
  <c r="AB81" i="7"/>
  <c r="AB82" i="7"/>
  <c r="AB83" i="7"/>
  <c r="AB84" i="7"/>
  <c r="AB85" i="7"/>
  <c r="AB86" i="7"/>
  <c r="AB87" i="7"/>
  <c r="AB88" i="7"/>
  <c r="AB89" i="7"/>
  <c r="AB90" i="7"/>
  <c r="AB91" i="7"/>
  <c r="AB129" i="7"/>
  <c r="AB130" i="7"/>
  <c r="AB131" i="7"/>
  <c r="AB132" i="7"/>
  <c r="AB133" i="7"/>
  <c r="AB134" i="7"/>
  <c r="AB135" i="7"/>
  <c r="AB136" i="7"/>
  <c r="AB137" i="7"/>
  <c r="AB138" i="7"/>
  <c r="AB139" i="7"/>
  <c r="AB140" i="7"/>
  <c r="AB141" i="7"/>
  <c r="AB142" i="7"/>
  <c r="AB143" i="7"/>
  <c r="AB144" i="7"/>
  <c r="AB145" i="7"/>
  <c r="AB2" i="7"/>
  <c r="P19" i="23" l="1"/>
  <c r="O19" i="23"/>
  <c r="N19" i="23"/>
  <c r="M19" i="23"/>
  <c r="K19" i="23"/>
  <c r="J19" i="23"/>
  <c r="I19" i="23"/>
  <c r="H19" i="23"/>
  <c r="F19" i="23"/>
  <c r="E19" i="23"/>
  <c r="D19" i="23"/>
  <c r="C19" i="23"/>
  <c r="P18" i="23"/>
  <c r="O18" i="23"/>
  <c r="N18" i="23"/>
  <c r="M18" i="23"/>
  <c r="K18" i="23"/>
  <c r="J18" i="23"/>
  <c r="I18" i="23"/>
  <c r="H18" i="23"/>
  <c r="F18" i="23"/>
  <c r="E18" i="23"/>
  <c r="D18" i="23"/>
  <c r="C18" i="23"/>
  <c r="P17" i="32" l="1"/>
  <c r="O17" i="32"/>
  <c r="N17" i="32"/>
  <c r="M17" i="32"/>
  <c r="P16" i="32"/>
  <c r="O16" i="32"/>
  <c r="N16" i="32"/>
  <c r="M16" i="32"/>
  <c r="P15" i="32"/>
  <c r="O15" i="32"/>
  <c r="N15" i="32"/>
  <c r="M15" i="32"/>
  <c r="P14" i="32"/>
  <c r="O14" i="32"/>
  <c r="N14" i="32"/>
  <c r="M14" i="32"/>
  <c r="P13" i="32"/>
  <c r="O13" i="32"/>
  <c r="N13" i="32"/>
  <c r="M13" i="32"/>
  <c r="P12" i="32"/>
  <c r="O12" i="32"/>
  <c r="N12" i="32"/>
  <c r="M12" i="32"/>
  <c r="K17" i="32"/>
  <c r="J17" i="32"/>
  <c r="I17" i="32"/>
  <c r="H17" i="32"/>
  <c r="K16" i="32"/>
  <c r="J16" i="32"/>
  <c r="I16" i="32"/>
  <c r="H16" i="32"/>
  <c r="K15" i="32"/>
  <c r="J15" i="32"/>
  <c r="I15" i="32"/>
  <c r="H15" i="32"/>
  <c r="K14" i="32"/>
  <c r="J14" i="32"/>
  <c r="I14" i="32"/>
  <c r="H14" i="32"/>
  <c r="K13" i="32"/>
  <c r="J13" i="32"/>
  <c r="I13" i="32"/>
  <c r="H13" i="32"/>
  <c r="K12" i="32"/>
  <c r="J12" i="32"/>
  <c r="I12" i="32"/>
  <c r="H12" i="32"/>
  <c r="F17" i="32"/>
  <c r="E17" i="32"/>
  <c r="D17" i="32"/>
  <c r="C17" i="32"/>
  <c r="F16" i="32"/>
  <c r="E16" i="32"/>
  <c r="D16" i="32"/>
  <c r="C16" i="32"/>
  <c r="F15" i="32"/>
  <c r="E15" i="32"/>
  <c r="D15" i="32"/>
  <c r="C15" i="32"/>
  <c r="F14" i="32"/>
  <c r="E14" i="32"/>
  <c r="D14" i="32"/>
  <c r="C14" i="32"/>
  <c r="F13" i="32"/>
  <c r="E13" i="32"/>
  <c r="D13" i="32"/>
  <c r="C13" i="32"/>
  <c r="F12" i="32"/>
  <c r="E12" i="32"/>
  <c r="D12" i="32"/>
  <c r="C12" i="32"/>
  <c r="P9" i="32"/>
  <c r="N9" i="32"/>
  <c r="M9" i="32"/>
  <c r="P8" i="32"/>
  <c r="N8" i="32"/>
  <c r="M8" i="32"/>
  <c r="P7" i="32"/>
  <c r="N7" i="32"/>
  <c r="M7" i="32"/>
  <c r="P6" i="32"/>
  <c r="O6" i="32"/>
  <c r="N6" i="32"/>
  <c r="M6" i="32"/>
  <c r="P5" i="32"/>
  <c r="O5" i="32"/>
  <c r="N5" i="32"/>
  <c r="M5" i="32"/>
  <c r="P4" i="32"/>
  <c r="O4" i="32"/>
  <c r="N4" i="32"/>
  <c r="M4" i="32"/>
  <c r="K9" i="32"/>
  <c r="J9" i="32"/>
  <c r="I9" i="32"/>
  <c r="H9" i="32"/>
  <c r="K8" i="32"/>
  <c r="J8" i="32"/>
  <c r="I8" i="32"/>
  <c r="H8" i="32"/>
  <c r="K7" i="32"/>
  <c r="J7" i="32"/>
  <c r="I7" i="32"/>
  <c r="H7" i="32"/>
  <c r="K6" i="32"/>
  <c r="J6" i="32"/>
  <c r="I6" i="32"/>
  <c r="H6" i="32"/>
  <c r="K5" i="32"/>
  <c r="J5" i="32"/>
  <c r="I5" i="32"/>
  <c r="H5" i="32"/>
  <c r="K4" i="32"/>
  <c r="J4" i="32"/>
  <c r="I4" i="32"/>
  <c r="H4" i="32"/>
  <c r="D4" i="32"/>
  <c r="E4" i="32"/>
  <c r="F4" i="32"/>
  <c r="D5" i="32"/>
  <c r="E5" i="32"/>
  <c r="F5" i="32"/>
  <c r="D6" i="32"/>
  <c r="E6" i="32"/>
  <c r="F6" i="32"/>
  <c r="D7" i="32"/>
  <c r="E7" i="32"/>
  <c r="F7" i="32"/>
  <c r="D8" i="32"/>
  <c r="E8" i="32"/>
  <c r="F8" i="32"/>
  <c r="D9" i="32"/>
  <c r="E9" i="32"/>
  <c r="F9" i="32"/>
  <c r="C5" i="32"/>
  <c r="C6" i="32"/>
  <c r="C7" i="32"/>
  <c r="C8" i="32"/>
  <c r="C9" i="32"/>
  <c r="C4" i="32"/>
  <c r="P11" i="32"/>
  <c r="O11" i="32"/>
  <c r="N11" i="32"/>
  <c r="K11" i="32"/>
  <c r="J11" i="32"/>
  <c r="I11" i="32"/>
  <c r="F11" i="32"/>
  <c r="E11" i="32"/>
  <c r="D11" i="32"/>
  <c r="D4" i="31"/>
  <c r="E4" i="31"/>
  <c r="F4" i="31"/>
  <c r="H4" i="31"/>
  <c r="I4" i="31"/>
  <c r="J4" i="31"/>
  <c r="K4" i="31"/>
  <c r="M4" i="31"/>
  <c r="N4" i="31"/>
  <c r="O4" i="31"/>
  <c r="P4" i="31"/>
  <c r="D5" i="31"/>
  <c r="E5" i="31"/>
  <c r="F5" i="31"/>
  <c r="H5" i="31"/>
  <c r="I5" i="31"/>
  <c r="J5" i="31"/>
  <c r="K5" i="31"/>
  <c r="M5" i="31"/>
  <c r="N5" i="31"/>
  <c r="O5" i="31"/>
  <c r="P5" i="31"/>
  <c r="D6" i="31"/>
  <c r="E6" i="31"/>
  <c r="F6" i="31"/>
  <c r="H6" i="31"/>
  <c r="I6" i="31"/>
  <c r="J6" i="31"/>
  <c r="K6" i="31"/>
  <c r="M6" i="31"/>
  <c r="N6" i="31"/>
  <c r="O6" i="31"/>
  <c r="P6" i="31"/>
  <c r="D7" i="31"/>
  <c r="E7" i="31"/>
  <c r="F7" i="31"/>
  <c r="H7" i="31"/>
  <c r="I7" i="31"/>
  <c r="J7" i="31"/>
  <c r="K7" i="31"/>
  <c r="M7" i="31"/>
  <c r="N7" i="31"/>
  <c r="O7" i="31"/>
  <c r="P7" i="31"/>
  <c r="D8" i="31"/>
  <c r="E8" i="31"/>
  <c r="F8" i="31"/>
  <c r="H8" i="31"/>
  <c r="I8" i="31"/>
  <c r="J8" i="31"/>
  <c r="K8" i="31"/>
  <c r="M8" i="31"/>
  <c r="N8" i="31"/>
  <c r="O8" i="31"/>
  <c r="P8" i="31"/>
  <c r="D9" i="31"/>
  <c r="E9" i="31"/>
  <c r="F9" i="31"/>
  <c r="H9" i="31"/>
  <c r="I9" i="31"/>
  <c r="J9" i="31"/>
  <c r="K9" i="31"/>
  <c r="M9" i="31"/>
  <c r="N9" i="31"/>
  <c r="O9" i="31"/>
  <c r="P9" i="31"/>
  <c r="D11" i="31"/>
  <c r="E11" i="31"/>
  <c r="F11" i="31"/>
  <c r="H11" i="31"/>
  <c r="I11" i="31"/>
  <c r="J11" i="31"/>
  <c r="K11" i="31"/>
  <c r="M11" i="31"/>
  <c r="N11" i="31"/>
  <c r="O11" i="31"/>
  <c r="P11" i="31"/>
  <c r="D12" i="31"/>
  <c r="E12" i="31"/>
  <c r="F12" i="31"/>
  <c r="H12" i="31"/>
  <c r="I12" i="31"/>
  <c r="J12" i="31"/>
  <c r="K12" i="31"/>
  <c r="M12" i="31"/>
  <c r="N12" i="31"/>
  <c r="O12" i="31"/>
  <c r="P12" i="31"/>
  <c r="D13" i="31"/>
  <c r="E13" i="31"/>
  <c r="F13" i="31"/>
  <c r="H13" i="31"/>
  <c r="I13" i="31"/>
  <c r="J13" i="31"/>
  <c r="K13" i="31"/>
  <c r="M13" i="31"/>
  <c r="N13" i="31"/>
  <c r="O13" i="31"/>
  <c r="P13" i="31"/>
  <c r="D14" i="31"/>
  <c r="E14" i="31"/>
  <c r="F14" i="31"/>
  <c r="H14" i="31"/>
  <c r="I14" i="31"/>
  <c r="J14" i="31"/>
  <c r="K14" i="31"/>
  <c r="M14" i="31"/>
  <c r="N14" i="31"/>
  <c r="O14" i="31"/>
  <c r="P14" i="31"/>
  <c r="D15" i="31"/>
  <c r="E15" i="31"/>
  <c r="F15" i="31"/>
  <c r="H15" i="31"/>
  <c r="I15" i="31"/>
  <c r="J15" i="31"/>
  <c r="K15" i="31"/>
  <c r="M15" i="31"/>
  <c r="N15" i="31"/>
  <c r="O15" i="31"/>
  <c r="P15" i="31"/>
  <c r="D16" i="31"/>
  <c r="E16" i="31"/>
  <c r="F16" i="31"/>
  <c r="H16" i="31"/>
  <c r="I16" i="31"/>
  <c r="J16" i="31"/>
  <c r="K16" i="31"/>
  <c r="M16" i="31"/>
  <c r="N16" i="31"/>
  <c r="O16" i="31"/>
  <c r="P16" i="31"/>
  <c r="D17" i="31"/>
  <c r="E17" i="31"/>
  <c r="F17" i="31"/>
  <c r="H17" i="31"/>
  <c r="I17" i="31"/>
  <c r="J17" i="31"/>
  <c r="K17" i="31"/>
  <c r="M17" i="31"/>
  <c r="N17" i="31"/>
  <c r="O17" i="31"/>
  <c r="P17" i="31"/>
  <c r="C14" i="31"/>
  <c r="C15" i="31"/>
  <c r="C16" i="31"/>
  <c r="C17" i="31"/>
  <c r="C5" i="31"/>
  <c r="C6" i="31"/>
  <c r="C7" i="31"/>
  <c r="C8" i="31"/>
  <c r="C9" i="31"/>
  <c r="C11" i="31"/>
  <c r="C12" i="31"/>
  <c r="C13" i="31"/>
  <c r="C4" i="31"/>
  <c r="EU54" i="26"/>
  <c r="EU55" i="26" s="1"/>
  <c r="L139" i="16" s="1"/>
  <c r="HH45" i="26"/>
  <c r="HH46" i="26"/>
  <c r="HH47" i="26"/>
  <c r="HH44" i="26"/>
  <c r="HC46" i="26"/>
  <c r="HC45" i="26"/>
  <c r="HC44" i="26"/>
  <c r="GX45" i="26"/>
  <c r="GX46" i="26"/>
  <c r="GX47" i="26"/>
  <c r="GX44" i="26"/>
  <c r="GN47" i="26"/>
  <c r="GN46" i="26"/>
  <c r="GN45" i="26"/>
  <c r="GN44" i="26"/>
  <c r="GS44" i="26"/>
  <c r="GS45" i="26"/>
  <c r="GS47" i="26"/>
  <c r="GS46" i="26"/>
  <c r="GI45" i="26"/>
  <c r="GI44" i="26"/>
  <c r="GI47" i="26"/>
  <c r="GI46" i="26"/>
  <c r="GD48" i="26"/>
  <c r="GD47" i="26"/>
  <c r="GD46" i="26"/>
  <c r="GD45" i="26"/>
  <c r="GD44" i="26"/>
  <c r="FY48" i="26"/>
  <c r="FY49" i="26"/>
  <c r="FY45" i="26"/>
  <c r="FY46" i="26"/>
  <c r="FY47" i="26"/>
  <c r="FY44" i="26"/>
  <c r="FT45" i="26"/>
  <c r="FT46" i="26"/>
  <c r="FT47" i="26"/>
  <c r="FT48" i="26"/>
  <c r="FT44" i="26"/>
  <c r="FO45" i="26"/>
  <c r="FO47" i="26"/>
  <c r="FO48" i="26"/>
  <c r="FO44" i="26"/>
  <c r="FJ45" i="26"/>
  <c r="FJ46" i="26"/>
  <c r="FJ47" i="26"/>
  <c r="FJ48" i="26"/>
  <c r="FJ49" i="26"/>
  <c r="FJ50" i="26"/>
  <c r="FJ51" i="26"/>
  <c r="FJ52" i="26"/>
  <c r="FJ44" i="26"/>
  <c r="FE45" i="26"/>
  <c r="FE44" i="26"/>
  <c r="FE54" i="26" s="1"/>
  <c r="FE55" i="26" s="1"/>
  <c r="N139" i="16" s="1"/>
  <c r="EZ45" i="26"/>
  <c r="EZ44" i="26"/>
  <c r="EP45" i="26"/>
  <c r="EP46" i="26"/>
  <c r="EP47" i="26"/>
  <c r="EP44" i="26"/>
  <c r="EK45" i="26"/>
  <c r="EK46" i="26"/>
  <c r="EK47" i="26"/>
  <c r="EK44" i="26"/>
  <c r="EF45" i="26"/>
  <c r="EF46" i="26"/>
  <c r="EF47" i="26"/>
  <c r="EF44" i="26"/>
  <c r="EA45" i="26"/>
  <c r="EA46" i="26"/>
  <c r="EA44" i="26"/>
  <c r="AI100" i="7" l="1"/>
  <c r="AI102" i="7"/>
  <c r="AI41" i="7"/>
  <c r="AI49" i="7"/>
  <c r="AI93" i="7"/>
  <c r="AI107" i="7"/>
  <c r="AI149" i="7"/>
  <c r="AI163" i="7"/>
  <c r="AI150" i="7"/>
  <c r="AI39" i="7"/>
  <c r="AI42" i="7"/>
  <c r="AI50" i="7"/>
  <c r="AI94" i="7"/>
  <c r="AI108" i="7"/>
  <c r="AI92" i="7"/>
  <c r="AI43" i="7"/>
  <c r="AI51" i="7"/>
  <c r="AI95" i="7"/>
  <c r="AI109" i="7"/>
  <c r="AI151" i="7"/>
  <c r="AH97" i="7"/>
  <c r="AI147" i="7"/>
  <c r="AI44" i="7"/>
  <c r="AI52" i="7"/>
  <c r="AI96" i="7"/>
  <c r="AI158" i="7"/>
  <c r="AG97" i="7"/>
  <c r="AI159" i="7"/>
  <c r="AI161" i="7"/>
  <c r="AI40" i="7"/>
  <c r="AI106" i="7"/>
  <c r="AI45" i="7"/>
  <c r="AI53" i="7"/>
  <c r="AI97" i="7"/>
  <c r="AI55" i="7"/>
  <c r="AI48" i="7"/>
  <c r="AI162" i="7"/>
  <c r="AI38" i="7"/>
  <c r="AI46" i="7"/>
  <c r="AI54" i="7"/>
  <c r="AI104" i="7"/>
  <c r="AI146" i="7"/>
  <c r="AI160" i="7"/>
  <c r="AI47" i="7"/>
  <c r="AI105" i="7"/>
  <c r="AI148" i="7"/>
  <c r="AI98" i="7"/>
  <c r="AI152" i="7"/>
  <c r="AI154" i="7"/>
  <c r="AI156" i="7"/>
  <c r="AI99" i="7"/>
  <c r="AI101" i="7"/>
  <c r="AI103" i="7"/>
  <c r="AI3" i="7"/>
  <c r="AI11" i="7"/>
  <c r="AI22" i="7"/>
  <c r="AI30" i="7"/>
  <c r="AI57" i="7"/>
  <c r="AI71" i="7"/>
  <c r="AI79" i="7"/>
  <c r="AI115" i="7"/>
  <c r="AI132" i="7"/>
  <c r="AI113" i="7"/>
  <c r="AI10" i="7"/>
  <c r="AI70" i="7"/>
  <c r="AI131" i="7"/>
  <c r="AI4" i="7"/>
  <c r="AI12" i="7"/>
  <c r="AI23" i="7"/>
  <c r="AI31" i="7"/>
  <c r="AI58" i="7"/>
  <c r="AI72" i="7"/>
  <c r="AI86" i="7"/>
  <c r="AI123" i="7"/>
  <c r="AI133" i="7"/>
  <c r="AI2" i="7"/>
  <c r="AI69" i="7"/>
  <c r="AI130" i="7"/>
  <c r="AI29" i="7"/>
  <c r="AI5" i="7"/>
  <c r="AI13" i="7"/>
  <c r="AI24" i="7"/>
  <c r="AI35" i="7"/>
  <c r="AI59" i="7"/>
  <c r="AI73" i="7"/>
  <c r="AI87" i="7"/>
  <c r="AI124" i="7"/>
  <c r="AI141" i="7"/>
  <c r="AI77" i="7"/>
  <c r="AI56" i="7"/>
  <c r="AI114" i="7"/>
  <c r="AI6" i="7"/>
  <c r="AI17" i="7"/>
  <c r="AI25" i="7"/>
  <c r="AI36" i="7"/>
  <c r="AI60" i="7"/>
  <c r="AI74" i="7"/>
  <c r="AI88" i="7"/>
  <c r="AI110" i="7"/>
  <c r="AI127" i="7"/>
  <c r="AI142" i="7"/>
  <c r="AI20" i="7"/>
  <c r="AI28" i="7"/>
  <c r="AI91" i="7"/>
  <c r="AE2" i="7"/>
  <c r="AI7" i="7"/>
  <c r="AI18" i="7"/>
  <c r="AI26" i="7"/>
  <c r="AI37" i="7"/>
  <c r="AI61" i="7"/>
  <c r="AI75" i="7"/>
  <c r="AI89" i="7"/>
  <c r="AI111" i="7"/>
  <c r="AI128" i="7"/>
  <c r="AI145" i="7"/>
  <c r="AH60" i="7"/>
  <c r="AK60" i="7"/>
  <c r="AI8" i="7"/>
  <c r="AI19" i="7"/>
  <c r="AI27" i="7"/>
  <c r="AI68" i="7"/>
  <c r="AI76" i="7"/>
  <c r="AI90" i="7"/>
  <c r="AI112" i="7"/>
  <c r="AI129" i="7"/>
  <c r="AG60" i="7"/>
  <c r="AI9" i="7"/>
  <c r="AI21" i="7"/>
  <c r="AI78" i="7"/>
  <c r="AI153" i="7"/>
  <c r="AI155" i="7"/>
  <c r="AI157" i="7"/>
  <c r="AI122" i="7"/>
  <c r="AI140" i="7"/>
  <c r="AI126" i="7"/>
  <c r="AI144" i="7"/>
  <c r="AI143" i="7"/>
  <c r="AI125" i="7"/>
  <c r="AI16" i="7"/>
  <c r="AI34" i="7"/>
  <c r="AI15" i="7"/>
  <c r="AI33" i="7"/>
  <c r="AI14" i="7"/>
  <c r="AI32" i="7"/>
  <c r="AI85" i="7"/>
  <c r="AI67" i="7"/>
  <c r="AI84" i="7"/>
  <c r="AI66" i="7"/>
  <c r="AI83" i="7"/>
  <c r="AI65" i="7"/>
  <c r="AI64" i="7"/>
  <c r="AI82" i="7"/>
  <c r="AI63" i="7"/>
  <c r="AI81" i="7"/>
  <c r="AI62" i="7"/>
  <c r="AI80" i="7"/>
  <c r="AI120" i="7"/>
  <c r="AI138" i="7"/>
  <c r="AI139" i="7"/>
  <c r="AI121" i="7"/>
  <c r="AI137" i="7"/>
  <c r="AI119" i="7"/>
  <c r="AI118" i="7"/>
  <c r="AI136" i="7"/>
  <c r="AI117" i="7"/>
  <c r="AI135" i="7"/>
  <c r="AI116" i="7"/>
  <c r="AI134" i="7"/>
  <c r="AO163" i="7"/>
  <c r="AF163" i="7"/>
  <c r="AG162" i="7"/>
  <c r="AH161" i="7"/>
  <c r="AJ160" i="7"/>
  <c r="AK159" i="7"/>
  <c r="AL158" i="7"/>
  <c r="AM157" i="7"/>
  <c r="AN156" i="7"/>
  <c r="AO155" i="7"/>
  <c r="AF155" i="7"/>
  <c r="AG154" i="7"/>
  <c r="AH153" i="7"/>
  <c r="AJ152" i="7"/>
  <c r="AK151" i="7"/>
  <c r="AL150" i="7"/>
  <c r="AM149" i="7"/>
  <c r="AN148" i="7"/>
  <c r="AO147" i="7"/>
  <c r="AF147" i="7"/>
  <c r="AG146" i="7"/>
  <c r="AH109" i="7"/>
  <c r="AJ108" i="7"/>
  <c r="AK107" i="7"/>
  <c r="AL106" i="7"/>
  <c r="AM105" i="7"/>
  <c r="AN104" i="7"/>
  <c r="AO103" i="7"/>
  <c r="AF103" i="7"/>
  <c r="AG102" i="7"/>
  <c r="AH101" i="7"/>
  <c r="AJ100" i="7"/>
  <c r="AK99" i="7"/>
  <c r="AL98" i="7"/>
  <c r="AM97" i="7"/>
  <c r="AL96" i="7"/>
  <c r="AM95" i="7"/>
  <c r="AN94" i="7"/>
  <c r="AO93" i="7"/>
  <c r="AF93" i="7"/>
  <c r="AG92" i="7"/>
  <c r="AH55" i="7"/>
  <c r="AJ54" i="7"/>
  <c r="AK53" i="7"/>
  <c r="AL52" i="7"/>
  <c r="AM51" i="7"/>
  <c r="AN50" i="7"/>
  <c r="AO49" i="7"/>
  <c r="AF49" i="7"/>
  <c r="AG48" i="7"/>
  <c r="AK46" i="7"/>
  <c r="AL45" i="7"/>
  <c r="AM44" i="7"/>
  <c r="AN43" i="7"/>
  <c r="AO42" i="7"/>
  <c r="AF42" i="7"/>
  <c r="AG41" i="7"/>
  <c r="AH40" i="7"/>
  <c r="AJ39" i="7"/>
  <c r="AK38" i="7"/>
  <c r="AE41" i="7" a="1"/>
  <c r="AE41" i="7" s="1"/>
  <c r="AE49" i="7" a="1"/>
  <c r="AE49" i="7" s="1"/>
  <c r="AE93" i="7" a="1"/>
  <c r="AE93" i="7" s="1"/>
  <c r="AE101" i="7" a="1"/>
  <c r="AE101" i="7" s="1"/>
  <c r="AE109" i="7" a="1"/>
  <c r="AE109" i="7" s="1"/>
  <c r="AE153" i="7" a="1"/>
  <c r="AE153" i="7" s="1"/>
  <c r="AE161" i="7" a="1"/>
  <c r="AE161" i="7" s="1"/>
  <c r="AN158" i="7"/>
  <c r="AG156" i="7"/>
  <c r="AF149" i="7"/>
  <c r="AN106" i="7"/>
  <c r="AK101" i="7"/>
  <c r="AF95" i="7"/>
  <c r="AL54" i="7"/>
  <c r="AJ48" i="7"/>
  <c r="AG43" i="7"/>
  <c r="AE39" i="7" a="1"/>
  <c r="AE39" i="7" s="1"/>
  <c r="AE159" i="7" a="1"/>
  <c r="AE159" i="7" s="1"/>
  <c r="AL159" i="7"/>
  <c r="AH154" i="7"/>
  <c r="AO148" i="7"/>
  <c r="AK108" i="7"/>
  <c r="AH102" i="7"/>
  <c r="AM96" i="7"/>
  <c r="AN163" i="7"/>
  <c r="AO162" i="7"/>
  <c r="AF162" i="7"/>
  <c r="AG161" i="7"/>
  <c r="AH160" i="7"/>
  <c r="AJ159" i="7"/>
  <c r="AK158" i="7"/>
  <c r="AL157" i="7"/>
  <c r="AM156" i="7"/>
  <c r="AN155" i="7"/>
  <c r="AO154" i="7"/>
  <c r="AF154" i="7"/>
  <c r="AG153" i="7"/>
  <c r="AH152" i="7"/>
  <c r="AJ151" i="7"/>
  <c r="AK150" i="7"/>
  <c r="AL149" i="7"/>
  <c r="AM148" i="7"/>
  <c r="AN147" i="7"/>
  <c r="AO146" i="7"/>
  <c r="AF146" i="7"/>
  <c r="AG109" i="7"/>
  <c r="AH108" i="7"/>
  <c r="AJ107" i="7"/>
  <c r="AK106" i="7"/>
  <c r="AL105" i="7"/>
  <c r="AM104" i="7"/>
  <c r="AN103" i="7"/>
  <c r="AO102" i="7"/>
  <c r="AF102" i="7"/>
  <c r="AG101" i="7"/>
  <c r="AH100" i="7"/>
  <c r="AJ99" i="7"/>
  <c r="AK98" i="7"/>
  <c r="AL97" i="7"/>
  <c r="AK96" i="7"/>
  <c r="AL95" i="7"/>
  <c r="AM94" i="7"/>
  <c r="AN93" i="7"/>
  <c r="AO92" i="7"/>
  <c r="AF92" i="7"/>
  <c r="AG55" i="7"/>
  <c r="AH54" i="7"/>
  <c r="AJ53" i="7"/>
  <c r="AK52" i="7"/>
  <c r="AL51" i="7"/>
  <c r="AM50" i="7"/>
  <c r="AN49" i="7"/>
  <c r="AO48" i="7"/>
  <c r="AF48" i="7"/>
  <c r="AH47" i="7"/>
  <c r="AJ46" i="7"/>
  <c r="AK45" i="7"/>
  <c r="AL44" i="7"/>
  <c r="AM43" i="7"/>
  <c r="AN42" i="7"/>
  <c r="AO41" i="7"/>
  <c r="AF41" i="7"/>
  <c r="AG40" i="7"/>
  <c r="AH39" i="7"/>
  <c r="AJ38" i="7"/>
  <c r="AE42" i="7" a="1"/>
  <c r="AE42" i="7" s="1"/>
  <c r="AE50" i="7" a="1"/>
  <c r="AE50" i="7" s="1"/>
  <c r="AE94" i="7" a="1"/>
  <c r="AE94" i="7" s="1"/>
  <c r="AE102" i="7" a="1"/>
  <c r="AE102" i="7" s="1"/>
  <c r="AE146" i="7" a="1"/>
  <c r="AE146" i="7" s="1"/>
  <c r="AE154" i="7" a="1"/>
  <c r="AE154" i="7" s="1"/>
  <c r="AE162" i="7" a="1"/>
  <c r="AE162" i="7" s="1"/>
  <c r="AM159" i="7"/>
  <c r="AH155" i="7"/>
  <c r="AG148" i="7"/>
  <c r="AM107" i="7"/>
  <c r="AJ102" i="7"/>
  <c r="AO95" i="7"/>
  <c r="AK55" i="7"/>
  <c r="AH49" i="7"/>
  <c r="AF44" i="7"/>
  <c r="AM38" i="7"/>
  <c r="AE151" i="7" a="1"/>
  <c r="AE151" i="7" s="1"/>
  <c r="AM158" i="7"/>
  <c r="AG155" i="7"/>
  <c r="AF148" i="7"/>
  <c r="AL107" i="7"/>
  <c r="AG103" i="7"/>
  <c r="AM98" i="7"/>
  <c r="AM163" i="7"/>
  <c r="AN162" i="7"/>
  <c r="AO161" i="7"/>
  <c r="AF161" i="7"/>
  <c r="AG160" i="7"/>
  <c r="AH159" i="7"/>
  <c r="AJ158" i="7"/>
  <c r="AK157" i="7"/>
  <c r="AL156" i="7"/>
  <c r="AM155" i="7"/>
  <c r="AN154" i="7"/>
  <c r="AO153" i="7"/>
  <c r="AF153" i="7"/>
  <c r="AG152" i="7"/>
  <c r="AH151" i="7"/>
  <c r="AJ150" i="7"/>
  <c r="AK149" i="7"/>
  <c r="AL148" i="7"/>
  <c r="AM147" i="7"/>
  <c r="AN146" i="7"/>
  <c r="AO109" i="7"/>
  <c r="AF109" i="7"/>
  <c r="AG108" i="7"/>
  <c r="AH107" i="7"/>
  <c r="AJ106" i="7"/>
  <c r="AK105" i="7"/>
  <c r="AL104" i="7"/>
  <c r="AM103" i="7"/>
  <c r="AN102" i="7"/>
  <c r="AO101" i="7"/>
  <c r="AF101" i="7"/>
  <c r="AG100" i="7"/>
  <c r="AH99" i="7"/>
  <c r="AJ98" i="7"/>
  <c r="AK97" i="7"/>
  <c r="AJ96" i="7"/>
  <c r="AK95" i="7"/>
  <c r="AL94" i="7"/>
  <c r="AM93" i="7"/>
  <c r="AN92" i="7"/>
  <c r="AO55" i="7"/>
  <c r="AF55" i="7"/>
  <c r="AG54" i="7"/>
  <c r="AH53" i="7"/>
  <c r="AJ52" i="7"/>
  <c r="AK51" i="7"/>
  <c r="AL50" i="7"/>
  <c r="AM49" i="7"/>
  <c r="AN48" i="7"/>
  <c r="AO47" i="7"/>
  <c r="AG47" i="7"/>
  <c r="AH46" i="7"/>
  <c r="AJ45" i="7"/>
  <c r="AK44" i="7"/>
  <c r="AL43" i="7"/>
  <c r="AM42" i="7"/>
  <c r="AN41" i="7"/>
  <c r="AO40" i="7"/>
  <c r="AF40" i="7"/>
  <c r="AG39" i="7"/>
  <c r="AH38" i="7"/>
  <c r="AE43" i="7" a="1"/>
  <c r="AE43" i="7" s="1"/>
  <c r="AE51" i="7" a="1"/>
  <c r="AE51" i="7" s="1"/>
  <c r="AE95" i="7" a="1"/>
  <c r="AE95" i="7" s="1"/>
  <c r="AE103" i="7" a="1"/>
  <c r="AE103" i="7" s="1"/>
  <c r="AE147" i="7" a="1"/>
  <c r="AE147" i="7" s="1"/>
  <c r="AE155" i="7" a="1"/>
  <c r="AE155" i="7" s="1"/>
  <c r="AE163" i="7" a="1"/>
  <c r="AE163" i="7" s="1"/>
  <c r="AK161" i="7"/>
  <c r="AO157" i="7"/>
  <c r="AL152" i="7"/>
  <c r="AH147" i="7"/>
  <c r="AO105" i="7"/>
  <c r="AM99" i="7"/>
  <c r="AG94" i="7"/>
  <c r="AO51" i="7"/>
  <c r="AN45" i="7"/>
  <c r="AJ41" i="7"/>
  <c r="AE99" i="7" a="1"/>
  <c r="AE99" i="7" s="1"/>
  <c r="AJ161" i="7"/>
  <c r="AO156" i="7"/>
  <c r="AL151" i="7"/>
  <c r="AG147" i="7"/>
  <c r="AN105" i="7"/>
  <c r="AJ101" i="7"/>
  <c r="AL163" i="7"/>
  <c r="AM162" i="7"/>
  <c r="AN161" i="7"/>
  <c r="AO160" i="7"/>
  <c r="AF160" i="7"/>
  <c r="AG159" i="7"/>
  <c r="AH158" i="7"/>
  <c r="AJ157" i="7"/>
  <c r="AK156" i="7"/>
  <c r="AL155" i="7"/>
  <c r="AM154" i="7"/>
  <c r="AN153" i="7"/>
  <c r="AO152" i="7"/>
  <c r="AF152" i="7"/>
  <c r="AG151" i="7"/>
  <c r="AH150" i="7"/>
  <c r="AJ149" i="7"/>
  <c r="AK148" i="7"/>
  <c r="AL147" i="7"/>
  <c r="AM146" i="7"/>
  <c r="AN109" i="7"/>
  <c r="AO108" i="7"/>
  <c r="AF108" i="7"/>
  <c r="AG107" i="7"/>
  <c r="AH106" i="7"/>
  <c r="AJ105" i="7"/>
  <c r="AK104" i="7"/>
  <c r="AL103" i="7"/>
  <c r="AM102" i="7"/>
  <c r="AN101" i="7"/>
  <c r="AO100" i="7"/>
  <c r="AF100" i="7"/>
  <c r="AG99" i="7"/>
  <c r="AH98" i="7"/>
  <c r="AJ97" i="7"/>
  <c r="AH96" i="7"/>
  <c r="AJ95" i="7"/>
  <c r="AK94" i="7"/>
  <c r="AL93" i="7"/>
  <c r="AM92" i="7"/>
  <c r="AN55" i="7"/>
  <c r="AO54" i="7"/>
  <c r="AF54" i="7"/>
  <c r="AG53" i="7"/>
  <c r="AH52" i="7"/>
  <c r="AJ51" i="7"/>
  <c r="AK50" i="7"/>
  <c r="AL49" i="7"/>
  <c r="AM48" i="7"/>
  <c r="AN47" i="7"/>
  <c r="AF47" i="7"/>
  <c r="AG46" i="7"/>
  <c r="AH45" i="7"/>
  <c r="AJ44" i="7"/>
  <c r="AK43" i="7"/>
  <c r="AL42" i="7"/>
  <c r="AM41" i="7"/>
  <c r="AN40" i="7"/>
  <c r="AO39" i="7"/>
  <c r="AF39" i="7"/>
  <c r="AG38" i="7"/>
  <c r="AE44" i="7" a="1"/>
  <c r="AE44" i="7" s="1"/>
  <c r="AE52" i="7" a="1"/>
  <c r="AE52" i="7" s="1"/>
  <c r="AE96" i="7" a="1"/>
  <c r="AE96" i="7" s="1"/>
  <c r="AE104" i="7" a="1"/>
  <c r="AE104" i="7" s="1"/>
  <c r="AE148" i="7" a="1"/>
  <c r="AE148" i="7" s="1"/>
  <c r="AE156" i="7" a="1"/>
  <c r="AE156" i="7" s="1"/>
  <c r="AL160" i="7"/>
  <c r="AJ154" i="7"/>
  <c r="AO149" i="7"/>
  <c r="AL108" i="7"/>
  <c r="AH103" i="7"/>
  <c r="AO97" i="7"/>
  <c r="AJ92" i="7"/>
  <c r="AF51" i="7"/>
  <c r="AK47" i="7"/>
  <c r="AH42" i="7"/>
  <c r="AE47" i="7" a="1"/>
  <c r="AE47" i="7" s="1"/>
  <c r="AG163" i="7"/>
  <c r="AN157" i="7"/>
  <c r="AM150" i="7"/>
  <c r="AM106" i="7"/>
  <c r="AK100" i="7"/>
  <c r="AK163" i="7"/>
  <c r="AL162" i="7"/>
  <c r="AM161" i="7"/>
  <c r="AN160" i="7"/>
  <c r="AO159" i="7"/>
  <c r="AF159" i="7"/>
  <c r="AG158" i="7"/>
  <c r="AH157" i="7"/>
  <c r="AJ156" i="7"/>
  <c r="AK155" i="7"/>
  <c r="AL154" i="7"/>
  <c r="AM153" i="7"/>
  <c r="AN152" i="7"/>
  <c r="AO151" i="7"/>
  <c r="AF151" i="7"/>
  <c r="AG150" i="7"/>
  <c r="AH149" i="7"/>
  <c r="AJ148" i="7"/>
  <c r="AK147" i="7"/>
  <c r="AL146" i="7"/>
  <c r="AM109" i="7"/>
  <c r="AN108" i="7"/>
  <c r="AO107" i="7"/>
  <c r="AF107" i="7"/>
  <c r="AG106" i="7"/>
  <c r="AH105" i="7"/>
  <c r="AJ104" i="7"/>
  <c r="AK103" i="7"/>
  <c r="AL102" i="7"/>
  <c r="AM101" i="7"/>
  <c r="AN100" i="7"/>
  <c r="AO99" i="7"/>
  <c r="AF99" i="7"/>
  <c r="AG98" i="7"/>
  <c r="AF97" i="7"/>
  <c r="AG96" i="7"/>
  <c r="AH95" i="7"/>
  <c r="AJ94" i="7"/>
  <c r="AK93" i="7"/>
  <c r="AL92" i="7"/>
  <c r="AM55" i="7"/>
  <c r="AN54" i="7"/>
  <c r="AO53" i="7"/>
  <c r="AF53" i="7"/>
  <c r="AG52" i="7"/>
  <c r="AH51" i="7"/>
  <c r="AJ50" i="7"/>
  <c r="AK49" i="7"/>
  <c r="AL48" i="7"/>
  <c r="AM47" i="7"/>
  <c r="AO46" i="7"/>
  <c r="AF46" i="7"/>
  <c r="AG45" i="7"/>
  <c r="AH44" i="7"/>
  <c r="AJ43" i="7"/>
  <c r="AK42" i="7"/>
  <c r="AL41" i="7"/>
  <c r="AM40" i="7"/>
  <c r="AN39" i="7"/>
  <c r="AO38" i="7"/>
  <c r="AF38" i="7"/>
  <c r="AE45" i="7" a="1"/>
  <c r="AE45" i="7" s="1"/>
  <c r="AE53" i="7" a="1"/>
  <c r="AE53" i="7" s="1"/>
  <c r="AE97" i="7" a="1"/>
  <c r="AE97" i="7" s="1"/>
  <c r="AE105" i="7" a="1"/>
  <c r="AE105" i="7" s="1"/>
  <c r="AE149" i="7" a="1"/>
  <c r="AE149" i="7" s="1"/>
  <c r="AE157" i="7" a="1"/>
  <c r="AE157" i="7" s="1"/>
  <c r="AJ162" i="7"/>
  <c r="AK153" i="7"/>
  <c r="AM151" i="7"/>
  <c r="AK109" i="7"/>
  <c r="AF105" i="7"/>
  <c r="AL100" i="7"/>
  <c r="AN96" i="7"/>
  <c r="AM53" i="7"/>
  <c r="AG50" i="7"/>
  <c r="AO44" i="7"/>
  <c r="AL39" i="7"/>
  <c r="AE55" i="7" a="1"/>
  <c r="AE55" i="7" s="1"/>
  <c r="AK160" i="7"/>
  <c r="AJ153" i="7"/>
  <c r="AN149" i="7"/>
  <c r="AH146" i="7"/>
  <c r="AO104" i="7"/>
  <c r="AJ163" i="7"/>
  <c r="AK162" i="7"/>
  <c r="AL161" i="7"/>
  <c r="AM160" i="7"/>
  <c r="AN159" i="7"/>
  <c r="AO158" i="7"/>
  <c r="AF158" i="7"/>
  <c r="AG157" i="7"/>
  <c r="AH156" i="7"/>
  <c r="AJ155" i="7"/>
  <c r="AK154" i="7"/>
  <c r="AL153" i="7"/>
  <c r="AM152" i="7"/>
  <c r="AN151" i="7"/>
  <c r="AO150" i="7"/>
  <c r="AF150" i="7"/>
  <c r="AG149" i="7"/>
  <c r="AH148" i="7"/>
  <c r="AJ147" i="7"/>
  <c r="AK146" i="7"/>
  <c r="AL109" i="7"/>
  <c r="AM108" i="7"/>
  <c r="AN107" i="7"/>
  <c r="AO106" i="7"/>
  <c r="AF106" i="7"/>
  <c r="AG105" i="7"/>
  <c r="AH104" i="7"/>
  <c r="AJ103" i="7"/>
  <c r="AK102" i="7"/>
  <c r="AL101" i="7"/>
  <c r="AM100" i="7"/>
  <c r="AN99" i="7"/>
  <c r="AO98" i="7"/>
  <c r="AF98" i="7"/>
  <c r="AO96" i="7"/>
  <c r="AF96" i="7"/>
  <c r="AG95" i="7"/>
  <c r="AH94" i="7"/>
  <c r="AJ93" i="7"/>
  <c r="AK92" i="7"/>
  <c r="AL55" i="7"/>
  <c r="AM54" i="7"/>
  <c r="AN53" i="7"/>
  <c r="AO52" i="7"/>
  <c r="AF52" i="7"/>
  <c r="AG51" i="7"/>
  <c r="AH50" i="7"/>
  <c r="AJ49" i="7"/>
  <c r="AK48" i="7"/>
  <c r="AL47" i="7"/>
  <c r="AN46" i="7"/>
  <c r="AO45" i="7"/>
  <c r="AF45" i="7"/>
  <c r="AG44" i="7"/>
  <c r="AH43" i="7"/>
  <c r="AJ42" i="7"/>
  <c r="AK41" i="7"/>
  <c r="AL40" i="7"/>
  <c r="AM39" i="7"/>
  <c r="AN38" i="7"/>
  <c r="AE38" i="7" a="1"/>
  <c r="AE38" i="7" s="1"/>
  <c r="AE46" i="7" a="1"/>
  <c r="AE46" i="7" s="1"/>
  <c r="AE54" i="7" a="1"/>
  <c r="AE54" i="7" s="1"/>
  <c r="AE98" i="7" a="1"/>
  <c r="AE98" i="7" s="1"/>
  <c r="AE106" i="7" a="1"/>
  <c r="AE106" i="7" s="1"/>
  <c r="AE150" i="7" a="1"/>
  <c r="AE150" i="7" s="1"/>
  <c r="AE158" i="7" a="1"/>
  <c r="AE158" i="7" s="1"/>
  <c r="AH163" i="7"/>
  <c r="AF157" i="7"/>
  <c r="AN150" i="7"/>
  <c r="AJ146" i="7"/>
  <c r="AG104" i="7"/>
  <c r="AN98" i="7"/>
  <c r="AH93" i="7"/>
  <c r="AN52" i="7"/>
  <c r="AM46" i="7"/>
  <c r="AK40" i="7"/>
  <c r="AE107" i="7" a="1"/>
  <c r="AE107" i="7" s="1"/>
  <c r="AH162" i="7"/>
  <c r="AF156" i="7"/>
  <c r="AK152" i="7"/>
  <c r="AJ109" i="7"/>
  <c r="AF104" i="7"/>
  <c r="AL99" i="7"/>
  <c r="AN97" i="7"/>
  <c r="AL53" i="7"/>
  <c r="AJ40" i="7"/>
  <c r="AE152" i="7" a="1"/>
  <c r="AE152" i="7" s="1"/>
  <c r="AE48" i="7" a="1"/>
  <c r="AE48" i="7" s="1"/>
  <c r="AG42" i="7"/>
  <c r="AE108" i="7" a="1"/>
  <c r="AE108" i="7" s="1"/>
  <c r="AN95" i="7"/>
  <c r="AM52" i="7"/>
  <c r="AL46" i="7"/>
  <c r="AK39" i="7"/>
  <c r="AE160" i="7" a="1"/>
  <c r="AE160" i="7" s="1"/>
  <c r="AF50" i="7"/>
  <c r="AK54" i="7"/>
  <c r="AO94" i="7"/>
  <c r="AN51" i="7"/>
  <c r="AM45" i="7"/>
  <c r="AL38" i="7"/>
  <c r="AO43" i="7"/>
  <c r="AE100" i="7" a="1"/>
  <c r="AE100" i="7" s="1"/>
  <c r="AF94" i="7"/>
  <c r="AO50" i="7"/>
  <c r="AN44" i="7"/>
  <c r="AE40" i="7" a="1"/>
  <c r="AE40" i="7" s="1"/>
  <c r="AG93" i="7"/>
  <c r="AH41" i="7"/>
  <c r="AH92" i="7"/>
  <c r="AG49" i="7"/>
  <c r="AF43" i="7"/>
  <c r="AE92" i="7" a="1"/>
  <c r="AE92" i="7" s="1"/>
  <c r="AJ55" i="7"/>
  <c r="AH48" i="7"/>
  <c r="AJ47" i="7"/>
  <c r="AH145" i="7"/>
  <c r="AJ144" i="7"/>
  <c r="AK143" i="7"/>
  <c r="AL142" i="7"/>
  <c r="AM141" i="7"/>
  <c r="AN140" i="7"/>
  <c r="AO139" i="7"/>
  <c r="AF139" i="7"/>
  <c r="AG138" i="7"/>
  <c r="AH137" i="7"/>
  <c r="AJ136" i="7"/>
  <c r="AK135" i="7"/>
  <c r="AL134" i="7"/>
  <c r="AM133" i="7"/>
  <c r="AN132" i="7"/>
  <c r="AO131" i="7"/>
  <c r="AF131" i="7"/>
  <c r="AG130" i="7"/>
  <c r="AH129" i="7"/>
  <c r="AJ128" i="7"/>
  <c r="AK127" i="7"/>
  <c r="AL126" i="7"/>
  <c r="AM125" i="7"/>
  <c r="AN124" i="7"/>
  <c r="AO123" i="7"/>
  <c r="AF123" i="7"/>
  <c r="AG122" i="7"/>
  <c r="AH121" i="7"/>
  <c r="AJ120" i="7"/>
  <c r="AK119" i="7"/>
  <c r="AL118" i="7"/>
  <c r="AM117" i="7"/>
  <c r="AN116" i="7"/>
  <c r="AO115" i="7"/>
  <c r="AF115" i="7"/>
  <c r="AG114" i="7"/>
  <c r="AH113" i="7"/>
  <c r="AJ112" i="7"/>
  <c r="AK111" i="7"/>
  <c r="AL110" i="7"/>
  <c r="AM91" i="7"/>
  <c r="AN90" i="7"/>
  <c r="AO89" i="7"/>
  <c r="AF89" i="7"/>
  <c r="AG88" i="7"/>
  <c r="AH87" i="7"/>
  <c r="AJ86" i="7"/>
  <c r="AK85" i="7"/>
  <c r="AL84" i="7"/>
  <c r="AM83" i="7"/>
  <c r="AN82" i="7"/>
  <c r="AO81" i="7"/>
  <c r="AF81" i="7"/>
  <c r="AG80" i="7"/>
  <c r="AH79" i="7"/>
  <c r="AJ78" i="7"/>
  <c r="AK77" i="7"/>
  <c r="AL76" i="7"/>
  <c r="AM75" i="7"/>
  <c r="AN74" i="7"/>
  <c r="AO73" i="7"/>
  <c r="AF73" i="7"/>
  <c r="AG72" i="7"/>
  <c r="AH71" i="7"/>
  <c r="AJ70" i="7"/>
  <c r="AK69" i="7"/>
  <c r="AL68" i="7"/>
  <c r="AM67" i="7"/>
  <c r="AN66" i="7"/>
  <c r="AO65" i="7"/>
  <c r="AF65" i="7"/>
  <c r="AG64" i="7"/>
  <c r="AH63" i="7"/>
  <c r="AJ62" i="7"/>
  <c r="AK61" i="7"/>
  <c r="AL60" i="7"/>
  <c r="AK59" i="7"/>
  <c r="AL58" i="7"/>
  <c r="AM57" i="7"/>
  <c r="AN56" i="7"/>
  <c r="AG145" i="7"/>
  <c r="AH144" i="7"/>
  <c r="AJ143" i="7"/>
  <c r="AK142" i="7"/>
  <c r="AL141" i="7"/>
  <c r="AM140" i="7"/>
  <c r="AN139" i="7"/>
  <c r="AO138" i="7"/>
  <c r="AF138" i="7"/>
  <c r="AG137" i="7"/>
  <c r="AH136" i="7"/>
  <c r="AJ135" i="7"/>
  <c r="AK134" i="7"/>
  <c r="AL133" i="7"/>
  <c r="AM132" i="7"/>
  <c r="AN131" i="7"/>
  <c r="AO130" i="7"/>
  <c r="AF130" i="7"/>
  <c r="AG129" i="7"/>
  <c r="AH128" i="7"/>
  <c r="AJ127" i="7"/>
  <c r="AK126" i="7"/>
  <c r="AL125" i="7"/>
  <c r="AM124" i="7"/>
  <c r="AN123" i="7"/>
  <c r="AO122" i="7"/>
  <c r="AF122" i="7"/>
  <c r="AG121" i="7"/>
  <c r="AH120" i="7"/>
  <c r="AJ119" i="7"/>
  <c r="AK118" i="7"/>
  <c r="AL117" i="7"/>
  <c r="AM116" i="7"/>
  <c r="AN115" i="7"/>
  <c r="AO114" i="7"/>
  <c r="AF114" i="7"/>
  <c r="AG113" i="7"/>
  <c r="AH112" i="7"/>
  <c r="AJ111" i="7"/>
  <c r="AK110" i="7"/>
  <c r="AL91" i="7"/>
  <c r="AM90" i="7"/>
  <c r="AN89" i="7"/>
  <c r="AO88" i="7"/>
  <c r="AF88" i="7"/>
  <c r="AG87" i="7"/>
  <c r="AH86" i="7"/>
  <c r="AJ85" i="7"/>
  <c r="AK84" i="7"/>
  <c r="AL83" i="7"/>
  <c r="AM82" i="7"/>
  <c r="AN81" i="7"/>
  <c r="AO80" i="7"/>
  <c r="AF80" i="7"/>
  <c r="AG79" i="7"/>
  <c r="AH78" i="7"/>
  <c r="AJ77" i="7"/>
  <c r="AK76" i="7"/>
  <c r="AL75" i="7"/>
  <c r="AM74" i="7"/>
  <c r="AN73" i="7"/>
  <c r="AO72" i="7"/>
  <c r="AF72" i="7"/>
  <c r="AG71" i="7"/>
  <c r="AH70" i="7"/>
  <c r="AJ69" i="7"/>
  <c r="AK68" i="7"/>
  <c r="AL67" i="7"/>
  <c r="AM66" i="7"/>
  <c r="AN65" i="7"/>
  <c r="AO64" i="7"/>
  <c r="AF64" i="7"/>
  <c r="AG63" i="7"/>
  <c r="AH62" i="7"/>
  <c r="AJ61" i="7"/>
  <c r="AJ59" i="7"/>
  <c r="AK58" i="7"/>
  <c r="AL57" i="7"/>
  <c r="AM56" i="7"/>
  <c r="AO145" i="7"/>
  <c r="AF145" i="7"/>
  <c r="AG144" i="7"/>
  <c r="AH143" i="7"/>
  <c r="AJ142" i="7"/>
  <c r="AK141" i="7"/>
  <c r="AL140" i="7"/>
  <c r="AM139" i="7"/>
  <c r="AN138" i="7"/>
  <c r="AO137" i="7"/>
  <c r="AF137" i="7"/>
  <c r="AG136" i="7"/>
  <c r="AH135" i="7"/>
  <c r="AJ134" i="7"/>
  <c r="AK133" i="7"/>
  <c r="AL132" i="7"/>
  <c r="AM131" i="7"/>
  <c r="AN130" i="7"/>
  <c r="AO129" i="7"/>
  <c r="AF129" i="7"/>
  <c r="AG128" i="7"/>
  <c r="AH127" i="7"/>
  <c r="AJ126" i="7"/>
  <c r="AK125" i="7"/>
  <c r="AL124" i="7"/>
  <c r="AM123" i="7"/>
  <c r="AN122" i="7"/>
  <c r="AO121" i="7"/>
  <c r="AF121" i="7"/>
  <c r="AG120" i="7"/>
  <c r="AH119" i="7"/>
  <c r="AJ118" i="7"/>
  <c r="AK117" i="7"/>
  <c r="AL116" i="7"/>
  <c r="AM115" i="7"/>
  <c r="AN114" i="7"/>
  <c r="AO113" i="7"/>
  <c r="AF113" i="7"/>
  <c r="AG112" i="7"/>
  <c r="AH111" i="7"/>
  <c r="AJ110" i="7"/>
  <c r="AK91" i="7"/>
  <c r="AL90" i="7"/>
  <c r="AM89" i="7"/>
  <c r="AN88" i="7"/>
  <c r="AO87" i="7"/>
  <c r="AF87" i="7"/>
  <c r="AG86" i="7"/>
  <c r="AH85" i="7"/>
  <c r="AJ84" i="7"/>
  <c r="AK83" i="7"/>
  <c r="AL82" i="7"/>
  <c r="AM81" i="7"/>
  <c r="AN80" i="7"/>
  <c r="AO79" i="7"/>
  <c r="AF79" i="7"/>
  <c r="AG78" i="7"/>
  <c r="AH77" i="7"/>
  <c r="AJ76" i="7"/>
  <c r="AK75" i="7"/>
  <c r="AL74" i="7"/>
  <c r="AM73" i="7"/>
  <c r="AN72" i="7"/>
  <c r="AO71" i="7"/>
  <c r="AF71" i="7"/>
  <c r="AG70" i="7"/>
  <c r="AH69" i="7"/>
  <c r="AJ68" i="7"/>
  <c r="AK67" i="7"/>
  <c r="AL66" i="7"/>
  <c r="AM65" i="7"/>
  <c r="AN64" i="7"/>
  <c r="AO63" i="7"/>
  <c r="AF63" i="7"/>
  <c r="AG62" i="7"/>
  <c r="AH61" i="7"/>
  <c r="AJ60" i="7"/>
  <c r="AH59" i="7"/>
  <c r="AJ58" i="7"/>
  <c r="AK57" i="7"/>
  <c r="AL56" i="7"/>
  <c r="AN145" i="7"/>
  <c r="AO144" i="7"/>
  <c r="AF144" i="7"/>
  <c r="AG143" i="7"/>
  <c r="AH142" i="7"/>
  <c r="AJ141" i="7"/>
  <c r="AK140" i="7"/>
  <c r="AL139" i="7"/>
  <c r="AM138" i="7"/>
  <c r="AN137" i="7"/>
  <c r="AO136" i="7"/>
  <c r="AF136" i="7"/>
  <c r="AG135" i="7"/>
  <c r="AH134" i="7"/>
  <c r="AJ133" i="7"/>
  <c r="AK132" i="7"/>
  <c r="AL131" i="7"/>
  <c r="AM130" i="7"/>
  <c r="AN129" i="7"/>
  <c r="AO128" i="7"/>
  <c r="AF128" i="7"/>
  <c r="AG127" i="7"/>
  <c r="AH126" i="7"/>
  <c r="AJ125" i="7"/>
  <c r="AK124" i="7"/>
  <c r="AL123" i="7"/>
  <c r="AM122" i="7"/>
  <c r="AN121" i="7"/>
  <c r="AO120" i="7"/>
  <c r="AF120" i="7"/>
  <c r="AG119" i="7"/>
  <c r="AH118" i="7"/>
  <c r="AJ117" i="7"/>
  <c r="AK116" i="7"/>
  <c r="AL115" i="7"/>
  <c r="AM114" i="7"/>
  <c r="AN113" i="7"/>
  <c r="AO112" i="7"/>
  <c r="AF112" i="7"/>
  <c r="AG111" i="7"/>
  <c r="AH110" i="7"/>
  <c r="AJ91" i="7"/>
  <c r="AK90" i="7"/>
  <c r="AL89" i="7"/>
  <c r="AM88" i="7"/>
  <c r="AN87" i="7"/>
  <c r="AO86" i="7"/>
  <c r="AF86" i="7"/>
  <c r="AG85" i="7"/>
  <c r="AH84" i="7"/>
  <c r="AJ83" i="7"/>
  <c r="AK82" i="7"/>
  <c r="AL81" i="7"/>
  <c r="AM80" i="7"/>
  <c r="AN79" i="7"/>
  <c r="AO78" i="7"/>
  <c r="AF78" i="7"/>
  <c r="AG77" i="7"/>
  <c r="AH76" i="7"/>
  <c r="AJ75" i="7"/>
  <c r="AK74" i="7"/>
  <c r="AL73" i="7"/>
  <c r="AM72" i="7"/>
  <c r="AN71" i="7"/>
  <c r="AO70" i="7"/>
  <c r="AF70" i="7"/>
  <c r="AG69" i="7"/>
  <c r="AH68" i="7"/>
  <c r="AJ67" i="7"/>
  <c r="AK66" i="7"/>
  <c r="AL65" i="7"/>
  <c r="AM64" i="7"/>
  <c r="AN63" i="7"/>
  <c r="AO62" i="7"/>
  <c r="AF62" i="7"/>
  <c r="AG61" i="7"/>
  <c r="AF60" i="7"/>
  <c r="AG59" i="7"/>
  <c r="AH58" i="7"/>
  <c r="AJ57" i="7"/>
  <c r="AK56" i="7"/>
  <c r="AM145" i="7"/>
  <c r="AN144" i="7"/>
  <c r="AO143" i="7"/>
  <c r="AF143" i="7"/>
  <c r="AG142" i="7"/>
  <c r="AH141" i="7"/>
  <c r="AJ140" i="7"/>
  <c r="AK139" i="7"/>
  <c r="AL138" i="7"/>
  <c r="AM137" i="7"/>
  <c r="AN136" i="7"/>
  <c r="AO135" i="7"/>
  <c r="AF135" i="7"/>
  <c r="AG134" i="7"/>
  <c r="AH133" i="7"/>
  <c r="AJ132" i="7"/>
  <c r="AK131" i="7"/>
  <c r="AL130" i="7"/>
  <c r="AM129" i="7"/>
  <c r="AN128" i="7"/>
  <c r="AO127" i="7"/>
  <c r="AF127" i="7"/>
  <c r="AG126" i="7"/>
  <c r="AH125" i="7"/>
  <c r="AJ124" i="7"/>
  <c r="AK123" i="7"/>
  <c r="AL122" i="7"/>
  <c r="AM121" i="7"/>
  <c r="AN120" i="7"/>
  <c r="AO119" i="7"/>
  <c r="AF119" i="7"/>
  <c r="AG118" i="7"/>
  <c r="AH117" i="7"/>
  <c r="AJ116" i="7"/>
  <c r="AK115" i="7"/>
  <c r="AL114" i="7"/>
  <c r="AM113" i="7"/>
  <c r="AN112" i="7"/>
  <c r="AO111" i="7"/>
  <c r="AF111" i="7"/>
  <c r="AG110" i="7"/>
  <c r="AH91" i="7"/>
  <c r="AJ90" i="7"/>
  <c r="AK89" i="7"/>
  <c r="AL88" i="7"/>
  <c r="AM87" i="7"/>
  <c r="AN86" i="7"/>
  <c r="AO85" i="7"/>
  <c r="AF85" i="7"/>
  <c r="AG84" i="7"/>
  <c r="AH83" i="7"/>
  <c r="AJ82" i="7"/>
  <c r="AK81" i="7"/>
  <c r="AL80" i="7"/>
  <c r="AM79" i="7"/>
  <c r="AN78" i="7"/>
  <c r="AO77" i="7"/>
  <c r="AF77" i="7"/>
  <c r="AG76" i="7"/>
  <c r="AH75" i="7"/>
  <c r="AJ74" i="7"/>
  <c r="AK73" i="7"/>
  <c r="AL72" i="7"/>
  <c r="AM71" i="7"/>
  <c r="AN70" i="7"/>
  <c r="AO69" i="7"/>
  <c r="AF69" i="7"/>
  <c r="AG68" i="7"/>
  <c r="AH67" i="7"/>
  <c r="AJ66" i="7"/>
  <c r="AK65" i="7"/>
  <c r="AL64" i="7"/>
  <c r="AM63" i="7"/>
  <c r="AN62" i="7"/>
  <c r="AO61" i="7"/>
  <c r="AF61" i="7"/>
  <c r="AO59" i="7"/>
  <c r="AF59" i="7"/>
  <c r="AG58" i="7"/>
  <c r="AH57" i="7"/>
  <c r="AJ56" i="7"/>
  <c r="AN37" i="7"/>
  <c r="AO36" i="7"/>
  <c r="AF36" i="7"/>
  <c r="AG35" i="7"/>
  <c r="AL145" i="7"/>
  <c r="AM144" i="7"/>
  <c r="AN143" i="7"/>
  <c r="AO142" i="7"/>
  <c r="AF142" i="7"/>
  <c r="AG141" i="7"/>
  <c r="AH140" i="7"/>
  <c r="AJ139" i="7"/>
  <c r="AK138" i="7"/>
  <c r="AL137" i="7"/>
  <c r="AM136" i="7"/>
  <c r="AN135" i="7"/>
  <c r="AO134" i="7"/>
  <c r="AF134" i="7"/>
  <c r="AG133" i="7"/>
  <c r="AH132" i="7"/>
  <c r="AJ131" i="7"/>
  <c r="AK130" i="7"/>
  <c r="AL129" i="7"/>
  <c r="AM128" i="7"/>
  <c r="AN127" i="7"/>
  <c r="AO126" i="7"/>
  <c r="AF126" i="7"/>
  <c r="AG125" i="7"/>
  <c r="AH124" i="7"/>
  <c r="AJ123" i="7"/>
  <c r="AK122" i="7"/>
  <c r="AL121" i="7"/>
  <c r="AM120" i="7"/>
  <c r="AN119" i="7"/>
  <c r="AO118" i="7"/>
  <c r="AF118" i="7"/>
  <c r="AG117" i="7"/>
  <c r="AH116" i="7"/>
  <c r="AJ115" i="7"/>
  <c r="AK114" i="7"/>
  <c r="AL113" i="7"/>
  <c r="AM112" i="7"/>
  <c r="AN111" i="7"/>
  <c r="AO110" i="7"/>
  <c r="AF110" i="7"/>
  <c r="AG91" i="7"/>
  <c r="AH90" i="7"/>
  <c r="AJ89" i="7"/>
  <c r="AK88" i="7"/>
  <c r="AL87" i="7"/>
  <c r="AM86" i="7"/>
  <c r="AN85" i="7"/>
  <c r="AO84" i="7"/>
  <c r="AF84" i="7"/>
  <c r="AG83" i="7"/>
  <c r="AH82" i="7"/>
  <c r="AJ81" i="7"/>
  <c r="AK80" i="7"/>
  <c r="AL79" i="7"/>
  <c r="AM78" i="7"/>
  <c r="AN77" i="7"/>
  <c r="AO76" i="7"/>
  <c r="AF76" i="7"/>
  <c r="AG75" i="7"/>
  <c r="AH74" i="7"/>
  <c r="AJ73" i="7"/>
  <c r="AK72" i="7"/>
  <c r="AL71" i="7"/>
  <c r="AM70" i="7"/>
  <c r="AN69" i="7"/>
  <c r="AO68" i="7"/>
  <c r="AF68" i="7"/>
  <c r="AG67" i="7"/>
  <c r="AH66" i="7"/>
  <c r="AJ65" i="7"/>
  <c r="AK64" i="7"/>
  <c r="AL63" i="7"/>
  <c r="AM62" i="7"/>
  <c r="AN61" i="7"/>
  <c r="AO60" i="7"/>
  <c r="AN59" i="7"/>
  <c r="AO58" i="7"/>
  <c r="AF58" i="7"/>
  <c r="AG57" i="7"/>
  <c r="AH56" i="7"/>
  <c r="AK145" i="7"/>
  <c r="AL144" i="7"/>
  <c r="AM143" i="7"/>
  <c r="AN142" i="7"/>
  <c r="AO141" i="7"/>
  <c r="AF141" i="7"/>
  <c r="AG140" i="7"/>
  <c r="AH139" i="7"/>
  <c r="AJ138" i="7"/>
  <c r="AK137" i="7"/>
  <c r="AL136" i="7"/>
  <c r="AM135" i="7"/>
  <c r="AN134" i="7"/>
  <c r="AO133" i="7"/>
  <c r="AF133" i="7"/>
  <c r="AG132" i="7"/>
  <c r="AH131" i="7"/>
  <c r="AJ130" i="7"/>
  <c r="AK129" i="7"/>
  <c r="AL128" i="7"/>
  <c r="AM127" i="7"/>
  <c r="AN126" i="7"/>
  <c r="AO125" i="7"/>
  <c r="AF125" i="7"/>
  <c r="AG124" i="7"/>
  <c r="AH123" i="7"/>
  <c r="AJ122" i="7"/>
  <c r="AK121" i="7"/>
  <c r="AL120" i="7"/>
  <c r="AM119" i="7"/>
  <c r="AN118" i="7"/>
  <c r="AO117" i="7"/>
  <c r="AF117" i="7"/>
  <c r="AG116" i="7"/>
  <c r="AH115" i="7"/>
  <c r="AJ114" i="7"/>
  <c r="AK113" i="7"/>
  <c r="AL112" i="7"/>
  <c r="AM111" i="7"/>
  <c r="AN110" i="7"/>
  <c r="AO91" i="7"/>
  <c r="AF91" i="7"/>
  <c r="AG90" i="7"/>
  <c r="AH89" i="7"/>
  <c r="AJ88" i="7"/>
  <c r="AK87" i="7"/>
  <c r="AL86" i="7"/>
  <c r="AM85" i="7"/>
  <c r="AN84" i="7"/>
  <c r="AO83" i="7"/>
  <c r="AF83" i="7"/>
  <c r="AG82" i="7"/>
  <c r="AH81" i="7"/>
  <c r="AJ80" i="7"/>
  <c r="AK79" i="7"/>
  <c r="AL78" i="7"/>
  <c r="AM77" i="7"/>
  <c r="AN76" i="7"/>
  <c r="AO75" i="7"/>
  <c r="AF75" i="7"/>
  <c r="AG74" i="7"/>
  <c r="AH73" i="7"/>
  <c r="AJ72" i="7"/>
  <c r="AK71" i="7"/>
  <c r="AL70" i="7"/>
  <c r="AM69" i="7"/>
  <c r="AN68" i="7"/>
  <c r="AO67" i="7"/>
  <c r="AF67" i="7"/>
  <c r="AG66" i="7"/>
  <c r="AH65" i="7"/>
  <c r="AJ64" i="7"/>
  <c r="AK63" i="7"/>
  <c r="AL62" i="7"/>
  <c r="AM61" i="7"/>
  <c r="AN60" i="7"/>
  <c r="AM59" i="7"/>
  <c r="AN58" i="7"/>
  <c r="AO57" i="7"/>
  <c r="AF57" i="7"/>
  <c r="AG56" i="7"/>
  <c r="AJ145" i="7"/>
  <c r="AK144" i="7"/>
  <c r="AL143" i="7"/>
  <c r="AM142" i="7"/>
  <c r="AN141" i="7"/>
  <c r="AO140" i="7"/>
  <c r="AF140" i="7"/>
  <c r="AG139" i="7"/>
  <c r="AH138" i="7"/>
  <c r="AJ137" i="7"/>
  <c r="AK136" i="7"/>
  <c r="AL135" i="7"/>
  <c r="AM134" i="7"/>
  <c r="AN133" i="7"/>
  <c r="AO132" i="7"/>
  <c r="AF132" i="7"/>
  <c r="AG131" i="7"/>
  <c r="AH130" i="7"/>
  <c r="AJ129" i="7"/>
  <c r="AK128" i="7"/>
  <c r="AL127" i="7"/>
  <c r="AM126" i="7"/>
  <c r="AN125" i="7"/>
  <c r="AO124" i="7"/>
  <c r="AF124" i="7"/>
  <c r="AG123" i="7"/>
  <c r="AH122" i="7"/>
  <c r="AJ121" i="7"/>
  <c r="AK120" i="7"/>
  <c r="AL119" i="7"/>
  <c r="AM118" i="7"/>
  <c r="AN117" i="7"/>
  <c r="AO116" i="7"/>
  <c r="AF116" i="7"/>
  <c r="AG115" i="7"/>
  <c r="AH114" i="7"/>
  <c r="AJ113" i="7"/>
  <c r="AK112" i="7"/>
  <c r="AL111" i="7"/>
  <c r="AM110" i="7"/>
  <c r="AN91" i="7"/>
  <c r="AO90" i="7"/>
  <c r="AF90" i="7"/>
  <c r="AG89" i="7"/>
  <c r="AH88" i="7"/>
  <c r="AJ87" i="7"/>
  <c r="AK86" i="7"/>
  <c r="AL85" i="7"/>
  <c r="AM84" i="7"/>
  <c r="AN83" i="7"/>
  <c r="AO82" i="7"/>
  <c r="AF82" i="7"/>
  <c r="AG81" i="7"/>
  <c r="AH80" i="7"/>
  <c r="AJ79" i="7"/>
  <c r="AK78" i="7"/>
  <c r="AL77" i="7"/>
  <c r="AM76" i="7"/>
  <c r="AN75" i="7"/>
  <c r="AO74" i="7"/>
  <c r="AF74" i="7"/>
  <c r="AG73" i="7"/>
  <c r="AH72" i="7"/>
  <c r="AJ71" i="7"/>
  <c r="AK70" i="7"/>
  <c r="AL69" i="7"/>
  <c r="AM68" i="7"/>
  <c r="AN67" i="7"/>
  <c r="AO66" i="7"/>
  <c r="AF66" i="7"/>
  <c r="AG65" i="7"/>
  <c r="AH64" i="7"/>
  <c r="AJ63" i="7"/>
  <c r="AK62" i="7"/>
  <c r="AL61" i="7"/>
  <c r="AM60" i="7"/>
  <c r="AL59" i="7"/>
  <c r="AM58" i="7"/>
  <c r="AN57" i="7"/>
  <c r="AO56" i="7"/>
  <c r="AF56" i="7"/>
  <c r="AK37" i="7"/>
  <c r="AK36" i="7"/>
  <c r="AK35" i="7"/>
  <c r="AK34" i="7"/>
  <c r="AL33" i="7"/>
  <c r="AM32" i="7"/>
  <c r="AN31" i="7"/>
  <c r="AO30" i="7"/>
  <c r="AF30" i="7"/>
  <c r="AG29" i="7"/>
  <c r="AH28" i="7"/>
  <c r="AJ27" i="7"/>
  <c r="AK26" i="7"/>
  <c r="AL25" i="7"/>
  <c r="AM24" i="7"/>
  <c r="AN23" i="7"/>
  <c r="AO22" i="7"/>
  <c r="AF22" i="7"/>
  <c r="AG21" i="7"/>
  <c r="AH20" i="7"/>
  <c r="AJ19" i="7"/>
  <c r="AK18" i="7"/>
  <c r="AL17" i="7"/>
  <c r="AM16" i="7"/>
  <c r="AN15" i="7"/>
  <c r="AO14" i="7"/>
  <c r="AF14" i="7"/>
  <c r="AG13" i="7"/>
  <c r="AH12" i="7"/>
  <c r="AJ11" i="7"/>
  <c r="AK10" i="7"/>
  <c r="AL9" i="7"/>
  <c r="AM8" i="7"/>
  <c r="AN7" i="7"/>
  <c r="AO6" i="7"/>
  <c r="AF6" i="7"/>
  <c r="AG5" i="7"/>
  <c r="AH4" i="7"/>
  <c r="AJ3" i="7"/>
  <c r="AK2" i="7"/>
  <c r="AE6" i="7" a="1"/>
  <c r="AE6" i="7" s="1"/>
  <c r="AE13" i="7" a="1"/>
  <c r="AE13" i="7" s="1"/>
  <c r="AE21" i="7" a="1"/>
  <c r="AE21" i="7" s="1"/>
  <c r="AE29" i="7" a="1"/>
  <c r="AE29" i="7" s="1"/>
  <c r="AE36" i="7" a="1"/>
  <c r="AE36" i="7" s="1"/>
  <c r="AE59" i="7" a="1"/>
  <c r="AE59" i="7" s="1"/>
  <c r="AE67" i="7" a="1"/>
  <c r="AE67" i="7" s="1"/>
  <c r="AE75" i="7" a="1"/>
  <c r="AE75" i="7" s="1"/>
  <c r="AE83" i="7" a="1"/>
  <c r="AE83" i="7" s="1"/>
  <c r="AE91" i="7" a="1"/>
  <c r="AE91" i="7" s="1"/>
  <c r="AE115" i="7" a="1"/>
  <c r="AE115" i="7" s="1"/>
  <c r="AE123" i="7" a="1"/>
  <c r="AE123" i="7" s="1"/>
  <c r="AE131" i="7" a="1"/>
  <c r="AE131" i="7" s="1"/>
  <c r="AE139" i="7" a="1"/>
  <c r="AE139" i="7" s="1"/>
  <c r="AE117" i="7" a="1"/>
  <c r="AE117" i="7" s="1"/>
  <c r="AE125" i="7" a="1"/>
  <c r="AE125" i="7" s="1"/>
  <c r="AE133" i="7" a="1"/>
  <c r="AE133" i="7" s="1"/>
  <c r="AE141" i="7" a="1"/>
  <c r="AE141" i="7" s="1"/>
  <c r="AE58" i="7" a="1"/>
  <c r="AE58" i="7" s="1"/>
  <c r="AJ37" i="7"/>
  <c r="AJ36" i="7"/>
  <c r="AJ35" i="7"/>
  <c r="AJ34" i="7"/>
  <c r="AK33" i="7"/>
  <c r="AL32" i="7"/>
  <c r="AM31" i="7"/>
  <c r="AN30" i="7"/>
  <c r="AO29" i="7"/>
  <c r="AF29" i="7"/>
  <c r="AG28" i="7"/>
  <c r="AH27" i="7"/>
  <c r="AJ26" i="7"/>
  <c r="AK25" i="7"/>
  <c r="AL24" i="7"/>
  <c r="AM23" i="7"/>
  <c r="AN22" i="7"/>
  <c r="AO21" i="7"/>
  <c r="AF21" i="7"/>
  <c r="AG20" i="7"/>
  <c r="AH19" i="7"/>
  <c r="AJ18" i="7"/>
  <c r="AK17" i="7"/>
  <c r="AL16" i="7"/>
  <c r="AM15" i="7"/>
  <c r="AN14" i="7"/>
  <c r="AO13" i="7"/>
  <c r="AF13" i="7"/>
  <c r="AG12" i="7"/>
  <c r="AH11" i="7"/>
  <c r="AJ10" i="7"/>
  <c r="AK9" i="7"/>
  <c r="AL8" i="7"/>
  <c r="AM7" i="7"/>
  <c r="AN6" i="7"/>
  <c r="AO5" i="7"/>
  <c r="AF5" i="7"/>
  <c r="AG4" i="7"/>
  <c r="AH3" i="7"/>
  <c r="AJ2" i="7"/>
  <c r="AE7" i="7" a="1"/>
  <c r="AE7" i="7" s="1"/>
  <c r="AE14" i="7" a="1"/>
  <c r="AE14" i="7" s="1"/>
  <c r="AE22" i="7" a="1"/>
  <c r="AE22" i="7" s="1"/>
  <c r="AE30" i="7" a="1"/>
  <c r="AE30" i="7" s="1"/>
  <c r="AE37" i="7" a="1"/>
  <c r="AE37" i="7" s="1"/>
  <c r="AE60" i="7" a="1"/>
  <c r="AE60" i="7" s="1"/>
  <c r="AE68" i="7" a="1"/>
  <c r="AE68" i="7" s="1"/>
  <c r="AE76" i="7" a="1"/>
  <c r="AE76" i="7" s="1"/>
  <c r="AE84" i="7" a="1"/>
  <c r="AE84" i="7" s="1"/>
  <c r="AE116" i="7" a="1"/>
  <c r="AE116" i="7" s="1"/>
  <c r="AE124" i="7" a="1"/>
  <c r="AE124" i="7" s="1"/>
  <c r="AE132" i="7" a="1"/>
  <c r="AE132" i="7" s="1"/>
  <c r="AE140" i="7" a="1"/>
  <c r="AE140" i="7" s="1"/>
  <c r="AO15" i="7"/>
  <c r="AJ12" i="7"/>
  <c r="AM9" i="7"/>
  <c r="AF7" i="7"/>
  <c r="AH5" i="7"/>
  <c r="AL2" i="7"/>
  <c r="AE20" i="7" a="1"/>
  <c r="AE20" i="7" s="1"/>
  <c r="AH37" i="7"/>
  <c r="AH36" i="7"/>
  <c r="AH35" i="7"/>
  <c r="AH34" i="7"/>
  <c r="AJ33" i="7"/>
  <c r="AK32" i="7"/>
  <c r="AL31" i="7"/>
  <c r="AM30" i="7"/>
  <c r="AN29" i="7"/>
  <c r="AO28" i="7"/>
  <c r="AF28" i="7"/>
  <c r="AG27" i="7"/>
  <c r="AH26" i="7"/>
  <c r="AJ25" i="7"/>
  <c r="AK24" i="7"/>
  <c r="AL23" i="7"/>
  <c r="AM22" i="7"/>
  <c r="AN21" i="7"/>
  <c r="AO20" i="7"/>
  <c r="AF20" i="7"/>
  <c r="AG19" i="7"/>
  <c r="AH18" i="7"/>
  <c r="AJ17" i="7"/>
  <c r="AK16" i="7"/>
  <c r="AL15" i="7"/>
  <c r="AM14" i="7"/>
  <c r="AN13" i="7"/>
  <c r="AO12" i="7"/>
  <c r="AF12" i="7"/>
  <c r="AG11" i="7"/>
  <c r="AH10" i="7"/>
  <c r="AJ9" i="7"/>
  <c r="AK8" i="7"/>
  <c r="AL7" i="7"/>
  <c r="AM6" i="7"/>
  <c r="AN5" i="7"/>
  <c r="AO4" i="7"/>
  <c r="AF4" i="7"/>
  <c r="AG3" i="7"/>
  <c r="AH2" i="7"/>
  <c r="AE8" i="7" a="1"/>
  <c r="AE8" i="7" s="1"/>
  <c r="AE15" i="7" a="1"/>
  <c r="AE15" i="7" s="1"/>
  <c r="AE23" i="7" a="1"/>
  <c r="AE23" i="7" s="1"/>
  <c r="AE31" i="7" a="1"/>
  <c r="AE31" i="7" s="1"/>
  <c r="AE61" i="7" a="1"/>
  <c r="AE61" i="7" s="1"/>
  <c r="AE69" i="7" a="1"/>
  <c r="AE69" i="7" s="1"/>
  <c r="AE77" i="7" a="1"/>
  <c r="AE77" i="7" s="1"/>
  <c r="AE85" i="7" a="1"/>
  <c r="AE85" i="7" s="1"/>
  <c r="AG37" i="7"/>
  <c r="AG36" i="7"/>
  <c r="AF35" i="7"/>
  <c r="AG34" i="7"/>
  <c r="AH33" i="7"/>
  <c r="AJ32" i="7"/>
  <c r="AK31" i="7"/>
  <c r="AL30" i="7"/>
  <c r="AM29" i="7"/>
  <c r="AN28" i="7"/>
  <c r="AO27" i="7"/>
  <c r="AF27" i="7"/>
  <c r="AG26" i="7"/>
  <c r="AH25" i="7"/>
  <c r="AJ24" i="7"/>
  <c r="AK23" i="7"/>
  <c r="AL22" i="7"/>
  <c r="AM21" i="7"/>
  <c r="AN20" i="7"/>
  <c r="AO19" i="7"/>
  <c r="AF19" i="7"/>
  <c r="AG18" i="7"/>
  <c r="AH17" i="7"/>
  <c r="AJ16" i="7"/>
  <c r="AK15" i="7"/>
  <c r="AL14" i="7"/>
  <c r="AM13" i="7"/>
  <c r="AN12" i="7"/>
  <c r="AO11" i="7"/>
  <c r="AF11" i="7"/>
  <c r="AG10" i="7"/>
  <c r="AH9" i="7"/>
  <c r="AJ8" i="7"/>
  <c r="AK7" i="7"/>
  <c r="AL6" i="7"/>
  <c r="AM5" i="7"/>
  <c r="AN4" i="7"/>
  <c r="AO3" i="7"/>
  <c r="AF3" i="7"/>
  <c r="AG2" i="7"/>
  <c r="AE9" i="7" a="1"/>
  <c r="AE9" i="7" s="1"/>
  <c r="AE16" i="7" a="1"/>
  <c r="AE16" i="7" s="1"/>
  <c r="AE24" i="7" a="1"/>
  <c r="AE24" i="7" s="1"/>
  <c r="AE32" i="7" a="1"/>
  <c r="AE32" i="7" s="1"/>
  <c r="AE62" i="7" a="1"/>
  <c r="AE62" i="7" s="1"/>
  <c r="AE70" i="7" a="1"/>
  <c r="AE70" i="7" s="1"/>
  <c r="AE78" i="7" a="1"/>
  <c r="AE78" i="7" s="1"/>
  <c r="AE86" i="7" a="1"/>
  <c r="AE86" i="7" s="1"/>
  <c r="AE110" i="7" a="1"/>
  <c r="AE110" i="7" s="1"/>
  <c r="AE118" i="7" a="1"/>
  <c r="AE118" i="7" s="1"/>
  <c r="AE126" i="7" a="1"/>
  <c r="AE126" i="7" s="1"/>
  <c r="AE134" i="7" a="1"/>
  <c r="AE134" i="7" s="1"/>
  <c r="AE142" i="7" a="1"/>
  <c r="AE142" i="7" s="1"/>
  <c r="AM17" i="7"/>
  <c r="AF15" i="7"/>
  <c r="AH13" i="7"/>
  <c r="AL10" i="7"/>
  <c r="AO7" i="7"/>
  <c r="AJ4" i="7"/>
  <c r="AE5" i="7" a="1"/>
  <c r="AE5" i="7" s="1"/>
  <c r="AE28" i="7" a="1"/>
  <c r="AE28" i="7" s="1"/>
  <c r="AF37" i="7"/>
  <c r="AO35" i="7"/>
  <c r="AO34" i="7"/>
  <c r="AF34" i="7"/>
  <c r="AG33" i="7"/>
  <c r="AH32" i="7"/>
  <c r="AJ31" i="7"/>
  <c r="AK30" i="7"/>
  <c r="AL29" i="7"/>
  <c r="AM28" i="7"/>
  <c r="AN27" i="7"/>
  <c r="AO26" i="7"/>
  <c r="AF26" i="7"/>
  <c r="AG25" i="7"/>
  <c r="AH24" i="7"/>
  <c r="AJ23" i="7"/>
  <c r="AK22" i="7"/>
  <c r="AL21" i="7"/>
  <c r="AM20" i="7"/>
  <c r="AN19" i="7"/>
  <c r="AO18" i="7"/>
  <c r="AF18" i="7"/>
  <c r="AG17" i="7"/>
  <c r="AH16" i="7"/>
  <c r="AJ15" i="7"/>
  <c r="AK14" i="7"/>
  <c r="AL13" i="7"/>
  <c r="AM12" i="7"/>
  <c r="AN11" i="7"/>
  <c r="AO10" i="7"/>
  <c r="AF10" i="7"/>
  <c r="AG9" i="7"/>
  <c r="AH8" i="7"/>
  <c r="AJ7" i="7"/>
  <c r="AK6" i="7"/>
  <c r="AL5" i="7"/>
  <c r="AM4" i="7"/>
  <c r="AN3" i="7"/>
  <c r="AO2" i="7"/>
  <c r="AF2" i="7"/>
  <c r="AE10" i="7" a="1"/>
  <c r="AE10" i="7" s="1"/>
  <c r="AE25" i="7" a="1"/>
  <c r="AE25" i="7" s="1"/>
  <c r="AE33" i="7" a="1"/>
  <c r="AE33" i="7" s="1"/>
  <c r="AE63" i="7" a="1"/>
  <c r="AE63" i="7" s="1"/>
  <c r="AE71" i="7" a="1"/>
  <c r="AE71" i="7" s="1"/>
  <c r="AE79" i="7" a="1"/>
  <c r="AE79" i="7" s="1"/>
  <c r="AE87" i="7" a="1"/>
  <c r="AE87" i="7" s="1"/>
  <c r="AE111" i="7" a="1"/>
  <c r="AE111" i="7" s="1"/>
  <c r="AE119" i="7" a="1"/>
  <c r="AE119" i="7" s="1"/>
  <c r="AE127" i="7" a="1"/>
  <c r="AE127" i="7" s="1"/>
  <c r="AE135" i="7" a="1"/>
  <c r="AE135" i="7" s="1"/>
  <c r="AE143" i="7" a="1"/>
  <c r="AE143" i="7" s="1"/>
  <c r="AO37" i="7"/>
  <c r="AN36" i="7"/>
  <c r="AN35" i="7"/>
  <c r="AN34" i="7"/>
  <c r="AO33" i="7"/>
  <c r="AF33" i="7"/>
  <c r="AG32" i="7"/>
  <c r="AH31" i="7"/>
  <c r="AJ30" i="7"/>
  <c r="AK29" i="7"/>
  <c r="AL28" i="7"/>
  <c r="AM27" i="7"/>
  <c r="AN26" i="7"/>
  <c r="AO25" i="7"/>
  <c r="AF25" i="7"/>
  <c r="AG24" i="7"/>
  <c r="AH23" i="7"/>
  <c r="AJ22" i="7"/>
  <c r="AK21" i="7"/>
  <c r="AL20" i="7"/>
  <c r="AM19" i="7"/>
  <c r="AN18" i="7"/>
  <c r="AO17" i="7"/>
  <c r="AF17" i="7"/>
  <c r="AG16" i="7"/>
  <c r="AH15" i="7"/>
  <c r="AJ14" i="7"/>
  <c r="AK13" i="7"/>
  <c r="AL12" i="7"/>
  <c r="AM11" i="7"/>
  <c r="AN10" i="7"/>
  <c r="AO9" i="7"/>
  <c r="AF9" i="7"/>
  <c r="AG8" i="7"/>
  <c r="AH7" i="7"/>
  <c r="AJ6" i="7"/>
  <c r="AK5" i="7"/>
  <c r="AL4" i="7"/>
  <c r="AM3" i="7"/>
  <c r="AN2" i="7"/>
  <c r="AE3" i="7" a="1"/>
  <c r="AE3" i="7" s="1"/>
  <c r="AE18" i="7" a="1"/>
  <c r="AE18" i="7" s="1"/>
  <c r="AE26" i="7" a="1"/>
  <c r="AE26" i="7" s="1"/>
  <c r="AE34" i="7" a="1"/>
  <c r="AE34" i="7" s="1"/>
  <c r="AE56" i="7" a="1"/>
  <c r="AE56" i="7" s="1"/>
  <c r="AE64" i="7" a="1"/>
  <c r="AE64" i="7" s="1"/>
  <c r="AE72" i="7" a="1"/>
  <c r="AE72" i="7" s="1"/>
  <c r="AE80" i="7" a="1"/>
  <c r="AE80" i="7" s="1"/>
  <c r="AE88" i="7" a="1"/>
  <c r="AE88" i="7" s="1"/>
  <c r="AE112" i="7" a="1"/>
  <c r="AE112" i="7" s="1"/>
  <c r="AE120" i="7" a="1"/>
  <c r="AE120" i="7" s="1"/>
  <c r="AE128" i="7" a="1"/>
  <c r="AE128" i="7" s="1"/>
  <c r="AE136" i="7" a="1"/>
  <c r="AE136" i="7" s="1"/>
  <c r="AE144" i="7" a="1"/>
  <c r="AE144" i="7" s="1"/>
  <c r="AM37" i="7"/>
  <c r="AM36" i="7"/>
  <c r="AM35" i="7"/>
  <c r="AM34" i="7"/>
  <c r="AN33" i="7"/>
  <c r="AO32" i="7"/>
  <c r="AF32" i="7"/>
  <c r="AG31" i="7"/>
  <c r="AH30" i="7"/>
  <c r="AJ29" i="7"/>
  <c r="AK28" i="7"/>
  <c r="AL27" i="7"/>
  <c r="AM26" i="7"/>
  <c r="AN25" i="7"/>
  <c r="AO24" i="7"/>
  <c r="AF24" i="7"/>
  <c r="AG23" i="7"/>
  <c r="AH22" i="7"/>
  <c r="AJ21" i="7"/>
  <c r="AK20" i="7"/>
  <c r="AL19" i="7"/>
  <c r="AM18" i="7"/>
  <c r="AN17" i="7"/>
  <c r="AO16" i="7"/>
  <c r="AF16" i="7"/>
  <c r="AG15" i="7"/>
  <c r="AH14" i="7"/>
  <c r="AJ13" i="7"/>
  <c r="AK12" i="7"/>
  <c r="AL11" i="7"/>
  <c r="AM10" i="7"/>
  <c r="AN9" i="7"/>
  <c r="AO8" i="7"/>
  <c r="AF8" i="7"/>
  <c r="AG7" i="7"/>
  <c r="AH6" i="7"/>
  <c r="AJ5" i="7"/>
  <c r="AK4" i="7"/>
  <c r="AL3" i="7"/>
  <c r="AM2" i="7"/>
  <c r="AE4" i="7" a="1"/>
  <c r="AE4" i="7" s="1"/>
  <c r="AE11" i="7" a="1"/>
  <c r="AE11" i="7" s="1"/>
  <c r="AE19" i="7" a="1"/>
  <c r="AE19" i="7" s="1"/>
  <c r="AE27" i="7" a="1"/>
  <c r="AE27" i="7" s="1"/>
  <c r="AE57" i="7" a="1"/>
  <c r="AE57" i="7" s="1"/>
  <c r="AE65" i="7" a="1"/>
  <c r="AE65" i="7" s="1"/>
  <c r="AE73" i="7" a="1"/>
  <c r="AE73" i="7" s="1"/>
  <c r="AE81" i="7" a="1"/>
  <c r="AE81" i="7" s="1"/>
  <c r="AE89" i="7" a="1"/>
  <c r="AE89" i="7" s="1"/>
  <c r="AE113" i="7" a="1"/>
  <c r="AE113" i="7" s="1"/>
  <c r="AE121" i="7" a="1"/>
  <c r="AE121" i="7" s="1"/>
  <c r="AE129" i="7" a="1"/>
  <c r="AE129" i="7" s="1"/>
  <c r="AE137" i="7" a="1"/>
  <c r="AE137" i="7" s="1"/>
  <c r="AE145" i="7" a="1"/>
  <c r="AE145" i="7" s="1"/>
  <c r="AL37" i="7"/>
  <c r="AL36" i="7"/>
  <c r="AL35" i="7"/>
  <c r="AL34" i="7"/>
  <c r="AM33" i="7"/>
  <c r="AN32" i="7"/>
  <c r="AO31" i="7"/>
  <c r="AF31" i="7"/>
  <c r="AG30" i="7"/>
  <c r="AH29" i="7"/>
  <c r="AJ28" i="7"/>
  <c r="AK27" i="7"/>
  <c r="AL26" i="7"/>
  <c r="AM25" i="7"/>
  <c r="AN24" i="7"/>
  <c r="AO23" i="7"/>
  <c r="AF23" i="7"/>
  <c r="AG22" i="7"/>
  <c r="AH21" i="7"/>
  <c r="AJ20" i="7"/>
  <c r="AK19" i="7"/>
  <c r="AL18" i="7"/>
  <c r="AN16" i="7"/>
  <c r="AG14" i="7"/>
  <c r="AK11" i="7"/>
  <c r="AN8" i="7"/>
  <c r="AG6" i="7"/>
  <c r="AK3" i="7"/>
  <c r="AE12" i="7" a="1"/>
  <c r="AE12" i="7" s="1"/>
  <c r="AE35" i="7" a="1"/>
  <c r="AE35" i="7" s="1"/>
  <c r="AE74" i="7" a="1"/>
  <c r="AE74" i="7" s="1"/>
  <c r="AE138" i="7" a="1"/>
  <c r="AE138" i="7" s="1"/>
  <c r="AE82" i="7" a="1"/>
  <c r="AE82" i="7" s="1"/>
  <c r="AE90" i="7" a="1"/>
  <c r="AE90" i="7" s="1"/>
  <c r="AE122" i="7" a="1"/>
  <c r="AE122" i="7" s="1"/>
  <c r="AE130" i="7" a="1"/>
  <c r="AE130" i="7" s="1"/>
  <c r="AE114" i="7" a="1"/>
  <c r="AE114" i="7" s="1"/>
  <c r="AE66" i="7" a="1"/>
  <c r="AE66" i="7" s="1"/>
  <c r="F40" i="7" a="1"/>
  <c r="F40" i="7" s="1"/>
  <c r="F48" i="7" a="1"/>
  <c r="F48" i="7" s="1"/>
  <c r="F92" i="7" a="1"/>
  <c r="F92" i="7" s="1"/>
  <c r="F100" i="7" a="1"/>
  <c r="F100" i="7" s="1"/>
  <c r="F108" i="7" a="1"/>
  <c r="F108" i="7" s="1"/>
  <c r="F151" i="7" a="1"/>
  <c r="F151" i="7" s="1"/>
  <c r="F159" i="7" a="1"/>
  <c r="F159" i="7" s="1"/>
  <c r="F41" i="7" a="1"/>
  <c r="F41" i="7" s="1"/>
  <c r="F49" i="7" a="1"/>
  <c r="F49" i="7" s="1"/>
  <c r="F93" i="7" a="1"/>
  <c r="F93" i="7" s="1"/>
  <c r="F101" i="7" a="1"/>
  <c r="F101" i="7" s="1"/>
  <c r="F109" i="7" a="1"/>
  <c r="F109" i="7" s="1"/>
  <c r="F152" i="7" a="1"/>
  <c r="F152" i="7" s="1"/>
  <c r="F160" i="7" a="1"/>
  <c r="F160" i="7" s="1"/>
  <c r="F107" i="7" a="1"/>
  <c r="F107" i="7" s="1"/>
  <c r="F42" i="7" a="1"/>
  <c r="F42" i="7" s="1"/>
  <c r="F50" i="7" a="1"/>
  <c r="F50" i="7" s="1"/>
  <c r="F94" i="7" a="1"/>
  <c r="F94" i="7" s="1"/>
  <c r="F102" i="7" a="1"/>
  <c r="F102" i="7" s="1"/>
  <c r="F146" i="7" a="1"/>
  <c r="F146" i="7" s="1"/>
  <c r="F153" i="7" a="1"/>
  <c r="F153" i="7" s="1"/>
  <c r="F161" i="7" a="1"/>
  <c r="F161" i="7" s="1"/>
  <c r="F47" i="7" a="1"/>
  <c r="F47" i="7" s="1"/>
  <c r="F43" i="7" a="1"/>
  <c r="F43" i="7" s="1"/>
  <c r="F51" i="7" a="1"/>
  <c r="F51" i="7" s="1"/>
  <c r="F95" i="7" a="1"/>
  <c r="F95" i="7" s="1"/>
  <c r="F103" i="7" a="1"/>
  <c r="F103" i="7" s="1"/>
  <c r="F147" i="7" a="1"/>
  <c r="F147" i="7" s="1"/>
  <c r="F154" i="7" a="1"/>
  <c r="F154" i="7" s="1"/>
  <c r="F162" i="7" a="1"/>
  <c r="F162" i="7" s="1"/>
  <c r="F39" i="7" a="1"/>
  <c r="F39" i="7" s="1"/>
  <c r="F44" i="7" a="1"/>
  <c r="F44" i="7" s="1"/>
  <c r="F52" i="7" a="1"/>
  <c r="F52" i="7" s="1"/>
  <c r="F96" i="7" a="1"/>
  <c r="F96" i="7" s="1"/>
  <c r="F104" i="7" a="1"/>
  <c r="F104" i="7" s="1"/>
  <c r="F148" i="7" a="1"/>
  <c r="F148" i="7" s="1"/>
  <c r="F155" i="7" a="1"/>
  <c r="F155" i="7" s="1"/>
  <c r="F163" i="7" a="1"/>
  <c r="F163" i="7" s="1"/>
  <c r="F158" i="7" a="1"/>
  <c r="F158" i="7" s="1"/>
  <c r="F45" i="7" a="1"/>
  <c r="F45" i="7" s="1"/>
  <c r="F53" i="7" a="1"/>
  <c r="F53" i="7" s="1"/>
  <c r="F97" i="7" a="1"/>
  <c r="F97" i="7" s="1"/>
  <c r="F105" i="7" a="1"/>
  <c r="F105" i="7" s="1"/>
  <c r="F149" i="7" a="1"/>
  <c r="F149" i="7" s="1"/>
  <c r="F156" i="7" a="1"/>
  <c r="F156" i="7" s="1"/>
  <c r="F99" i="7" a="1"/>
  <c r="F99" i="7" s="1"/>
  <c r="F38" i="7" a="1"/>
  <c r="F38" i="7" s="1"/>
  <c r="F46" i="7" a="1"/>
  <c r="F46" i="7" s="1"/>
  <c r="F54" i="7" a="1"/>
  <c r="F54" i="7" s="1"/>
  <c r="F98" i="7" a="1"/>
  <c r="F98" i="7" s="1"/>
  <c r="F106" i="7" a="1"/>
  <c r="F106" i="7" s="1"/>
  <c r="F150" i="7" a="1"/>
  <c r="F150" i="7" s="1"/>
  <c r="F157" i="7" a="1"/>
  <c r="F157" i="7" s="1"/>
  <c r="F55" i="7" a="1"/>
  <c r="F55" i="7" s="1"/>
  <c r="F9" i="7" a="1"/>
  <c r="F9" i="7" s="1"/>
  <c r="F17" i="7" a="1"/>
  <c r="F17" i="7" s="1"/>
  <c r="F24" i="7" a="1"/>
  <c r="F24" i="7" s="1"/>
  <c r="F59" i="7" a="1"/>
  <c r="F59" i="7" s="1"/>
  <c r="F66" i="7" a="1"/>
  <c r="F66" i="7" s="1"/>
  <c r="F73" i="7" a="1"/>
  <c r="F73" i="7" s="1"/>
  <c r="F81" i="7" a="1"/>
  <c r="F81" i="7" s="1"/>
  <c r="F88" i="7" a="1"/>
  <c r="F88" i="7" s="1"/>
  <c r="F117" i="7" a="1"/>
  <c r="F117" i="7" s="1"/>
  <c r="F123" i="7" a="1"/>
  <c r="F123" i="7" s="1"/>
  <c r="F130" i="7" a="1"/>
  <c r="F130" i="7" s="1"/>
  <c r="F137" i="7" a="1"/>
  <c r="F137" i="7" s="1"/>
  <c r="F145" i="7" a="1"/>
  <c r="F145" i="7" s="1"/>
  <c r="F3" i="7" a="1"/>
  <c r="F3" i="7" s="1"/>
  <c r="F10" i="7" a="1"/>
  <c r="F10" i="7" s="1"/>
  <c r="F18" i="7" a="1"/>
  <c r="F18" i="7" s="1"/>
  <c r="F25" i="7" a="1"/>
  <c r="F25" i="7" s="1"/>
  <c r="F31" i="7" a="1"/>
  <c r="F31" i="7" s="1"/>
  <c r="F60" i="7" a="1"/>
  <c r="F60" i="7" s="1"/>
  <c r="F67" i="7" a="1"/>
  <c r="F67" i="7" s="1"/>
  <c r="F74" i="7" a="1"/>
  <c r="F74" i="7" s="1"/>
  <c r="F82" i="7" a="1"/>
  <c r="F82" i="7" s="1"/>
  <c r="F89" i="7" a="1"/>
  <c r="F89" i="7" s="1"/>
  <c r="F110" i="7" a="1"/>
  <c r="F110" i="7" s="1"/>
  <c r="F118" i="7" a="1"/>
  <c r="F118" i="7" s="1"/>
  <c r="F124" i="7" a="1"/>
  <c r="F124" i="7" s="1"/>
  <c r="F131" i="7" a="1"/>
  <c r="F131" i="7" s="1"/>
  <c r="F138" i="7" a="1"/>
  <c r="F138" i="7" s="1"/>
  <c r="F4" i="7" a="1"/>
  <c r="F4" i="7" s="1"/>
  <c r="F11" i="7" a="1"/>
  <c r="F11" i="7" s="1"/>
  <c r="F19" i="7" a="1"/>
  <c r="F19" i="7" s="1"/>
  <c r="F26" i="7" a="1"/>
  <c r="F26" i="7" s="1"/>
  <c r="F32" i="7" a="1"/>
  <c r="F32" i="7" s="1"/>
  <c r="F61" i="7" a="1"/>
  <c r="F61" i="7" s="1"/>
  <c r="F68" i="7" a="1"/>
  <c r="F68" i="7" s="1"/>
  <c r="F75" i="7" a="1"/>
  <c r="F75" i="7" s="1"/>
  <c r="F83" i="7" a="1"/>
  <c r="F83" i="7" s="1"/>
  <c r="F90" i="7" a="1"/>
  <c r="F90" i="7" s="1"/>
  <c r="F111" i="7" a="1"/>
  <c r="F111" i="7" s="1"/>
  <c r="F125" i="7" a="1"/>
  <c r="F125" i="7" s="1"/>
  <c r="F132" i="7" a="1"/>
  <c r="F132" i="7" s="1"/>
  <c r="F139" i="7" a="1"/>
  <c r="F139" i="7" s="1"/>
  <c r="F5" i="7" a="1"/>
  <c r="F5" i="7" s="1"/>
  <c r="F12" i="7" a="1"/>
  <c r="F12" i="7" s="1"/>
  <c r="F20" i="7" a="1"/>
  <c r="F20" i="7" s="1"/>
  <c r="F33" i="7" a="1"/>
  <c r="F33" i="7" s="1"/>
  <c r="F62" i="7" a="1"/>
  <c r="F62" i="7" s="1"/>
  <c r="F69" i="7" a="1"/>
  <c r="F69" i="7" s="1"/>
  <c r="F76" i="7" a="1"/>
  <c r="F76" i="7" s="1"/>
  <c r="F84" i="7" a="1"/>
  <c r="F84" i="7" s="1"/>
  <c r="F112" i="7" a="1"/>
  <c r="F112" i="7" s="1"/>
  <c r="F119" i="7" a="1"/>
  <c r="F119" i="7" s="1"/>
  <c r="F126" i="7" a="1"/>
  <c r="F126" i="7" s="1"/>
  <c r="F133" i="7" a="1"/>
  <c r="F133" i="7" s="1"/>
  <c r="F140" i="7" a="1"/>
  <c r="F140" i="7" s="1"/>
  <c r="F6" i="7" a="1"/>
  <c r="F6" i="7" s="1"/>
  <c r="F13" i="7" a="1"/>
  <c r="F13" i="7" s="1"/>
  <c r="F21" i="7" a="1"/>
  <c r="F21" i="7" s="1"/>
  <c r="F27" i="7" a="1"/>
  <c r="F27" i="7" s="1"/>
  <c r="F34" i="7" a="1"/>
  <c r="F34" i="7" s="1"/>
  <c r="F56" i="7" a="1"/>
  <c r="F56" i="7" s="1"/>
  <c r="F70" i="7" a="1"/>
  <c r="F70" i="7" s="1"/>
  <c r="F77" i="7" a="1"/>
  <c r="F77" i="7" s="1"/>
  <c r="F85" i="7" a="1"/>
  <c r="F85" i="7" s="1"/>
  <c r="F91" i="7" a="1"/>
  <c r="F91" i="7" s="1"/>
  <c r="F113" i="7" a="1"/>
  <c r="F113" i="7" s="1"/>
  <c r="F120" i="7" a="1"/>
  <c r="F120" i="7" s="1"/>
  <c r="F134" i="7" a="1"/>
  <c r="F134" i="7" s="1"/>
  <c r="F141" i="7" a="1"/>
  <c r="F141" i="7" s="1"/>
  <c r="F2" i="7" a="1"/>
  <c r="F2" i="7" s="1"/>
  <c r="F14" i="7" a="1"/>
  <c r="F14" i="7" s="1"/>
  <c r="F22" i="7" a="1"/>
  <c r="F22" i="7" s="1"/>
  <c r="F28" i="7" a="1"/>
  <c r="F28" i="7" s="1"/>
  <c r="F35" i="7" a="1"/>
  <c r="F35" i="7" s="1"/>
  <c r="F57" i="7" a="1"/>
  <c r="F57" i="7" s="1"/>
  <c r="F63" i="7" a="1"/>
  <c r="F63" i="7" s="1"/>
  <c r="F78" i="7" a="1"/>
  <c r="F78" i="7" s="1"/>
  <c r="F86" i="7" a="1"/>
  <c r="F86" i="7" s="1"/>
  <c r="F114" i="7" a="1"/>
  <c r="F114" i="7" s="1"/>
  <c r="F121" i="7" a="1"/>
  <c r="F121" i="7" s="1"/>
  <c r="F127" i="7" a="1"/>
  <c r="F127" i="7" s="1"/>
  <c r="F142" i="7" a="1"/>
  <c r="F142" i="7" s="1"/>
  <c r="F7" i="7" a="1"/>
  <c r="F7" i="7" s="1"/>
  <c r="F15" i="7" a="1"/>
  <c r="F15" i="7" s="1"/>
  <c r="F29" i="7" a="1"/>
  <c r="F29" i="7" s="1"/>
  <c r="F36" i="7" a="1"/>
  <c r="F36" i="7" s="1"/>
  <c r="F58" i="7" a="1"/>
  <c r="F58" i="7" s="1"/>
  <c r="F64" i="7" a="1"/>
  <c r="F64" i="7" s="1"/>
  <c r="F71" i="7" a="1"/>
  <c r="F71" i="7" s="1"/>
  <c r="F79" i="7" a="1"/>
  <c r="F79" i="7" s="1"/>
  <c r="F115" i="7" a="1"/>
  <c r="F115" i="7" s="1"/>
  <c r="F122" i="7" a="1"/>
  <c r="F122" i="7" s="1"/>
  <c r="F128" i="7" a="1"/>
  <c r="F128" i="7" s="1"/>
  <c r="F135" i="7" a="1"/>
  <c r="F135" i="7" s="1"/>
  <c r="F143" i="7" a="1"/>
  <c r="F143" i="7" s="1"/>
  <c r="F8" i="7" a="1"/>
  <c r="F8" i="7" s="1"/>
  <c r="F16" i="7" a="1"/>
  <c r="F16" i="7" s="1"/>
  <c r="F23" i="7" a="1"/>
  <c r="F23" i="7" s="1"/>
  <c r="F30" i="7" a="1"/>
  <c r="F30" i="7" s="1"/>
  <c r="F37" i="7" a="1"/>
  <c r="F37" i="7" s="1"/>
  <c r="F65" i="7" a="1"/>
  <c r="F65" i="7" s="1"/>
  <c r="F72" i="7" a="1"/>
  <c r="F72" i="7" s="1"/>
  <c r="F80" i="7" a="1"/>
  <c r="F80" i="7" s="1"/>
  <c r="F87" i="7" a="1"/>
  <c r="F87" i="7" s="1"/>
  <c r="F116" i="7" a="1"/>
  <c r="F116" i="7" s="1"/>
  <c r="F129" i="7" a="1"/>
  <c r="F129" i="7" s="1"/>
  <c r="F136" i="7" a="1"/>
  <c r="F136" i="7" s="1"/>
  <c r="F144" i="7" a="1"/>
  <c r="F144" i="7" s="1"/>
  <c r="EA54" i="26"/>
  <c r="EA55" i="26" s="1"/>
  <c r="C139" i="16" s="1"/>
  <c r="FO54" i="26"/>
  <c r="FO55" i="26" s="1"/>
  <c r="B143" i="16" s="1"/>
  <c r="GN54" i="26"/>
  <c r="GN55" i="26" s="1"/>
  <c r="M144" i="16" s="1"/>
  <c r="GX54" i="26"/>
  <c r="GX55" i="26" s="1"/>
  <c r="C145" i="16" s="1"/>
  <c r="HC54" i="26"/>
  <c r="HC55" i="26" s="1"/>
  <c r="C146" i="16" s="1"/>
  <c r="GI54" i="26"/>
  <c r="GI55" i="26" s="1"/>
  <c r="H144" i="16" s="1"/>
  <c r="EF54" i="26"/>
  <c r="EF55" i="26" s="1"/>
  <c r="D139" i="16" s="1"/>
  <c r="EK54" i="26"/>
  <c r="EK55" i="26" s="1"/>
  <c r="G139" i="16" s="1"/>
  <c r="EP54" i="26"/>
  <c r="EP55" i="26" s="1"/>
  <c r="I139" i="16" s="1"/>
  <c r="EZ54" i="26"/>
  <c r="EZ55" i="26" s="1"/>
  <c r="M139" i="16" s="1"/>
  <c r="FJ54" i="26"/>
  <c r="FJ55" i="26" s="1"/>
  <c r="B141" i="16" s="1"/>
  <c r="FT54" i="26"/>
  <c r="FT55" i="26" s="1"/>
  <c r="B144" i="16" s="1"/>
  <c r="FY54" i="26"/>
  <c r="FY55" i="26" s="1"/>
  <c r="D144" i="16" s="1"/>
  <c r="GD54" i="26"/>
  <c r="GD55" i="26" s="1"/>
  <c r="G144" i="16" s="1"/>
  <c r="GS54" i="26"/>
  <c r="GS55" i="26" s="1"/>
  <c r="N144" i="16" s="1"/>
  <c r="HH54" i="26"/>
  <c r="HH55" i="26" s="1"/>
  <c r="B147" i="16" s="1"/>
  <c r="DV46" i="26"/>
  <c r="DV45" i="26"/>
  <c r="DV44" i="26"/>
  <c r="DQ45" i="26"/>
  <c r="DQ46" i="26"/>
  <c r="DQ44" i="26"/>
  <c r="DL45" i="26"/>
  <c r="DL46" i="26"/>
  <c r="DL47" i="26"/>
  <c r="DL44" i="26"/>
  <c r="DG45" i="26"/>
  <c r="DG46" i="26"/>
  <c r="DG47" i="26"/>
  <c r="DG48" i="26"/>
  <c r="DG49" i="26"/>
  <c r="DG44" i="26"/>
  <c r="DB49" i="26"/>
  <c r="DB48" i="26"/>
  <c r="DB47" i="26"/>
  <c r="DB46" i="26"/>
  <c r="DB45" i="26"/>
  <c r="DB44" i="26"/>
  <c r="CW45" i="26"/>
  <c r="CW46" i="26"/>
  <c r="CW47" i="26"/>
  <c r="CW49" i="26"/>
  <c r="CW44" i="26"/>
  <c r="CR48" i="26"/>
  <c r="CR47" i="26"/>
  <c r="CR46" i="26"/>
  <c r="CR45" i="26"/>
  <c r="CR44" i="26"/>
  <c r="CM45" i="26"/>
  <c r="CM46" i="26"/>
  <c r="CM47" i="26"/>
  <c r="CM48" i="26"/>
  <c r="CM49" i="26"/>
  <c r="CM44" i="26"/>
  <c r="CH45" i="26"/>
  <c r="CH46" i="26"/>
  <c r="CH47" i="26"/>
  <c r="CH48" i="26"/>
  <c r="CH44" i="26"/>
  <c r="CC45" i="26"/>
  <c r="CC44" i="26"/>
  <c r="BX45" i="26"/>
  <c r="BX44" i="26"/>
  <c r="BS45" i="26"/>
  <c r="BS46" i="26"/>
  <c r="BS47" i="26"/>
  <c r="BS44" i="26"/>
  <c r="BN45" i="26"/>
  <c r="BN46" i="26"/>
  <c r="BN47" i="26"/>
  <c r="BN48" i="26"/>
  <c r="BN44" i="26"/>
  <c r="BI45" i="26"/>
  <c r="BI46" i="26"/>
  <c r="BI47" i="26"/>
  <c r="BI48" i="26"/>
  <c r="BI49" i="26"/>
  <c r="BI44" i="26"/>
  <c r="BD45" i="26"/>
  <c r="BD46" i="26"/>
  <c r="BD44" i="26"/>
  <c r="AY45" i="26"/>
  <c r="AY46" i="26"/>
  <c r="AY47" i="26"/>
  <c r="AY48" i="26"/>
  <c r="AY49" i="26"/>
  <c r="AY44" i="26"/>
  <c r="AT45" i="26"/>
  <c r="AT46" i="26"/>
  <c r="AT47" i="26"/>
  <c r="AT48" i="26"/>
  <c r="AT49" i="26"/>
  <c r="AT50" i="26"/>
  <c r="AT51" i="26"/>
  <c r="AT52" i="26"/>
  <c r="AT44" i="26"/>
  <c r="AO45" i="26"/>
  <c r="AO46" i="26"/>
  <c r="AO44" i="26"/>
  <c r="AJ45" i="26"/>
  <c r="AJ46" i="26"/>
  <c r="AJ47" i="26"/>
  <c r="AJ48" i="26"/>
  <c r="AJ44" i="26"/>
  <c r="AE45" i="26"/>
  <c r="AE47" i="26"/>
  <c r="AE48" i="26"/>
  <c r="AE49" i="26"/>
  <c r="AE44" i="26"/>
  <c r="Z45" i="26"/>
  <c r="Z46" i="26"/>
  <c r="Z47" i="26"/>
  <c r="Z48" i="26"/>
  <c r="Z44" i="26"/>
  <c r="U45" i="26"/>
  <c r="U46" i="26"/>
  <c r="U47" i="26"/>
  <c r="U48" i="26"/>
  <c r="U44" i="26"/>
  <c r="H116" i="7" l="1"/>
  <c r="H121" i="7"/>
  <c r="H117" i="7"/>
  <c r="K2" i="7"/>
  <c r="BE12" i="33"/>
  <c r="AA12" i="33"/>
  <c r="O12" i="33"/>
  <c r="U12" i="33"/>
  <c r="BK12" i="33"/>
  <c r="AY12" i="33"/>
  <c r="AD7" i="33"/>
  <c r="X7" i="33"/>
  <c r="L7" i="33"/>
  <c r="R7" i="33"/>
  <c r="BH7" i="33"/>
  <c r="BB7" i="33"/>
  <c r="AV7" i="33"/>
  <c r="O18" i="33"/>
  <c r="AA18" i="33"/>
  <c r="BA12" i="33"/>
  <c r="BG12" i="33"/>
  <c r="AC12" i="33"/>
  <c r="Q12" i="33"/>
  <c r="W12" i="33"/>
  <c r="BM12" i="33"/>
  <c r="AI12" i="33"/>
  <c r="AX7" i="33"/>
  <c r="BD7" i="33"/>
  <c r="Z7" i="33"/>
  <c r="N7" i="33"/>
  <c r="T7" i="33"/>
  <c r="BJ7" i="33"/>
  <c r="BA18" i="33"/>
  <c r="AC18" i="33"/>
  <c r="Q18" i="33"/>
  <c r="W18" i="33"/>
  <c r="BM18" i="33"/>
  <c r="AI18" i="33"/>
  <c r="BG18" i="33"/>
  <c r="BF43" i="33"/>
  <c r="AZ43" i="33"/>
  <c r="AB43" i="33"/>
  <c r="P43" i="33"/>
  <c r="V43" i="33"/>
  <c r="BL43" i="33"/>
  <c r="AH43" i="33"/>
  <c r="BI55" i="33"/>
  <c r="BC55" i="33"/>
  <c r="AW55" i="33"/>
  <c r="M55" i="33"/>
  <c r="Y55" i="33"/>
  <c r="S55" i="33"/>
  <c r="AE55" i="33"/>
  <c r="Y48" i="33"/>
  <c r="M48" i="33"/>
  <c r="S48" i="33"/>
  <c r="BI48" i="33"/>
  <c r="AE48" i="33"/>
  <c r="BC48" i="33"/>
  <c r="AW48" i="33"/>
  <c r="AZ42" i="33"/>
  <c r="AB42" i="33"/>
  <c r="P42" i="33"/>
  <c r="V42" i="33"/>
  <c r="AH42" i="33"/>
  <c r="BL42" i="33"/>
  <c r="BF42" i="33"/>
  <c r="X54" i="33"/>
  <c r="L54" i="33"/>
  <c r="R54" i="33"/>
  <c r="BH54" i="33"/>
  <c r="BB54" i="33"/>
  <c r="AV54" i="33"/>
  <c r="W13" i="33"/>
  <c r="AI13" i="33"/>
  <c r="BM13" i="33"/>
  <c r="BG13" i="33"/>
  <c r="BA13" i="33"/>
  <c r="AC13" i="33"/>
  <c r="Q13" i="33"/>
  <c r="L30" i="33"/>
  <c r="X30" i="33"/>
  <c r="R30" i="33"/>
  <c r="BH30" i="33"/>
  <c r="AV30" i="33"/>
  <c r="BB30" i="33"/>
  <c r="O24" i="33"/>
  <c r="O34" i="34" s="1"/>
  <c r="U24" i="33"/>
  <c r="BK24" i="33"/>
  <c r="AG24" i="33"/>
  <c r="BE24" i="33"/>
  <c r="AY24" i="33"/>
  <c r="AA24" i="33"/>
  <c r="BA19" i="33"/>
  <c r="AC19" i="33"/>
  <c r="Q19" i="33"/>
  <c r="W19" i="33"/>
  <c r="BG19" i="33"/>
  <c r="AI19" i="33"/>
  <c r="BM19" i="33"/>
  <c r="BJ30" i="33"/>
  <c r="BD30" i="33"/>
  <c r="AX30" i="33"/>
  <c r="Z30" i="33"/>
  <c r="N30" i="33"/>
  <c r="T30" i="33"/>
  <c r="AF30" i="33"/>
  <c r="BA24" i="33"/>
  <c r="AC24" i="33"/>
  <c r="W24" i="33"/>
  <c r="BM24" i="33"/>
  <c r="BG24" i="33"/>
  <c r="S36" i="33"/>
  <c r="Y36" i="33"/>
  <c r="M36" i="33"/>
  <c r="BI36" i="33"/>
  <c r="BC36" i="33"/>
  <c r="AE36" i="33"/>
  <c r="AW36" i="33"/>
  <c r="BJ13" i="33"/>
  <c r="AF13" i="33"/>
  <c r="BD13" i="33"/>
  <c r="AX13" i="33"/>
  <c r="Z13" i="33"/>
  <c r="N13" i="33"/>
  <c r="T13" i="33"/>
  <c r="M6" i="33"/>
  <c r="Y6" i="33"/>
  <c r="S6" i="33"/>
  <c r="AE6" i="33"/>
  <c r="BI6" i="33"/>
  <c r="AW6" i="33"/>
  <c r="BC6" i="33"/>
  <c r="P49" i="33"/>
  <c r="AB49" i="33"/>
  <c r="V49" i="33"/>
  <c r="AH49" i="33"/>
  <c r="BL49" i="33"/>
  <c r="AZ49" i="33"/>
  <c r="BF49" i="33"/>
  <c r="AD12" i="33"/>
  <c r="X12" i="33"/>
  <c r="L12" i="33"/>
  <c r="R12" i="33"/>
  <c r="BH12" i="33"/>
  <c r="AV12" i="33"/>
  <c r="BB12" i="33"/>
  <c r="O55" i="33"/>
  <c r="AA55" i="33"/>
  <c r="U55" i="33"/>
  <c r="U19" i="34" s="1"/>
  <c r="BE55" i="33"/>
  <c r="BK55" i="33"/>
  <c r="BI31" i="33"/>
  <c r="AE31" i="33"/>
  <c r="AW31" i="33"/>
  <c r="BC31" i="33"/>
  <c r="Y31" i="33"/>
  <c r="M31" i="33"/>
  <c r="S31" i="33"/>
  <c r="Z31" i="33"/>
  <c r="N31" i="33"/>
  <c r="T31" i="33"/>
  <c r="BJ31" i="33"/>
  <c r="AF31" i="33"/>
  <c r="AX31" i="33"/>
  <c r="BD31" i="33"/>
  <c r="BM25" i="33"/>
  <c r="BG25" i="33"/>
  <c r="BA25" i="33"/>
  <c r="AC25" i="33"/>
  <c r="W25" i="33"/>
  <c r="M37" i="33"/>
  <c r="Y37" i="33"/>
  <c r="S37" i="33"/>
  <c r="AE37" i="33"/>
  <c r="BI37" i="33"/>
  <c r="BC37" i="33"/>
  <c r="AW37" i="33"/>
  <c r="AH31" i="33"/>
  <c r="BF31" i="33"/>
  <c r="AZ31" i="33"/>
  <c r="AB31" i="33"/>
  <c r="P31" i="33"/>
  <c r="V31" i="33"/>
  <c r="BL31" i="33"/>
  <c r="Y42" i="33"/>
  <c r="M42" i="33"/>
  <c r="S42" i="33"/>
  <c r="AE42" i="33"/>
  <c r="BI42" i="33"/>
  <c r="BC42" i="33"/>
  <c r="AW42" i="33"/>
  <c r="U37" i="33"/>
  <c r="U18" i="34" s="1"/>
  <c r="AA37" i="33"/>
  <c r="BK37" i="33"/>
  <c r="BE37" i="33"/>
  <c r="AY37" i="33"/>
  <c r="BL30" i="33"/>
  <c r="AZ30" i="33"/>
  <c r="BF30" i="33"/>
  <c r="AB30" i="33"/>
  <c r="P30" i="33"/>
  <c r="V30" i="33"/>
  <c r="AH30" i="33"/>
  <c r="W7" i="33"/>
  <c r="BM7" i="33"/>
  <c r="BA7" i="33"/>
  <c r="BG7" i="33"/>
  <c r="AC7" i="33"/>
  <c r="M19" i="33"/>
  <c r="S19" i="33"/>
  <c r="BI19" i="33"/>
  <c r="BC19" i="33"/>
  <c r="AE19" i="33"/>
  <c r="AW19" i="33"/>
  <c r="Y19" i="33"/>
  <c r="P13" i="33"/>
  <c r="AB13" i="33"/>
  <c r="V13" i="33"/>
  <c r="AH13" i="33"/>
  <c r="BL13" i="33"/>
  <c r="BF13" i="33"/>
  <c r="AZ13" i="33"/>
  <c r="BJ6" i="33"/>
  <c r="BD6" i="33"/>
  <c r="AX6" i="33"/>
  <c r="Z6" i="33"/>
  <c r="N6" i="33"/>
  <c r="T6" i="33"/>
  <c r="BK48" i="33"/>
  <c r="BE48" i="33"/>
  <c r="O48" i="33"/>
  <c r="AA48" i="33"/>
  <c r="U48" i="33"/>
  <c r="AB48" i="33"/>
  <c r="V48" i="33"/>
  <c r="BL48" i="33"/>
  <c r="AH48" i="33"/>
  <c r="AZ48" i="33"/>
  <c r="BF48" i="33"/>
  <c r="P48" i="33"/>
  <c r="AE43" i="33"/>
  <c r="AW43" i="33"/>
  <c r="BC43" i="33"/>
  <c r="Y43" i="33"/>
  <c r="Y37" i="34" s="1"/>
  <c r="M43" i="33"/>
  <c r="S43" i="33"/>
  <c r="BI43" i="33"/>
  <c r="AA54" i="33"/>
  <c r="O54" i="33"/>
  <c r="U54" i="33"/>
  <c r="BE54" i="33"/>
  <c r="BK54" i="33"/>
  <c r="AW49" i="33"/>
  <c r="M49" i="33"/>
  <c r="M55" i="34" s="1"/>
  <c r="Y49" i="33"/>
  <c r="S49" i="33"/>
  <c r="AE49" i="33"/>
  <c r="AE55" i="34" s="1"/>
  <c r="BI49" i="33"/>
  <c r="BC49" i="33"/>
  <c r="O43" i="33"/>
  <c r="O37" i="34" s="1"/>
  <c r="AA43" i="33"/>
  <c r="AA37" i="34" s="1"/>
  <c r="U43" i="33"/>
  <c r="BK43" i="33"/>
  <c r="AY43" i="33"/>
  <c r="BE43" i="33"/>
  <c r="L55" i="33"/>
  <c r="R55" i="33"/>
  <c r="R19" i="34" s="1"/>
  <c r="BH55" i="33"/>
  <c r="BB55" i="33"/>
  <c r="AV55" i="33"/>
  <c r="X55" i="33"/>
  <c r="BB48" i="33"/>
  <c r="AV48" i="33"/>
  <c r="X48" i="33"/>
  <c r="L48" i="33"/>
  <c r="R48" i="33"/>
  <c r="BH48" i="33"/>
  <c r="AE25" i="33"/>
  <c r="BI25" i="33"/>
  <c r="BC25" i="33"/>
  <c r="AW25" i="33"/>
  <c r="M25" i="33"/>
  <c r="M36" i="34" s="1"/>
  <c r="Y25" i="33"/>
  <c r="Y36" i="34" s="1"/>
  <c r="S25" i="33"/>
  <c r="BK36" i="33"/>
  <c r="BE36" i="33"/>
  <c r="AY36" i="33"/>
  <c r="AA36" i="33"/>
  <c r="U36" i="33"/>
  <c r="X31" i="33"/>
  <c r="R31" i="33"/>
  <c r="BH31" i="33"/>
  <c r="AV31" i="33"/>
  <c r="BB31" i="33"/>
  <c r="L31" i="33"/>
  <c r="L54" i="34" s="1"/>
  <c r="BE6" i="33"/>
  <c r="AA6" i="33"/>
  <c r="O6" i="33"/>
  <c r="U6" i="33"/>
  <c r="AG6" i="33"/>
  <c r="BK6" i="33"/>
  <c r="AY6" i="33"/>
  <c r="AW18" i="33"/>
  <c r="Y18" i="33"/>
  <c r="M18" i="33"/>
  <c r="AE18" i="33"/>
  <c r="S18" i="33"/>
  <c r="BC18" i="33"/>
  <c r="BI18" i="33"/>
  <c r="AC6" i="33"/>
  <c r="W6" i="33"/>
  <c r="BM6" i="33"/>
  <c r="BG6" i="33"/>
  <c r="BA6" i="33"/>
  <c r="T18" i="33"/>
  <c r="AF18" i="33"/>
  <c r="BJ18" i="33"/>
  <c r="BD18" i="33"/>
  <c r="AX18" i="33"/>
  <c r="Z18" i="33"/>
  <c r="N18" i="33"/>
  <c r="BF12" i="33"/>
  <c r="P12" i="33"/>
  <c r="AB12" i="33"/>
  <c r="V12" i="33"/>
  <c r="BL12" i="33"/>
  <c r="AH12" i="33"/>
  <c r="AZ12" i="33"/>
  <c r="AW7" i="33"/>
  <c r="M7" i="33"/>
  <c r="Y7" i="33"/>
  <c r="S7" i="33"/>
  <c r="BI7" i="33"/>
  <c r="AE7" i="33"/>
  <c r="BC7" i="33"/>
  <c r="AB18" i="33"/>
  <c r="P18" i="33"/>
  <c r="V18" i="33"/>
  <c r="BL18" i="33"/>
  <c r="AH18" i="33"/>
  <c r="BF18" i="33"/>
  <c r="AZ18" i="33"/>
  <c r="L13" i="33"/>
  <c r="R13" i="33"/>
  <c r="BH13" i="33"/>
  <c r="BB13" i="33"/>
  <c r="AV13" i="33"/>
  <c r="AD13" i="33"/>
  <c r="X13" i="33"/>
  <c r="L6" i="33"/>
  <c r="AD6" i="33"/>
  <c r="R6" i="33"/>
  <c r="BH6" i="33"/>
  <c r="BB6" i="33"/>
  <c r="AV6" i="33"/>
  <c r="X6" i="33"/>
  <c r="O49" i="33"/>
  <c r="AA49" i="33"/>
  <c r="AA55" i="34" s="1"/>
  <c r="U49" i="33"/>
  <c r="BK49" i="33"/>
  <c r="BE49" i="33"/>
  <c r="BE42" i="33"/>
  <c r="AY42" i="33"/>
  <c r="AA42" i="33"/>
  <c r="O42" i="33"/>
  <c r="O35" i="34" s="1"/>
  <c r="U42" i="33"/>
  <c r="BK42" i="33"/>
  <c r="BG37" i="33"/>
  <c r="BA37" i="33"/>
  <c r="AC37" i="33"/>
  <c r="AC18" i="34" s="1"/>
  <c r="Q37" i="33"/>
  <c r="W37" i="33"/>
  <c r="BM37" i="33"/>
  <c r="T48" i="33"/>
  <c r="AF48" i="33"/>
  <c r="BJ48" i="33"/>
  <c r="AX48" i="33"/>
  <c r="BD48" i="33"/>
  <c r="Z48" i="33"/>
  <c r="N48" i="33"/>
  <c r="M24" i="33"/>
  <c r="Y24" i="33"/>
  <c r="S24" i="33"/>
  <c r="BI24" i="33"/>
  <c r="AE24" i="33"/>
  <c r="AW24" i="33"/>
  <c r="BC24" i="33"/>
  <c r="AA19" i="33"/>
  <c r="O19" i="33"/>
  <c r="Z24" i="33"/>
  <c r="N24" i="33"/>
  <c r="T24" i="33"/>
  <c r="BJ24" i="33"/>
  <c r="BD24" i="33"/>
  <c r="AX24" i="33"/>
  <c r="AH19" i="33"/>
  <c r="BF19" i="33"/>
  <c r="BL19" i="33"/>
  <c r="AZ19" i="33"/>
  <c r="AB19" i="33"/>
  <c r="P19" i="33"/>
  <c r="V19" i="33"/>
  <c r="Y30" i="33"/>
  <c r="M30" i="33"/>
  <c r="S30" i="33"/>
  <c r="BI30" i="33"/>
  <c r="AE30" i="33"/>
  <c r="AW30" i="33"/>
  <c r="BC30" i="33"/>
  <c r="AB24" i="33"/>
  <c r="P24" i="33"/>
  <c r="V24" i="33"/>
  <c r="BL24" i="33"/>
  <c r="AH24" i="33"/>
  <c r="AZ24" i="33"/>
  <c r="BF24" i="33"/>
  <c r="BB36" i="33"/>
  <c r="AV36" i="33"/>
  <c r="X36" i="33"/>
  <c r="L36" i="33"/>
  <c r="R36" i="33"/>
  <c r="BH36" i="33"/>
  <c r="BK30" i="33"/>
  <c r="BE30" i="33"/>
  <c r="AY30" i="33"/>
  <c r="AA30" i="33"/>
  <c r="O30" i="33"/>
  <c r="U30" i="33"/>
  <c r="U7" i="33"/>
  <c r="AG7" i="33"/>
  <c r="BK7" i="33"/>
  <c r="AY7" i="33"/>
  <c r="BE7" i="33"/>
  <c r="AA7" i="33"/>
  <c r="O7" i="33"/>
  <c r="O33" i="34" s="1"/>
  <c r="L19" i="33"/>
  <c r="X19" i="33"/>
  <c r="BH19" i="33"/>
  <c r="BB19" i="33"/>
  <c r="BG43" i="33"/>
  <c r="BA43" i="33"/>
  <c r="AC43" i="33"/>
  <c r="AC37" i="34" s="1"/>
  <c r="Q43" i="33"/>
  <c r="Q37" i="34" s="1"/>
  <c r="W43" i="33"/>
  <c r="W37" i="34" s="1"/>
  <c r="BM43" i="33"/>
  <c r="AF55" i="33"/>
  <c r="AX55" i="33"/>
  <c r="T55" i="33"/>
  <c r="Z55" i="33"/>
  <c r="N55" i="33"/>
  <c r="BJ55" i="33"/>
  <c r="BD55" i="33"/>
  <c r="BB18" i="33"/>
  <c r="BH18" i="33"/>
  <c r="L18" i="33"/>
  <c r="X18" i="33"/>
  <c r="AA25" i="33"/>
  <c r="O25" i="33"/>
  <c r="O36" i="34" s="1"/>
  <c r="U25" i="33"/>
  <c r="U36" i="34" s="1"/>
  <c r="BK25" i="33"/>
  <c r="AG25" i="33"/>
  <c r="AG36" i="34" s="1"/>
  <c r="AY25" i="33"/>
  <c r="BE25" i="33"/>
  <c r="BM36" i="33"/>
  <c r="BA36" i="33"/>
  <c r="Q36" i="33"/>
  <c r="AC36" i="33"/>
  <c r="W36" i="33"/>
  <c r="BG36" i="33"/>
  <c r="AB25" i="33"/>
  <c r="V25" i="33"/>
  <c r="BL25" i="33"/>
  <c r="AH25" i="33"/>
  <c r="BF25" i="33"/>
  <c r="AZ25" i="33"/>
  <c r="P25" i="33"/>
  <c r="BB37" i="33"/>
  <c r="BH37" i="33"/>
  <c r="AV37" i="33"/>
  <c r="X37" i="33"/>
  <c r="X18" i="34" s="1"/>
  <c r="L37" i="33"/>
  <c r="R37" i="33"/>
  <c r="R18" i="34" s="1"/>
  <c r="O31" i="33"/>
  <c r="O54" i="34" s="1"/>
  <c r="AA31" i="33"/>
  <c r="U31" i="33"/>
  <c r="BK31" i="33"/>
  <c r="BE31" i="33"/>
  <c r="AY31" i="33"/>
  <c r="L42" i="33"/>
  <c r="X42" i="33"/>
  <c r="R42" i="33"/>
  <c r="BH42" i="33"/>
  <c r="AV42" i="33"/>
  <c r="BB42" i="33"/>
  <c r="BD37" i="33"/>
  <c r="AX37" i="33"/>
  <c r="Z37" i="33"/>
  <c r="N37" i="33"/>
  <c r="N18" i="34" s="1"/>
  <c r="T37" i="33"/>
  <c r="T18" i="34" s="1"/>
  <c r="BJ37" i="33"/>
  <c r="AF37" i="33"/>
  <c r="AI31" i="33"/>
  <c r="AI54" i="34" s="1"/>
  <c r="BG31" i="33"/>
  <c r="BA31" i="33"/>
  <c r="AC31" i="33"/>
  <c r="Q31" i="33"/>
  <c r="W31" i="33"/>
  <c r="BM31" i="33"/>
  <c r="R25" i="33"/>
  <c r="R36" i="34" s="1"/>
  <c r="BH25" i="33"/>
  <c r="BB25" i="33"/>
  <c r="AV25" i="33"/>
  <c r="X25" i="33"/>
  <c r="L25" i="33"/>
  <c r="L36" i="34" s="1"/>
  <c r="T36" i="33"/>
  <c r="AF36" i="33"/>
  <c r="BJ36" i="33"/>
  <c r="BD36" i="33"/>
  <c r="AX36" i="33"/>
  <c r="Z36" i="33"/>
  <c r="N36" i="33"/>
  <c r="BE13" i="33"/>
  <c r="AY13" i="33"/>
  <c r="AA13" i="33"/>
  <c r="O13" i="33"/>
  <c r="U13" i="33"/>
  <c r="BK13" i="33"/>
  <c r="L24" i="33"/>
  <c r="R24" i="33"/>
  <c r="BH24" i="33"/>
  <c r="AV24" i="33"/>
  <c r="BB24" i="33"/>
  <c r="X24" i="33"/>
  <c r="BJ19" i="33"/>
  <c r="AX19" i="33"/>
  <c r="Z19" i="33"/>
  <c r="N19" i="33"/>
  <c r="T19" i="33"/>
  <c r="BD19" i="33"/>
  <c r="AF19" i="33"/>
  <c r="Q42" i="33"/>
  <c r="W42" i="33"/>
  <c r="BM42" i="33"/>
  <c r="BA42" i="33"/>
  <c r="BG42" i="33"/>
  <c r="AC42" i="33"/>
  <c r="AW54" i="33"/>
  <c r="M54" i="33"/>
  <c r="Y54" i="33"/>
  <c r="S54" i="33"/>
  <c r="BC54" i="33"/>
  <c r="AE54" i="33"/>
  <c r="BI54" i="33"/>
  <c r="X43" i="33"/>
  <c r="R43" i="33"/>
  <c r="BH43" i="33"/>
  <c r="AV43" i="33"/>
  <c r="BB43" i="33"/>
  <c r="L43" i="33"/>
  <c r="L37" i="34" s="1"/>
  <c r="BJ54" i="33"/>
  <c r="AX54" i="33"/>
  <c r="T54" i="33"/>
  <c r="Z54" i="33"/>
  <c r="N54" i="33"/>
  <c r="BD54" i="33"/>
  <c r="AF54" i="33"/>
  <c r="L49" i="33"/>
  <c r="R49" i="33"/>
  <c r="BH49" i="33"/>
  <c r="BB49" i="33"/>
  <c r="AV49" i="33"/>
  <c r="X49" i="33"/>
  <c r="BJ43" i="33"/>
  <c r="AX43" i="33"/>
  <c r="BD43" i="33"/>
  <c r="Z43" i="33"/>
  <c r="N43" i="33"/>
  <c r="T43" i="33"/>
  <c r="AB54" i="33"/>
  <c r="BL54" i="33"/>
  <c r="AH54" i="33"/>
  <c r="BF54" i="33"/>
  <c r="AZ54" i="33"/>
  <c r="V54" i="33"/>
  <c r="P54" i="33"/>
  <c r="AX49" i="33"/>
  <c r="BD49" i="33"/>
  <c r="Z49" i="33"/>
  <c r="N49" i="33"/>
  <c r="T49" i="33"/>
  <c r="T55" i="34" s="1"/>
  <c r="AF49" i="33"/>
  <c r="BJ49" i="33"/>
  <c r="BJ42" i="33"/>
  <c r="BD42" i="33"/>
  <c r="AX42" i="33"/>
  <c r="Z42" i="33"/>
  <c r="N42" i="33"/>
  <c r="T42" i="33"/>
  <c r="BL37" i="33"/>
  <c r="BF37" i="33"/>
  <c r="AH37" i="33"/>
  <c r="AH18" i="34" s="1"/>
  <c r="AZ37" i="33"/>
  <c r="P37" i="33"/>
  <c r="P18" i="34" s="1"/>
  <c r="AB37" i="33"/>
  <c r="V37" i="33"/>
  <c r="BA30" i="33"/>
  <c r="AC30" i="33"/>
  <c r="Q30" i="33"/>
  <c r="W30" i="33"/>
  <c r="AI30" i="33"/>
  <c r="BM30" i="33"/>
  <c r="BG30" i="33"/>
  <c r="BJ25" i="33"/>
  <c r="AX25" i="33"/>
  <c r="BD25" i="33"/>
  <c r="Z25" i="33"/>
  <c r="Z36" i="34" s="1"/>
  <c r="N25" i="33"/>
  <c r="N36" i="34" s="1"/>
  <c r="T25" i="33"/>
  <c r="AZ36" i="33"/>
  <c r="P36" i="33"/>
  <c r="AB36" i="33"/>
  <c r="V36" i="33"/>
  <c r="AH36" i="33"/>
  <c r="BF36" i="33"/>
  <c r="BL36" i="33"/>
  <c r="N12" i="33"/>
  <c r="T12" i="33"/>
  <c r="BJ12" i="33"/>
  <c r="AF12" i="33"/>
  <c r="AX12" i="33"/>
  <c r="BD12" i="33"/>
  <c r="Z12" i="33"/>
  <c r="P55" i="33"/>
  <c r="P19" i="34" s="1"/>
  <c r="BF55" i="33"/>
  <c r="BL55" i="33"/>
  <c r="AZ55" i="33"/>
  <c r="V55" i="33"/>
  <c r="AB55" i="33"/>
  <c r="AB19" i="34" s="1"/>
  <c r="AH55" i="33"/>
  <c r="AH19" i="34" s="1"/>
  <c r="W55" i="33"/>
  <c r="W19" i="34" s="1"/>
  <c r="AC55" i="33"/>
  <c r="Q55" i="33"/>
  <c r="Q19" i="34" s="1"/>
  <c r="BG55" i="33"/>
  <c r="BM55" i="33"/>
  <c r="BA55" i="33"/>
  <c r="X46" i="33"/>
  <c r="L46" i="33"/>
  <c r="AD46" i="33"/>
  <c r="R46" i="33"/>
  <c r="BH46" i="33"/>
  <c r="BB46" i="33"/>
  <c r="AV46" i="33"/>
  <c r="AB21" i="33"/>
  <c r="P21" i="33"/>
  <c r="V21" i="33"/>
  <c r="V24" i="34" s="1"/>
  <c r="BL21" i="33"/>
  <c r="AH21" i="33"/>
  <c r="BF21" i="33"/>
  <c r="AZ21" i="33"/>
  <c r="AD44" i="33"/>
  <c r="X44" i="33"/>
  <c r="L44" i="33"/>
  <c r="R44" i="33"/>
  <c r="BH44" i="33"/>
  <c r="BB44" i="33"/>
  <c r="AV44" i="33"/>
  <c r="AD33" i="33"/>
  <c r="AD6" i="34" s="1"/>
  <c r="X33" i="33"/>
  <c r="X6" i="34" s="1"/>
  <c r="L33" i="33"/>
  <c r="R33" i="33"/>
  <c r="R6" i="34" s="1"/>
  <c r="BH33" i="33"/>
  <c r="BB33" i="33"/>
  <c r="AV33" i="33"/>
  <c r="Z2" i="33"/>
  <c r="N2" i="33"/>
  <c r="T2" i="33"/>
  <c r="AF2" i="33"/>
  <c r="BJ2" i="33"/>
  <c r="AX2" i="33"/>
  <c r="BD2" i="33"/>
  <c r="M39" i="33"/>
  <c r="Y39" i="33"/>
  <c r="S39" i="33"/>
  <c r="AE39" i="33"/>
  <c r="BI39" i="33"/>
  <c r="BC39" i="33"/>
  <c r="AW39" i="33"/>
  <c r="AA45" i="33"/>
  <c r="O45" i="33"/>
  <c r="O43" i="34" s="1"/>
  <c r="U45" i="33"/>
  <c r="AG45" i="33"/>
  <c r="AG43" i="34" s="1"/>
  <c r="BK45" i="33"/>
  <c r="BE45" i="33"/>
  <c r="O50" i="33"/>
  <c r="O5" i="34" s="1"/>
  <c r="AA50" i="33"/>
  <c r="AA5" i="34" s="1"/>
  <c r="U50" i="33"/>
  <c r="U5" i="34" s="1"/>
  <c r="BK50" i="33"/>
  <c r="AG50" i="33"/>
  <c r="BE50" i="33"/>
  <c r="P14" i="33"/>
  <c r="P2" i="34" s="1"/>
  <c r="AB14" i="33"/>
  <c r="V14" i="33"/>
  <c r="BL14" i="33"/>
  <c r="AH14" i="33"/>
  <c r="BF14" i="33"/>
  <c r="AZ14" i="33"/>
  <c r="AD5" i="33"/>
  <c r="X5" i="33"/>
  <c r="L5" i="33"/>
  <c r="R5" i="33"/>
  <c r="BH5" i="33"/>
  <c r="AV5" i="33"/>
  <c r="BB5" i="33"/>
  <c r="AC45" i="33"/>
  <c r="AC43" i="34" s="1"/>
  <c r="Q45" i="33"/>
  <c r="Q43" i="34" s="1"/>
  <c r="W45" i="33"/>
  <c r="W43" i="34" s="1"/>
  <c r="AI45" i="33"/>
  <c r="AI43" i="34" s="1"/>
  <c r="BM45" i="33"/>
  <c r="BG45" i="33"/>
  <c r="BA45" i="33"/>
  <c r="AC50" i="33"/>
  <c r="Q50" i="33"/>
  <c r="W50" i="33"/>
  <c r="BG50" i="33"/>
  <c r="BM50" i="33"/>
  <c r="AI50" i="33"/>
  <c r="BA50" i="33"/>
  <c r="AD32" i="33"/>
  <c r="X32" i="33"/>
  <c r="L32" i="33"/>
  <c r="R32" i="33"/>
  <c r="BH32" i="33"/>
  <c r="BB32" i="33"/>
  <c r="AV32" i="33"/>
  <c r="M5" i="33"/>
  <c r="Y5" i="33"/>
  <c r="S5" i="33"/>
  <c r="AE5" i="33"/>
  <c r="BI5" i="33"/>
  <c r="BC5" i="33"/>
  <c r="AW5" i="33"/>
  <c r="L10" i="33"/>
  <c r="L44" i="34" s="1"/>
  <c r="AD10" i="33"/>
  <c r="AD44" i="34" s="1"/>
  <c r="X10" i="33"/>
  <c r="R10" i="33"/>
  <c r="BH10" i="33"/>
  <c r="AV10" i="33"/>
  <c r="BB10" i="33"/>
  <c r="L51" i="33"/>
  <c r="L7" i="34" s="1"/>
  <c r="AD51" i="33"/>
  <c r="X51" i="33"/>
  <c r="X7" i="34" s="1"/>
  <c r="R51" i="33"/>
  <c r="R7" i="34" s="1"/>
  <c r="BB51" i="33"/>
  <c r="BH51" i="33"/>
  <c r="AV51" i="33"/>
  <c r="AC3" i="33"/>
  <c r="Q3" i="33"/>
  <c r="Q21" i="34" s="1"/>
  <c r="W3" i="33"/>
  <c r="AI3" i="33"/>
  <c r="BM3" i="33"/>
  <c r="BG3" i="33"/>
  <c r="BA3" i="33"/>
  <c r="P8" i="33"/>
  <c r="AB8" i="33"/>
  <c r="V8" i="33"/>
  <c r="AH8" i="33"/>
  <c r="BL8" i="33"/>
  <c r="BF8" i="33"/>
  <c r="AZ8" i="33"/>
  <c r="AC47" i="33"/>
  <c r="Q47" i="33"/>
  <c r="W47" i="33"/>
  <c r="AI47" i="33"/>
  <c r="AI49" i="34" s="1"/>
  <c r="BM47" i="33"/>
  <c r="BG47" i="33"/>
  <c r="BA47" i="33"/>
  <c r="AA52" i="33"/>
  <c r="O52" i="33"/>
  <c r="U52" i="33"/>
  <c r="AG52" i="33"/>
  <c r="BK52" i="33"/>
  <c r="BE52" i="33"/>
  <c r="Z15" i="33"/>
  <c r="N15" i="33"/>
  <c r="T15" i="33"/>
  <c r="BD15" i="33"/>
  <c r="AF15" i="33"/>
  <c r="BJ15" i="33"/>
  <c r="AX15" i="33"/>
  <c r="AD27" i="33"/>
  <c r="AD42" i="34" s="1"/>
  <c r="X27" i="33"/>
  <c r="L27" i="33"/>
  <c r="R27" i="33"/>
  <c r="BH27" i="33"/>
  <c r="BB27" i="33"/>
  <c r="AV27" i="33"/>
  <c r="AA21" i="33"/>
  <c r="O21" i="33"/>
  <c r="U21" i="33"/>
  <c r="BK21" i="33"/>
  <c r="AG21" i="33"/>
  <c r="BE21" i="33"/>
  <c r="AY21" i="33"/>
  <c r="AA26" i="33"/>
  <c r="O26" i="33"/>
  <c r="U26" i="33"/>
  <c r="BK26" i="33"/>
  <c r="AG26" i="33"/>
  <c r="AY26" i="33"/>
  <c r="BE26" i="33"/>
  <c r="AA15" i="33"/>
  <c r="AA3" i="34" s="1"/>
  <c r="O15" i="33"/>
  <c r="O3" i="34" s="1"/>
  <c r="U15" i="33"/>
  <c r="AG15" i="33"/>
  <c r="AY15" i="33"/>
  <c r="X20" i="33"/>
  <c r="L20" i="33"/>
  <c r="AD20" i="33"/>
  <c r="R20" i="33"/>
  <c r="BH20" i="33"/>
  <c r="BB20" i="33"/>
  <c r="AV20" i="33"/>
  <c r="Z45" i="33"/>
  <c r="Z43" i="34" s="1"/>
  <c r="N45" i="33"/>
  <c r="T45" i="33"/>
  <c r="AF45" i="33"/>
  <c r="AF43" i="34" s="1"/>
  <c r="BJ45" i="33"/>
  <c r="BD45" i="33"/>
  <c r="AX45" i="33"/>
  <c r="Z50" i="33"/>
  <c r="N50" i="33"/>
  <c r="T50" i="33"/>
  <c r="AF50" i="33"/>
  <c r="BJ50" i="33"/>
  <c r="BD50" i="33"/>
  <c r="AX50" i="33"/>
  <c r="AB38" i="33"/>
  <c r="P38" i="33"/>
  <c r="V38" i="33"/>
  <c r="AH38" i="33"/>
  <c r="BL38" i="33"/>
  <c r="BF38" i="33"/>
  <c r="AZ38" i="33"/>
  <c r="AB4" i="33"/>
  <c r="V4" i="33"/>
  <c r="AH4" i="33"/>
  <c r="BL4" i="33"/>
  <c r="AZ4" i="33"/>
  <c r="BF4" i="33"/>
  <c r="L11" i="33"/>
  <c r="AD11" i="33"/>
  <c r="X11" i="33"/>
  <c r="R11" i="33"/>
  <c r="BH11" i="33"/>
  <c r="AV11" i="33"/>
  <c r="BB11" i="33"/>
  <c r="AC51" i="33"/>
  <c r="AC7" i="34" s="1"/>
  <c r="Q51" i="33"/>
  <c r="Q7" i="34" s="1"/>
  <c r="W51" i="33"/>
  <c r="W7" i="34" s="1"/>
  <c r="BM51" i="33"/>
  <c r="AI51" i="33"/>
  <c r="AI7" i="34" s="1"/>
  <c r="BG51" i="33"/>
  <c r="BA51" i="33"/>
  <c r="AB50" i="33"/>
  <c r="P50" i="33"/>
  <c r="P5" i="34" s="1"/>
  <c r="V50" i="33"/>
  <c r="BL50" i="33"/>
  <c r="AH50" i="33"/>
  <c r="BF50" i="33"/>
  <c r="AZ50" i="33"/>
  <c r="AA22" i="33"/>
  <c r="O22" i="33"/>
  <c r="U22" i="33"/>
  <c r="AG22" i="33"/>
  <c r="BK22" i="33"/>
  <c r="AY22" i="33"/>
  <c r="BE22" i="33"/>
  <c r="O11" i="33"/>
  <c r="AA11" i="33"/>
  <c r="AA45" i="34" s="1"/>
  <c r="U11" i="33"/>
  <c r="BK11" i="33"/>
  <c r="AG11" i="33"/>
  <c r="AY11" i="33"/>
  <c r="BE11" i="33"/>
  <c r="Y16" i="33"/>
  <c r="Y8" i="34" s="1"/>
  <c r="M16" i="33"/>
  <c r="M8" i="34" s="1"/>
  <c r="S16" i="33"/>
  <c r="S8" i="34" s="1"/>
  <c r="BC16" i="33"/>
  <c r="BI16" i="33"/>
  <c r="AE16" i="33"/>
  <c r="AE8" i="34" s="1"/>
  <c r="AW16" i="33"/>
  <c r="X16" i="33"/>
  <c r="L16" i="33"/>
  <c r="AD16" i="33"/>
  <c r="R16" i="33"/>
  <c r="BB16" i="33"/>
  <c r="BH16" i="33"/>
  <c r="AV16" i="33"/>
  <c r="P22" i="33"/>
  <c r="AB22" i="33"/>
  <c r="V22" i="33"/>
  <c r="BL22" i="33"/>
  <c r="AH22" i="33"/>
  <c r="AZ22" i="33"/>
  <c r="BF22" i="33"/>
  <c r="AB11" i="33"/>
  <c r="P11" i="33"/>
  <c r="V11" i="33"/>
  <c r="BL11" i="33"/>
  <c r="AH11" i="33"/>
  <c r="BF11" i="33"/>
  <c r="AZ11" i="33"/>
  <c r="Z16" i="33"/>
  <c r="N16" i="33"/>
  <c r="T16" i="33"/>
  <c r="AF16" i="33"/>
  <c r="BD16" i="33"/>
  <c r="BJ16" i="33"/>
  <c r="AX16" i="33"/>
  <c r="M21" i="33"/>
  <c r="Y21" i="33"/>
  <c r="S21" i="33"/>
  <c r="AE21" i="33"/>
  <c r="AE24" i="34" s="1"/>
  <c r="BI21" i="33"/>
  <c r="AW21" i="33"/>
  <c r="BC21" i="33"/>
  <c r="M26" i="33"/>
  <c r="Y26" i="33"/>
  <c r="S26" i="33"/>
  <c r="AE26" i="33"/>
  <c r="BI26" i="33"/>
  <c r="AW26" i="33"/>
  <c r="BC26" i="33"/>
  <c r="M15" i="33"/>
  <c r="Y15" i="33"/>
  <c r="S15" i="33"/>
  <c r="AE15" i="33"/>
  <c r="BC15" i="33"/>
  <c r="BI15" i="33"/>
  <c r="AW15" i="33"/>
  <c r="AC53" i="33"/>
  <c r="Q53" i="33"/>
  <c r="Q13" i="34" s="1"/>
  <c r="W53" i="33"/>
  <c r="W13" i="34" s="1"/>
  <c r="AI53" i="33"/>
  <c r="BG53" i="33"/>
  <c r="BM53" i="33"/>
  <c r="BA53" i="33"/>
  <c r="P32" i="33"/>
  <c r="AB32" i="33"/>
  <c r="V32" i="33"/>
  <c r="BF32" i="33"/>
  <c r="AH32" i="33"/>
  <c r="BL32" i="33"/>
  <c r="AZ32" i="33"/>
  <c r="Z47" i="33"/>
  <c r="Z49" i="34" s="1"/>
  <c r="N47" i="33"/>
  <c r="T47" i="33"/>
  <c r="BJ47" i="33"/>
  <c r="AF47" i="33"/>
  <c r="AF49" i="34" s="1"/>
  <c r="AX47" i="33"/>
  <c r="BD47" i="33"/>
  <c r="AC38" i="33"/>
  <c r="Q38" i="33"/>
  <c r="Q23" i="34" s="1"/>
  <c r="W38" i="33"/>
  <c r="AI38" i="33"/>
  <c r="BM38" i="33"/>
  <c r="BA38" i="33"/>
  <c r="BG38" i="33"/>
  <c r="AC27" i="33"/>
  <c r="Q27" i="33"/>
  <c r="W27" i="33"/>
  <c r="AI27" i="33"/>
  <c r="AI42" i="34" s="1"/>
  <c r="BM27" i="33"/>
  <c r="BG27" i="33"/>
  <c r="BA27" i="33"/>
  <c r="AC32" i="33"/>
  <c r="Q32" i="33"/>
  <c r="W32" i="33"/>
  <c r="AI32" i="33"/>
  <c r="BM32" i="33"/>
  <c r="BG32" i="33"/>
  <c r="BA32" i="33"/>
  <c r="Y3" i="33"/>
  <c r="M3" i="33"/>
  <c r="M21" i="34" s="1"/>
  <c r="S3" i="33"/>
  <c r="BI3" i="33"/>
  <c r="AE3" i="33"/>
  <c r="AE21" i="34" s="1"/>
  <c r="BC3" i="33"/>
  <c r="AW3" i="33"/>
  <c r="AD39" i="33"/>
  <c r="AD25" i="34" s="1"/>
  <c r="X39" i="33"/>
  <c r="X25" i="34" s="1"/>
  <c r="L39" i="33"/>
  <c r="R39" i="33"/>
  <c r="BH39" i="33"/>
  <c r="BB39" i="33"/>
  <c r="AV39" i="33"/>
  <c r="X38" i="33"/>
  <c r="L38" i="33"/>
  <c r="AD38" i="33"/>
  <c r="R38" i="33"/>
  <c r="BH38" i="33"/>
  <c r="BB38" i="33"/>
  <c r="AV38" i="33"/>
  <c r="AD4" i="33"/>
  <c r="X4" i="33"/>
  <c r="L4" i="33"/>
  <c r="R4" i="33"/>
  <c r="BH4" i="33"/>
  <c r="AV4" i="33"/>
  <c r="BB4" i="33"/>
  <c r="Z4" i="33"/>
  <c r="N4" i="33"/>
  <c r="T4" i="33"/>
  <c r="BJ4" i="33"/>
  <c r="AF4" i="33"/>
  <c r="BD4" i="33"/>
  <c r="AX4" i="33"/>
  <c r="AC10" i="33"/>
  <c r="Q10" i="33"/>
  <c r="W10" i="33"/>
  <c r="AI10" i="33"/>
  <c r="BM10" i="33"/>
  <c r="BG10" i="33"/>
  <c r="BA10" i="33"/>
  <c r="AB51" i="33"/>
  <c r="AB7" i="34" s="1"/>
  <c r="P51" i="33"/>
  <c r="P7" i="34" s="1"/>
  <c r="V51" i="33"/>
  <c r="V7" i="34" s="1"/>
  <c r="BL51" i="33"/>
  <c r="AH51" i="33"/>
  <c r="AH7" i="34" s="1"/>
  <c r="BF51" i="33"/>
  <c r="AZ51" i="33"/>
  <c r="L23" i="33"/>
  <c r="L30" i="34" s="1"/>
  <c r="AD23" i="33"/>
  <c r="AD30" i="34" s="1"/>
  <c r="X23" i="33"/>
  <c r="X30" i="34" s="1"/>
  <c r="R23" i="33"/>
  <c r="BH23" i="33"/>
  <c r="BB23" i="33"/>
  <c r="AV23" i="33"/>
  <c r="Y22" i="33"/>
  <c r="M22" i="33"/>
  <c r="S22" i="33"/>
  <c r="AE22" i="33"/>
  <c r="BI22" i="33"/>
  <c r="AW22" i="33"/>
  <c r="BC22" i="33"/>
  <c r="O28" i="33"/>
  <c r="AA28" i="33"/>
  <c r="U28" i="33"/>
  <c r="AG28" i="33"/>
  <c r="BK28" i="33"/>
  <c r="AY28" i="33"/>
  <c r="BE28" i="33"/>
  <c r="M17" i="33"/>
  <c r="M9" i="34" s="1"/>
  <c r="Y17" i="33"/>
  <c r="Y9" i="34" s="1"/>
  <c r="S17" i="33"/>
  <c r="S9" i="34" s="1"/>
  <c r="AE17" i="33"/>
  <c r="AE9" i="34" s="1"/>
  <c r="BI17" i="33"/>
  <c r="BC17" i="33"/>
  <c r="AW17" i="33"/>
  <c r="Z17" i="33"/>
  <c r="N17" i="33"/>
  <c r="T17" i="33"/>
  <c r="AF17" i="33"/>
  <c r="BJ17" i="33"/>
  <c r="BD17" i="33"/>
  <c r="AX17" i="33"/>
  <c r="AC23" i="33"/>
  <c r="AC30" i="34" s="1"/>
  <c r="W23" i="33"/>
  <c r="AI23" i="33"/>
  <c r="BM23" i="33"/>
  <c r="BG23" i="33"/>
  <c r="BA23" i="33"/>
  <c r="AC28" i="33"/>
  <c r="Q28" i="33"/>
  <c r="W28" i="33"/>
  <c r="AI28" i="33"/>
  <c r="BM28" i="33"/>
  <c r="BA28" i="33"/>
  <c r="BG28" i="33"/>
  <c r="O17" i="33"/>
  <c r="AA17" i="33"/>
  <c r="U17" i="33"/>
  <c r="AG17" i="33"/>
  <c r="AY17" i="33"/>
  <c r="P34" i="33"/>
  <c r="AB34" i="33"/>
  <c r="V34" i="33"/>
  <c r="BL34" i="33"/>
  <c r="AH34" i="33"/>
  <c r="BF34" i="33"/>
  <c r="AZ34" i="33"/>
  <c r="X40" i="33"/>
  <c r="L40" i="33"/>
  <c r="AD40" i="33"/>
  <c r="R40" i="33"/>
  <c r="BH40" i="33"/>
  <c r="BB40" i="33"/>
  <c r="AV40" i="33"/>
  <c r="X29" i="33"/>
  <c r="L29" i="33"/>
  <c r="AD29" i="33"/>
  <c r="AD48" i="34" s="1"/>
  <c r="R29" i="33"/>
  <c r="R48" i="34" s="1"/>
  <c r="BH29" i="33"/>
  <c r="BB29" i="33"/>
  <c r="AV29" i="33"/>
  <c r="P17" i="33"/>
  <c r="AB17" i="33"/>
  <c r="V17" i="33"/>
  <c r="BF17" i="33"/>
  <c r="AH17" i="33"/>
  <c r="BL17" i="33"/>
  <c r="AZ17" i="33"/>
  <c r="AA38" i="33"/>
  <c r="O38" i="33"/>
  <c r="U38" i="33"/>
  <c r="AG38" i="33"/>
  <c r="BK38" i="33"/>
  <c r="AY38" i="33"/>
  <c r="BE38" i="33"/>
  <c r="AA27" i="33"/>
  <c r="O27" i="33"/>
  <c r="U27" i="33"/>
  <c r="AG27" i="33"/>
  <c r="BK27" i="33"/>
  <c r="AY27" i="33"/>
  <c r="BE27" i="33"/>
  <c r="AA32" i="33"/>
  <c r="AA4" i="34" s="1"/>
  <c r="U32" i="33"/>
  <c r="U4" i="34" s="1"/>
  <c r="AG32" i="33"/>
  <c r="AG4" i="34" s="1"/>
  <c r="BK32" i="33"/>
  <c r="BE32" i="33"/>
  <c r="AY32" i="33"/>
  <c r="P20" i="33"/>
  <c r="AB20" i="33"/>
  <c r="AB22" i="34" s="1"/>
  <c r="V20" i="33"/>
  <c r="BL20" i="33"/>
  <c r="AH20" i="33"/>
  <c r="BF20" i="33"/>
  <c r="AZ20" i="33"/>
  <c r="L50" i="33"/>
  <c r="AD50" i="33"/>
  <c r="X50" i="33"/>
  <c r="X5" i="34" s="1"/>
  <c r="R50" i="33"/>
  <c r="BB50" i="33"/>
  <c r="BH50" i="33"/>
  <c r="AV50" i="33"/>
  <c r="Z21" i="33"/>
  <c r="N21" i="33"/>
  <c r="N24" i="34" s="1"/>
  <c r="T21" i="33"/>
  <c r="T24" i="34" s="1"/>
  <c r="BJ21" i="33"/>
  <c r="AF21" i="33"/>
  <c r="AF24" i="34" s="1"/>
  <c r="AX21" i="33"/>
  <c r="BD21" i="33"/>
  <c r="M4" i="33"/>
  <c r="Y4" i="33"/>
  <c r="Y26" i="34" s="1"/>
  <c r="S4" i="33"/>
  <c r="BI4" i="33"/>
  <c r="AE4" i="33"/>
  <c r="AW4" i="33"/>
  <c r="BC4" i="33"/>
  <c r="M45" i="33"/>
  <c r="Y45" i="33"/>
  <c r="S45" i="33"/>
  <c r="AE45" i="33"/>
  <c r="BI45" i="33"/>
  <c r="BC45" i="33"/>
  <c r="AW45" i="33"/>
  <c r="Y50" i="33"/>
  <c r="M50" i="33"/>
  <c r="S50" i="33"/>
  <c r="BC50" i="33"/>
  <c r="AE50" i="33"/>
  <c r="BI50" i="33"/>
  <c r="AW50" i="33"/>
  <c r="Z39" i="33"/>
  <c r="Z25" i="34" s="1"/>
  <c r="N39" i="33"/>
  <c r="N25" i="34" s="1"/>
  <c r="T39" i="33"/>
  <c r="AF39" i="33"/>
  <c r="AF25" i="34" s="1"/>
  <c r="BJ39" i="33"/>
  <c r="BD39" i="33"/>
  <c r="AX39" i="33"/>
  <c r="Z40" i="33"/>
  <c r="N40" i="33"/>
  <c r="T40" i="33"/>
  <c r="BJ40" i="33"/>
  <c r="AF40" i="33"/>
  <c r="BD40" i="33"/>
  <c r="AX40" i="33"/>
  <c r="L22" i="33"/>
  <c r="AD22" i="33"/>
  <c r="X22" i="33"/>
  <c r="R22" i="33"/>
  <c r="BH22" i="33"/>
  <c r="BB22" i="33"/>
  <c r="AV22" i="33"/>
  <c r="Z28" i="33"/>
  <c r="N28" i="33"/>
  <c r="T28" i="33"/>
  <c r="BJ28" i="33"/>
  <c r="AF28" i="33"/>
  <c r="BD28" i="33"/>
  <c r="AX28" i="33"/>
  <c r="X17" i="33"/>
  <c r="L17" i="33"/>
  <c r="AD17" i="33"/>
  <c r="R17" i="33"/>
  <c r="BH17" i="33"/>
  <c r="BB17" i="33"/>
  <c r="AV17" i="33"/>
  <c r="AC8" i="33"/>
  <c r="AC38" i="34" s="1"/>
  <c r="Q8" i="33"/>
  <c r="Q38" i="34" s="1"/>
  <c r="W8" i="33"/>
  <c r="W38" i="34" s="1"/>
  <c r="AI8" i="33"/>
  <c r="AI38" i="34" s="1"/>
  <c r="BM8" i="33"/>
  <c r="BA8" i="33"/>
  <c r="BG8" i="33"/>
  <c r="O23" i="33"/>
  <c r="AA23" i="33"/>
  <c r="AA30" i="34" s="1"/>
  <c r="U23" i="33"/>
  <c r="U30" i="34" s="1"/>
  <c r="AG23" i="33"/>
  <c r="AG30" i="34" s="1"/>
  <c r="BK23" i="33"/>
  <c r="BE23" i="33"/>
  <c r="AY23" i="33"/>
  <c r="AC29" i="33"/>
  <c r="Q29" i="33"/>
  <c r="W29" i="33"/>
  <c r="BM29" i="33"/>
  <c r="AI29" i="33"/>
  <c r="AI48" i="34" s="1"/>
  <c r="BA29" i="33"/>
  <c r="BG29" i="33"/>
  <c r="AA34" i="33"/>
  <c r="U34" i="33"/>
  <c r="BE34" i="33"/>
  <c r="BK34" i="33"/>
  <c r="AG34" i="33"/>
  <c r="AY34" i="33"/>
  <c r="AD52" i="33"/>
  <c r="X52" i="33"/>
  <c r="X11" i="34" s="1"/>
  <c r="L52" i="33"/>
  <c r="R52" i="33"/>
  <c r="BH52" i="33"/>
  <c r="BB52" i="33"/>
  <c r="AV52" i="33"/>
  <c r="M41" i="33"/>
  <c r="Y41" i="33"/>
  <c r="Y31" i="34" s="1"/>
  <c r="S41" i="33"/>
  <c r="S31" i="34" s="1"/>
  <c r="AE41" i="33"/>
  <c r="AE31" i="34" s="1"/>
  <c r="BI41" i="33"/>
  <c r="BC41" i="33"/>
  <c r="AW41" i="33"/>
  <c r="M46" i="33"/>
  <c r="Y46" i="33"/>
  <c r="S46" i="33"/>
  <c r="BI46" i="33"/>
  <c r="AE46" i="33"/>
  <c r="AW46" i="33"/>
  <c r="BC46" i="33"/>
  <c r="AC34" i="33"/>
  <c r="AC10" i="34" s="1"/>
  <c r="Q34" i="33"/>
  <c r="W34" i="33"/>
  <c r="W10" i="34" s="1"/>
  <c r="AI34" i="33"/>
  <c r="BM34" i="33"/>
  <c r="BG34" i="33"/>
  <c r="BA34" i="33"/>
  <c r="Z53" i="33"/>
  <c r="Z13" i="34" s="1"/>
  <c r="N53" i="33"/>
  <c r="N13" i="34" s="1"/>
  <c r="T53" i="33"/>
  <c r="BJ53" i="33"/>
  <c r="BD53" i="33"/>
  <c r="AF53" i="33"/>
  <c r="AF13" i="34" s="1"/>
  <c r="AX53" i="33"/>
  <c r="Z41" i="33"/>
  <c r="Z31" i="34" s="1"/>
  <c r="N41" i="33"/>
  <c r="N31" i="34" s="1"/>
  <c r="T41" i="33"/>
  <c r="T31" i="34" s="1"/>
  <c r="BJ41" i="33"/>
  <c r="AF41" i="33"/>
  <c r="AF31" i="34" s="1"/>
  <c r="BD41" i="33"/>
  <c r="AX41" i="33"/>
  <c r="Z46" i="33"/>
  <c r="N46" i="33"/>
  <c r="N47" i="34" s="1"/>
  <c r="T46" i="33"/>
  <c r="BJ46" i="33"/>
  <c r="AF46" i="33"/>
  <c r="AF47" i="34" s="1"/>
  <c r="BD46" i="33"/>
  <c r="AX46" i="33"/>
  <c r="AD35" i="33"/>
  <c r="X35" i="33"/>
  <c r="L35" i="33"/>
  <c r="R35" i="33"/>
  <c r="R12" i="34" s="1"/>
  <c r="BB35" i="33"/>
  <c r="BH35" i="33"/>
  <c r="AV35" i="33"/>
  <c r="Q39" i="33"/>
  <c r="Q25" i="34" s="1"/>
  <c r="AC39" i="33"/>
  <c r="AC25" i="34" s="1"/>
  <c r="W39" i="33"/>
  <c r="BM39" i="33"/>
  <c r="AI39" i="33"/>
  <c r="AI25" i="34" s="1"/>
  <c r="BA39" i="33"/>
  <c r="BG39" i="33"/>
  <c r="AC44" i="33"/>
  <c r="Q44" i="33"/>
  <c r="W44" i="33"/>
  <c r="BM44" i="33"/>
  <c r="AI44" i="33"/>
  <c r="BA44" i="33"/>
  <c r="BG44" i="33"/>
  <c r="AC33" i="33"/>
  <c r="Q33" i="33"/>
  <c r="W33" i="33"/>
  <c r="W6" i="34" s="1"/>
  <c r="AI33" i="33"/>
  <c r="BG33" i="33"/>
  <c r="BM33" i="33"/>
  <c r="BA33" i="33"/>
  <c r="Q4" i="33"/>
  <c r="AC4" i="33"/>
  <c r="W4" i="33"/>
  <c r="AI4" i="33"/>
  <c r="BM4" i="33"/>
  <c r="BG4" i="33"/>
  <c r="BA4" i="33"/>
  <c r="Z51" i="33"/>
  <c r="Z7" i="34" s="1"/>
  <c r="N51" i="33"/>
  <c r="N7" i="34" s="1"/>
  <c r="T51" i="33"/>
  <c r="AF51" i="33"/>
  <c r="AF7" i="34" s="1"/>
  <c r="BD51" i="33"/>
  <c r="BJ51" i="33"/>
  <c r="AX51" i="33"/>
  <c r="AB5" i="33"/>
  <c r="V5" i="33"/>
  <c r="BL5" i="33"/>
  <c r="AH5" i="33"/>
  <c r="BF5" i="33"/>
  <c r="AZ5" i="33"/>
  <c r="Q5" i="33"/>
  <c r="AC5" i="33"/>
  <c r="AC27" i="34" s="1"/>
  <c r="W5" i="33"/>
  <c r="BM5" i="33"/>
  <c r="AI5" i="33"/>
  <c r="AI27" i="34" s="1"/>
  <c r="BG5" i="33"/>
  <c r="BA5" i="33"/>
  <c r="AB10" i="33"/>
  <c r="P10" i="33"/>
  <c r="V10" i="33"/>
  <c r="AH10" i="33"/>
  <c r="BL10" i="33"/>
  <c r="BF10" i="33"/>
  <c r="AZ10" i="33"/>
  <c r="AA51" i="33"/>
  <c r="O51" i="33"/>
  <c r="U51" i="33"/>
  <c r="BE51" i="33"/>
  <c r="AG51" i="33"/>
  <c r="BK51" i="33"/>
  <c r="Z22" i="33"/>
  <c r="Z28" i="34" s="1"/>
  <c r="N22" i="33"/>
  <c r="T22" i="33"/>
  <c r="AF22" i="33"/>
  <c r="BJ22" i="33"/>
  <c r="BD22" i="33"/>
  <c r="AX22" i="33"/>
  <c r="Z26" i="33"/>
  <c r="N26" i="33"/>
  <c r="T26" i="33"/>
  <c r="T40" i="34" s="1"/>
  <c r="AF26" i="33"/>
  <c r="BJ26" i="33"/>
  <c r="BD26" i="33"/>
  <c r="AX26" i="33"/>
  <c r="Z23" i="33"/>
  <c r="Z30" i="34" s="1"/>
  <c r="N23" i="33"/>
  <c r="N30" i="34" s="1"/>
  <c r="T23" i="33"/>
  <c r="T30" i="34" s="1"/>
  <c r="BJ23" i="33"/>
  <c r="AF23" i="33"/>
  <c r="BD23" i="33"/>
  <c r="AX23" i="33"/>
  <c r="P29" i="33"/>
  <c r="P48" i="34" s="1"/>
  <c r="AB29" i="33"/>
  <c r="V29" i="33"/>
  <c r="V48" i="34" s="1"/>
  <c r="BL29" i="33"/>
  <c r="AH29" i="33"/>
  <c r="AZ29" i="33"/>
  <c r="BF29" i="33"/>
  <c r="Z34" i="33"/>
  <c r="N34" i="33"/>
  <c r="T34" i="33"/>
  <c r="BJ34" i="33"/>
  <c r="BD34" i="33"/>
  <c r="AF34" i="33"/>
  <c r="AX34" i="33"/>
  <c r="AD45" i="33"/>
  <c r="AD43" i="34" s="1"/>
  <c r="X45" i="33"/>
  <c r="L45" i="33"/>
  <c r="L43" i="34" s="1"/>
  <c r="R45" i="33"/>
  <c r="R43" i="34" s="1"/>
  <c r="BH45" i="33"/>
  <c r="BB45" i="33"/>
  <c r="AV45" i="33"/>
  <c r="Q40" i="33"/>
  <c r="AC40" i="33"/>
  <c r="W40" i="33"/>
  <c r="AI40" i="33"/>
  <c r="AI29" i="34" s="1"/>
  <c r="BM40" i="33"/>
  <c r="BA40" i="33"/>
  <c r="BG40" i="33"/>
  <c r="M47" i="33"/>
  <c r="Y47" i="33"/>
  <c r="Y49" i="34" s="1"/>
  <c r="S47" i="33"/>
  <c r="S49" i="34" s="1"/>
  <c r="BI47" i="33"/>
  <c r="AE47" i="33"/>
  <c r="AE49" i="34" s="1"/>
  <c r="AW47" i="33"/>
  <c r="BC47" i="33"/>
  <c r="AC35" i="33"/>
  <c r="AC12" i="34" s="1"/>
  <c r="Q35" i="33"/>
  <c r="W35" i="33"/>
  <c r="W12" i="34" s="1"/>
  <c r="BG35" i="33"/>
  <c r="BM35" i="33"/>
  <c r="AI35" i="33"/>
  <c r="BA35" i="33"/>
  <c r="Z3" i="33"/>
  <c r="N3" i="33"/>
  <c r="N21" i="34" s="1"/>
  <c r="T3" i="33"/>
  <c r="BJ3" i="33"/>
  <c r="AF3" i="33"/>
  <c r="AX3" i="33"/>
  <c r="BD3" i="33"/>
  <c r="Z8" i="33"/>
  <c r="N8" i="33"/>
  <c r="T8" i="33"/>
  <c r="BJ8" i="33"/>
  <c r="AF8" i="33"/>
  <c r="AX8" i="33"/>
  <c r="BD8" i="33"/>
  <c r="AA47" i="33"/>
  <c r="O47" i="33"/>
  <c r="U47" i="33"/>
  <c r="U49" i="34" s="1"/>
  <c r="AG47" i="33"/>
  <c r="AG49" i="34" s="1"/>
  <c r="BK47" i="33"/>
  <c r="BE47" i="33"/>
  <c r="M52" i="33"/>
  <c r="M11" i="34" s="1"/>
  <c r="Y52" i="33"/>
  <c r="Y11" i="34" s="1"/>
  <c r="S52" i="33"/>
  <c r="S11" i="34" s="1"/>
  <c r="AE52" i="33"/>
  <c r="AE11" i="34" s="1"/>
  <c r="BI52" i="33"/>
  <c r="BC52" i="33"/>
  <c r="AW52" i="33"/>
  <c r="AB3" i="33"/>
  <c r="V3" i="33"/>
  <c r="AH3" i="33"/>
  <c r="AH21" i="34" s="1"/>
  <c r="BL3" i="33"/>
  <c r="BF3" i="33"/>
  <c r="AZ3" i="33"/>
  <c r="O8" i="33"/>
  <c r="O38" i="34" s="1"/>
  <c r="AA8" i="33"/>
  <c r="AA38" i="34" s="1"/>
  <c r="U8" i="33"/>
  <c r="AG8" i="33"/>
  <c r="AG38" i="34" s="1"/>
  <c r="BK8" i="33"/>
  <c r="BE8" i="33"/>
  <c r="AY8" i="33"/>
  <c r="P47" i="33"/>
  <c r="AB47" i="33"/>
  <c r="V47" i="33"/>
  <c r="V49" i="34" s="1"/>
  <c r="AH47" i="33"/>
  <c r="AH49" i="34" s="1"/>
  <c r="BL47" i="33"/>
  <c r="BF47" i="33"/>
  <c r="AZ47" i="33"/>
  <c r="Z52" i="33"/>
  <c r="N52" i="33"/>
  <c r="T52" i="33"/>
  <c r="BJ52" i="33"/>
  <c r="BD52" i="33"/>
  <c r="AF52" i="33"/>
  <c r="AX52" i="33"/>
  <c r="Z5" i="33"/>
  <c r="N5" i="33"/>
  <c r="T5" i="33"/>
  <c r="BJ5" i="33"/>
  <c r="AF5" i="33"/>
  <c r="BD5" i="33"/>
  <c r="AX5" i="33"/>
  <c r="Z10" i="33"/>
  <c r="N10" i="33"/>
  <c r="T10" i="33"/>
  <c r="AF10" i="33"/>
  <c r="BJ10" i="33"/>
  <c r="BD10" i="33"/>
  <c r="AX10" i="33"/>
  <c r="Y51" i="33"/>
  <c r="M51" i="33"/>
  <c r="S51" i="33"/>
  <c r="BC51" i="33"/>
  <c r="BI51" i="33"/>
  <c r="AE51" i="33"/>
  <c r="AW51" i="33"/>
  <c r="P27" i="33"/>
  <c r="AB27" i="33"/>
  <c r="AB42" i="34" s="1"/>
  <c r="V27" i="33"/>
  <c r="V42" i="34" s="1"/>
  <c r="AH27" i="33"/>
  <c r="AH42" i="34" s="1"/>
  <c r="BL27" i="33"/>
  <c r="BF27" i="33"/>
  <c r="AZ27" i="33"/>
  <c r="P16" i="33"/>
  <c r="P8" i="34" s="1"/>
  <c r="AB16" i="33"/>
  <c r="AB8" i="34" s="1"/>
  <c r="V16" i="33"/>
  <c r="V8" i="34" s="1"/>
  <c r="AH16" i="33"/>
  <c r="AH8" i="34" s="1"/>
  <c r="BF16" i="33"/>
  <c r="BL16" i="33"/>
  <c r="AZ16" i="33"/>
  <c r="AB41" i="33"/>
  <c r="P41" i="33"/>
  <c r="V41" i="33"/>
  <c r="V31" i="34" s="1"/>
  <c r="BL41" i="33"/>
  <c r="AH41" i="33"/>
  <c r="BF41" i="33"/>
  <c r="AZ41" i="33"/>
  <c r="Y23" i="33"/>
  <c r="Y30" i="34" s="1"/>
  <c r="M23" i="33"/>
  <c r="M30" i="34" s="1"/>
  <c r="S23" i="33"/>
  <c r="BI23" i="33"/>
  <c r="AE23" i="33"/>
  <c r="AE30" i="34" s="1"/>
  <c r="BC23" i="33"/>
  <c r="AW23" i="33"/>
  <c r="Y28" i="33"/>
  <c r="Y46" i="34" s="1"/>
  <c r="M28" i="33"/>
  <c r="S28" i="33"/>
  <c r="AE28" i="33"/>
  <c r="AE46" i="34" s="1"/>
  <c r="BI28" i="33"/>
  <c r="AW28" i="33"/>
  <c r="BC28" i="33"/>
  <c r="AC16" i="33"/>
  <c r="Q16" i="33"/>
  <c r="W16" i="33"/>
  <c r="W8" i="34" s="1"/>
  <c r="BM16" i="33"/>
  <c r="AI16" i="33"/>
  <c r="BG16" i="33"/>
  <c r="BA16" i="33"/>
  <c r="AC49" i="33"/>
  <c r="AC55" i="34" s="1"/>
  <c r="Q49" i="33"/>
  <c r="W49" i="33"/>
  <c r="W55" i="34" s="1"/>
  <c r="BM49" i="33"/>
  <c r="BA49" i="33"/>
  <c r="BG49" i="33"/>
  <c r="AB23" i="33"/>
  <c r="AB30" i="34" s="1"/>
  <c r="P23" i="33"/>
  <c r="P30" i="34" s="1"/>
  <c r="V23" i="33"/>
  <c r="AH23" i="33"/>
  <c r="AH30" i="34" s="1"/>
  <c r="BL23" i="33"/>
  <c r="BF23" i="33"/>
  <c r="AZ23" i="33"/>
  <c r="X28" i="33"/>
  <c r="L28" i="33"/>
  <c r="AD28" i="33"/>
  <c r="AD46" i="34" s="1"/>
  <c r="R28" i="33"/>
  <c r="R46" i="34" s="1"/>
  <c r="BH28" i="33"/>
  <c r="BB28" i="33"/>
  <c r="AV28" i="33"/>
  <c r="P40" i="33"/>
  <c r="AB40" i="33"/>
  <c r="AB29" i="34" s="1"/>
  <c r="V40" i="33"/>
  <c r="AH40" i="33"/>
  <c r="BL40" i="33"/>
  <c r="BF40" i="33"/>
  <c r="AZ40" i="33"/>
  <c r="AD47" i="33"/>
  <c r="AD49" i="34" s="1"/>
  <c r="X47" i="33"/>
  <c r="X49" i="34" s="1"/>
  <c r="L47" i="33"/>
  <c r="L49" i="34" s="1"/>
  <c r="R47" i="33"/>
  <c r="R49" i="34" s="1"/>
  <c r="BH47" i="33"/>
  <c r="BB47" i="33"/>
  <c r="AV47" i="33"/>
  <c r="P35" i="33"/>
  <c r="P12" i="34" s="1"/>
  <c r="AB35" i="33"/>
  <c r="AB12" i="34" s="1"/>
  <c r="V35" i="33"/>
  <c r="BL35" i="33"/>
  <c r="AH35" i="33"/>
  <c r="AH12" i="34" s="1"/>
  <c r="BF35" i="33"/>
  <c r="AZ35" i="33"/>
  <c r="L3" i="33"/>
  <c r="AD3" i="33"/>
  <c r="X3" i="33"/>
  <c r="R3" i="33"/>
  <c r="BH3" i="33"/>
  <c r="BB3" i="33"/>
  <c r="AV3" i="33"/>
  <c r="O9" i="33"/>
  <c r="AA9" i="33"/>
  <c r="U9" i="33"/>
  <c r="AG9" i="33"/>
  <c r="BK9" i="33"/>
  <c r="BE9" i="33"/>
  <c r="AY9" i="33"/>
  <c r="AA14" i="33"/>
  <c r="AA2" i="34" s="1"/>
  <c r="O14" i="33"/>
  <c r="O2" i="34" s="1"/>
  <c r="U14" i="33"/>
  <c r="AG14" i="33"/>
  <c r="AY14" i="33"/>
  <c r="M53" i="33"/>
  <c r="M13" i="34" s="1"/>
  <c r="Y53" i="33"/>
  <c r="Y13" i="34" s="1"/>
  <c r="S53" i="33"/>
  <c r="S13" i="34" s="1"/>
  <c r="BI53" i="33"/>
  <c r="BC53" i="33"/>
  <c r="AE53" i="33"/>
  <c r="AE13" i="34" s="1"/>
  <c r="AW53" i="33"/>
  <c r="AC20" i="33"/>
  <c r="W20" i="33"/>
  <c r="BM20" i="33"/>
  <c r="AI20" i="33"/>
  <c r="BA20" i="33"/>
  <c r="BG20" i="33"/>
  <c r="AC9" i="33"/>
  <c r="Q9" i="33"/>
  <c r="W9" i="33"/>
  <c r="BM9" i="33"/>
  <c r="AI9" i="33"/>
  <c r="BA9" i="33"/>
  <c r="BG9" i="33"/>
  <c r="AC14" i="33"/>
  <c r="Q14" i="33"/>
  <c r="W14" i="33"/>
  <c r="AI14" i="33"/>
  <c r="BM14" i="33"/>
  <c r="BG14" i="33"/>
  <c r="BA14" i="33"/>
  <c r="O53" i="33"/>
  <c r="O13" i="34" s="1"/>
  <c r="AA53" i="33"/>
  <c r="AA13" i="34" s="1"/>
  <c r="U53" i="33"/>
  <c r="BK53" i="33"/>
  <c r="AG53" i="33"/>
  <c r="BE53" i="33"/>
  <c r="X21" i="33"/>
  <c r="L21" i="33"/>
  <c r="L24" i="34" s="1"/>
  <c r="AD21" i="33"/>
  <c r="AD24" i="34" s="1"/>
  <c r="R21" i="33"/>
  <c r="R24" i="34" s="1"/>
  <c r="BH21" i="33"/>
  <c r="BB21" i="33"/>
  <c r="AV21" i="33"/>
  <c r="X26" i="33"/>
  <c r="X40" i="34" s="1"/>
  <c r="L26" i="33"/>
  <c r="AD26" i="33"/>
  <c r="R26" i="33"/>
  <c r="BH26" i="33"/>
  <c r="BB26" i="33"/>
  <c r="AV26" i="33"/>
  <c r="AD15" i="33"/>
  <c r="X15" i="33"/>
  <c r="L15" i="33"/>
  <c r="R15" i="33"/>
  <c r="BH15" i="33"/>
  <c r="BB15" i="33"/>
  <c r="AV15" i="33"/>
  <c r="P53" i="33"/>
  <c r="P13" i="34" s="1"/>
  <c r="AB53" i="33"/>
  <c r="AB13" i="34" s="1"/>
  <c r="V53" i="33"/>
  <c r="V13" i="34" s="1"/>
  <c r="AH53" i="33"/>
  <c r="AH13" i="34" s="1"/>
  <c r="BF53" i="33"/>
  <c r="BL53" i="33"/>
  <c r="AZ53" i="33"/>
  <c r="AC22" i="33"/>
  <c r="AC28" i="34" s="1"/>
  <c r="W22" i="33"/>
  <c r="W28" i="34" s="1"/>
  <c r="BM22" i="33"/>
  <c r="AI22" i="33"/>
  <c r="AI28" i="34" s="1"/>
  <c r="BG22" i="33"/>
  <c r="BA22" i="33"/>
  <c r="AC11" i="33"/>
  <c r="Q11" i="33"/>
  <c r="W11" i="33"/>
  <c r="W45" i="34" s="1"/>
  <c r="BM11" i="33"/>
  <c r="AI11" i="33"/>
  <c r="BG11" i="33"/>
  <c r="BA11" i="33"/>
  <c r="AA16" i="33"/>
  <c r="O16" i="33"/>
  <c r="U16" i="33"/>
  <c r="U8" i="34" s="1"/>
  <c r="AG16" i="33"/>
  <c r="AY16" i="33"/>
  <c r="Z29" i="33"/>
  <c r="Z48" i="34" s="1"/>
  <c r="N29" i="33"/>
  <c r="N48" i="34" s="1"/>
  <c r="T29" i="33"/>
  <c r="AF29" i="33"/>
  <c r="AF48" i="34" s="1"/>
  <c r="BJ29" i="33"/>
  <c r="BD29" i="33"/>
  <c r="AX29" i="33"/>
  <c r="X34" i="33"/>
  <c r="X10" i="34" s="1"/>
  <c r="L34" i="33"/>
  <c r="AD34" i="33"/>
  <c r="R34" i="33"/>
  <c r="R10" i="34" s="1"/>
  <c r="BB34" i="33"/>
  <c r="BH34" i="33"/>
  <c r="AV34" i="33"/>
  <c r="AA10" i="33"/>
  <c r="O10" i="33"/>
  <c r="U10" i="33"/>
  <c r="AG10" i="33"/>
  <c r="BK10" i="33"/>
  <c r="BE10" i="33"/>
  <c r="AY10" i="33"/>
  <c r="O40" i="33"/>
  <c r="AA40" i="33"/>
  <c r="U40" i="33"/>
  <c r="AG40" i="33"/>
  <c r="BK40" i="33"/>
  <c r="BE40" i="33"/>
  <c r="AY40" i="33"/>
  <c r="O29" i="33"/>
  <c r="O48" i="34" s="1"/>
  <c r="AA29" i="33"/>
  <c r="AA48" i="34" s="1"/>
  <c r="U29" i="33"/>
  <c r="U48" i="34" s="1"/>
  <c r="AG29" i="33"/>
  <c r="AG48" i="34" s="1"/>
  <c r="BK29" i="33"/>
  <c r="BE29" i="33"/>
  <c r="AY29" i="33"/>
  <c r="M34" i="33"/>
  <c r="M10" i="34" s="1"/>
  <c r="Y34" i="33"/>
  <c r="Y10" i="34" s="1"/>
  <c r="S34" i="33"/>
  <c r="S10" i="34" s="1"/>
  <c r="BC34" i="33"/>
  <c r="AE34" i="33"/>
  <c r="AE10" i="34" s="1"/>
  <c r="BI34" i="33"/>
  <c r="AW34" i="33"/>
  <c r="AC48" i="33"/>
  <c r="Q48" i="33"/>
  <c r="W48" i="33"/>
  <c r="BM48" i="33"/>
  <c r="BA48" i="33"/>
  <c r="BG48" i="33"/>
  <c r="X41" i="33"/>
  <c r="X31" i="34" s="1"/>
  <c r="L41" i="33"/>
  <c r="L31" i="34" s="1"/>
  <c r="AD41" i="33"/>
  <c r="AD31" i="34" s="1"/>
  <c r="R41" i="33"/>
  <c r="R31" i="34" s="1"/>
  <c r="BH41" i="33"/>
  <c r="BB41" i="33"/>
  <c r="AV41" i="33"/>
  <c r="Q2" i="33"/>
  <c r="Q20" i="34" s="1"/>
  <c r="AC2" i="33"/>
  <c r="AC20" i="34" s="1"/>
  <c r="W2" i="33"/>
  <c r="W20" i="34" s="1"/>
  <c r="BM2" i="33"/>
  <c r="AI2" i="33"/>
  <c r="AI20" i="34" s="1"/>
  <c r="BG2" i="33"/>
  <c r="BA2" i="33"/>
  <c r="Z9" i="33"/>
  <c r="Z39" i="34" s="1"/>
  <c r="N9" i="33"/>
  <c r="N39" i="34" s="1"/>
  <c r="T9" i="33"/>
  <c r="T39" i="34" s="1"/>
  <c r="AF9" i="33"/>
  <c r="AF39" i="34" s="1"/>
  <c r="BJ9" i="33"/>
  <c r="BD9" i="33"/>
  <c r="AX9" i="33"/>
  <c r="Z14" i="33"/>
  <c r="N14" i="33"/>
  <c r="T14" i="33"/>
  <c r="T2" i="34" s="1"/>
  <c r="BJ14" i="33"/>
  <c r="AF14" i="33"/>
  <c r="BD14" i="33"/>
  <c r="AX14" i="33"/>
  <c r="AD53" i="33"/>
  <c r="X53" i="33"/>
  <c r="L53" i="33"/>
  <c r="L13" i="34" s="1"/>
  <c r="R53" i="33"/>
  <c r="R13" i="34" s="1"/>
  <c r="BH53" i="33"/>
  <c r="BB53" i="33"/>
  <c r="AV53" i="33"/>
  <c r="AA20" i="33"/>
  <c r="O20" i="33"/>
  <c r="U20" i="33"/>
  <c r="BK20" i="33"/>
  <c r="AG20" i="33"/>
  <c r="BE20" i="33"/>
  <c r="AY20" i="33"/>
  <c r="AC26" i="33"/>
  <c r="Q26" i="33"/>
  <c r="Q40" i="34" s="1"/>
  <c r="W26" i="33"/>
  <c r="AI26" i="33"/>
  <c r="BM26" i="33"/>
  <c r="BA26" i="33"/>
  <c r="BG26" i="33"/>
  <c r="AC15" i="33"/>
  <c r="AC3" i="34" s="1"/>
  <c r="Q15" i="33"/>
  <c r="W15" i="33"/>
  <c r="BM15" i="33"/>
  <c r="AI15" i="33"/>
  <c r="AI3" i="34" s="1"/>
  <c r="BG15" i="33"/>
  <c r="BA15" i="33"/>
  <c r="P9" i="33"/>
  <c r="AB9" i="33"/>
  <c r="V9" i="33"/>
  <c r="BL9" i="33"/>
  <c r="AH9" i="33"/>
  <c r="AZ9" i="33"/>
  <c r="BF9" i="33"/>
  <c r="M38" i="33"/>
  <c r="Y38" i="33"/>
  <c r="S38" i="33"/>
  <c r="BI38" i="33"/>
  <c r="AE38" i="33"/>
  <c r="AW38" i="33"/>
  <c r="BC38" i="33"/>
  <c r="M27" i="33"/>
  <c r="M42" i="34" s="1"/>
  <c r="Y27" i="33"/>
  <c r="Y42" i="34" s="1"/>
  <c r="S27" i="33"/>
  <c r="S42" i="34" s="1"/>
  <c r="AE27" i="33"/>
  <c r="AE42" i="34" s="1"/>
  <c r="BI27" i="33"/>
  <c r="BC27" i="33"/>
  <c r="AW27" i="33"/>
  <c r="M32" i="33"/>
  <c r="Y32" i="33"/>
  <c r="S32" i="33"/>
  <c r="S4" i="34" s="1"/>
  <c r="AE32" i="33"/>
  <c r="BI32" i="33"/>
  <c r="BC32" i="33"/>
  <c r="AW32" i="33"/>
  <c r="Z44" i="33"/>
  <c r="N44" i="33"/>
  <c r="N41" i="34" s="1"/>
  <c r="T44" i="33"/>
  <c r="BJ44" i="33"/>
  <c r="AF44" i="33"/>
  <c r="AF41" i="34" s="1"/>
  <c r="AX44" i="33"/>
  <c r="BD44" i="33"/>
  <c r="Z38" i="33"/>
  <c r="N38" i="33"/>
  <c r="N23" i="34" s="1"/>
  <c r="T38" i="33"/>
  <c r="AF38" i="33"/>
  <c r="AF23" i="34" s="1"/>
  <c r="BJ38" i="33"/>
  <c r="BD38" i="33"/>
  <c r="AX38" i="33"/>
  <c r="Z27" i="33"/>
  <c r="Z42" i="34" s="1"/>
  <c r="N27" i="33"/>
  <c r="T27" i="33"/>
  <c r="BJ27" i="33"/>
  <c r="AF27" i="33"/>
  <c r="AF42" i="34" s="1"/>
  <c r="AX27" i="33"/>
  <c r="BD27" i="33"/>
  <c r="Z32" i="33"/>
  <c r="N32" i="33"/>
  <c r="N4" i="34" s="1"/>
  <c r="T32" i="33"/>
  <c r="BJ32" i="33"/>
  <c r="AF32" i="33"/>
  <c r="BD32" i="33"/>
  <c r="AX32" i="33"/>
  <c r="Z33" i="33"/>
  <c r="Z6" i="34" s="1"/>
  <c r="N33" i="33"/>
  <c r="N6" i="34" s="1"/>
  <c r="T33" i="33"/>
  <c r="T6" i="34" s="1"/>
  <c r="BJ33" i="33"/>
  <c r="AF33" i="33"/>
  <c r="BD33" i="33"/>
  <c r="AX33" i="33"/>
  <c r="Y40" i="33"/>
  <c r="M40" i="33"/>
  <c r="S40" i="33"/>
  <c r="BI40" i="33"/>
  <c r="AE40" i="33"/>
  <c r="AW40" i="33"/>
  <c r="BC40" i="33"/>
  <c r="M29" i="33"/>
  <c r="Y29" i="33"/>
  <c r="Y48" i="34" s="1"/>
  <c r="S29" i="33"/>
  <c r="S48" i="34" s="1"/>
  <c r="AE29" i="33"/>
  <c r="AE48" i="34" s="1"/>
  <c r="BI29" i="33"/>
  <c r="BC29" i="33"/>
  <c r="AW29" i="33"/>
  <c r="AC17" i="33"/>
  <c r="Q17" i="33"/>
  <c r="W17" i="33"/>
  <c r="BG17" i="33"/>
  <c r="AI17" i="33"/>
  <c r="BM17" i="33"/>
  <c r="BA17" i="33"/>
  <c r="P46" i="33"/>
  <c r="P47" i="34" s="1"/>
  <c r="AB46" i="33"/>
  <c r="V46" i="33"/>
  <c r="BL46" i="33"/>
  <c r="AH46" i="33"/>
  <c r="AH47" i="34" s="1"/>
  <c r="AZ46" i="33"/>
  <c r="BF46" i="33"/>
  <c r="Z35" i="33"/>
  <c r="Z12" i="34" s="1"/>
  <c r="N35" i="33"/>
  <c r="T35" i="33"/>
  <c r="T12" i="34" s="1"/>
  <c r="BD35" i="33"/>
  <c r="AF35" i="33"/>
  <c r="BJ35" i="33"/>
  <c r="AX35" i="33"/>
  <c r="AB2" i="33"/>
  <c r="V2" i="33"/>
  <c r="AH2" i="33"/>
  <c r="AH20" i="34" s="1"/>
  <c r="BL2" i="33"/>
  <c r="AZ2" i="33"/>
  <c r="BF2" i="33"/>
  <c r="AC41" i="33"/>
  <c r="AC31" i="34" s="1"/>
  <c r="Q41" i="33"/>
  <c r="Q31" i="34" s="1"/>
  <c r="W41" i="33"/>
  <c r="W31" i="34" s="1"/>
  <c r="BM41" i="33"/>
  <c r="AI41" i="33"/>
  <c r="BG41" i="33"/>
  <c r="BA41" i="33"/>
  <c r="AC46" i="33"/>
  <c r="Q46" i="33"/>
  <c r="W46" i="33"/>
  <c r="W47" i="34" s="1"/>
  <c r="AI46" i="33"/>
  <c r="BM46" i="33"/>
  <c r="BA46" i="33"/>
  <c r="BG46" i="33"/>
  <c r="AA35" i="33"/>
  <c r="AA12" i="34" s="1"/>
  <c r="U35" i="33"/>
  <c r="U12" i="34" s="1"/>
  <c r="AG35" i="33"/>
  <c r="BK35" i="33"/>
  <c r="BE35" i="33"/>
  <c r="AY35" i="33"/>
  <c r="W54" i="33"/>
  <c r="AC54" i="33"/>
  <c r="AC17" i="34" s="1"/>
  <c r="Q54" i="33"/>
  <c r="Q17" i="34" s="1"/>
  <c r="BM54" i="33"/>
  <c r="BG54" i="33"/>
  <c r="BA54" i="33"/>
  <c r="X8" i="33"/>
  <c r="L8" i="33"/>
  <c r="AD8" i="33"/>
  <c r="R8" i="33"/>
  <c r="R38" i="34" s="1"/>
  <c r="BH8" i="33"/>
  <c r="BB8" i="33"/>
  <c r="AV8" i="33"/>
  <c r="Z20" i="33"/>
  <c r="Z22" i="34" s="1"/>
  <c r="N20" i="33"/>
  <c r="N22" i="34" s="1"/>
  <c r="T20" i="33"/>
  <c r="T22" i="34" s="1"/>
  <c r="BJ20" i="33"/>
  <c r="AF20" i="33"/>
  <c r="BD20" i="33"/>
  <c r="AX20" i="33"/>
  <c r="P26" i="33"/>
  <c r="AB26" i="33"/>
  <c r="V26" i="33"/>
  <c r="V40" i="34" s="1"/>
  <c r="AH26" i="33"/>
  <c r="BL26" i="33"/>
  <c r="AZ26" i="33"/>
  <c r="BF26" i="33"/>
  <c r="P15" i="33"/>
  <c r="P3" i="34" s="1"/>
  <c r="AB15" i="33"/>
  <c r="AB3" i="34" s="1"/>
  <c r="V15" i="33"/>
  <c r="BL15" i="33"/>
  <c r="AH15" i="33"/>
  <c r="BF15" i="33"/>
  <c r="AZ15" i="33"/>
  <c r="P45" i="33"/>
  <c r="P43" i="34" s="1"/>
  <c r="AB45" i="33"/>
  <c r="AB43" i="34" s="1"/>
  <c r="V45" i="33"/>
  <c r="V43" i="34" s="1"/>
  <c r="AH45" i="33"/>
  <c r="AH43" i="34" s="1"/>
  <c r="BL45" i="33"/>
  <c r="BF45" i="33"/>
  <c r="AZ45" i="33"/>
  <c r="AC21" i="33"/>
  <c r="AC24" i="34" s="1"/>
  <c r="W21" i="33"/>
  <c r="BM21" i="33"/>
  <c r="AI21" i="33"/>
  <c r="AI24" i="34" s="1"/>
  <c r="BG21" i="33"/>
  <c r="BA21" i="33"/>
  <c r="M44" i="33"/>
  <c r="Y44" i="33"/>
  <c r="S44" i="33"/>
  <c r="AE44" i="33"/>
  <c r="BI44" i="33"/>
  <c r="AW44" i="33"/>
  <c r="BC44" i="33"/>
  <c r="M33" i="33"/>
  <c r="Y33" i="33"/>
  <c r="Y6" i="34" s="1"/>
  <c r="S33" i="33"/>
  <c r="S6" i="34" s="1"/>
  <c r="BI33" i="33"/>
  <c r="AE33" i="33"/>
  <c r="AE6" i="34" s="1"/>
  <c r="BC33" i="33"/>
  <c r="AW33" i="33"/>
  <c r="P28" i="33"/>
  <c r="AB28" i="33"/>
  <c r="V28" i="33"/>
  <c r="AH28" i="33"/>
  <c r="BL28" i="33"/>
  <c r="BF28" i="33"/>
  <c r="AZ28" i="33"/>
  <c r="AA39" i="33"/>
  <c r="AA25" i="34" s="1"/>
  <c r="O39" i="33"/>
  <c r="O25" i="34" s="1"/>
  <c r="U39" i="33"/>
  <c r="U25" i="34" s="1"/>
  <c r="AG39" i="33"/>
  <c r="BK39" i="33"/>
  <c r="AY39" i="33"/>
  <c r="BE39" i="33"/>
  <c r="AA44" i="33"/>
  <c r="O44" i="33"/>
  <c r="U44" i="33"/>
  <c r="BK44" i="33"/>
  <c r="AG44" i="33"/>
  <c r="BE44" i="33"/>
  <c r="AA33" i="33"/>
  <c r="AA6" i="34" s="1"/>
  <c r="U33" i="33"/>
  <c r="U6" i="34" s="1"/>
  <c r="BE33" i="33"/>
  <c r="BK33" i="33"/>
  <c r="AG33" i="33"/>
  <c r="AG6" i="34" s="1"/>
  <c r="AY33" i="33"/>
  <c r="Z11" i="33"/>
  <c r="N11" i="33"/>
  <c r="N45" i="34" s="1"/>
  <c r="T11" i="33"/>
  <c r="T45" i="34" s="1"/>
  <c r="AF11" i="33"/>
  <c r="BJ11" i="33"/>
  <c r="AX11" i="33"/>
  <c r="BD11" i="33"/>
  <c r="AB39" i="33"/>
  <c r="P39" i="33"/>
  <c r="P25" i="34" s="1"/>
  <c r="V39" i="33"/>
  <c r="V25" i="34" s="1"/>
  <c r="AH39" i="33"/>
  <c r="AH25" i="34" s="1"/>
  <c r="BL39" i="33"/>
  <c r="AZ39" i="33"/>
  <c r="BF39" i="33"/>
  <c r="P44" i="33"/>
  <c r="AB44" i="33"/>
  <c r="V44" i="33"/>
  <c r="V41" i="34" s="1"/>
  <c r="BL44" i="33"/>
  <c r="AH44" i="33"/>
  <c r="AH41" i="34" s="1"/>
  <c r="AZ44" i="33"/>
  <c r="BF44" i="33"/>
  <c r="P33" i="33"/>
  <c r="AB33" i="33"/>
  <c r="V33" i="33"/>
  <c r="AH33" i="33"/>
  <c r="BF33" i="33"/>
  <c r="BL33" i="33"/>
  <c r="AZ33" i="33"/>
  <c r="Y2" i="33"/>
  <c r="M2" i="33"/>
  <c r="S2" i="33"/>
  <c r="BI2" i="33"/>
  <c r="AE2" i="33"/>
  <c r="AW2" i="33"/>
  <c r="BC2" i="33"/>
  <c r="O41" i="33"/>
  <c r="O31" i="34" s="1"/>
  <c r="AA41" i="33"/>
  <c r="AA31" i="34" s="1"/>
  <c r="U41" i="33"/>
  <c r="BK41" i="33"/>
  <c r="AG41" i="33"/>
  <c r="AG31" i="34" s="1"/>
  <c r="BE41" i="33"/>
  <c r="AY41" i="33"/>
  <c r="AA46" i="33"/>
  <c r="O46" i="33"/>
  <c r="O47" i="34" s="1"/>
  <c r="U46" i="33"/>
  <c r="BK46" i="33"/>
  <c r="AG46" i="33"/>
  <c r="AG47" i="34" s="1"/>
  <c r="BE46" i="33"/>
  <c r="M35" i="33"/>
  <c r="M12" i="34" s="1"/>
  <c r="Y35" i="33"/>
  <c r="Y12" i="34" s="1"/>
  <c r="S35" i="33"/>
  <c r="S12" i="34" s="1"/>
  <c r="AE35" i="33"/>
  <c r="AE12" i="34" s="1"/>
  <c r="BC35" i="33"/>
  <c r="BI35" i="33"/>
  <c r="AW35" i="33"/>
  <c r="X14" i="33"/>
  <c r="L14" i="33"/>
  <c r="L2" i="34" s="1"/>
  <c r="AD14" i="33"/>
  <c r="R14" i="33"/>
  <c r="BH14" i="33"/>
  <c r="BB14" i="33"/>
  <c r="AV14" i="33"/>
  <c r="P52" i="33"/>
  <c r="AB52" i="33"/>
  <c r="AB11" i="34" s="1"/>
  <c r="V52" i="33"/>
  <c r="V11" i="34" s="1"/>
  <c r="BF52" i="33"/>
  <c r="AH52" i="33"/>
  <c r="AH11" i="34" s="1"/>
  <c r="BL52" i="33"/>
  <c r="AZ52" i="33"/>
  <c r="M20" i="33"/>
  <c r="M22" i="34" s="1"/>
  <c r="Y20" i="33"/>
  <c r="Y22" i="34" s="1"/>
  <c r="S20" i="33"/>
  <c r="S22" i="34" s="1"/>
  <c r="BI20" i="33"/>
  <c r="AE20" i="33"/>
  <c r="AW20" i="33"/>
  <c r="BC20" i="33"/>
  <c r="X9" i="33"/>
  <c r="X39" i="34" s="1"/>
  <c r="L9" i="33"/>
  <c r="L39" i="34" s="1"/>
  <c r="AD9" i="33"/>
  <c r="R9" i="33"/>
  <c r="R39" i="34" s="1"/>
  <c r="BH9" i="33"/>
  <c r="BB9" i="33"/>
  <c r="AV9" i="33"/>
  <c r="M14" i="33"/>
  <c r="Y14" i="33"/>
  <c r="S14" i="33"/>
  <c r="AE14" i="33"/>
  <c r="BI14" i="33"/>
  <c r="BC14" i="33"/>
  <c r="AW14" i="33"/>
  <c r="AC52" i="33"/>
  <c r="Q52" i="33"/>
  <c r="W52" i="33"/>
  <c r="BG52" i="33"/>
  <c r="AI52" i="33"/>
  <c r="AI11" i="34" s="1"/>
  <c r="BM52" i="33"/>
  <c r="BA52" i="33"/>
  <c r="H57" i="7"/>
  <c r="H3" i="7"/>
  <c r="CC54" i="26"/>
  <c r="CC55" i="26" s="1"/>
  <c r="N134" i="16" s="1"/>
  <c r="P6" i="30" s="1"/>
  <c r="H30" i="7"/>
  <c r="H21" i="7"/>
  <c r="H13" i="7"/>
  <c r="H130" i="7"/>
  <c r="H28" i="7"/>
  <c r="H141" i="7"/>
  <c r="H85" i="7"/>
  <c r="H69" i="7"/>
  <c r="H37" i="7"/>
  <c r="H4" i="7"/>
  <c r="H18" i="7"/>
  <c r="H64" i="7"/>
  <c r="H75" i="7"/>
  <c r="H59" i="7"/>
  <c r="H9" i="7"/>
  <c r="H16" i="7"/>
  <c r="H23" i="7"/>
  <c r="H6" i="7"/>
  <c r="H22" i="7"/>
  <c r="H17" i="7"/>
  <c r="H10" i="7"/>
  <c r="H12" i="7"/>
  <c r="H19" i="7"/>
  <c r="H5" i="7"/>
  <c r="H24" i="7"/>
  <c r="H7" i="7"/>
  <c r="H15" i="7"/>
  <c r="H8" i="7"/>
  <c r="H11" i="7"/>
  <c r="H70" i="7"/>
  <c r="H143" i="7"/>
  <c r="H91" i="7"/>
  <c r="H138" i="7"/>
  <c r="H136" i="7"/>
  <c r="H81" i="7"/>
  <c r="H65" i="7"/>
  <c r="H33" i="7"/>
  <c r="H142" i="7"/>
  <c r="H74" i="7"/>
  <c r="H76" i="7"/>
  <c r="H139" i="7"/>
  <c r="H87" i="7"/>
  <c r="H35" i="7"/>
  <c r="H78" i="7"/>
  <c r="H77" i="7"/>
  <c r="H61" i="7"/>
  <c r="H29" i="7"/>
  <c r="H144" i="7"/>
  <c r="H88" i="7"/>
  <c r="H72" i="7"/>
  <c r="H90" i="7"/>
  <c r="H34" i="7"/>
  <c r="H133" i="7"/>
  <c r="H83" i="7"/>
  <c r="H67" i="7"/>
  <c r="H31" i="7"/>
  <c r="H135" i="7"/>
  <c r="H137" i="7"/>
  <c r="H66" i="7"/>
  <c r="H145" i="7"/>
  <c r="H73" i="7"/>
  <c r="H25" i="7"/>
  <c r="H26" i="7"/>
  <c r="H84" i="7"/>
  <c r="H36" i="7"/>
  <c r="H82" i="7"/>
  <c r="H79" i="7"/>
  <c r="H63" i="7"/>
  <c r="H27" i="7"/>
  <c r="AJ54" i="26"/>
  <c r="AJ55" i="26" s="1"/>
  <c r="H132" i="16" s="1"/>
  <c r="J4" i="30" s="1"/>
  <c r="AT54" i="26"/>
  <c r="AT55" i="26" s="1"/>
  <c r="D132" i="16" s="1"/>
  <c r="F4" i="30" s="1"/>
  <c r="CM54" i="26"/>
  <c r="CM55" i="26" s="1"/>
  <c r="D135" i="16" s="1"/>
  <c r="F7" i="30" s="1"/>
  <c r="DB54" i="26"/>
  <c r="DB55" i="26" s="1"/>
  <c r="DL54" i="26"/>
  <c r="DL55" i="26" s="1"/>
  <c r="H137" i="16" s="1"/>
  <c r="J9" i="30" s="1"/>
  <c r="DQ54" i="26"/>
  <c r="DQ55" i="26" s="1"/>
  <c r="M137" i="16" s="1"/>
  <c r="O9" i="30" s="1"/>
  <c r="AO54" i="26"/>
  <c r="AO55" i="26" s="1"/>
  <c r="M132" i="16" s="1"/>
  <c r="O4" i="30" s="1"/>
  <c r="BX54" i="26"/>
  <c r="BX55" i="26" s="1"/>
  <c r="M134" i="16" s="1"/>
  <c r="O6" i="30" s="1"/>
  <c r="BN54" i="26"/>
  <c r="BN55" i="26" s="1"/>
  <c r="G134" i="16" s="1"/>
  <c r="I6" i="30" s="1"/>
  <c r="DV54" i="26"/>
  <c r="DV55" i="26" s="1"/>
  <c r="N137" i="16" s="1"/>
  <c r="P9" i="30" s="1"/>
  <c r="P54" i="26"/>
  <c r="B132" i="16" s="1"/>
  <c r="D4" i="30" s="1"/>
  <c r="U54" i="26"/>
  <c r="U55" i="26" s="1"/>
  <c r="G132" i="16" s="1"/>
  <c r="I4" i="30" s="1"/>
  <c r="BI54" i="26"/>
  <c r="BI55" i="26" s="1"/>
  <c r="D134" i="16" s="1"/>
  <c r="F6" i="30" s="1"/>
  <c r="CR54" i="26"/>
  <c r="CR55" i="26" s="1"/>
  <c r="I135" i="16" s="1"/>
  <c r="K7" i="30" s="1"/>
  <c r="DG54" i="26"/>
  <c r="DG55" i="26" s="1"/>
  <c r="G137" i="16" s="1"/>
  <c r="I9" i="30" s="1"/>
  <c r="AY54" i="26"/>
  <c r="AY55" i="26" s="1"/>
  <c r="I132" i="16" s="1"/>
  <c r="K4" i="30" s="1"/>
  <c r="BS54" i="26"/>
  <c r="BS55" i="26" s="1"/>
  <c r="H134" i="16" s="1"/>
  <c r="J6" i="30" s="1"/>
  <c r="Z54" i="26"/>
  <c r="Z55" i="26" s="1"/>
  <c r="L132" i="16" s="1"/>
  <c r="N4" i="30" s="1"/>
  <c r="AE54" i="26"/>
  <c r="AE55" i="26" s="1"/>
  <c r="C132" i="16" s="1"/>
  <c r="E4" i="30" s="1"/>
  <c r="BD54" i="26"/>
  <c r="BD55" i="26" s="1"/>
  <c r="N132" i="16" s="1"/>
  <c r="P4" i="30" s="1"/>
  <c r="CH54" i="26"/>
  <c r="CH55" i="26" s="1"/>
  <c r="C135" i="16" s="1"/>
  <c r="E7" i="30" s="1"/>
  <c r="CW54" i="26"/>
  <c r="CW55" i="26" s="1"/>
  <c r="B137" i="16" s="1"/>
  <c r="D9" i="30" s="1"/>
  <c r="C5" i="30"/>
  <c r="D5" i="30"/>
  <c r="E5" i="30"/>
  <c r="F5" i="30"/>
  <c r="H5" i="30"/>
  <c r="I5" i="30"/>
  <c r="J5" i="30"/>
  <c r="K5" i="30"/>
  <c r="M5" i="30"/>
  <c r="N5" i="30"/>
  <c r="O5" i="30"/>
  <c r="P5" i="30"/>
  <c r="C6" i="30"/>
  <c r="D6" i="30"/>
  <c r="E6" i="30"/>
  <c r="H6" i="30"/>
  <c r="K6" i="30"/>
  <c r="M6" i="30"/>
  <c r="N6" i="30"/>
  <c r="C7" i="30"/>
  <c r="D7" i="30"/>
  <c r="H7" i="30"/>
  <c r="I7" i="30"/>
  <c r="J7" i="30"/>
  <c r="M7" i="30"/>
  <c r="N7" i="30"/>
  <c r="O7" i="30"/>
  <c r="P7" i="30"/>
  <c r="C8" i="30"/>
  <c r="D8" i="30"/>
  <c r="E8" i="30"/>
  <c r="F8" i="30"/>
  <c r="H8" i="30"/>
  <c r="I8" i="30"/>
  <c r="J8" i="30"/>
  <c r="K8" i="30"/>
  <c r="M8" i="30"/>
  <c r="N8" i="30"/>
  <c r="O8" i="30"/>
  <c r="P8" i="30"/>
  <c r="C9" i="30"/>
  <c r="H9" i="30"/>
  <c r="K9" i="30"/>
  <c r="M9" i="30"/>
  <c r="N9" i="30"/>
  <c r="C10" i="30"/>
  <c r="D10" i="30"/>
  <c r="E10" i="30"/>
  <c r="F10" i="30"/>
  <c r="H10" i="30"/>
  <c r="I10" i="30"/>
  <c r="J10" i="30"/>
  <c r="K10" i="30"/>
  <c r="M10" i="30"/>
  <c r="N10" i="30"/>
  <c r="O10" i="30"/>
  <c r="P10" i="30"/>
  <c r="C11" i="30"/>
  <c r="D11" i="30"/>
  <c r="E11" i="30"/>
  <c r="F11" i="30"/>
  <c r="H11" i="30"/>
  <c r="I11" i="30"/>
  <c r="J11" i="30"/>
  <c r="K11" i="30"/>
  <c r="M11" i="30"/>
  <c r="N11" i="30"/>
  <c r="O11" i="30"/>
  <c r="P11" i="30"/>
  <c r="C12" i="30"/>
  <c r="D12" i="30"/>
  <c r="E12" i="30"/>
  <c r="F12" i="30"/>
  <c r="H12" i="30"/>
  <c r="I12" i="30"/>
  <c r="J12" i="30"/>
  <c r="K12" i="30"/>
  <c r="M12" i="30"/>
  <c r="N12" i="30"/>
  <c r="O12" i="30"/>
  <c r="P12" i="30"/>
  <c r="C13" i="30"/>
  <c r="D13" i="30"/>
  <c r="E13" i="30"/>
  <c r="F13" i="30"/>
  <c r="H13" i="30"/>
  <c r="I13" i="30"/>
  <c r="J13" i="30"/>
  <c r="K13" i="30"/>
  <c r="M13" i="30"/>
  <c r="N13" i="30"/>
  <c r="O13" i="30"/>
  <c r="P13" i="30"/>
  <c r="C14" i="30"/>
  <c r="D14" i="30"/>
  <c r="E14" i="30"/>
  <c r="F14" i="30"/>
  <c r="H14" i="30"/>
  <c r="I14" i="30"/>
  <c r="J14" i="30"/>
  <c r="K14" i="30"/>
  <c r="M14" i="30"/>
  <c r="N14" i="30"/>
  <c r="O14" i="30"/>
  <c r="P14" i="30"/>
  <c r="C15" i="30"/>
  <c r="D15" i="30"/>
  <c r="E15" i="30"/>
  <c r="F15" i="30"/>
  <c r="H15" i="30"/>
  <c r="I15" i="30"/>
  <c r="J15" i="30"/>
  <c r="K15" i="30"/>
  <c r="M15" i="30"/>
  <c r="N15" i="30"/>
  <c r="O15" i="30"/>
  <c r="P15" i="30"/>
  <c r="C16" i="30"/>
  <c r="D16" i="30"/>
  <c r="E16" i="30"/>
  <c r="F16" i="30"/>
  <c r="H16" i="30"/>
  <c r="I16" i="30"/>
  <c r="J16" i="30"/>
  <c r="K16" i="30"/>
  <c r="M16" i="30"/>
  <c r="N16" i="30"/>
  <c r="O16" i="30"/>
  <c r="P16" i="30"/>
  <c r="C17" i="30"/>
  <c r="D17" i="30"/>
  <c r="E17" i="30"/>
  <c r="F17" i="30"/>
  <c r="H17" i="30"/>
  <c r="I17" i="30"/>
  <c r="J17" i="30"/>
  <c r="K17" i="30"/>
  <c r="M17" i="30"/>
  <c r="N17" i="30"/>
  <c r="O17" i="30"/>
  <c r="P17" i="30"/>
  <c r="C18" i="30"/>
  <c r="D18" i="30"/>
  <c r="E18" i="30"/>
  <c r="F18" i="30"/>
  <c r="H18" i="30"/>
  <c r="I18" i="30"/>
  <c r="J18" i="30"/>
  <c r="K18" i="30"/>
  <c r="M18" i="30"/>
  <c r="N18" i="30"/>
  <c r="O18" i="30"/>
  <c r="P18" i="30"/>
  <c r="C19" i="30"/>
  <c r="D19" i="30"/>
  <c r="E19" i="30"/>
  <c r="F19" i="30"/>
  <c r="H19" i="30"/>
  <c r="I19" i="30"/>
  <c r="J19" i="30"/>
  <c r="K19" i="30"/>
  <c r="M19" i="30"/>
  <c r="N19" i="30"/>
  <c r="O19" i="30"/>
  <c r="P19" i="30"/>
  <c r="H4" i="30"/>
  <c r="M4" i="30"/>
  <c r="C4" i="30"/>
  <c r="W136" i="7" s="1" a="1"/>
  <c r="W136" i="7" s="1"/>
  <c r="C18" i="24"/>
  <c r="D18" i="24"/>
  <c r="E18" i="24"/>
  <c r="F18" i="24"/>
  <c r="H18" i="24"/>
  <c r="I18" i="24"/>
  <c r="J18" i="24"/>
  <c r="K18" i="24"/>
  <c r="M18" i="24"/>
  <c r="N18" i="24"/>
  <c r="O18" i="24"/>
  <c r="P18" i="24"/>
  <c r="C19" i="24"/>
  <c r="D19" i="24"/>
  <c r="E19" i="24"/>
  <c r="F19" i="24"/>
  <c r="H19" i="24"/>
  <c r="I19" i="24"/>
  <c r="J19" i="24"/>
  <c r="K19" i="24"/>
  <c r="M19" i="24"/>
  <c r="N19" i="24"/>
  <c r="O19" i="24"/>
  <c r="P19" i="24"/>
  <c r="T23" i="34" l="1"/>
  <c r="M4" i="34"/>
  <c r="Z2" i="34"/>
  <c r="W149" i="7" a="1"/>
  <c r="W149" i="7" s="1"/>
  <c r="W147" i="7" a="1"/>
  <c r="W147" i="7" s="1"/>
  <c r="W52" i="7" a="1"/>
  <c r="W52" i="7" s="1"/>
  <c r="W40" i="7" a="1"/>
  <c r="W40" i="7" s="1"/>
  <c r="W140" i="7" a="1"/>
  <c r="W140" i="7" s="1"/>
  <c r="W135" i="7" a="1"/>
  <c r="W135" i="7" s="1"/>
  <c r="W33" i="7" a="1"/>
  <c r="W33" i="7" s="1"/>
  <c r="W65" i="7" a="1"/>
  <c r="W65" i="7" s="1"/>
  <c r="W141" i="7" a="1"/>
  <c r="W141" i="7" s="1"/>
  <c r="W126" i="7" a="1"/>
  <c r="W126" i="7" s="1"/>
  <c r="W74" i="7" a="1"/>
  <c r="W74" i="7" s="1"/>
  <c r="W144" i="7" a="1"/>
  <c r="W144" i="7" s="1"/>
  <c r="W122" i="7" a="1"/>
  <c r="W122" i="7" s="1"/>
  <c r="W138" i="7" a="1"/>
  <c r="W138" i="7" s="1"/>
  <c r="W113" i="7" a="1"/>
  <c r="W113" i="7" s="1"/>
  <c r="W13" i="7" a="1"/>
  <c r="W13" i="7" s="1"/>
  <c r="W43" i="7" a="1"/>
  <c r="W43" i="7" s="1"/>
  <c r="W99" i="7" a="1"/>
  <c r="W99" i="7" s="1"/>
  <c r="W162" i="7" a="1"/>
  <c r="W162" i="7" s="1"/>
  <c r="W108" i="7" a="1"/>
  <c r="W108" i="7" s="1"/>
  <c r="W106" i="7" a="1"/>
  <c r="W106" i="7" s="1"/>
  <c r="W92" i="7" a="1"/>
  <c r="W92" i="7" s="1"/>
  <c r="W54" i="7" a="1"/>
  <c r="W54" i="7" s="1"/>
  <c r="W50" i="7" a="1"/>
  <c r="W50" i="7" s="1"/>
  <c r="W16" i="7" a="1"/>
  <c r="W16" i="7" s="1"/>
  <c r="W8" i="7" a="1"/>
  <c r="W8" i="7" s="1"/>
  <c r="W121" i="7" a="1"/>
  <c r="W121" i="7" s="1"/>
  <c r="W110" i="7" a="1"/>
  <c r="W110" i="7" s="1"/>
  <c r="W11" i="7" a="1"/>
  <c r="W11" i="7" s="1"/>
  <c r="W3" i="7" a="1"/>
  <c r="W3" i="7" s="1"/>
  <c r="W29" i="7" a="1"/>
  <c r="W29" i="7" s="1"/>
  <c r="W63" i="7" a="1"/>
  <c r="W63" i="7" s="1"/>
  <c r="W34" i="7" a="1"/>
  <c r="W34" i="7" s="1"/>
  <c r="W12" i="7" a="1"/>
  <c r="W12" i="7" s="1"/>
  <c r="W59" i="7" a="1"/>
  <c r="W59" i="7" s="1"/>
  <c r="W23" i="7" a="1"/>
  <c r="W23" i="7" s="1"/>
  <c r="W142" i="7" a="1"/>
  <c r="W142" i="7" s="1"/>
  <c r="W84" i="7" a="1"/>
  <c r="W84" i="7" s="1"/>
  <c r="W61" i="7" a="1"/>
  <c r="W61" i="7" s="1"/>
  <c r="W31" i="7" a="1"/>
  <c r="W31" i="7" s="1"/>
  <c r="W17" i="7" a="1"/>
  <c r="W17" i="7" s="1"/>
  <c r="W71" i="7" a="1"/>
  <c r="W71" i="7" s="1"/>
  <c r="W118" i="7" a="1"/>
  <c r="W118" i="7" s="1"/>
  <c r="W117" i="7" a="1"/>
  <c r="W117" i="7" s="1"/>
  <c r="W45" i="7" a="1"/>
  <c r="W45" i="7" s="1"/>
  <c r="W41" i="7" a="1"/>
  <c r="W41" i="7" s="1"/>
  <c r="W158" i="7" a="1"/>
  <c r="W158" i="7" s="1"/>
  <c r="W47" i="7" a="1"/>
  <c r="W47" i="7" s="1"/>
  <c r="W160" i="7" a="1"/>
  <c r="W160" i="7" s="1"/>
  <c r="W155" i="7" a="1"/>
  <c r="W155" i="7" s="1"/>
  <c r="W109" i="7" a="1"/>
  <c r="W109" i="7" s="1"/>
  <c r="W104" i="7" a="1"/>
  <c r="W104" i="7" s="1"/>
  <c r="W94" i="7" a="1"/>
  <c r="W94" i="7" s="1"/>
  <c r="W6" i="7" a="1"/>
  <c r="W6" i="7" s="1"/>
  <c r="W88" i="7" a="1"/>
  <c r="W88" i="7" s="1"/>
  <c r="W114" i="7" a="1"/>
  <c r="W114" i="7" s="1"/>
  <c r="W77" i="7" a="1"/>
  <c r="W77" i="7" s="1"/>
  <c r="W62" i="7" a="1"/>
  <c r="W62" i="7" s="1"/>
  <c r="W2" i="7" a="1"/>
  <c r="W2" i="7" s="1"/>
  <c r="W4" i="7" a="1"/>
  <c r="W4" i="7" s="1"/>
  <c r="W67" i="7" a="1"/>
  <c r="W67" i="7" s="1"/>
  <c r="W115" i="7" a="1"/>
  <c r="W115" i="7" s="1"/>
  <c r="W57" i="7" a="1"/>
  <c r="W57" i="7" s="1"/>
  <c r="W5" i="7" a="1"/>
  <c r="W5" i="7" s="1"/>
  <c r="W28" i="7" a="1"/>
  <c r="W28" i="7" s="1"/>
  <c r="W132" i="7" a="1"/>
  <c r="W132" i="7" s="1"/>
  <c r="W159" i="7" a="1"/>
  <c r="W159" i="7" s="1"/>
  <c r="W157" i="7" a="1"/>
  <c r="W157" i="7" s="1"/>
  <c r="W153" i="7" a="1"/>
  <c r="W153" i="7" s="1"/>
  <c r="W100" i="7" a="1"/>
  <c r="W100" i="7" s="1"/>
  <c r="W103" i="7" a="1"/>
  <c r="W103" i="7" s="1"/>
  <c r="W53" i="7" a="1"/>
  <c r="W53" i="7" s="1"/>
  <c r="W49" i="7" a="1"/>
  <c r="W49" i="7" s="1"/>
  <c r="W87" i="7" a="1"/>
  <c r="W87" i="7" s="1"/>
  <c r="W125" i="7" a="1"/>
  <c r="W125" i="7" s="1"/>
  <c r="W143" i="7" a="1"/>
  <c r="W143" i="7" s="1"/>
  <c r="W36" i="7" a="1"/>
  <c r="W36" i="7" s="1"/>
  <c r="W73" i="7" a="1"/>
  <c r="W73" i="7" s="1"/>
  <c r="W78" i="7" a="1"/>
  <c r="W78" i="7" s="1"/>
  <c r="W56" i="7" a="1"/>
  <c r="W56" i="7" s="1"/>
  <c r="W20" i="7" a="1"/>
  <c r="W20" i="7" s="1"/>
  <c r="W129" i="7" a="1"/>
  <c r="W129" i="7" s="1"/>
  <c r="W15" i="7" a="1"/>
  <c r="W15" i="7" s="1"/>
  <c r="W134" i="7" a="1"/>
  <c r="W134" i="7" s="1"/>
  <c r="W119" i="7" a="1"/>
  <c r="W119" i="7" s="1"/>
  <c r="W27" i="7" a="1"/>
  <c r="W27" i="7" s="1"/>
  <c r="W131" i="7" a="1"/>
  <c r="W131" i="7" s="1"/>
  <c r="W55" i="7" a="1"/>
  <c r="W55" i="7" s="1"/>
  <c r="W148" i="7" a="1"/>
  <c r="W148" i="7" s="1"/>
  <c r="W105" i="7" a="1"/>
  <c r="W105" i="7" s="1"/>
  <c r="W101" i="7" a="1"/>
  <c r="W101" i="7" s="1"/>
  <c r="W98" i="7" a="1"/>
  <c r="W98" i="7" s="1"/>
  <c r="W96" i="7" a="1"/>
  <c r="W96" i="7" s="1"/>
  <c r="W51" i="7" a="1"/>
  <c r="W51" i="7" s="1"/>
  <c r="W64" i="7" a="1"/>
  <c r="W64" i="7" s="1"/>
  <c r="W19" i="7" a="1"/>
  <c r="W19" i="7" s="1"/>
  <c r="W10" i="7" a="1"/>
  <c r="W10" i="7" s="1"/>
  <c r="W72" i="7" a="1"/>
  <c r="W72" i="7" s="1"/>
  <c r="W82" i="7" a="1"/>
  <c r="W82" i="7" s="1"/>
  <c r="W128" i="7" a="1"/>
  <c r="W128" i="7" s="1"/>
  <c r="W37" i="7" a="1"/>
  <c r="W37" i="7" s="1"/>
  <c r="W75" i="7" a="1"/>
  <c r="W75" i="7" s="1"/>
  <c r="W91" i="7" a="1"/>
  <c r="W91" i="7" s="1"/>
  <c r="W44" i="7" a="1"/>
  <c r="W44" i="7" s="1"/>
  <c r="W38" i="7" a="1"/>
  <c r="W38" i="7" s="1"/>
  <c r="W107" i="7" a="1"/>
  <c r="W107" i="7" s="1"/>
  <c r="W150" i="7" a="1"/>
  <c r="W150" i="7" s="1"/>
  <c r="W146" i="7" a="1"/>
  <c r="W146" i="7" s="1"/>
  <c r="W102" i="7" a="1"/>
  <c r="W102" i="7" s="1"/>
  <c r="W93" i="7" a="1"/>
  <c r="W93" i="7" s="1"/>
  <c r="W85" i="7" a="1"/>
  <c r="W85" i="7" s="1"/>
  <c r="W58" i="7" a="1"/>
  <c r="W58" i="7" s="1"/>
  <c r="W14" i="7" a="1"/>
  <c r="W14" i="7" s="1"/>
  <c r="W111" i="7" a="1"/>
  <c r="W111" i="7" s="1"/>
  <c r="W89" i="7" a="1"/>
  <c r="W89" i="7" s="1"/>
  <c r="W86" i="7" a="1"/>
  <c r="W86" i="7" s="1"/>
  <c r="W30" i="7" a="1"/>
  <c r="W30" i="7" s="1"/>
  <c r="W120" i="7" a="1"/>
  <c r="W120" i="7" s="1"/>
  <c r="W68" i="7" a="1"/>
  <c r="W68" i="7" s="1"/>
  <c r="W79" i="7" a="1"/>
  <c r="W79" i="7" s="1"/>
  <c r="W21" i="7" a="1"/>
  <c r="W21" i="7" s="1"/>
  <c r="W124" i="7" a="1"/>
  <c r="W124" i="7" s="1"/>
  <c r="W123" i="7" a="1"/>
  <c r="W123" i="7" s="1"/>
  <c r="W116" i="7" a="1"/>
  <c r="W116" i="7" s="1"/>
  <c r="W127" i="7" a="1"/>
  <c r="W127" i="7" s="1"/>
  <c r="W42" i="7" a="1"/>
  <c r="W42" i="7" s="1"/>
  <c r="W163" i="7" a="1"/>
  <c r="W163" i="7" s="1"/>
  <c r="W161" i="7" a="1"/>
  <c r="W161" i="7" s="1"/>
  <c r="W151" i="7" a="1"/>
  <c r="W151" i="7" s="1"/>
  <c r="W154" i="7" a="1"/>
  <c r="W154" i="7" s="1"/>
  <c r="W152" i="7" a="1"/>
  <c r="W152" i="7" s="1"/>
  <c r="W97" i="7" a="1"/>
  <c r="W97" i="7" s="1"/>
  <c r="W95" i="7" a="1"/>
  <c r="W95" i="7" s="1"/>
  <c r="W69" i="7" a="1"/>
  <c r="W69" i="7" s="1"/>
  <c r="W26" i="7" a="1"/>
  <c r="W26" i="7" s="1"/>
  <c r="W18" i="7" a="1"/>
  <c r="W18" i="7" s="1"/>
  <c r="W80" i="7" a="1"/>
  <c r="W80" i="7" s="1"/>
  <c r="W70" i="7" a="1"/>
  <c r="W70" i="7" s="1"/>
  <c r="W83" i="7" a="1"/>
  <c r="W83" i="7" s="1"/>
  <c r="W66" i="7" a="1"/>
  <c r="W66" i="7" s="1"/>
  <c r="W137" i="7" a="1"/>
  <c r="W137" i="7" s="1"/>
  <c r="W24" i="7" a="1"/>
  <c r="W24" i="7" s="1"/>
  <c r="W35" i="7" a="1"/>
  <c r="W35" i="7" s="1"/>
  <c r="AE22" i="34"/>
  <c r="N12" i="34"/>
  <c r="W60" i="7" a="1"/>
  <c r="W60" i="7" s="1"/>
  <c r="W156" i="7" a="1"/>
  <c r="W156" i="7" s="1"/>
  <c r="AB41" i="34"/>
  <c r="W9" i="7" a="1"/>
  <c r="W9" i="7" s="1"/>
  <c r="W81" i="7" a="1"/>
  <c r="W81" i="7" s="1"/>
  <c r="W46" i="7" a="1"/>
  <c r="W46" i="7" s="1"/>
  <c r="W25" i="7" a="1"/>
  <c r="W25" i="7" s="1"/>
  <c r="W139" i="7" a="1"/>
  <c r="W139" i="7" s="1"/>
  <c r="W48" i="7" a="1"/>
  <c r="W48" i="7" s="1"/>
  <c r="W32" i="7" a="1"/>
  <c r="W32" i="7" s="1"/>
  <c r="W7" i="7" a="1"/>
  <c r="W7" i="7" s="1"/>
  <c r="W22" i="7" a="1"/>
  <c r="W22" i="7" s="1"/>
  <c r="U47" i="34"/>
  <c r="W9" i="34"/>
  <c r="W76" i="7" a="1"/>
  <c r="W76" i="7" s="1"/>
  <c r="W145" i="7" a="1"/>
  <c r="W145" i="7" s="1"/>
  <c r="W90" i="7" a="1"/>
  <c r="W90" i="7" s="1"/>
  <c r="W25" i="34"/>
  <c r="W133" i="7" a="1"/>
  <c r="W133" i="7" s="1"/>
  <c r="W39" i="7" a="1"/>
  <c r="W39" i="7" s="1"/>
  <c r="AF30" i="34"/>
  <c r="AA7" i="34"/>
  <c r="S26" i="34"/>
  <c r="W30" i="34"/>
  <c r="X48" i="34"/>
  <c r="R30" i="34"/>
  <c r="Q8" i="34"/>
  <c r="AB48" i="34"/>
  <c r="N43" i="34"/>
  <c r="L42" i="34"/>
  <c r="V30" i="34"/>
  <c r="AH31" i="34"/>
  <c r="X43" i="34"/>
  <c r="O45" i="34"/>
  <c r="AD7" i="34"/>
  <c r="U31" i="34"/>
  <c r="Q39" i="34"/>
  <c r="O49" i="34"/>
  <c r="R11" i="34"/>
  <c r="M24" i="34"/>
  <c r="AA43" i="34"/>
  <c r="W24" i="34"/>
  <c r="X12" i="34"/>
  <c r="V22" i="34"/>
  <c r="U55" i="34"/>
  <c r="AC11" i="34"/>
  <c r="AF22" i="34"/>
  <c r="X13" i="34"/>
  <c r="U7" i="34"/>
  <c r="AE36" i="34"/>
  <c r="AG25" i="34"/>
  <c r="AH40" i="34"/>
  <c r="T4" i="34"/>
  <c r="N42" i="34"/>
  <c r="AB21" i="34"/>
  <c r="M31" i="34"/>
  <c r="L5" i="34"/>
  <c r="N49" i="34"/>
  <c r="X38" i="34"/>
  <c r="AI47" i="34"/>
  <c r="Q3" i="34"/>
  <c r="AC40" i="34"/>
  <c r="AC53" i="34"/>
  <c r="L40" i="34"/>
  <c r="X24" i="34"/>
  <c r="S30" i="34"/>
  <c r="T21" i="34"/>
  <c r="AH48" i="34"/>
  <c r="N28" i="34"/>
  <c r="T13" i="34"/>
  <c r="R54" i="34"/>
  <c r="V3" i="34"/>
  <c r="AF2" i="34"/>
  <c r="V12" i="34"/>
  <c r="S46" i="34"/>
  <c r="AB31" i="34"/>
  <c r="Q42" i="34"/>
  <c r="AI45" i="34"/>
  <c r="P49" i="34"/>
  <c r="T47" i="34"/>
  <c r="R25" i="34"/>
  <c r="AI31" i="34"/>
  <c r="T42" i="34"/>
  <c r="AC13" i="34"/>
  <c r="L6" i="34"/>
  <c r="W3" i="34"/>
  <c r="AB25" i="34"/>
  <c r="M6" i="34"/>
  <c r="AB20" i="34"/>
  <c r="T48" i="34"/>
  <c r="X46" i="34"/>
  <c r="P31" i="34"/>
  <c r="Q12" i="34"/>
  <c r="M49" i="34"/>
  <c r="T7" i="34"/>
  <c r="AC6" i="34"/>
  <c r="Z24" i="34"/>
  <c r="W42" i="34"/>
  <c r="AD39" i="34"/>
  <c r="AB49" i="34"/>
  <c r="U43" i="34"/>
  <c r="L10" i="34"/>
  <c r="Y24" i="34"/>
  <c r="AH24" i="34"/>
  <c r="AC19" i="34"/>
  <c r="L12" i="34"/>
  <c r="M48" i="34"/>
  <c r="U13" i="34"/>
  <c r="AA49" i="34"/>
  <c r="AI39" i="34"/>
  <c r="AE37" i="34"/>
  <c r="P46" i="34"/>
  <c r="AB46" i="34"/>
  <c r="Q18" i="34"/>
  <c r="AB47" i="34"/>
  <c r="Q27" i="34"/>
  <c r="M2" i="34"/>
  <c r="Y21" i="34"/>
  <c r="U11" i="34"/>
  <c r="L21" i="34"/>
  <c r="W29" i="34"/>
  <c r="L29" i="34"/>
  <c r="L3" i="34"/>
  <c r="U41" i="34"/>
  <c r="S29" i="34"/>
  <c r="AG44" i="34"/>
  <c r="P39" i="34"/>
  <c r="W11" i="34"/>
  <c r="O29" i="34"/>
  <c r="AD29" i="34"/>
  <c r="R27" i="34"/>
  <c r="AF19" i="34"/>
  <c r="AE2" i="34"/>
  <c r="AI2" i="34"/>
  <c r="Y2" i="34"/>
  <c r="N2" i="34"/>
  <c r="AB40" i="34"/>
  <c r="Z4" i="34"/>
  <c r="X3" i="34"/>
  <c r="W22" i="34"/>
  <c r="P29" i="34"/>
  <c r="N40" i="34"/>
  <c r="Q26" i="34"/>
  <c r="W48" i="34"/>
  <c r="AF29" i="34"/>
  <c r="M26" i="34"/>
  <c r="O23" i="34"/>
  <c r="P9" i="34"/>
  <c r="U9" i="34"/>
  <c r="AE28" i="34"/>
  <c r="AC44" i="34"/>
  <c r="W4" i="34"/>
  <c r="AC23" i="34"/>
  <c r="AE40" i="34"/>
  <c r="S24" i="34"/>
  <c r="N8" i="34"/>
  <c r="AB45" i="34"/>
  <c r="AG45" i="34"/>
  <c r="AG28" i="34"/>
  <c r="V5" i="34"/>
  <c r="L45" i="34"/>
  <c r="O11" i="34"/>
  <c r="N50" i="34"/>
  <c r="T36" i="34"/>
  <c r="T37" i="34"/>
  <c r="X37" i="34"/>
  <c r="T15" i="34"/>
  <c r="X35" i="34"/>
  <c r="N19" i="34"/>
  <c r="AA52" i="34"/>
  <c r="X54" i="34"/>
  <c r="L19" i="34"/>
  <c r="W36" i="34"/>
  <c r="Y19" i="34"/>
  <c r="P11" i="34"/>
  <c r="P41" i="34"/>
  <c r="Q47" i="34"/>
  <c r="M29" i="34"/>
  <c r="AG29" i="34"/>
  <c r="W39" i="34"/>
  <c r="AC22" i="34"/>
  <c r="X21" i="34"/>
  <c r="M46" i="34"/>
  <c r="Z21" i="34"/>
  <c r="O30" i="34"/>
  <c r="AH22" i="34"/>
  <c r="U28" i="34"/>
  <c r="R42" i="34"/>
  <c r="R44" i="34"/>
  <c r="X36" i="34"/>
  <c r="Z18" i="34"/>
  <c r="L18" i="34"/>
  <c r="AA36" i="34"/>
  <c r="Z19" i="34"/>
  <c r="W27" i="34"/>
  <c r="R55" i="34"/>
  <c r="S55" i="34"/>
  <c r="Q9" i="34"/>
  <c r="Z47" i="34"/>
  <c r="AI40" i="34"/>
  <c r="Q45" i="34"/>
  <c r="AC2" i="34"/>
  <c r="Z44" i="34"/>
  <c r="T46" i="34"/>
  <c r="AD28" i="34"/>
  <c r="Z29" i="34"/>
  <c r="AH9" i="34"/>
  <c r="AB10" i="34"/>
  <c r="T9" i="34"/>
  <c r="L26" i="34"/>
  <c r="L23" i="34"/>
  <c r="M3" i="34"/>
  <c r="Z5" i="34"/>
  <c r="AH38" i="34"/>
  <c r="U37" i="34"/>
  <c r="Y4" i="34"/>
  <c r="Q2" i="34"/>
  <c r="AH46" i="34"/>
  <c r="AD38" i="34"/>
  <c r="W53" i="34"/>
  <c r="R40" i="34"/>
  <c r="AH29" i="34"/>
  <c r="V21" i="34"/>
  <c r="AF21" i="34"/>
  <c r="AC29" i="34"/>
  <c r="AF28" i="34"/>
  <c r="O7" i="34"/>
  <c r="N46" i="34"/>
  <c r="AD5" i="34"/>
  <c r="T49" i="34"/>
  <c r="V38" i="34"/>
  <c r="L27" i="34"/>
  <c r="O55" i="34"/>
  <c r="M37" i="34"/>
  <c r="V47" i="34"/>
  <c r="AA47" i="34"/>
  <c r="AC9" i="34"/>
  <c r="W17" i="34"/>
  <c r="Z41" i="34"/>
  <c r="Z45" i="34"/>
  <c r="V20" i="34"/>
  <c r="Z23" i="34"/>
  <c r="AA8" i="34"/>
  <c r="L46" i="34"/>
  <c r="U38" i="34"/>
  <c r="L48" i="34"/>
  <c r="AB18" i="34"/>
  <c r="X55" i="34"/>
  <c r="AA54" i="34"/>
  <c r="W18" i="34"/>
  <c r="S36" i="34"/>
  <c r="Y43" i="34"/>
  <c r="Y45" i="34"/>
  <c r="U42" i="34"/>
  <c r="U27" i="34"/>
  <c r="AD22" i="34"/>
  <c r="AC49" i="34"/>
  <c r="AE27" i="34"/>
  <c r="L4" i="34"/>
  <c r="Q5" i="34"/>
  <c r="S20" i="34"/>
  <c r="R21" i="34"/>
  <c r="T11" i="34"/>
  <c r="T38" i="34"/>
  <c r="O41" i="34"/>
  <c r="AE4" i="34"/>
  <c r="V6" i="34"/>
  <c r="V33" i="34"/>
  <c r="AI9" i="34"/>
  <c r="AI17" i="34"/>
  <c r="S23" i="34"/>
  <c r="S38" i="34"/>
  <c r="AB39" i="34"/>
  <c r="AD10" i="34"/>
  <c r="AD34" i="34"/>
  <c r="AE7" i="34"/>
  <c r="AE51" i="34"/>
  <c r="S5" i="34"/>
  <c r="S50" i="34"/>
  <c r="S2" i="34"/>
  <c r="M20" i="34"/>
  <c r="P6" i="34"/>
  <c r="P33" i="34"/>
  <c r="P40" i="34"/>
  <c r="P26" i="34"/>
  <c r="AG12" i="34"/>
  <c r="AG35" i="34"/>
  <c r="Y20" i="34"/>
  <c r="AB6" i="34"/>
  <c r="AB33" i="34"/>
  <c r="Q46" i="34"/>
  <c r="Q28" i="34"/>
  <c r="Q11" i="34"/>
  <c r="AF45" i="34"/>
  <c r="AE41" i="34"/>
  <c r="AE44" i="34"/>
  <c r="O39" i="34"/>
  <c r="R9" i="34"/>
  <c r="AE26" i="34"/>
  <c r="O46" i="34"/>
  <c r="R14" i="34"/>
  <c r="S41" i="34"/>
  <c r="S44" i="34"/>
  <c r="AI6" i="34"/>
  <c r="AI33" i="34"/>
  <c r="AD12" i="34"/>
  <c r="AD35" i="34"/>
  <c r="Y41" i="34"/>
  <c r="Y44" i="34"/>
  <c r="AH39" i="34"/>
  <c r="W40" i="34"/>
  <c r="O22" i="34"/>
  <c r="O20" i="34"/>
  <c r="AF4" i="34"/>
  <c r="AF32" i="34"/>
  <c r="U22" i="34"/>
  <c r="U20" i="34"/>
  <c r="M7" i="34"/>
  <c r="M51" i="34"/>
  <c r="Z10" i="34"/>
  <c r="P44" i="34"/>
  <c r="W41" i="34"/>
  <c r="AD14" i="34"/>
  <c r="AF6" i="34"/>
  <c r="AF33" i="34"/>
  <c r="AE20" i="34"/>
  <c r="V39" i="34"/>
  <c r="AI8" i="34"/>
  <c r="AI16" i="34"/>
  <c r="AF27" i="34"/>
  <c r="AF10" i="34"/>
  <c r="AF34" i="34"/>
  <c r="AH27" i="34"/>
  <c r="AC26" i="34"/>
  <c r="Q10" i="34"/>
  <c r="Q34" i="34"/>
  <c r="M47" i="34"/>
  <c r="AG10" i="34"/>
  <c r="X9" i="34"/>
  <c r="S43" i="34"/>
  <c r="S45" i="34"/>
  <c r="AG42" i="34"/>
  <c r="AG27" i="34"/>
  <c r="U23" i="34"/>
  <c r="AB9" i="34"/>
  <c r="AG9" i="34"/>
  <c r="AG17" i="34"/>
  <c r="W46" i="34"/>
  <c r="Q44" i="34"/>
  <c r="Z26" i="34"/>
  <c r="AI4" i="34"/>
  <c r="AI32" i="34"/>
  <c r="T8" i="34"/>
  <c r="P45" i="34"/>
  <c r="P28" i="34"/>
  <c r="AD45" i="34"/>
  <c r="R22" i="34"/>
  <c r="AF3" i="34"/>
  <c r="Q49" i="34"/>
  <c r="P38" i="34"/>
  <c r="R4" i="34"/>
  <c r="W5" i="34"/>
  <c r="AD27" i="34"/>
  <c r="S25" i="34"/>
  <c r="S39" i="34"/>
  <c r="N20" i="34"/>
  <c r="T50" i="34"/>
  <c r="AB17" i="34"/>
  <c r="Z17" i="34"/>
  <c r="R37" i="34"/>
  <c r="T16" i="34"/>
  <c r="W54" i="34"/>
  <c r="R35" i="34"/>
  <c r="AC16" i="34"/>
  <c r="O52" i="34"/>
  <c r="X16" i="34"/>
  <c r="P34" i="34"/>
  <c r="Y52" i="34"/>
  <c r="Z53" i="34"/>
  <c r="Y33" i="34"/>
  <c r="P50" i="34"/>
  <c r="T14" i="34"/>
  <c r="S14" i="34"/>
  <c r="U32" i="34"/>
  <c r="L53" i="34"/>
  <c r="V53" i="34"/>
  <c r="N32" i="34"/>
  <c r="AH51" i="34"/>
  <c r="AH52" i="34"/>
  <c r="S35" i="34"/>
  <c r="M18" i="34"/>
  <c r="AF54" i="34"/>
  <c r="O19" i="34"/>
  <c r="Z51" i="34"/>
  <c r="X17" i="34"/>
  <c r="S19" i="34"/>
  <c r="V37" i="34"/>
  <c r="W14" i="34"/>
  <c r="X33" i="34"/>
  <c r="AG5" i="34"/>
  <c r="AG50" i="34"/>
  <c r="Y25" i="34"/>
  <c r="Y39" i="34"/>
  <c r="Z20" i="34"/>
  <c r="AI52" i="34"/>
  <c r="T17" i="34"/>
  <c r="AC35" i="34"/>
  <c r="Q54" i="34"/>
  <c r="Q16" i="34"/>
  <c r="Q36" i="34"/>
  <c r="AA33" i="34"/>
  <c r="AB34" i="34"/>
  <c r="V15" i="34"/>
  <c r="V14" i="34"/>
  <c r="M33" i="34"/>
  <c r="AE14" i="34"/>
  <c r="O32" i="34"/>
  <c r="O6" i="34"/>
  <c r="X53" i="34"/>
  <c r="U17" i="34"/>
  <c r="AB53" i="34"/>
  <c r="Z32" i="34"/>
  <c r="V51" i="34"/>
  <c r="S15" i="34"/>
  <c r="V52" i="34"/>
  <c r="M35" i="34"/>
  <c r="AH54" i="34"/>
  <c r="M16" i="34"/>
  <c r="AF52" i="34"/>
  <c r="AI15" i="34"/>
  <c r="AI19" i="34"/>
  <c r="R52" i="34"/>
  <c r="AI51" i="34"/>
  <c r="P37" i="34"/>
  <c r="Q14" i="34"/>
  <c r="AA14" i="34"/>
  <c r="AD33" i="34"/>
  <c r="Y23" i="34"/>
  <c r="Y38" i="34"/>
  <c r="U44" i="34"/>
  <c r="AD3" i="34"/>
  <c r="AD15" i="34"/>
  <c r="AG13" i="34"/>
  <c r="AG53" i="34"/>
  <c r="AG39" i="34"/>
  <c r="AF44" i="34"/>
  <c r="T27" i="34"/>
  <c r="N11" i="34"/>
  <c r="N38" i="34"/>
  <c r="Z40" i="34"/>
  <c r="V27" i="34"/>
  <c r="Q48" i="34"/>
  <c r="T25" i="34"/>
  <c r="M5" i="34"/>
  <c r="M50" i="34"/>
  <c r="M43" i="34"/>
  <c r="M45" i="34"/>
  <c r="O42" i="34"/>
  <c r="O27" i="34"/>
  <c r="AA23" i="34"/>
  <c r="AH10" i="34"/>
  <c r="AA9" i="34"/>
  <c r="AC46" i="34"/>
  <c r="AG46" i="34"/>
  <c r="S28" i="34"/>
  <c r="S21" i="34"/>
  <c r="Q4" i="34"/>
  <c r="Q32" i="34"/>
  <c r="AC42" i="34"/>
  <c r="AE3" i="34"/>
  <c r="S40" i="34"/>
  <c r="Z8" i="34"/>
  <c r="AF5" i="34"/>
  <c r="T43" i="34"/>
  <c r="L22" i="34"/>
  <c r="L20" i="34"/>
  <c r="AG24" i="34"/>
  <c r="AG21" i="34"/>
  <c r="T3" i="34"/>
  <c r="AA11" i="34"/>
  <c r="S27" i="34"/>
  <c r="X4" i="34"/>
  <c r="AC5" i="34"/>
  <c r="M25" i="34"/>
  <c r="M39" i="34"/>
  <c r="R47" i="34"/>
  <c r="W52" i="34"/>
  <c r="P17" i="34"/>
  <c r="N37" i="34"/>
  <c r="N15" i="34"/>
  <c r="R34" i="34"/>
  <c r="N16" i="34"/>
  <c r="AC54" i="34"/>
  <c r="L35" i="34"/>
  <c r="AH36" i="34"/>
  <c r="P15" i="34"/>
  <c r="AE34" i="34"/>
  <c r="P14" i="34"/>
  <c r="N14" i="34"/>
  <c r="M14" i="34"/>
  <c r="AA32" i="34"/>
  <c r="U16" i="34"/>
  <c r="O17" i="34"/>
  <c r="U53" i="34"/>
  <c r="AB51" i="34"/>
  <c r="M15" i="34"/>
  <c r="P52" i="34"/>
  <c r="AA18" i="34"/>
  <c r="Y35" i="34"/>
  <c r="AC36" i="34"/>
  <c r="T54" i="34"/>
  <c r="AE54" i="34"/>
  <c r="AE32" i="34"/>
  <c r="Y16" i="34"/>
  <c r="T52" i="34"/>
  <c r="AG34" i="34"/>
  <c r="X52" i="34"/>
  <c r="W51" i="34"/>
  <c r="AE53" i="34"/>
  <c r="M19" i="34"/>
  <c r="AB37" i="34"/>
  <c r="AC14" i="34"/>
  <c r="AI50" i="34"/>
  <c r="O14" i="34"/>
  <c r="O18" i="34"/>
  <c r="AA41" i="34"/>
  <c r="AC47" i="34"/>
  <c r="AF12" i="34"/>
  <c r="AF35" i="34"/>
  <c r="Y29" i="34"/>
  <c r="M23" i="34"/>
  <c r="M38" i="34"/>
  <c r="AG22" i="34"/>
  <c r="AG20" i="34"/>
  <c r="U29" i="34"/>
  <c r="O44" i="34"/>
  <c r="O10" i="34"/>
  <c r="W2" i="34"/>
  <c r="AG2" i="34"/>
  <c r="AG14" i="34"/>
  <c r="U39" i="34"/>
  <c r="AD21" i="34"/>
  <c r="T44" i="34"/>
  <c r="N27" i="34"/>
  <c r="Z11" i="34"/>
  <c r="Z38" i="34"/>
  <c r="T10" i="34"/>
  <c r="AG7" i="34"/>
  <c r="AG51" i="34"/>
  <c r="AH44" i="34"/>
  <c r="AB27" i="34"/>
  <c r="AI41" i="34"/>
  <c r="U10" i="34"/>
  <c r="AC48" i="34"/>
  <c r="AF46" i="34"/>
  <c r="R28" i="34"/>
  <c r="T29" i="34"/>
  <c r="Y5" i="34"/>
  <c r="Y50" i="34"/>
  <c r="AA42" i="34"/>
  <c r="AA27" i="34"/>
  <c r="O9" i="34"/>
  <c r="U46" i="34"/>
  <c r="M28" i="34"/>
  <c r="R23" i="34"/>
  <c r="L25" i="34"/>
  <c r="AC4" i="34"/>
  <c r="AH4" i="34"/>
  <c r="AH32" i="34"/>
  <c r="AI13" i="34"/>
  <c r="AI53" i="34"/>
  <c r="S3" i="34"/>
  <c r="Y40" i="34"/>
  <c r="U45" i="34"/>
  <c r="O28" i="34"/>
  <c r="AB5" i="34"/>
  <c r="AH23" i="34"/>
  <c r="T5" i="34"/>
  <c r="X22" i="34"/>
  <c r="AG40" i="34"/>
  <c r="AG26" i="34"/>
  <c r="N3" i="34"/>
  <c r="X44" i="34"/>
  <c r="Y27" i="34"/>
  <c r="AD4" i="34"/>
  <c r="AH2" i="34"/>
  <c r="AD47" i="34"/>
  <c r="Z50" i="34"/>
  <c r="Q52" i="34"/>
  <c r="Q30" i="34"/>
  <c r="V17" i="34"/>
  <c r="Z37" i="34"/>
  <c r="AE17" i="34"/>
  <c r="Z15" i="34"/>
  <c r="L34" i="34"/>
  <c r="Z16" i="34"/>
  <c r="X14" i="34"/>
  <c r="T19" i="34"/>
  <c r="AB15" i="34"/>
  <c r="T34" i="34"/>
  <c r="R32" i="34"/>
  <c r="R51" i="34"/>
  <c r="AB14" i="34"/>
  <c r="Z14" i="34"/>
  <c r="Y14" i="34"/>
  <c r="AA16" i="34"/>
  <c r="AA17" i="34"/>
  <c r="P53" i="34"/>
  <c r="AA53" i="34"/>
  <c r="P51" i="34"/>
  <c r="AC33" i="34"/>
  <c r="AB52" i="34"/>
  <c r="N54" i="34"/>
  <c r="AH55" i="34"/>
  <c r="S32" i="34"/>
  <c r="AF51" i="34"/>
  <c r="S16" i="34"/>
  <c r="N52" i="34"/>
  <c r="W15" i="34"/>
  <c r="L52" i="34"/>
  <c r="AH35" i="34"/>
  <c r="T41" i="34"/>
  <c r="AA29" i="34"/>
  <c r="AA44" i="34"/>
  <c r="AG8" i="34"/>
  <c r="AG16" i="34"/>
  <c r="AC39" i="34"/>
  <c r="U2" i="34"/>
  <c r="U14" i="34"/>
  <c r="AA39" i="34"/>
  <c r="Q55" i="34"/>
  <c r="AC8" i="34"/>
  <c r="S7" i="34"/>
  <c r="S51" i="34"/>
  <c r="N44" i="34"/>
  <c r="Z27" i="34"/>
  <c r="AI12" i="34"/>
  <c r="AI35" i="34"/>
  <c r="N10" i="34"/>
  <c r="V44" i="34"/>
  <c r="AE47" i="34"/>
  <c r="L11" i="34"/>
  <c r="AA10" i="34"/>
  <c r="X28" i="34"/>
  <c r="N29" i="34"/>
  <c r="R5" i="34"/>
  <c r="R29" i="34"/>
  <c r="V10" i="34"/>
  <c r="AF9" i="34"/>
  <c r="AA46" i="34"/>
  <c r="Y28" i="34"/>
  <c r="AF26" i="34"/>
  <c r="R26" i="34"/>
  <c r="AD23" i="34"/>
  <c r="Y3" i="34"/>
  <c r="M40" i="34"/>
  <c r="AH28" i="34"/>
  <c r="R8" i="34"/>
  <c r="AA28" i="34"/>
  <c r="V23" i="34"/>
  <c r="N5" i="34"/>
  <c r="U24" i="34"/>
  <c r="U21" i="34"/>
  <c r="X42" i="34"/>
  <c r="Z3" i="34"/>
  <c r="AI21" i="34"/>
  <c r="M27" i="34"/>
  <c r="R41" i="34"/>
  <c r="L47" i="34"/>
  <c r="AH16" i="34"/>
  <c r="AC52" i="34"/>
  <c r="AF55" i="34"/>
  <c r="L55" i="34"/>
  <c r="V36" i="34"/>
  <c r="L14" i="34"/>
  <c r="AE52" i="34"/>
  <c r="N34" i="34"/>
  <c r="S34" i="34"/>
  <c r="AF53" i="34"/>
  <c r="AD32" i="34"/>
  <c r="L51" i="34"/>
  <c r="AH50" i="34"/>
  <c r="W32" i="34"/>
  <c r="X19" i="34"/>
  <c r="Y55" i="34"/>
  <c r="O53" i="34"/>
  <c r="Y15" i="34"/>
  <c r="V54" i="34"/>
  <c r="Z54" i="34"/>
  <c r="R50" i="34"/>
  <c r="V55" i="34"/>
  <c r="Y32" i="34"/>
  <c r="Z52" i="34"/>
  <c r="Q15" i="34"/>
  <c r="U34" i="34"/>
  <c r="Q51" i="34"/>
  <c r="V35" i="34"/>
  <c r="S53" i="34"/>
  <c r="W50" i="34"/>
  <c r="U50" i="34"/>
  <c r="V4" i="34"/>
  <c r="V32" i="34"/>
  <c r="AH45" i="34"/>
  <c r="AD8" i="34"/>
  <c r="AD16" i="34"/>
  <c r="AH26" i="34"/>
  <c r="P23" i="34"/>
  <c r="AG3" i="34"/>
  <c r="AG15" i="34"/>
  <c r="U40" i="34"/>
  <c r="U26" i="34"/>
  <c r="O24" i="34"/>
  <c r="O21" i="34"/>
  <c r="W21" i="34"/>
  <c r="AI5" i="34"/>
  <c r="V2" i="34"/>
  <c r="L41" i="34"/>
  <c r="P24" i="34"/>
  <c r="P21" i="34"/>
  <c r="X47" i="34"/>
  <c r="V16" i="34"/>
  <c r="T35" i="34"/>
  <c r="AF17" i="34"/>
  <c r="S17" i="34"/>
  <c r="W35" i="34"/>
  <c r="U51" i="34"/>
  <c r="AB36" i="34"/>
  <c r="AG33" i="34"/>
  <c r="AH34" i="34"/>
  <c r="Z34" i="34"/>
  <c r="Y34" i="34"/>
  <c r="T53" i="34"/>
  <c r="U35" i="34"/>
  <c r="L32" i="34"/>
  <c r="AE33" i="34"/>
  <c r="AC32" i="34"/>
  <c r="S37" i="34"/>
  <c r="P54" i="34"/>
  <c r="AE18" i="34"/>
  <c r="S54" i="34"/>
  <c r="L50" i="34"/>
  <c r="AB55" i="34"/>
  <c r="M32" i="34"/>
  <c r="AC15" i="34"/>
  <c r="AC51" i="34"/>
  <c r="P35" i="34"/>
  <c r="M53" i="34"/>
  <c r="T33" i="34"/>
  <c r="Q50" i="34"/>
  <c r="O50" i="34"/>
  <c r="O12" i="34"/>
  <c r="AD13" i="34"/>
  <c r="AD53" i="34"/>
  <c r="O8" i="34"/>
  <c r="O16" i="34"/>
  <c r="AC45" i="34"/>
  <c r="Y7" i="34"/>
  <c r="Y51" i="34"/>
  <c r="AF11" i="34"/>
  <c r="AB44" i="34"/>
  <c r="AI26" i="34"/>
  <c r="Q41" i="34"/>
  <c r="AI10" i="34"/>
  <c r="AI34" i="34"/>
  <c r="S47" i="34"/>
  <c r="AD11" i="34"/>
  <c r="AD52" i="34"/>
  <c r="AD9" i="34"/>
  <c r="AD17" i="34"/>
  <c r="L28" i="34"/>
  <c r="P22" i="34"/>
  <c r="P20" i="34"/>
  <c r="P10" i="34"/>
  <c r="AI30" i="34"/>
  <c r="N9" i="34"/>
  <c r="AI44" i="34"/>
  <c r="T26" i="34"/>
  <c r="X26" i="34"/>
  <c r="X23" i="34"/>
  <c r="AI23" i="34"/>
  <c r="AB4" i="34"/>
  <c r="AB32" i="34"/>
  <c r="V28" i="34"/>
  <c r="L8" i="34"/>
  <c r="R45" i="34"/>
  <c r="V26" i="34"/>
  <c r="AB23" i="34"/>
  <c r="U3" i="34"/>
  <c r="U15" i="34"/>
  <c r="O40" i="34"/>
  <c r="O26" i="34"/>
  <c r="AA24" i="34"/>
  <c r="AA21" i="34"/>
  <c r="AB2" i="34"/>
  <c r="AF20" i="34"/>
  <c r="X41" i="34"/>
  <c r="AB24" i="34"/>
  <c r="V19" i="34"/>
  <c r="AF50" i="34"/>
  <c r="AB16" i="34"/>
  <c r="V18" i="34"/>
  <c r="N35" i="34"/>
  <c r="N55" i="34"/>
  <c r="AH17" i="34"/>
  <c r="Y17" i="34"/>
  <c r="Q35" i="34"/>
  <c r="X34" i="34"/>
  <c r="O51" i="34"/>
  <c r="AF18" i="34"/>
  <c r="AF37" i="34"/>
  <c r="U54" i="34"/>
  <c r="X15" i="34"/>
  <c r="U33" i="34"/>
  <c r="R16" i="34"/>
  <c r="S52" i="34"/>
  <c r="O15" i="34"/>
  <c r="M34" i="34"/>
  <c r="X51" i="34"/>
  <c r="V50" i="34"/>
  <c r="AH53" i="34"/>
  <c r="AE15" i="34"/>
  <c r="AB54" i="34"/>
  <c r="S18" i="34"/>
  <c r="M54" i="34"/>
  <c r="X50" i="34"/>
  <c r="P55" i="34"/>
  <c r="T51" i="34"/>
  <c r="AE16" i="34"/>
  <c r="W34" i="34"/>
  <c r="R17" i="34"/>
  <c r="AB35" i="34"/>
  <c r="Y53" i="34"/>
  <c r="AH37" i="34"/>
  <c r="AI14" i="34"/>
  <c r="AI18" i="34"/>
  <c r="N33" i="34"/>
  <c r="AC50" i="34"/>
  <c r="R33" i="34"/>
  <c r="AA50" i="34"/>
  <c r="AH6" i="34"/>
  <c r="AH33" i="34"/>
  <c r="AG41" i="34"/>
  <c r="V46" i="34"/>
  <c r="M41" i="34"/>
  <c r="M44" i="34"/>
  <c r="AH3" i="34"/>
  <c r="L38" i="34"/>
  <c r="AE29" i="34"/>
  <c r="AE23" i="34"/>
  <c r="AE38" i="34"/>
  <c r="AA22" i="34"/>
  <c r="AA20" i="34"/>
  <c r="Q53" i="34"/>
  <c r="R3" i="34"/>
  <c r="R15" i="34"/>
  <c r="AD40" i="34"/>
  <c r="AI22" i="34"/>
  <c r="V29" i="34"/>
  <c r="P42" i="34"/>
  <c r="P27" i="34"/>
  <c r="AF38" i="34"/>
  <c r="Q29" i="34"/>
  <c r="AF40" i="34"/>
  <c r="T28" i="34"/>
  <c r="W26" i="34"/>
  <c r="Q6" i="34"/>
  <c r="Q33" i="34"/>
  <c r="AC41" i="34"/>
  <c r="Y47" i="34"/>
  <c r="L9" i="34"/>
  <c r="Z46" i="34"/>
  <c r="AE5" i="34"/>
  <c r="AE50" i="34"/>
  <c r="AE43" i="34"/>
  <c r="AE45" i="34"/>
  <c r="AG23" i="34"/>
  <c r="V9" i="34"/>
  <c r="X29" i="34"/>
  <c r="AI46" i="34"/>
  <c r="Z9" i="34"/>
  <c r="W44" i="34"/>
  <c r="N26" i="34"/>
  <c r="AD26" i="34"/>
  <c r="W23" i="34"/>
  <c r="P4" i="34"/>
  <c r="P32" i="34"/>
  <c r="AF8" i="34"/>
  <c r="V45" i="34"/>
  <c r="AB28" i="34"/>
  <c r="X8" i="34"/>
  <c r="AH5" i="34"/>
  <c r="X45" i="34"/>
  <c r="AB26" i="34"/>
  <c r="AA40" i="34"/>
  <c r="AA26" i="34"/>
  <c r="AG11" i="34"/>
  <c r="AG52" i="34"/>
  <c r="W49" i="34"/>
  <c r="AB38" i="34"/>
  <c r="AC21" i="34"/>
  <c r="X27" i="34"/>
  <c r="AE25" i="34"/>
  <c r="AE39" i="34"/>
  <c r="T20" i="34"/>
  <c r="AD41" i="34"/>
  <c r="P16" i="34"/>
  <c r="Z35" i="34"/>
  <c r="Z55" i="34"/>
  <c r="N17" i="34"/>
  <c r="M17" i="34"/>
  <c r="AF15" i="34"/>
  <c r="AA51" i="34"/>
  <c r="AF16" i="34"/>
  <c r="AF36" i="34"/>
  <c r="P36" i="34"/>
  <c r="W16" i="34"/>
  <c r="L15" i="34"/>
  <c r="U52" i="34"/>
  <c r="L16" i="34"/>
  <c r="V34" i="34"/>
  <c r="M52" i="34"/>
  <c r="AH15" i="34"/>
  <c r="AA15" i="34"/>
  <c r="N53" i="34"/>
  <c r="AA35" i="34"/>
  <c r="X32" i="34"/>
  <c r="AD51" i="34"/>
  <c r="AH14" i="34"/>
  <c r="S33" i="34"/>
  <c r="AB50" i="34"/>
  <c r="AF14" i="34"/>
  <c r="AG32" i="34"/>
  <c r="R53" i="34"/>
  <c r="T32" i="34"/>
  <c r="W33" i="34"/>
  <c r="AE35" i="34"/>
  <c r="Y18" i="34"/>
  <c r="Y54" i="34"/>
  <c r="AA19" i="34"/>
  <c r="AD50" i="34"/>
  <c r="N51" i="34"/>
  <c r="AC34" i="34"/>
  <c r="AA34" i="34"/>
  <c r="L17" i="34"/>
  <c r="AE19" i="34"/>
  <c r="Z33" i="34"/>
  <c r="L33" i="34"/>
  <c r="E9" i="30"/>
  <c r="D137" i="16"/>
  <c r="F9" i="30" s="1"/>
  <c r="W112" i="7" s="1" a="1"/>
  <c r="W112" i="7" s="1"/>
  <c r="C19" i="29"/>
  <c r="H19" i="29"/>
  <c r="I19" i="29"/>
  <c r="J19" i="29"/>
  <c r="K19" i="29"/>
  <c r="M19" i="29"/>
  <c r="N19" i="29"/>
  <c r="O19" i="29"/>
  <c r="P19" i="29"/>
  <c r="C18" i="29"/>
  <c r="H18" i="29"/>
  <c r="I18" i="29"/>
  <c r="J18" i="29"/>
  <c r="K18" i="29"/>
  <c r="M18" i="29"/>
  <c r="N18" i="29"/>
  <c r="O18" i="29"/>
  <c r="P18" i="29"/>
  <c r="C4" i="29"/>
  <c r="D4" i="29"/>
  <c r="E4" i="29"/>
  <c r="F4" i="29"/>
  <c r="H4" i="29"/>
  <c r="I4" i="29"/>
  <c r="J4" i="29"/>
  <c r="K4" i="29"/>
  <c r="M4" i="29"/>
  <c r="N4" i="29"/>
  <c r="O4" i="29"/>
  <c r="P4" i="29"/>
  <c r="C5" i="29"/>
  <c r="D5" i="29"/>
  <c r="E5" i="29"/>
  <c r="F5" i="29"/>
  <c r="H5" i="29"/>
  <c r="I5" i="29"/>
  <c r="J5" i="29"/>
  <c r="K5" i="29"/>
  <c r="M5" i="29"/>
  <c r="N5" i="29"/>
  <c r="O5" i="29"/>
  <c r="P5" i="29"/>
  <c r="C6" i="29"/>
  <c r="D6" i="29"/>
  <c r="E6" i="29"/>
  <c r="F6" i="29"/>
  <c r="H6" i="29"/>
  <c r="I6" i="29"/>
  <c r="K6" i="29"/>
  <c r="M6" i="29"/>
  <c r="N6" i="29"/>
  <c r="O6" i="29"/>
  <c r="P6" i="29"/>
  <c r="C7" i="29"/>
  <c r="D7" i="29"/>
  <c r="E7" i="29"/>
  <c r="F7" i="29"/>
  <c r="H7" i="29"/>
  <c r="I7" i="29"/>
  <c r="J7" i="29"/>
  <c r="K7" i="29"/>
  <c r="M7" i="29"/>
  <c r="N7" i="29"/>
  <c r="O7" i="29"/>
  <c r="P7" i="29"/>
  <c r="C8" i="29"/>
  <c r="D8" i="29"/>
  <c r="E8" i="29"/>
  <c r="F8" i="29"/>
  <c r="H8" i="29"/>
  <c r="I8" i="29"/>
  <c r="J8" i="29"/>
  <c r="K8" i="29"/>
  <c r="M8" i="29"/>
  <c r="N8" i="29"/>
  <c r="O8" i="29"/>
  <c r="P8" i="29"/>
  <c r="C9" i="29"/>
  <c r="D9" i="29"/>
  <c r="E9" i="29"/>
  <c r="F9" i="29"/>
  <c r="H9" i="29"/>
  <c r="I9" i="29"/>
  <c r="J9" i="29"/>
  <c r="K9" i="29"/>
  <c r="M9" i="29"/>
  <c r="N9" i="29"/>
  <c r="O9" i="29"/>
  <c r="P9" i="29"/>
  <c r="C10" i="29"/>
  <c r="D10" i="29"/>
  <c r="E10" i="29"/>
  <c r="F10" i="29"/>
  <c r="H10" i="29"/>
  <c r="I10" i="29"/>
  <c r="J10" i="29"/>
  <c r="K10" i="29"/>
  <c r="M10" i="29"/>
  <c r="N10" i="29"/>
  <c r="O10" i="29"/>
  <c r="P10" i="29"/>
  <c r="C11" i="29"/>
  <c r="D11" i="29"/>
  <c r="E11" i="29"/>
  <c r="F11" i="29"/>
  <c r="H11" i="29"/>
  <c r="I11" i="29"/>
  <c r="J11" i="29"/>
  <c r="K11" i="29"/>
  <c r="M11" i="29"/>
  <c r="N11" i="29"/>
  <c r="O11" i="29"/>
  <c r="P11" i="29"/>
  <c r="C12" i="29"/>
  <c r="D12" i="29"/>
  <c r="E12" i="29"/>
  <c r="F12" i="29"/>
  <c r="H12" i="29"/>
  <c r="I12" i="29"/>
  <c r="J12" i="29"/>
  <c r="K12" i="29"/>
  <c r="M12" i="29"/>
  <c r="N12" i="29"/>
  <c r="O12" i="29"/>
  <c r="P12" i="29"/>
  <c r="C13" i="29"/>
  <c r="D13" i="29"/>
  <c r="E13" i="29"/>
  <c r="F13" i="29"/>
  <c r="H13" i="29"/>
  <c r="I13" i="29"/>
  <c r="J13" i="29"/>
  <c r="K13" i="29"/>
  <c r="M13" i="29"/>
  <c r="N13" i="29"/>
  <c r="O13" i="29"/>
  <c r="P13" i="29"/>
  <c r="C14" i="29"/>
  <c r="D14" i="29"/>
  <c r="E14" i="29"/>
  <c r="F14" i="29"/>
  <c r="H14" i="29"/>
  <c r="I14" i="29"/>
  <c r="J14" i="29"/>
  <c r="K14" i="29"/>
  <c r="M14" i="29"/>
  <c r="N14" i="29"/>
  <c r="O14" i="29"/>
  <c r="P14" i="29"/>
  <c r="C15" i="29"/>
  <c r="D15" i="29"/>
  <c r="E15" i="29"/>
  <c r="F15" i="29"/>
  <c r="H15" i="29"/>
  <c r="I15" i="29"/>
  <c r="J15" i="29"/>
  <c r="K15" i="29"/>
  <c r="M15" i="29"/>
  <c r="N15" i="29"/>
  <c r="O15" i="29"/>
  <c r="P15" i="29"/>
  <c r="C16" i="29"/>
  <c r="D16" i="29"/>
  <c r="E16" i="29"/>
  <c r="F16" i="29"/>
  <c r="H16" i="29"/>
  <c r="I16" i="29"/>
  <c r="J16" i="29"/>
  <c r="K16" i="29"/>
  <c r="M16" i="29"/>
  <c r="N16" i="29"/>
  <c r="O16" i="29"/>
  <c r="P16" i="29"/>
  <c r="C17" i="29"/>
  <c r="D17" i="29"/>
  <c r="E17" i="29"/>
  <c r="F17" i="29"/>
  <c r="H17" i="29"/>
  <c r="I17" i="29"/>
  <c r="J17" i="29"/>
  <c r="K17" i="29"/>
  <c r="M17" i="29"/>
  <c r="N17" i="29"/>
  <c r="O17" i="29"/>
  <c r="P17" i="29"/>
  <c r="D3" i="29"/>
  <c r="E3" i="29"/>
  <c r="F3" i="29"/>
  <c r="H3" i="29"/>
  <c r="I3" i="29"/>
  <c r="J3" i="29"/>
  <c r="K3" i="29"/>
  <c r="M3" i="29"/>
  <c r="N3" i="29"/>
  <c r="O3" i="29"/>
  <c r="P3" i="29"/>
  <c r="C3" i="29"/>
  <c r="W130" i="7" l="1" a="1"/>
  <c r="W130" i="7" s="1"/>
  <c r="V108" i="7" a="1"/>
  <c r="V108" i="7" s="1"/>
  <c r="V109" i="7" a="1"/>
  <c r="V109" i="7" s="1"/>
  <c r="V92" i="7" a="1"/>
  <c r="V92" i="7" s="1"/>
  <c r="V97" i="7" a="1"/>
  <c r="V97" i="7" s="1"/>
  <c r="V95" i="7" a="1"/>
  <c r="V95" i="7" s="1"/>
  <c r="V93" i="7" a="1"/>
  <c r="V93" i="7" s="1"/>
  <c r="V54" i="7" a="1"/>
  <c r="V54" i="7" s="1"/>
  <c r="V16" i="7" a="1"/>
  <c r="V16" i="7" s="1"/>
  <c r="V8" i="7" a="1"/>
  <c r="V8" i="7" s="1"/>
  <c r="V85" i="7" a="1"/>
  <c r="V85" i="7" s="1"/>
  <c r="V69" i="7" a="1"/>
  <c r="V69" i="7" s="1"/>
  <c r="V18" i="7" a="1"/>
  <c r="V18" i="7" s="1"/>
  <c r="V58" i="7" a="1"/>
  <c r="V58" i="7" s="1"/>
  <c r="V14" i="7" a="1"/>
  <c r="V14" i="7" s="1"/>
  <c r="V111" i="7" a="1"/>
  <c r="V111" i="7" s="1"/>
  <c r="V29" i="7" a="1"/>
  <c r="V29" i="7" s="1"/>
  <c r="V83" i="7" a="1"/>
  <c r="V83" i="7" s="1"/>
  <c r="V12" i="7" a="1"/>
  <c r="V12" i="7" s="1"/>
  <c r="V137" i="7" a="1"/>
  <c r="V137" i="7" s="1"/>
  <c r="V120" i="7" a="1"/>
  <c r="V120" i="7" s="1"/>
  <c r="V84" i="7" a="1"/>
  <c r="V84" i="7" s="1"/>
  <c r="V61" i="7" a="1"/>
  <c r="V61" i="7" s="1"/>
  <c r="V28" i="7" a="1"/>
  <c r="V28" i="7" s="1"/>
  <c r="V132" i="7" a="1"/>
  <c r="V132" i="7" s="1"/>
  <c r="V118" i="7" a="1"/>
  <c r="V118" i="7" s="1"/>
  <c r="V117" i="7" a="1"/>
  <c r="V117" i="7" s="1"/>
  <c r="V45" i="7" a="1"/>
  <c r="V45" i="7" s="1"/>
  <c r="V47" i="7" a="1"/>
  <c r="V47" i="7" s="1"/>
  <c r="V159" i="7" a="1"/>
  <c r="V159" i="7" s="1"/>
  <c r="V157" i="7" a="1"/>
  <c r="V157" i="7" s="1"/>
  <c r="V155" i="7" a="1"/>
  <c r="V155" i="7" s="1"/>
  <c r="V153" i="7" a="1"/>
  <c r="V153" i="7" s="1"/>
  <c r="V149" i="7" a="1"/>
  <c r="V149" i="7" s="1"/>
  <c r="V147" i="7" a="1"/>
  <c r="V147" i="7" s="1"/>
  <c r="V104" i="7" a="1"/>
  <c r="V104" i="7" s="1"/>
  <c r="V40" i="7" a="1"/>
  <c r="V40" i="7" s="1"/>
  <c r="V19" i="7" a="1"/>
  <c r="V19" i="7" s="1"/>
  <c r="V70" i="7" a="1"/>
  <c r="V70" i="7" s="1"/>
  <c r="V141" i="7" a="1"/>
  <c r="V141" i="7" s="1"/>
  <c r="V126" i="7" a="1"/>
  <c r="V126" i="7" s="1"/>
  <c r="V66" i="7" a="1"/>
  <c r="V66" i="7" s="1"/>
  <c r="V13" i="7" a="1"/>
  <c r="V13" i="7" s="1"/>
  <c r="V99" i="7" a="1"/>
  <c r="V99" i="7" s="1"/>
  <c r="V106" i="7" a="1"/>
  <c r="V106" i="7" s="1"/>
  <c r="V87" i="7" a="1"/>
  <c r="V87" i="7" s="1"/>
  <c r="V64" i="7" a="1"/>
  <c r="V64" i="7" s="1"/>
  <c r="V125" i="7" a="1"/>
  <c r="V125" i="7" s="1"/>
  <c r="V110" i="7" a="1"/>
  <c r="V110" i="7" s="1"/>
  <c r="V72" i="7" a="1"/>
  <c r="V72" i="7" s="1"/>
  <c r="V119" i="7" a="1"/>
  <c r="V119" i="7" s="1"/>
  <c r="V131" i="7" a="1"/>
  <c r="V131" i="7" s="1"/>
  <c r="V130" i="7" a="1"/>
  <c r="V130" i="7" s="1"/>
  <c r="V23" i="7" a="1"/>
  <c r="V23" i="7" s="1"/>
  <c r="V142" i="7" a="1"/>
  <c r="V142" i="7" s="1"/>
  <c r="V113" i="7" a="1"/>
  <c r="V113" i="7" s="1"/>
  <c r="V31" i="7" a="1"/>
  <c r="V31" i="7" s="1"/>
  <c r="V17" i="7" a="1"/>
  <c r="V17" i="7" s="1"/>
  <c r="V71" i="7" a="1"/>
  <c r="V71" i="7" s="1"/>
  <c r="V43" i="7" a="1"/>
  <c r="V43" i="7" s="1"/>
  <c r="V41" i="7" a="1"/>
  <c r="V41" i="7" s="1"/>
  <c r="V158" i="7" a="1"/>
  <c r="V158" i="7" s="1"/>
  <c r="V162" i="7" a="1"/>
  <c r="V162" i="7" s="1"/>
  <c r="V160" i="7" a="1"/>
  <c r="V160" i="7" s="1"/>
  <c r="V98" i="7" a="1"/>
  <c r="V98" i="7" s="1"/>
  <c r="V96" i="7" a="1"/>
  <c r="V96" i="7" s="1"/>
  <c r="V94" i="7" a="1"/>
  <c r="V94" i="7" s="1"/>
  <c r="V136" i="7" a="1"/>
  <c r="V136" i="7" s="1"/>
  <c r="V22" i="7" a="1"/>
  <c r="V22" i="7" s="1"/>
  <c r="V6" i="7" a="1"/>
  <c r="V6" i="7" s="1"/>
  <c r="V77" i="7" a="1"/>
  <c r="V77" i="7" s="1"/>
  <c r="V62" i="7" a="1"/>
  <c r="V62" i="7" s="1"/>
  <c r="V10" i="7" a="1"/>
  <c r="V10" i="7" s="1"/>
  <c r="V133" i="7" a="1"/>
  <c r="V133" i="7" s="1"/>
  <c r="V82" i="7" a="1"/>
  <c r="V82" i="7" s="1"/>
  <c r="V128" i="7" a="1"/>
  <c r="V128" i="7" s="1"/>
  <c r="V4" i="7" a="1"/>
  <c r="V4" i="7" s="1"/>
  <c r="V5" i="7" a="1"/>
  <c r="V5" i="7" s="1"/>
  <c r="V146" i="7" a="1"/>
  <c r="V146" i="7" s="1"/>
  <c r="V103" i="7" a="1"/>
  <c r="V103" i="7" s="1"/>
  <c r="V48" i="7" a="1"/>
  <c r="V48" i="7" s="1"/>
  <c r="V49" i="7" a="1"/>
  <c r="V49" i="7" s="1"/>
  <c r="V88" i="7" a="1"/>
  <c r="V88" i="7" s="1"/>
  <c r="V143" i="7" a="1"/>
  <c r="V143" i="7" s="1"/>
  <c r="V114" i="7" a="1"/>
  <c r="V114" i="7" s="1"/>
  <c r="V36" i="7" a="1"/>
  <c r="V36" i="7" s="1"/>
  <c r="V2" i="7" a="1"/>
  <c r="V2" i="7" s="1"/>
  <c r="V90" i="7" a="1"/>
  <c r="V90" i="7" s="1"/>
  <c r="V73" i="7" a="1"/>
  <c r="V73" i="7" s="1"/>
  <c r="V78" i="7" a="1"/>
  <c r="V78" i="7" s="1"/>
  <c r="V145" i="7" a="1"/>
  <c r="V145" i="7" s="1"/>
  <c r="V134" i="7" a="1"/>
  <c r="V134" i="7" s="1"/>
  <c r="V67" i="7" a="1"/>
  <c r="V67" i="7" s="1"/>
  <c r="V59" i="7" a="1"/>
  <c r="V59" i="7" s="1"/>
  <c r="V115" i="7" a="1"/>
  <c r="V115" i="7" s="1"/>
  <c r="V57" i="7" a="1"/>
  <c r="V57" i="7" s="1"/>
  <c r="V27" i="7" a="1"/>
  <c r="V27" i="7" s="1"/>
  <c r="V60" i="7" a="1"/>
  <c r="V60" i="7" s="1"/>
  <c r="V21" i="7" a="1"/>
  <c r="V21" i="7" s="1"/>
  <c r="V139" i="7" a="1"/>
  <c r="V139" i="7" s="1"/>
  <c r="V124" i="7" a="1"/>
  <c r="V124" i="7" s="1"/>
  <c r="V123" i="7" a="1"/>
  <c r="V123" i="7" s="1"/>
  <c r="V116" i="7" a="1"/>
  <c r="V116" i="7" s="1"/>
  <c r="V127" i="7" a="1"/>
  <c r="V127" i="7" s="1"/>
  <c r="V76" i="7" a="1"/>
  <c r="V76" i="7" s="1"/>
  <c r="V32" i="7" a="1"/>
  <c r="V32" i="7" s="1"/>
  <c r="V46" i="7" a="1"/>
  <c r="V46" i="7" s="1"/>
  <c r="V39" i="7" a="1"/>
  <c r="V39" i="7" s="1"/>
  <c r="V161" i="7" a="1"/>
  <c r="V161" i="7" s="1"/>
  <c r="V156" i="7" a="1"/>
  <c r="V156" i="7" s="1"/>
  <c r="V154" i="7" a="1"/>
  <c r="V154" i="7" s="1"/>
  <c r="V105" i="7" a="1"/>
  <c r="V105" i="7" s="1"/>
  <c r="V26" i="7" a="1"/>
  <c r="V26" i="7" s="1"/>
  <c r="V80" i="7" a="1"/>
  <c r="V80" i="7" s="1"/>
  <c r="V140" i="7" a="1"/>
  <c r="V140" i="7" s="1"/>
  <c r="V81" i="7" a="1"/>
  <c r="V81" i="7" s="1"/>
  <c r="V7" i="7" a="1"/>
  <c r="V7" i="7" s="1"/>
  <c r="V24" i="7" a="1"/>
  <c r="V24" i="7" s="1"/>
  <c r="V35" i="7" a="1"/>
  <c r="V35" i="7" s="1"/>
  <c r="V91" i="7" a="1"/>
  <c r="V91" i="7" s="1"/>
  <c r="V25" i="7" a="1"/>
  <c r="V25" i="7" s="1"/>
  <c r="V9" i="7" a="1"/>
  <c r="V9" i="7" s="1"/>
  <c r="V44" i="7" a="1"/>
  <c r="V44" i="7" s="1"/>
  <c r="V107" i="7" a="1"/>
  <c r="V107" i="7" s="1"/>
  <c r="V150" i="7" a="1"/>
  <c r="V150" i="7" s="1"/>
  <c r="V102" i="7" a="1"/>
  <c r="V102" i="7" s="1"/>
  <c r="V52" i="7" a="1"/>
  <c r="V52" i="7" s="1"/>
  <c r="V50" i="7" a="1"/>
  <c r="V50" i="7" s="1"/>
  <c r="V121" i="7" a="1"/>
  <c r="V121" i="7" s="1"/>
  <c r="V89" i="7" a="1"/>
  <c r="V89" i="7" s="1"/>
  <c r="V135" i="7" a="1"/>
  <c r="V135" i="7" s="1"/>
  <c r="V86" i="7" a="1"/>
  <c r="V86" i="7" s="1"/>
  <c r="V33" i="7" a="1"/>
  <c r="V33" i="7" s="1"/>
  <c r="V11" i="7" a="1"/>
  <c r="V11" i="7" s="1"/>
  <c r="V3" i="7" a="1"/>
  <c r="V3" i="7" s="1"/>
  <c r="V65" i="7" a="1"/>
  <c r="V65" i="7" s="1"/>
  <c r="V74" i="7" a="1"/>
  <c r="V74" i="7" s="1"/>
  <c r="V144" i="7" a="1"/>
  <c r="V144" i="7" s="1"/>
  <c r="V122" i="7" a="1"/>
  <c r="V122" i="7" s="1"/>
  <c r="V63" i="7" a="1"/>
  <c r="V63" i="7" s="1"/>
  <c r="V34" i="7" a="1"/>
  <c r="V34" i="7" s="1"/>
  <c r="V138" i="7" a="1"/>
  <c r="V138" i="7" s="1"/>
  <c r="V30" i="7" a="1"/>
  <c r="V30" i="7" s="1"/>
  <c r="V112" i="7" a="1"/>
  <c r="V112" i="7" s="1"/>
  <c r="V79" i="7" a="1"/>
  <c r="V79" i="7" s="1"/>
  <c r="V152" i="7" a="1"/>
  <c r="V152" i="7" s="1"/>
  <c r="V51" i="7" a="1"/>
  <c r="V51" i="7" s="1"/>
  <c r="V55" i="7" a="1"/>
  <c r="V55" i="7" s="1"/>
  <c r="V148" i="7" a="1"/>
  <c r="V148" i="7" s="1"/>
  <c r="V129" i="7" a="1"/>
  <c r="V129" i="7" s="1"/>
  <c r="V163" i="7" a="1"/>
  <c r="V163" i="7" s="1"/>
  <c r="V37" i="7" a="1"/>
  <c r="V37" i="7" s="1"/>
  <c r="V100" i="7" a="1"/>
  <c r="V100" i="7" s="1"/>
  <c r="V53" i="7" a="1"/>
  <c r="V53" i="7" s="1"/>
  <c r="V15" i="7" a="1"/>
  <c r="V15" i="7" s="1"/>
  <c r="V151" i="7" a="1"/>
  <c r="V151" i="7" s="1"/>
  <c r="V42" i="7" a="1"/>
  <c r="V42" i="7" s="1"/>
  <c r="V56" i="7" a="1"/>
  <c r="V56" i="7" s="1"/>
  <c r="V68" i="7" a="1"/>
  <c r="V68" i="7" s="1"/>
  <c r="V38" i="7" a="1"/>
  <c r="V38" i="7" s="1"/>
  <c r="V101" i="7" a="1"/>
  <c r="V101" i="7" s="1"/>
  <c r="V20" i="7" a="1"/>
  <c r="V20" i="7" s="1"/>
  <c r="V75" i="7" a="1"/>
  <c r="V75" i="7" s="1"/>
  <c r="H25" i="26"/>
  <c r="I25" i="26"/>
  <c r="J25" i="26"/>
  <c r="K25" i="26"/>
  <c r="L25" i="26" s="1"/>
  <c r="H26" i="26"/>
  <c r="I26" i="26"/>
  <c r="J26" i="26"/>
  <c r="K26" i="26"/>
  <c r="L26" i="26" s="1"/>
  <c r="H27" i="26"/>
  <c r="I27" i="26"/>
  <c r="J27" i="26"/>
  <c r="K27" i="26"/>
  <c r="L27" i="26" s="1"/>
  <c r="H28" i="26"/>
  <c r="I28" i="26"/>
  <c r="J28" i="26"/>
  <c r="K28" i="26"/>
  <c r="L28" i="26" s="1"/>
  <c r="H29" i="26"/>
  <c r="I29" i="26"/>
  <c r="J29" i="26"/>
  <c r="K29" i="26"/>
  <c r="L29" i="26" s="1"/>
  <c r="H36" i="26"/>
  <c r="I36" i="26"/>
  <c r="J36" i="26"/>
  <c r="K36" i="26"/>
  <c r="L36" i="26" s="1"/>
  <c r="I24" i="26"/>
  <c r="J24" i="26"/>
  <c r="K24" i="26"/>
  <c r="H24" i="26"/>
  <c r="H32" i="7" l="1"/>
  <c r="H62" i="7"/>
  <c r="H68" i="7"/>
  <c r="H134" i="7"/>
  <c r="H14" i="7"/>
  <c r="H71" i="7"/>
  <c r="H89" i="7"/>
  <c r="H140" i="7"/>
  <c r="H86" i="7"/>
  <c r="H80" i="7"/>
  <c r="L24" i="26"/>
  <c r="H17" i="26" l="1"/>
  <c r="K3" i="7"/>
  <c r="K4" i="7"/>
  <c r="K5" i="7"/>
  <c r="K6" i="7"/>
  <c r="K7" i="7"/>
  <c r="K8" i="7"/>
  <c r="K9" i="7"/>
  <c r="K10" i="7"/>
  <c r="K11" i="7"/>
  <c r="K12" i="7"/>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K104" i="7"/>
  <c r="K105" i="7"/>
  <c r="K106" i="7"/>
  <c r="K107" i="7"/>
  <c r="K108" i="7"/>
  <c r="K109" i="7"/>
  <c r="K110" i="7"/>
  <c r="K111" i="7"/>
  <c r="K112" i="7"/>
  <c r="K113" i="7"/>
  <c r="K114" i="7"/>
  <c r="K115" i="7"/>
  <c r="K116" i="7"/>
  <c r="K117" i="7"/>
  <c r="K118" i="7"/>
  <c r="K119" i="7"/>
  <c r="K120" i="7"/>
  <c r="K121" i="7"/>
  <c r="K122" i="7"/>
  <c r="K123" i="7"/>
  <c r="K124" i="7"/>
  <c r="K125" i="7"/>
  <c r="K126" i="7"/>
  <c r="K127" i="7"/>
  <c r="K128" i="7"/>
  <c r="K129" i="7"/>
  <c r="K130" i="7"/>
  <c r="K131" i="7"/>
  <c r="K132" i="7"/>
  <c r="K133" i="7"/>
  <c r="K134" i="7"/>
  <c r="K135" i="7"/>
  <c r="K136" i="7"/>
  <c r="K137" i="7"/>
  <c r="K138" i="7"/>
  <c r="K139" i="7"/>
  <c r="K140" i="7"/>
  <c r="K141" i="7"/>
  <c r="K142" i="7"/>
  <c r="K143" i="7"/>
  <c r="K144" i="7"/>
  <c r="K145" i="7"/>
  <c r="K146" i="7"/>
  <c r="K147" i="7"/>
  <c r="K148" i="7"/>
  <c r="K149" i="7"/>
  <c r="K150" i="7"/>
  <c r="K151" i="7"/>
  <c r="K152" i="7"/>
  <c r="K153" i="7"/>
  <c r="K154" i="7"/>
  <c r="K155" i="7"/>
  <c r="K156" i="7"/>
  <c r="K157" i="7"/>
  <c r="K158" i="7"/>
  <c r="K159" i="7"/>
  <c r="K160" i="7"/>
  <c r="K161" i="7"/>
  <c r="K162" i="7"/>
  <c r="K163" i="7"/>
  <c r="H20" i="7" l="1"/>
  <c r="H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2" i="7"/>
  <c r="R163" i="7"/>
  <c r="L163" i="7"/>
  <c r="M163" i="7" s="1"/>
  <c r="N163" i="7" s="1"/>
  <c r="R162" i="7"/>
  <c r="L162" i="7"/>
  <c r="M162" i="7" s="1"/>
  <c r="N162" i="7" s="1"/>
  <c r="R161" i="7"/>
  <c r="L161" i="7"/>
  <c r="M161" i="7" s="1"/>
  <c r="N161" i="7" s="1"/>
  <c r="R160" i="7"/>
  <c r="L160" i="7"/>
  <c r="M160" i="7" s="1"/>
  <c r="N160" i="7" s="1"/>
  <c r="R159" i="7"/>
  <c r="L159" i="7"/>
  <c r="M159" i="7" s="1"/>
  <c r="N159" i="7" s="1"/>
  <c r="R158" i="7"/>
  <c r="L158" i="7"/>
  <c r="M158" i="7" s="1"/>
  <c r="N158" i="7" s="1"/>
  <c r="R157" i="7"/>
  <c r="L157" i="7"/>
  <c r="M157" i="7" s="1"/>
  <c r="N157" i="7" s="1"/>
  <c r="R156" i="7"/>
  <c r="L156" i="7"/>
  <c r="M156" i="7" s="1"/>
  <c r="N156" i="7" s="1"/>
  <c r="R155" i="7"/>
  <c r="L155" i="7"/>
  <c r="M155" i="7" s="1"/>
  <c r="N155" i="7" s="1"/>
  <c r="R154" i="7"/>
  <c r="L154" i="7"/>
  <c r="M154" i="7" s="1"/>
  <c r="N154" i="7" s="1"/>
  <c r="R153" i="7"/>
  <c r="L153" i="7"/>
  <c r="M153" i="7" s="1"/>
  <c r="N153" i="7" s="1"/>
  <c r="R152" i="7"/>
  <c r="L152" i="7"/>
  <c r="M152" i="7" s="1"/>
  <c r="N152" i="7" s="1"/>
  <c r="R151" i="7"/>
  <c r="L151" i="7"/>
  <c r="M151" i="7" s="1"/>
  <c r="N151" i="7" s="1"/>
  <c r="R150" i="7"/>
  <c r="L150" i="7"/>
  <c r="M150" i="7" s="1"/>
  <c r="N150" i="7" s="1"/>
  <c r="R149" i="7"/>
  <c r="L149" i="7"/>
  <c r="M149" i="7" s="1"/>
  <c r="N149" i="7" s="1"/>
  <c r="R148" i="7"/>
  <c r="L148" i="7"/>
  <c r="M148" i="7" s="1"/>
  <c r="N148" i="7" s="1"/>
  <c r="R147" i="7"/>
  <c r="L147" i="7"/>
  <c r="M147" i="7" s="1"/>
  <c r="N147" i="7" s="1"/>
  <c r="R146" i="7"/>
  <c r="L146" i="7"/>
  <c r="M146" i="7" s="1"/>
  <c r="N146" i="7" s="1"/>
  <c r="R145" i="7"/>
  <c r="L145" i="7"/>
  <c r="M145" i="7" s="1"/>
  <c r="N145" i="7" s="1"/>
  <c r="R144" i="7"/>
  <c r="L144" i="7"/>
  <c r="M144" i="7" s="1"/>
  <c r="N144" i="7" s="1"/>
  <c r="R143" i="7"/>
  <c r="L143" i="7"/>
  <c r="M143" i="7" s="1"/>
  <c r="N143" i="7" s="1"/>
  <c r="R142" i="7"/>
  <c r="L142" i="7"/>
  <c r="M142" i="7" s="1"/>
  <c r="N142" i="7" s="1"/>
  <c r="R141" i="7"/>
  <c r="L141" i="7"/>
  <c r="M141" i="7" s="1"/>
  <c r="N141" i="7" s="1"/>
  <c r="R140" i="7"/>
  <c r="L140" i="7"/>
  <c r="M140" i="7" s="1"/>
  <c r="N140" i="7" s="1"/>
  <c r="R139" i="7"/>
  <c r="L139" i="7"/>
  <c r="M139" i="7" s="1"/>
  <c r="N139" i="7" s="1"/>
  <c r="R138" i="7"/>
  <c r="L138" i="7"/>
  <c r="M138" i="7" s="1"/>
  <c r="N138" i="7" s="1"/>
  <c r="R137" i="7"/>
  <c r="L137" i="7"/>
  <c r="M137" i="7" s="1"/>
  <c r="N137" i="7" s="1"/>
  <c r="R136" i="7"/>
  <c r="L136" i="7"/>
  <c r="M136" i="7" s="1"/>
  <c r="N136" i="7" s="1"/>
  <c r="R135" i="7"/>
  <c r="L135" i="7"/>
  <c r="M135" i="7" s="1"/>
  <c r="N135" i="7" s="1"/>
  <c r="R134" i="7"/>
  <c r="L134" i="7"/>
  <c r="M134" i="7" s="1"/>
  <c r="N134" i="7" s="1"/>
  <c r="R133" i="7"/>
  <c r="L133" i="7"/>
  <c r="M133" i="7" s="1"/>
  <c r="N133" i="7" s="1"/>
  <c r="R132" i="7"/>
  <c r="L132" i="7"/>
  <c r="M132" i="7" s="1"/>
  <c r="N132" i="7" s="1"/>
  <c r="R131" i="7"/>
  <c r="L131" i="7"/>
  <c r="M131" i="7" s="1"/>
  <c r="N131" i="7" s="1"/>
  <c r="R130" i="7"/>
  <c r="L130" i="7"/>
  <c r="M130" i="7" s="1"/>
  <c r="N130" i="7" s="1"/>
  <c r="R129" i="7"/>
  <c r="L129" i="7"/>
  <c r="M129" i="7" s="1"/>
  <c r="N129" i="7" s="1"/>
  <c r="R128" i="7"/>
  <c r="L128" i="7"/>
  <c r="M128" i="7" s="1"/>
  <c r="N128" i="7" s="1"/>
  <c r="R127" i="7"/>
  <c r="L127" i="7"/>
  <c r="M127" i="7" s="1"/>
  <c r="N127" i="7" s="1"/>
  <c r="R126" i="7"/>
  <c r="L126" i="7"/>
  <c r="M126" i="7" s="1"/>
  <c r="N126" i="7" s="1"/>
  <c r="R125" i="7"/>
  <c r="L125" i="7"/>
  <c r="M125" i="7" s="1"/>
  <c r="N125" i="7" s="1"/>
  <c r="R124" i="7"/>
  <c r="L124" i="7"/>
  <c r="M124" i="7" s="1"/>
  <c r="N124" i="7" s="1"/>
  <c r="R123" i="7"/>
  <c r="L123" i="7"/>
  <c r="M123" i="7" s="1"/>
  <c r="N123" i="7" s="1"/>
  <c r="R122" i="7"/>
  <c r="L122" i="7"/>
  <c r="M122" i="7" s="1"/>
  <c r="N122" i="7" s="1"/>
  <c r="R121" i="7"/>
  <c r="L121" i="7"/>
  <c r="M121" i="7" s="1"/>
  <c r="N121" i="7" s="1"/>
  <c r="R120" i="7"/>
  <c r="L120" i="7"/>
  <c r="M120" i="7" s="1"/>
  <c r="N120" i="7" s="1"/>
  <c r="R119" i="7"/>
  <c r="L119" i="7"/>
  <c r="M119" i="7" s="1"/>
  <c r="N119" i="7" s="1"/>
  <c r="R118" i="7"/>
  <c r="L118" i="7"/>
  <c r="M118" i="7" s="1"/>
  <c r="N118" i="7" s="1"/>
  <c r="R117" i="7"/>
  <c r="L117" i="7"/>
  <c r="M117" i="7" s="1"/>
  <c r="N117" i="7" s="1"/>
  <c r="R116" i="7"/>
  <c r="L116" i="7"/>
  <c r="M116" i="7" s="1"/>
  <c r="N116" i="7" s="1"/>
  <c r="R115" i="7"/>
  <c r="L115" i="7"/>
  <c r="M115" i="7" s="1"/>
  <c r="N115" i="7" s="1"/>
  <c r="R114" i="7"/>
  <c r="L114" i="7"/>
  <c r="M114" i="7" s="1"/>
  <c r="N114" i="7" s="1"/>
  <c r="R113" i="7"/>
  <c r="L113" i="7"/>
  <c r="M113" i="7" s="1"/>
  <c r="N113" i="7" s="1"/>
  <c r="R112" i="7"/>
  <c r="L112" i="7"/>
  <c r="M112" i="7" s="1"/>
  <c r="N112" i="7" s="1"/>
  <c r="R111" i="7"/>
  <c r="L111" i="7"/>
  <c r="M111" i="7" s="1"/>
  <c r="N111" i="7" s="1"/>
  <c r="R110" i="7"/>
  <c r="L110" i="7"/>
  <c r="M110" i="7" s="1"/>
  <c r="N110" i="7" s="1"/>
  <c r="R109" i="7"/>
  <c r="L109" i="7"/>
  <c r="M109" i="7" s="1"/>
  <c r="N109" i="7" s="1"/>
  <c r="R108" i="7"/>
  <c r="L108" i="7"/>
  <c r="M108" i="7" s="1"/>
  <c r="N108" i="7" s="1"/>
  <c r="R107" i="7"/>
  <c r="L107" i="7"/>
  <c r="M107" i="7" s="1"/>
  <c r="N107" i="7" s="1"/>
  <c r="R106" i="7"/>
  <c r="L106" i="7"/>
  <c r="M106" i="7" s="1"/>
  <c r="N106" i="7" s="1"/>
  <c r="R105" i="7"/>
  <c r="L105" i="7"/>
  <c r="M105" i="7" s="1"/>
  <c r="N105" i="7" s="1"/>
  <c r="R104" i="7"/>
  <c r="L104" i="7"/>
  <c r="M104" i="7" s="1"/>
  <c r="N104" i="7" s="1"/>
  <c r="R103" i="7"/>
  <c r="L103" i="7"/>
  <c r="M103" i="7" s="1"/>
  <c r="N103" i="7" s="1"/>
  <c r="R102" i="7"/>
  <c r="L102" i="7"/>
  <c r="M102" i="7" s="1"/>
  <c r="N102" i="7" s="1"/>
  <c r="R101" i="7"/>
  <c r="L101" i="7"/>
  <c r="M101" i="7" s="1"/>
  <c r="N101" i="7" s="1"/>
  <c r="R100" i="7"/>
  <c r="L100" i="7"/>
  <c r="M100" i="7" s="1"/>
  <c r="N100" i="7" s="1"/>
  <c r="R99" i="7"/>
  <c r="L99" i="7"/>
  <c r="M99" i="7" s="1"/>
  <c r="N99" i="7" s="1"/>
  <c r="R98" i="7"/>
  <c r="L98" i="7"/>
  <c r="M98" i="7" s="1"/>
  <c r="N98" i="7" s="1"/>
  <c r="R97" i="7"/>
  <c r="L97" i="7"/>
  <c r="M97" i="7" s="1"/>
  <c r="N97" i="7" s="1"/>
  <c r="R96" i="7"/>
  <c r="L96" i="7"/>
  <c r="M96" i="7" s="1"/>
  <c r="N96" i="7" s="1"/>
  <c r="R95" i="7"/>
  <c r="L95" i="7"/>
  <c r="M95" i="7" s="1"/>
  <c r="N95" i="7" s="1"/>
  <c r="R94" i="7"/>
  <c r="L94" i="7"/>
  <c r="M94" i="7" s="1"/>
  <c r="N94" i="7" s="1"/>
  <c r="R93" i="7"/>
  <c r="L93" i="7"/>
  <c r="M93" i="7" s="1"/>
  <c r="N93" i="7" s="1"/>
  <c r="R92" i="7"/>
  <c r="L92" i="7"/>
  <c r="M92" i="7" s="1"/>
  <c r="N92" i="7" s="1"/>
  <c r="R91" i="7"/>
  <c r="L91" i="7"/>
  <c r="M91" i="7" s="1"/>
  <c r="N91" i="7" s="1"/>
  <c r="R90" i="7"/>
  <c r="L90" i="7"/>
  <c r="M90" i="7" s="1"/>
  <c r="N90" i="7" s="1"/>
  <c r="R89" i="7"/>
  <c r="L89" i="7"/>
  <c r="M89" i="7" s="1"/>
  <c r="N89" i="7" s="1"/>
  <c r="R88" i="7"/>
  <c r="L88" i="7"/>
  <c r="M88" i="7" s="1"/>
  <c r="N88" i="7" s="1"/>
  <c r="R87" i="7"/>
  <c r="L87" i="7"/>
  <c r="M87" i="7" s="1"/>
  <c r="N87" i="7" s="1"/>
  <c r="R86" i="7"/>
  <c r="L86" i="7"/>
  <c r="M86" i="7" s="1"/>
  <c r="N86" i="7" s="1"/>
  <c r="R85" i="7"/>
  <c r="L85" i="7"/>
  <c r="M85" i="7" s="1"/>
  <c r="N85" i="7" s="1"/>
  <c r="R84" i="7"/>
  <c r="L84" i="7"/>
  <c r="M84" i="7" s="1"/>
  <c r="N84" i="7" s="1"/>
  <c r="R83" i="7"/>
  <c r="L83" i="7"/>
  <c r="M83" i="7" s="1"/>
  <c r="N83" i="7" s="1"/>
  <c r="R82" i="7"/>
  <c r="L82" i="7"/>
  <c r="M82" i="7" s="1"/>
  <c r="N82" i="7" s="1"/>
  <c r="R81" i="7"/>
  <c r="L81" i="7"/>
  <c r="M81" i="7" s="1"/>
  <c r="N81" i="7" s="1"/>
  <c r="R80" i="7"/>
  <c r="L80" i="7"/>
  <c r="M80" i="7" s="1"/>
  <c r="N80" i="7" s="1"/>
  <c r="R79" i="7"/>
  <c r="L79" i="7"/>
  <c r="M79" i="7" s="1"/>
  <c r="N79" i="7" s="1"/>
  <c r="R78" i="7"/>
  <c r="L78" i="7"/>
  <c r="M78" i="7" s="1"/>
  <c r="N78" i="7" s="1"/>
  <c r="R77" i="7"/>
  <c r="L77" i="7"/>
  <c r="M77" i="7" s="1"/>
  <c r="N77" i="7" s="1"/>
  <c r="R76" i="7"/>
  <c r="L76" i="7"/>
  <c r="M76" i="7" s="1"/>
  <c r="N76" i="7" s="1"/>
  <c r="R75" i="7"/>
  <c r="L75" i="7"/>
  <c r="M75" i="7" s="1"/>
  <c r="N75" i="7" s="1"/>
  <c r="R74" i="7"/>
  <c r="L74" i="7"/>
  <c r="M74" i="7" s="1"/>
  <c r="N74" i="7" s="1"/>
  <c r="R73" i="7"/>
  <c r="L73" i="7"/>
  <c r="M73" i="7" s="1"/>
  <c r="N73" i="7" s="1"/>
  <c r="R72" i="7"/>
  <c r="L72" i="7"/>
  <c r="M72" i="7" s="1"/>
  <c r="N72" i="7" s="1"/>
  <c r="R71" i="7"/>
  <c r="L71" i="7"/>
  <c r="M71" i="7" s="1"/>
  <c r="N71" i="7" s="1"/>
  <c r="R70" i="7"/>
  <c r="L70" i="7"/>
  <c r="M70" i="7" s="1"/>
  <c r="N70" i="7" s="1"/>
  <c r="R69" i="7"/>
  <c r="L69" i="7"/>
  <c r="M69" i="7" s="1"/>
  <c r="N69" i="7" s="1"/>
  <c r="R68" i="7"/>
  <c r="L68" i="7"/>
  <c r="M68" i="7" s="1"/>
  <c r="N68" i="7" s="1"/>
  <c r="R67" i="7"/>
  <c r="L67" i="7"/>
  <c r="M67" i="7" s="1"/>
  <c r="N67" i="7" s="1"/>
  <c r="R66" i="7"/>
  <c r="L66" i="7"/>
  <c r="M66" i="7" s="1"/>
  <c r="N66" i="7" s="1"/>
  <c r="R65" i="7"/>
  <c r="L65" i="7"/>
  <c r="M65" i="7" s="1"/>
  <c r="N65" i="7" s="1"/>
  <c r="R64" i="7"/>
  <c r="L64" i="7"/>
  <c r="M64" i="7" s="1"/>
  <c r="N64" i="7" s="1"/>
  <c r="R63" i="7"/>
  <c r="L63" i="7"/>
  <c r="M63" i="7" s="1"/>
  <c r="N63" i="7" s="1"/>
  <c r="R62" i="7"/>
  <c r="L62" i="7"/>
  <c r="M62" i="7" s="1"/>
  <c r="N62" i="7" s="1"/>
  <c r="R61" i="7"/>
  <c r="L61" i="7"/>
  <c r="M61" i="7" s="1"/>
  <c r="N61" i="7" s="1"/>
  <c r="R60" i="7"/>
  <c r="L60" i="7"/>
  <c r="M60" i="7" s="1"/>
  <c r="N60" i="7" s="1"/>
  <c r="R59" i="7"/>
  <c r="L59" i="7"/>
  <c r="M59" i="7" s="1"/>
  <c r="N59" i="7" s="1"/>
  <c r="R58" i="7"/>
  <c r="L58" i="7"/>
  <c r="M58" i="7" s="1"/>
  <c r="N58" i="7" s="1"/>
  <c r="R57" i="7"/>
  <c r="L57" i="7"/>
  <c r="M57" i="7" s="1"/>
  <c r="N57" i="7" s="1"/>
  <c r="R56" i="7"/>
  <c r="L56" i="7"/>
  <c r="M56" i="7" s="1"/>
  <c r="N56" i="7" s="1"/>
  <c r="AM55" i="25"/>
  <c r="AG55" i="25"/>
  <c r="AE55" i="25" s="1"/>
  <c r="AF55" i="25" s="1"/>
  <c r="AC55" i="25"/>
  <c r="S55" i="25"/>
  <c r="Q55" i="25"/>
  <c r="M55" i="25"/>
  <c r="L55" i="25"/>
  <c r="K55" i="25"/>
  <c r="H55" i="25"/>
  <c r="AM54" i="25"/>
  <c r="AG54" i="25"/>
  <c r="AE54" i="25" s="1"/>
  <c r="AF54" i="25" s="1"/>
  <c r="AC54" i="25"/>
  <c r="S54" i="25"/>
  <c r="Q54" i="25"/>
  <c r="M54" i="25"/>
  <c r="L54" i="25"/>
  <c r="K54" i="25"/>
  <c r="H54" i="25"/>
  <c r="AM53" i="25"/>
  <c r="AG53" i="25"/>
  <c r="AE53" i="25"/>
  <c r="AF53" i="25" s="1"/>
  <c r="AC53" i="25"/>
  <c r="S53" i="25"/>
  <c r="Q53" i="25"/>
  <c r="L53" i="25"/>
  <c r="M53" i="25" s="1"/>
  <c r="K53" i="25"/>
  <c r="H53" i="25"/>
  <c r="AM52" i="25"/>
  <c r="AG52" i="25"/>
  <c r="AE52" i="25" s="1"/>
  <c r="AF52" i="25" s="1"/>
  <c r="AC52" i="25"/>
  <c r="S52" i="25"/>
  <c r="Q52" i="25"/>
  <c r="L52" i="25"/>
  <c r="M52" i="25" s="1"/>
  <c r="K52" i="25"/>
  <c r="H52" i="25"/>
  <c r="AM51" i="25"/>
  <c r="AG51" i="25"/>
  <c r="AE51" i="25" s="1"/>
  <c r="AF51" i="25" s="1"/>
  <c r="AC51" i="25"/>
  <c r="S51" i="25"/>
  <c r="Q51" i="25"/>
  <c r="L51" i="25"/>
  <c r="M51" i="25" s="1"/>
  <c r="K51" i="25"/>
  <c r="H51" i="25"/>
  <c r="AM50" i="25"/>
  <c r="AG50" i="25"/>
  <c r="AE50" i="25"/>
  <c r="AF50" i="25" s="1"/>
  <c r="AC50" i="25"/>
  <c r="S50" i="25"/>
  <c r="Q50" i="25"/>
  <c r="L50" i="25"/>
  <c r="M50" i="25" s="1"/>
  <c r="K50" i="25"/>
  <c r="H50" i="25"/>
  <c r="AM49" i="25"/>
  <c r="AG49" i="25"/>
  <c r="AE49" i="25" s="1"/>
  <c r="AF49" i="25" s="1"/>
  <c r="AC49" i="25"/>
  <c r="S49" i="25"/>
  <c r="Q49" i="25"/>
  <c r="L49" i="25"/>
  <c r="M49" i="25" s="1"/>
  <c r="K49" i="25"/>
  <c r="H49" i="25"/>
  <c r="AM48" i="25"/>
  <c r="AG48" i="25"/>
  <c r="AE48" i="25" s="1"/>
  <c r="AF48" i="25" s="1"/>
  <c r="AC48" i="25"/>
  <c r="S48" i="25"/>
  <c r="Q48" i="25"/>
  <c r="L48" i="25"/>
  <c r="M48" i="25" s="1"/>
  <c r="K48" i="25"/>
  <c r="H48" i="25"/>
  <c r="AM47" i="25"/>
  <c r="AG47" i="25"/>
  <c r="AE47" i="25"/>
  <c r="AF47" i="25" s="1"/>
  <c r="AC47" i="25"/>
  <c r="S47" i="25"/>
  <c r="Q47" i="25"/>
  <c r="L47" i="25"/>
  <c r="M47" i="25" s="1"/>
  <c r="K47" i="25"/>
  <c r="H47" i="25"/>
  <c r="AM46" i="25"/>
  <c r="AG46" i="25"/>
  <c r="AE46" i="25" s="1"/>
  <c r="AF46" i="25" s="1"/>
  <c r="AC46" i="25"/>
  <c r="S46" i="25"/>
  <c r="Q46" i="25"/>
  <c r="L46" i="25"/>
  <c r="M46" i="25" s="1"/>
  <c r="K46" i="25"/>
  <c r="H46" i="25"/>
  <c r="AM45" i="25"/>
  <c r="AG45" i="25"/>
  <c r="AE45" i="25" s="1"/>
  <c r="AF45" i="25" s="1"/>
  <c r="AC45" i="25"/>
  <c r="S45" i="25"/>
  <c r="Q45" i="25"/>
  <c r="L45" i="25"/>
  <c r="M45" i="25" s="1"/>
  <c r="K45" i="25"/>
  <c r="H45" i="25"/>
  <c r="AM44" i="25"/>
  <c r="AG44" i="25"/>
  <c r="AE44" i="25"/>
  <c r="AF44" i="25" s="1"/>
  <c r="AC44" i="25"/>
  <c r="S44" i="25"/>
  <c r="Q44" i="25"/>
  <c r="L44" i="25"/>
  <c r="M44" i="25" s="1"/>
  <c r="K44" i="25"/>
  <c r="H44" i="25"/>
  <c r="AM43" i="25"/>
  <c r="AG43" i="25"/>
  <c r="AE43" i="25" s="1"/>
  <c r="AF43" i="25" s="1"/>
  <c r="AC43" i="25"/>
  <c r="S43" i="25"/>
  <c r="Q43" i="25"/>
  <c r="L43" i="25"/>
  <c r="M43" i="25" s="1"/>
  <c r="K43" i="25"/>
  <c r="H43" i="25"/>
  <c r="AM42" i="25"/>
  <c r="AG42" i="25"/>
  <c r="AE42" i="25" s="1"/>
  <c r="AF42" i="25" s="1"/>
  <c r="AC42" i="25"/>
  <c r="S42" i="25"/>
  <c r="Q42" i="25"/>
  <c r="L42" i="25"/>
  <c r="M42" i="25" s="1"/>
  <c r="K42" i="25"/>
  <c r="H42" i="25"/>
  <c r="AM41" i="25"/>
  <c r="AG41" i="25"/>
  <c r="AE41" i="25"/>
  <c r="AF41" i="25" s="1"/>
  <c r="AC41" i="25"/>
  <c r="S41" i="25"/>
  <c r="Q41" i="25"/>
  <c r="L41" i="25"/>
  <c r="M41" i="25" s="1"/>
  <c r="K41" i="25"/>
  <c r="H41" i="25"/>
  <c r="AM40" i="25"/>
  <c r="AG40" i="25"/>
  <c r="AE40" i="25" s="1"/>
  <c r="AF40" i="25" s="1"/>
  <c r="AC40" i="25"/>
  <c r="S40" i="25"/>
  <c r="Q40" i="25"/>
  <c r="L40" i="25"/>
  <c r="M40" i="25" s="1"/>
  <c r="K40" i="25"/>
  <c r="H40" i="25"/>
  <c r="AM39" i="25"/>
  <c r="AG39" i="25"/>
  <c r="AE39" i="25" s="1"/>
  <c r="AF39" i="25" s="1"/>
  <c r="AC39" i="25"/>
  <c r="S39" i="25"/>
  <c r="Q39" i="25"/>
  <c r="L39" i="25"/>
  <c r="M39" i="25" s="1"/>
  <c r="K39" i="25"/>
  <c r="H39" i="25"/>
  <c r="AM38" i="25"/>
  <c r="AG38" i="25"/>
  <c r="AE38" i="25"/>
  <c r="AF38" i="25" s="1"/>
  <c r="AC38" i="25"/>
  <c r="S38" i="25"/>
  <c r="Q38" i="25"/>
  <c r="L38" i="25"/>
  <c r="M38" i="25" s="1"/>
  <c r="K38" i="25"/>
  <c r="H38" i="25"/>
  <c r="AM37" i="25"/>
  <c r="AG37" i="25"/>
  <c r="AE37" i="25" s="1"/>
  <c r="AF37" i="25" s="1"/>
  <c r="AC37" i="25"/>
  <c r="S37" i="25"/>
  <c r="Q37" i="25"/>
  <c r="L37" i="25"/>
  <c r="M37" i="25" s="1"/>
  <c r="K37" i="25"/>
  <c r="H37" i="25"/>
  <c r="AM36" i="25"/>
  <c r="AG36" i="25"/>
  <c r="AE36" i="25" s="1"/>
  <c r="AF36" i="25" s="1"/>
  <c r="AC36" i="25"/>
  <c r="S36" i="25"/>
  <c r="Q36" i="25"/>
  <c r="L36" i="25"/>
  <c r="M36" i="25" s="1"/>
  <c r="K36" i="25"/>
  <c r="H36" i="25"/>
  <c r="AM35" i="25"/>
  <c r="AG35" i="25"/>
  <c r="AE35" i="25"/>
  <c r="AF35" i="25" s="1"/>
  <c r="AC35" i="25"/>
  <c r="S35" i="25"/>
  <c r="Q35" i="25"/>
  <c r="L35" i="25"/>
  <c r="M35" i="25" s="1"/>
  <c r="K35" i="25"/>
  <c r="H35" i="25"/>
  <c r="AM34" i="25"/>
  <c r="AG34" i="25"/>
  <c r="AE34" i="25" s="1"/>
  <c r="AF34" i="25" s="1"/>
  <c r="AC34" i="25"/>
  <c r="S34" i="25"/>
  <c r="Q34" i="25"/>
  <c r="L34" i="25"/>
  <c r="M34" i="25" s="1"/>
  <c r="K34" i="25"/>
  <c r="H34" i="25"/>
  <c r="AM33" i="25"/>
  <c r="AG33" i="25"/>
  <c r="AE33" i="25" s="1"/>
  <c r="AF33" i="25" s="1"/>
  <c r="AC33" i="25"/>
  <c r="S33" i="25"/>
  <c r="Q33" i="25"/>
  <c r="L33" i="25"/>
  <c r="M33" i="25" s="1"/>
  <c r="K33" i="25"/>
  <c r="H33" i="25"/>
  <c r="AM32" i="25"/>
  <c r="AG32" i="25"/>
  <c r="AE32" i="25"/>
  <c r="AF32" i="25" s="1"/>
  <c r="AC32" i="25"/>
  <c r="S32" i="25"/>
  <c r="Q32" i="25"/>
  <c r="L32" i="25"/>
  <c r="M32" i="25" s="1"/>
  <c r="K32" i="25"/>
  <c r="H32" i="25"/>
  <c r="AM31" i="25"/>
  <c r="AG31" i="25"/>
  <c r="AE31" i="25" s="1"/>
  <c r="AF31" i="25" s="1"/>
  <c r="AC31" i="25"/>
  <c r="S31" i="25"/>
  <c r="Q31" i="25"/>
  <c r="L31" i="25"/>
  <c r="M31" i="25" s="1"/>
  <c r="K31" i="25"/>
  <c r="H31" i="25"/>
  <c r="AM30" i="25"/>
  <c r="AG30" i="25"/>
  <c r="AE30" i="25" s="1"/>
  <c r="AF30" i="25" s="1"/>
  <c r="AC30" i="25"/>
  <c r="S30" i="25"/>
  <c r="Q30" i="25"/>
  <c r="L30" i="25"/>
  <c r="M30" i="25" s="1"/>
  <c r="K30" i="25"/>
  <c r="H30" i="25"/>
  <c r="AM29" i="25"/>
  <c r="AG29" i="25"/>
  <c r="AE29" i="25"/>
  <c r="AF29" i="25" s="1"/>
  <c r="AC29" i="25"/>
  <c r="S29" i="25"/>
  <c r="Q29" i="25"/>
  <c r="L29" i="25"/>
  <c r="M29" i="25" s="1"/>
  <c r="K29" i="25"/>
  <c r="H29" i="25"/>
  <c r="AM28" i="25"/>
  <c r="AG28" i="25"/>
  <c r="AE28" i="25" s="1"/>
  <c r="AF28" i="25" s="1"/>
  <c r="AC28" i="25"/>
  <c r="S28" i="25"/>
  <c r="Q28" i="25"/>
  <c r="L28" i="25"/>
  <c r="M28" i="25" s="1"/>
  <c r="K28" i="25"/>
  <c r="H28" i="25"/>
  <c r="AM27" i="25"/>
  <c r="AG27" i="25"/>
  <c r="AE27" i="25" s="1"/>
  <c r="AF27" i="25" s="1"/>
  <c r="AC27" i="25"/>
  <c r="S27" i="25"/>
  <c r="Q27" i="25"/>
  <c r="L27" i="25"/>
  <c r="M27" i="25" s="1"/>
  <c r="K27" i="25"/>
  <c r="H27" i="25"/>
  <c r="AM26" i="25"/>
  <c r="AG26" i="25"/>
  <c r="AE26" i="25"/>
  <c r="AF26" i="25" s="1"/>
  <c r="AC26" i="25"/>
  <c r="S26" i="25"/>
  <c r="Q26" i="25"/>
  <c r="L26" i="25"/>
  <c r="M26" i="25" s="1"/>
  <c r="K26" i="25"/>
  <c r="H26" i="25"/>
  <c r="AM25" i="25"/>
  <c r="AG25" i="25"/>
  <c r="AE25" i="25" s="1"/>
  <c r="AF25" i="25" s="1"/>
  <c r="AC25" i="25"/>
  <c r="S25" i="25"/>
  <c r="Q25" i="25"/>
  <c r="L25" i="25"/>
  <c r="M25" i="25" s="1"/>
  <c r="K25" i="25"/>
  <c r="H25" i="25"/>
  <c r="AM24" i="25"/>
  <c r="AG24" i="25"/>
  <c r="AE24" i="25" s="1"/>
  <c r="AF24" i="25" s="1"/>
  <c r="AC24" i="25"/>
  <c r="S24" i="25"/>
  <c r="Q24" i="25"/>
  <c r="L24" i="25"/>
  <c r="M24" i="25" s="1"/>
  <c r="K24" i="25"/>
  <c r="H24" i="25"/>
  <c r="AM23" i="25"/>
  <c r="AG23" i="25"/>
  <c r="AE23" i="25"/>
  <c r="AF23" i="25" s="1"/>
  <c r="AC23" i="25"/>
  <c r="S23" i="25"/>
  <c r="Q23" i="25"/>
  <c r="L23" i="25"/>
  <c r="M23" i="25" s="1"/>
  <c r="K23" i="25"/>
  <c r="H23" i="25"/>
  <c r="AM22" i="25"/>
  <c r="AG22" i="25"/>
  <c r="AE22" i="25" s="1"/>
  <c r="AF22" i="25" s="1"/>
  <c r="AC22" i="25"/>
  <c r="S22" i="25"/>
  <c r="Q22" i="25"/>
  <c r="L22" i="25"/>
  <c r="M22" i="25" s="1"/>
  <c r="K22" i="25"/>
  <c r="H22" i="25"/>
  <c r="AM21" i="25"/>
  <c r="AG21" i="25"/>
  <c r="AE21" i="25" s="1"/>
  <c r="AF21" i="25" s="1"/>
  <c r="AC21" i="25"/>
  <c r="S21" i="25"/>
  <c r="Q21" i="25"/>
  <c r="L21" i="25"/>
  <c r="M21" i="25" s="1"/>
  <c r="K21" i="25"/>
  <c r="H21" i="25"/>
  <c r="AM20" i="25"/>
  <c r="AG20" i="25"/>
  <c r="AE20" i="25"/>
  <c r="AF20" i="25" s="1"/>
  <c r="AC20" i="25"/>
  <c r="S20" i="25"/>
  <c r="Q20" i="25"/>
  <c r="L20" i="25"/>
  <c r="M20" i="25" s="1"/>
  <c r="K20" i="25"/>
  <c r="H20" i="25"/>
  <c r="AM19" i="25"/>
  <c r="AG19" i="25"/>
  <c r="AE19" i="25" s="1"/>
  <c r="AF19" i="25" s="1"/>
  <c r="AC19" i="25"/>
  <c r="S19" i="25"/>
  <c r="Q19" i="25"/>
  <c r="L19" i="25"/>
  <c r="M19" i="25" s="1"/>
  <c r="K19" i="25"/>
  <c r="H19" i="25"/>
  <c r="AM18" i="25"/>
  <c r="AG18" i="25"/>
  <c r="AE18" i="25" s="1"/>
  <c r="AF18" i="25" s="1"/>
  <c r="AC18" i="25"/>
  <c r="S18" i="25"/>
  <c r="Q18" i="25"/>
  <c r="L18" i="25"/>
  <c r="M18" i="25" s="1"/>
  <c r="K18" i="25"/>
  <c r="H18" i="25"/>
  <c r="AM17" i="25"/>
  <c r="AG17" i="25"/>
  <c r="AE17" i="25"/>
  <c r="AF17" i="25" s="1"/>
  <c r="AC17" i="25"/>
  <c r="S17" i="25"/>
  <c r="Q17" i="25"/>
  <c r="L17" i="25"/>
  <c r="M17" i="25" s="1"/>
  <c r="K17" i="25"/>
  <c r="H17" i="25"/>
  <c r="AM16" i="25"/>
  <c r="AG16" i="25"/>
  <c r="AE16" i="25" s="1"/>
  <c r="AF16" i="25" s="1"/>
  <c r="AC16" i="25"/>
  <c r="S16" i="25"/>
  <c r="Q16" i="25"/>
  <c r="L16" i="25"/>
  <c r="M16" i="25" s="1"/>
  <c r="K16" i="25"/>
  <c r="H16" i="25"/>
  <c r="AM15" i="25"/>
  <c r="AG15" i="25"/>
  <c r="AE15" i="25" s="1"/>
  <c r="AF15" i="25" s="1"/>
  <c r="AC15" i="25"/>
  <c r="S15" i="25"/>
  <c r="Q15" i="25"/>
  <c r="L15" i="25"/>
  <c r="M15" i="25" s="1"/>
  <c r="K15" i="25"/>
  <c r="H15" i="25"/>
  <c r="AM14" i="25"/>
  <c r="AG14" i="25"/>
  <c r="AE14" i="25"/>
  <c r="AF14" i="25" s="1"/>
  <c r="AC14" i="25"/>
  <c r="S14" i="25"/>
  <c r="Q14" i="25"/>
  <c r="L14" i="25"/>
  <c r="M14" i="25" s="1"/>
  <c r="K14" i="25"/>
  <c r="H14" i="25"/>
  <c r="AM13" i="25"/>
  <c r="AG13" i="25"/>
  <c r="AE13" i="25" s="1"/>
  <c r="AF13" i="25" s="1"/>
  <c r="AC13" i="25"/>
  <c r="S13" i="25"/>
  <c r="Q13" i="25"/>
  <c r="L13" i="25"/>
  <c r="M13" i="25" s="1"/>
  <c r="K13" i="25"/>
  <c r="H13" i="25"/>
  <c r="AM12" i="25"/>
  <c r="AG12" i="25"/>
  <c r="AE12" i="25" s="1"/>
  <c r="AF12" i="25" s="1"/>
  <c r="AC12" i="25"/>
  <c r="S12" i="25"/>
  <c r="Q12" i="25"/>
  <c r="L12" i="25"/>
  <c r="M12" i="25" s="1"/>
  <c r="K12" i="25"/>
  <c r="H12" i="25"/>
  <c r="AM11" i="25"/>
  <c r="AG11" i="25"/>
  <c r="AE11" i="25"/>
  <c r="AF11" i="25" s="1"/>
  <c r="AC11" i="25"/>
  <c r="S11" i="25"/>
  <c r="Q11" i="25"/>
  <c r="L11" i="25"/>
  <c r="M11" i="25" s="1"/>
  <c r="K11" i="25"/>
  <c r="H11" i="25"/>
  <c r="AM10" i="25"/>
  <c r="AG10" i="25"/>
  <c r="AE10" i="25" s="1"/>
  <c r="AF10" i="25" s="1"/>
  <c r="AC10" i="25"/>
  <c r="S10" i="25"/>
  <c r="Q10" i="25"/>
  <c r="L10" i="25"/>
  <c r="M10" i="25" s="1"/>
  <c r="K10" i="25"/>
  <c r="H10" i="25"/>
  <c r="AM9" i="25"/>
  <c r="AG9" i="25"/>
  <c r="AE9" i="25"/>
  <c r="AF9" i="25" s="1"/>
  <c r="AC9" i="25"/>
  <c r="S9" i="25"/>
  <c r="Q9" i="25"/>
  <c r="L9" i="25"/>
  <c r="M9" i="25" s="1"/>
  <c r="K9" i="25"/>
  <c r="H9" i="25"/>
  <c r="AM8" i="25"/>
  <c r="AG8" i="25"/>
  <c r="AE8" i="25"/>
  <c r="AF8" i="25" s="1"/>
  <c r="AC8" i="25"/>
  <c r="S8" i="25"/>
  <c r="Q8" i="25"/>
  <c r="L8" i="25"/>
  <c r="M8" i="25" s="1"/>
  <c r="K8" i="25"/>
  <c r="H8" i="25"/>
  <c r="AM7" i="25"/>
  <c r="AG7" i="25"/>
  <c r="AE7" i="25" s="1"/>
  <c r="AF7" i="25" s="1"/>
  <c r="AC7" i="25"/>
  <c r="S7" i="25"/>
  <c r="Q7" i="25"/>
  <c r="L7" i="25"/>
  <c r="M7" i="25" s="1"/>
  <c r="K7" i="25"/>
  <c r="H7" i="25"/>
  <c r="AM6" i="25"/>
  <c r="AG6" i="25"/>
  <c r="AE6" i="25"/>
  <c r="AF6" i="25" s="1"/>
  <c r="AC6" i="25"/>
  <c r="S6" i="25"/>
  <c r="Q6" i="25"/>
  <c r="L6" i="25"/>
  <c r="M6" i="25" s="1"/>
  <c r="K6" i="25"/>
  <c r="H6" i="25"/>
  <c r="AM5" i="25"/>
  <c r="AG5" i="25"/>
  <c r="AE5" i="25"/>
  <c r="AF5" i="25" s="1"/>
  <c r="AC5" i="25"/>
  <c r="S5" i="25"/>
  <c r="Q5" i="25"/>
  <c r="L5" i="25"/>
  <c r="M5" i="25" s="1"/>
  <c r="K5" i="25"/>
  <c r="H5" i="25"/>
  <c r="AM4" i="25"/>
  <c r="AG4" i="25"/>
  <c r="AE4" i="25" s="1"/>
  <c r="AF4" i="25" s="1"/>
  <c r="AC4" i="25"/>
  <c r="S4" i="25"/>
  <c r="Q4" i="25"/>
  <c r="L4" i="25"/>
  <c r="M4" i="25" s="1"/>
  <c r="K4" i="25"/>
  <c r="H4" i="25"/>
  <c r="AM3" i="25"/>
  <c r="AG3" i="25"/>
  <c r="AE3" i="25"/>
  <c r="AF3" i="25" s="1"/>
  <c r="AC3" i="25"/>
  <c r="S3" i="25"/>
  <c r="Q3" i="25"/>
  <c r="L3" i="25"/>
  <c r="M3" i="25" s="1"/>
  <c r="K3" i="25"/>
  <c r="H3" i="25"/>
  <c r="AM2" i="25"/>
  <c r="AG2" i="25"/>
  <c r="AE2" i="25"/>
  <c r="AF2" i="25" s="1"/>
  <c r="AC2" i="25"/>
  <c r="S2" i="25"/>
  <c r="Q2" i="25"/>
  <c r="L2" i="25"/>
  <c r="M2" i="25" s="1"/>
  <c r="K2" i="25"/>
  <c r="H2" i="25"/>
  <c r="H38" i="7" l="1"/>
  <c r="H52" i="7"/>
  <c r="H48" i="7"/>
  <c r="H44" i="7"/>
  <c r="H40" i="7"/>
  <c r="H108" i="7"/>
  <c r="H104" i="7"/>
  <c r="H100" i="7"/>
  <c r="H96" i="7"/>
  <c r="H110" i="7"/>
  <c r="H131" i="7"/>
  <c r="H126" i="7"/>
  <c r="H122" i="7"/>
  <c r="H118" i="7"/>
  <c r="H114" i="7"/>
  <c r="H60" i="7"/>
  <c r="H55" i="7"/>
  <c r="H56" i="7"/>
  <c r="H51" i="7"/>
  <c r="H47" i="7"/>
  <c r="H43" i="7"/>
  <c r="H39" i="7"/>
  <c r="H107" i="7"/>
  <c r="H103" i="7"/>
  <c r="H99" i="7"/>
  <c r="H95" i="7"/>
  <c r="H125" i="7"/>
  <c r="H113" i="7"/>
  <c r="H54" i="7"/>
  <c r="H50" i="7"/>
  <c r="H46" i="7"/>
  <c r="H42" i="7"/>
  <c r="H92" i="7"/>
  <c r="H106" i="7"/>
  <c r="H102" i="7"/>
  <c r="H98" i="7"/>
  <c r="H94" i="7"/>
  <c r="H149" i="7"/>
  <c r="H148" i="7"/>
  <c r="H124" i="7"/>
  <c r="H129" i="7"/>
  <c r="H120" i="7"/>
  <c r="H112" i="7"/>
  <c r="H58" i="7"/>
  <c r="H53" i="7"/>
  <c r="H49" i="7"/>
  <c r="H45" i="7"/>
  <c r="H41" i="7"/>
  <c r="H109" i="7"/>
  <c r="H105" i="7"/>
  <c r="H101" i="7"/>
  <c r="H97" i="7"/>
  <c r="H93" i="7"/>
  <c r="H147" i="7"/>
  <c r="H128" i="7"/>
  <c r="H132" i="7"/>
  <c r="H127" i="7"/>
  <c r="H123" i="7"/>
  <c r="H119" i="7"/>
  <c r="H115" i="7"/>
  <c r="H111" i="7"/>
  <c r="AB146" i="7"/>
  <c r="AB38" i="7"/>
  <c r="AB52" i="7"/>
  <c r="AB48" i="7"/>
  <c r="AB44" i="7"/>
  <c r="AB40" i="7"/>
  <c r="AB108" i="7"/>
  <c r="AB104" i="7"/>
  <c r="AB100" i="7"/>
  <c r="AB96" i="7"/>
  <c r="AB157" i="7"/>
  <c r="AB148" i="7"/>
  <c r="AB124" i="7"/>
  <c r="AB120" i="7"/>
  <c r="AB112" i="7"/>
  <c r="AB55" i="7"/>
  <c r="AB56" i="7"/>
  <c r="AB51" i="7"/>
  <c r="AB47" i="7"/>
  <c r="AB43" i="7"/>
  <c r="AB39" i="7"/>
  <c r="AB107" i="7"/>
  <c r="AB103" i="7"/>
  <c r="AB99" i="7"/>
  <c r="AB95" i="7"/>
  <c r="AB161" i="7"/>
  <c r="AB110" i="7"/>
  <c r="AB127" i="7"/>
  <c r="AB128" i="7"/>
  <c r="AB123" i="7"/>
  <c r="AB119" i="7"/>
  <c r="AB115" i="7"/>
  <c r="AB111" i="7"/>
  <c r="AB114" i="7"/>
  <c r="AB54" i="7"/>
  <c r="AB50" i="7"/>
  <c r="AB46" i="7"/>
  <c r="AB42" i="7"/>
  <c r="AB92" i="7"/>
  <c r="AB106" i="7"/>
  <c r="AB102" i="7"/>
  <c r="AB98" i="7"/>
  <c r="AB94" i="7"/>
  <c r="AB149" i="7"/>
  <c r="AB160" i="7"/>
  <c r="AB126" i="7"/>
  <c r="AB122" i="7"/>
  <c r="AB118" i="7"/>
  <c r="AB53" i="7"/>
  <c r="AB49" i="7"/>
  <c r="AB45" i="7"/>
  <c r="AB41" i="7"/>
  <c r="AB109" i="7"/>
  <c r="AB105" i="7"/>
  <c r="AB101" i="7"/>
  <c r="AB97" i="7"/>
  <c r="AB93" i="7"/>
  <c r="AB147" i="7"/>
  <c r="AB125" i="7"/>
  <c r="AB121" i="7"/>
  <c r="AB113" i="7"/>
  <c r="AE3" i="20"/>
  <c r="H156" i="7" l="1"/>
  <c r="AB156" i="7"/>
  <c r="AB163" i="7"/>
  <c r="H162" i="7"/>
  <c r="H151" i="7"/>
  <c r="H154" i="7"/>
  <c r="H150" i="7"/>
  <c r="H152" i="7"/>
  <c r="H157" i="7"/>
  <c r="H146" i="7"/>
  <c r="H153" i="7"/>
  <c r="H158" i="7"/>
  <c r="AB153" i="7"/>
  <c r="H160" i="7"/>
  <c r="H163" i="7"/>
  <c r="H155" i="7"/>
  <c r="H161" i="7"/>
  <c r="H159" i="7"/>
  <c r="AB152" i="7"/>
  <c r="AB158" i="7"/>
  <c r="AB154" i="7"/>
  <c r="AB162" i="7"/>
  <c r="AB159" i="7"/>
  <c r="AB151" i="7"/>
  <c r="AB155" i="7"/>
  <c r="AB150" i="7"/>
  <c r="R3" i="20"/>
  <c r="S3" i="20"/>
  <c r="T3" i="20"/>
  <c r="U3" i="20"/>
  <c r="V3" i="20"/>
  <c r="W3" i="20"/>
  <c r="X3" i="20"/>
  <c r="Y3" i="20"/>
  <c r="Z3" i="20"/>
  <c r="AA3" i="20"/>
  <c r="AB3" i="20"/>
  <c r="AC3" i="20"/>
  <c r="AD3" i="20"/>
  <c r="D4" i="24" l="1"/>
  <c r="E4" i="24"/>
  <c r="F4" i="24"/>
  <c r="H4" i="24"/>
  <c r="I4" i="24"/>
  <c r="J4" i="24"/>
  <c r="K4" i="24"/>
  <c r="M4" i="24"/>
  <c r="N4" i="24"/>
  <c r="O4" i="24"/>
  <c r="P4" i="24"/>
  <c r="D5" i="24"/>
  <c r="E5" i="24"/>
  <c r="F5" i="24"/>
  <c r="H5" i="24"/>
  <c r="I5" i="24"/>
  <c r="J5" i="24"/>
  <c r="K5" i="24"/>
  <c r="M5" i="24"/>
  <c r="N5" i="24"/>
  <c r="O5" i="24"/>
  <c r="P5" i="24"/>
  <c r="D6" i="24"/>
  <c r="E6" i="24"/>
  <c r="F6" i="24"/>
  <c r="H6" i="24"/>
  <c r="I6" i="24"/>
  <c r="J6" i="24"/>
  <c r="K6" i="24"/>
  <c r="M6" i="24"/>
  <c r="N6" i="24"/>
  <c r="O6" i="24"/>
  <c r="P6" i="24"/>
  <c r="D7" i="24"/>
  <c r="E7" i="24"/>
  <c r="F7" i="24"/>
  <c r="H7" i="24"/>
  <c r="I7" i="24"/>
  <c r="J7" i="24"/>
  <c r="K7" i="24"/>
  <c r="M7" i="24"/>
  <c r="N7" i="24"/>
  <c r="O7" i="24"/>
  <c r="P7" i="24"/>
  <c r="D8" i="24"/>
  <c r="E8" i="24"/>
  <c r="F8" i="24"/>
  <c r="H8" i="24"/>
  <c r="I8" i="24"/>
  <c r="J8" i="24"/>
  <c r="K8" i="24"/>
  <c r="M8" i="24"/>
  <c r="N8" i="24"/>
  <c r="O8" i="24"/>
  <c r="P8" i="24"/>
  <c r="D9" i="24"/>
  <c r="E9" i="24"/>
  <c r="F9" i="24"/>
  <c r="H9" i="24"/>
  <c r="I9" i="24"/>
  <c r="J9" i="24"/>
  <c r="K9" i="24"/>
  <c r="M9" i="24"/>
  <c r="N9" i="24"/>
  <c r="O9" i="24"/>
  <c r="P9" i="24"/>
  <c r="D10" i="24"/>
  <c r="E10" i="24"/>
  <c r="F10" i="24"/>
  <c r="H10" i="24"/>
  <c r="I10" i="24"/>
  <c r="J10" i="24"/>
  <c r="K10" i="24"/>
  <c r="M10" i="24"/>
  <c r="N10" i="24"/>
  <c r="O10" i="24"/>
  <c r="P10" i="24"/>
  <c r="D11" i="24"/>
  <c r="E11" i="24"/>
  <c r="F11" i="24"/>
  <c r="H11" i="24"/>
  <c r="I11" i="24"/>
  <c r="J11" i="24"/>
  <c r="K11" i="24"/>
  <c r="M11" i="24"/>
  <c r="N11" i="24"/>
  <c r="O11" i="24"/>
  <c r="P11" i="24"/>
  <c r="D12" i="24"/>
  <c r="E12" i="24"/>
  <c r="F12" i="24"/>
  <c r="H12" i="24"/>
  <c r="I12" i="24"/>
  <c r="J12" i="24"/>
  <c r="K12" i="24"/>
  <c r="M12" i="24"/>
  <c r="N12" i="24"/>
  <c r="O12" i="24"/>
  <c r="P12" i="24"/>
  <c r="D13" i="24"/>
  <c r="E13" i="24"/>
  <c r="F13" i="24"/>
  <c r="H13" i="24"/>
  <c r="I13" i="24"/>
  <c r="J13" i="24"/>
  <c r="K13" i="24"/>
  <c r="M13" i="24"/>
  <c r="N13" i="24"/>
  <c r="O13" i="24"/>
  <c r="P13" i="24"/>
  <c r="D14" i="24"/>
  <c r="E14" i="24"/>
  <c r="F14" i="24"/>
  <c r="H14" i="24"/>
  <c r="I14" i="24"/>
  <c r="J14" i="24"/>
  <c r="K14" i="24"/>
  <c r="M14" i="24"/>
  <c r="N14" i="24"/>
  <c r="O14" i="24"/>
  <c r="P14" i="24"/>
  <c r="D15" i="24"/>
  <c r="E15" i="24"/>
  <c r="F15" i="24"/>
  <c r="H15" i="24"/>
  <c r="I15" i="24"/>
  <c r="J15" i="24"/>
  <c r="K15" i="24"/>
  <c r="M15" i="24"/>
  <c r="N15" i="24"/>
  <c r="O15" i="24"/>
  <c r="P15" i="24"/>
  <c r="D16" i="24"/>
  <c r="E16" i="24"/>
  <c r="F16" i="24"/>
  <c r="H16" i="24"/>
  <c r="I16" i="24"/>
  <c r="J16" i="24"/>
  <c r="K16" i="24"/>
  <c r="M16" i="24"/>
  <c r="N16" i="24"/>
  <c r="O16" i="24"/>
  <c r="P16" i="24"/>
  <c r="D17" i="24"/>
  <c r="E17" i="24"/>
  <c r="F17" i="24"/>
  <c r="H17" i="24"/>
  <c r="I17" i="24"/>
  <c r="J17" i="24"/>
  <c r="K17" i="24"/>
  <c r="M17" i="24"/>
  <c r="N17" i="24"/>
  <c r="O17" i="24"/>
  <c r="P17" i="24"/>
  <c r="C5" i="24"/>
  <c r="C6" i="24"/>
  <c r="C7" i="24"/>
  <c r="C8" i="24"/>
  <c r="C9" i="24"/>
  <c r="C10" i="24"/>
  <c r="C11" i="24"/>
  <c r="C12" i="24"/>
  <c r="C13" i="24"/>
  <c r="C14" i="24"/>
  <c r="C15" i="24"/>
  <c r="C16" i="24"/>
  <c r="C17" i="24"/>
  <c r="C4" i="24"/>
  <c r="D4" i="23"/>
  <c r="E4" i="23"/>
  <c r="F4" i="23"/>
  <c r="H4" i="23"/>
  <c r="I4" i="23"/>
  <c r="J4" i="23"/>
  <c r="K4" i="23"/>
  <c r="M4" i="23"/>
  <c r="N4" i="23"/>
  <c r="O4" i="23"/>
  <c r="P4" i="23"/>
  <c r="D5" i="23"/>
  <c r="E5" i="23"/>
  <c r="F5" i="23"/>
  <c r="H5" i="23"/>
  <c r="I5" i="23"/>
  <c r="J5" i="23"/>
  <c r="K5" i="23"/>
  <c r="M5" i="23"/>
  <c r="N5" i="23"/>
  <c r="O5" i="23"/>
  <c r="P5" i="23"/>
  <c r="D6" i="23"/>
  <c r="E6" i="23"/>
  <c r="F6" i="23"/>
  <c r="H6" i="23"/>
  <c r="I6" i="23"/>
  <c r="J6" i="23"/>
  <c r="K6" i="23"/>
  <c r="M6" i="23"/>
  <c r="N6" i="23"/>
  <c r="O6" i="23"/>
  <c r="P6" i="23"/>
  <c r="D7" i="23"/>
  <c r="E7" i="23"/>
  <c r="F7" i="23"/>
  <c r="H7" i="23"/>
  <c r="I7" i="23"/>
  <c r="J7" i="23"/>
  <c r="K7" i="23"/>
  <c r="M7" i="23"/>
  <c r="N7" i="23"/>
  <c r="O7" i="23"/>
  <c r="P7" i="23"/>
  <c r="D8" i="23"/>
  <c r="E8" i="23"/>
  <c r="F8" i="23"/>
  <c r="H8" i="23"/>
  <c r="I8" i="23"/>
  <c r="J8" i="23"/>
  <c r="K8" i="23"/>
  <c r="M8" i="23"/>
  <c r="N8" i="23"/>
  <c r="O8" i="23"/>
  <c r="P8" i="23"/>
  <c r="D9" i="23"/>
  <c r="E9" i="23"/>
  <c r="F9" i="23"/>
  <c r="H9" i="23"/>
  <c r="I9" i="23"/>
  <c r="J9" i="23"/>
  <c r="K9" i="23"/>
  <c r="M9" i="23"/>
  <c r="N9" i="23"/>
  <c r="O9" i="23"/>
  <c r="P9" i="23"/>
  <c r="D10" i="23"/>
  <c r="E10" i="23"/>
  <c r="F10" i="23"/>
  <c r="H10" i="23"/>
  <c r="I10" i="23"/>
  <c r="J10" i="23"/>
  <c r="K10" i="23"/>
  <c r="M10" i="23"/>
  <c r="N10" i="23"/>
  <c r="O10" i="23"/>
  <c r="P10" i="23"/>
  <c r="D11" i="23"/>
  <c r="E11" i="23"/>
  <c r="F11" i="23"/>
  <c r="H11" i="23"/>
  <c r="I11" i="23"/>
  <c r="J11" i="23"/>
  <c r="K11" i="23"/>
  <c r="M11" i="23"/>
  <c r="N11" i="23"/>
  <c r="O11" i="23"/>
  <c r="P11" i="23"/>
  <c r="D12" i="23"/>
  <c r="E12" i="23"/>
  <c r="F12" i="23"/>
  <c r="H12" i="23"/>
  <c r="I12" i="23"/>
  <c r="J12" i="23"/>
  <c r="K12" i="23"/>
  <c r="M12" i="23"/>
  <c r="N12" i="23"/>
  <c r="O12" i="23"/>
  <c r="P12" i="23"/>
  <c r="D13" i="23"/>
  <c r="E13" i="23"/>
  <c r="F13" i="23"/>
  <c r="H13" i="23"/>
  <c r="I13" i="23"/>
  <c r="J13" i="23"/>
  <c r="K13" i="23"/>
  <c r="M13" i="23"/>
  <c r="N13" i="23"/>
  <c r="O13" i="23"/>
  <c r="P13" i="23"/>
  <c r="D14" i="23"/>
  <c r="E14" i="23"/>
  <c r="F14" i="23"/>
  <c r="H14" i="23"/>
  <c r="I14" i="23"/>
  <c r="J14" i="23"/>
  <c r="K14" i="23"/>
  <c r="M14" i="23"/>
  <c r="N14" i="23"/>
  <c r="O14" i="23"/>
  <c r="P14" i="23"/>
  <c r="D15" i="23"/>
  <c r="E15" i="23"/>
  <c r="F15" i="23"/>
  <c r="H15" i="23"/>
  <c r="I15" i="23"/>
  <c r="J15" i="23"/>
  <c r="K15" i="23"/>
  <c r="M15" i="23"/>
  <c r="N15" i="23"/>
  <c r="O15" i="23"/>
  <c r="P15" i="23"/>
  <c r="D16" i="23"/>
  <c r="E16" i="23"/>
  <c r="F16" i="23"/>
  <c r="H16" i="23"/>
  <c r="I16" i="23"/>
  <c r="J16" i="23"/>
  <c r="K16" i="23"/>
  <c r="M16" i="23"/>
  <c r="N16" i="23"/>
  <c r="O16" i="23"/>
  <c r="P16" i="23"/>
  <c r="D17" i="23"/>
  <c r="E17" i="23"/>
  <c r="F17" i="23"/>
  <c r="H17" i="23"/>
  <c r="I17" i="23"/>
  <c r="J17" i="23"/>
  <c r="K17" i="23"/>
  <c r="M17" i="23"/>
  <c r="N17" i="23"/>
  <c r="O17" i="23"/>
  <c r="P17" i="23"/>
  <c r="C5" i="23"/>
  <c r="C6" i="23"/>
  <c r="C7" i="23"/>
  <c r="C8" i="23"/>
  <c r="C9" i="23"/>
  <c r="C10" i="23"/>
  <c r="C11" i="23"/>
  <c r="C12" i="23"/>
  <c r="C13" i="23"/>
  <c r="C14" i="23"/>
  <c r="C15" i="23"/>
  <c r="C16" i="23"/>
  <c r="C17" i="23"/>
  <c r="C4" i="23"/>
  <c r="D4" i="22"/>
  <c r="E4" i="22"/>
  <c r="F4" i="22"/>
  <c r="H4" i="22"/>
  <c r="I4" i="22"/>
  <c r="J4" i="22"/>
  <c r="K4" i="22"/>
  <c r="M4" i="22"/>
  <c r="N4" i="22"/>
  <c r="O4" i="22"/>
  <c r="P4" i="22"/>
  <c r="D5" i="22"/>
  <c r="E5" i="22"/>
  <c r="F5" i="22"/>
  <c r="H5" i="22"/>
  <c r="I5" i="22"/>
  <c r="J5" i="22"/>
  <c r="K5" i="22"/>
  <c r="M5" i="22"/>
  <c r="N5" i="22"/>
  <c r="O5" i="22"/>
  <c r="P5" i="22"/>
  <c r="D6" i="22"/>
  <c r="E6" i="22"/>
  <c r="F6" i="22"/>
  <c r="H6" i="22"/>
  <c r="I6" i="22"/>
  <c r="J6" i="22"/>
  <c r="K6" i="22"/>
  <c r="M6" i="22"/>
  <c r="N6" i="22"/>
  <c r="O6" i="22"/>
  <c r="P6" i="22"/>
  <c r="D7" i="22"/>
  <c r="E7" i="22"/>
  <c r="F7" i="22"/>
  <c r="H7" i="22"/>
  <c r="I7" i="22"/>
  <c r="J7" i="22"/>
  <c r="K7" i="22"/>
  <c r="M7" i="22"/>
  <c r="N7" i="22"/>
  <c r="O7" i="22"/>
  <c r="P7" i="22"/>
  <c r="D8" i="22"/>
  <c r="E8" i="22"/>
  <c r="F8" i="22"/>
  <c r="H8" i="22"/>
  <c r="I8" i="22"/>
  <c r="J8" i="22"/>
  <c r="K8" i="22"/>
  <c r="M8" i="22"/>
  <c r="N8" i="22"/>
  <c r="O8" i="22"/>
  <c r="P8" i="22"/>
  <c r="D9" i="22"/>
  <c r="E9" i="22"/>
  <c r="F9" i="22"/>
  <c r="H9" i="22"/>
  <c r="I9" i="22"/>
  <c r="J9" i="22"/>
  <c r="K9" i="22"/>
  <c r="M9" i="22"/>
  <c r="N9" i="22"/>
  <c r="O9" i="22"/>
  <c r="P9" i="22"/>
  <c r="D10" i="22"/>
  <c r="E10" i="22"/>
  <c r="F10" i="22"/>
  <c r="H10" i="22"/>
  <c r="I10" i="22"/>
  <c r="J10" i="22"/>
  <c r="K10" i="22"/>
  <c r="M10" i="22"/>
  <c r="N10" i="22"/>
  <c r="O10" i="22"/>
  <c r="P10" i="22"/>
  <c r="D11" i="22"/>
  <c r="E11" i="22"/>
  <c r="F11" i="22"/>
  <c r="H11" i="22"/>
  <c r="J11" i="22"/>
  <c r="K11" i="22"/>
  <c r="M11" i="22"/>
  <c r="N11" i="22"/>
  <c r="O11" i="22"/>
  <c r="P11" i="22"/>
  <c r="D12" i="22"/>
  <c r="E12" i="22"/>
  <c r="F12" i="22"/>
  <c r="H12" i="22"/>
  <c r="I12" i="22"/>
  <c r="J12" i="22"/>
  <c r="K12" i="22"/>
  <c r="M12" i="22"/>
  <c r="N12" i="22"/>
  <c r="O12" i="22"/>
  <c r="P12" i="22"/>
  <c r="D13" i="22"/>
  <c r="E13" i="22"/>
  <c r="F13" i="22"/>
  <c r="H13" i="22"/>
  <c r="I13" i="22"/>
  <c r="J13" i="22"/>
  <c r="K13" i="22"/>
  <c r="M13" i="22"/>
  <c r="N13" i="22"/>
  <c r="O13" i="22"/>
  <c r="P13" i="22"/>
  <c r="D14" i="22"/>
  <c r="E14" i="22"/>
  <c r="F14" i="22"/>
  <c r="H14" i="22"/>
  <c r="I14" i="22"/>
  <c r="J14" i="22"/>
  <c r="K14" i="22"/>
  <c r="M14" i="22"/>
  <c r="N14" i="22"/>
  <c r="O14" i="22"/>
  <c r="P14" i="22"/>
  <c r="D15" i="22"/>
  <c r="E15" i="22"/>
  <c r="F15" i="22"/>
  <c r="H15" i="22"/>
  <c r="I15" i="22"/>
  <c r="J15" i="22"/>
  <c r="K15" i="22"/>
  <c r="M15" i="22"/>
  <c r="N15" i="22"/>
  <c r="O15" i="22"/>
  <c r="P15" i="22"/>
  <c r="D16" i="22"/>
  <c r="E16" i="22"/>
  <c r="F16" i="22"/>
  <c r="H16" i="22"/>
  <c r="I16" i="22"/>
  <c r="J16" i="22"/>
  <c r="K16" i="22"/>
  <c r="M16" i="22"/>
  <c r="N16" i="22"/>
  <c r="O16" i="22"/>
  <c r="P16" i="22"/>
  <c r="D17" i="22"/>
  <c r="E17" i="22"/>
  <c r="F17" i="22"/>
  <c r="H17" i="22"/>
  <c r="I17" i="22"/>
  <c r="J17" i="22"/>
  <c r="K17" i="22"/>
  <c r="M17" i="22"/>
  <c r="N17" i="22"/>
  <c r="O17" i="22"/>
  <c r="P17" i="22"/>
  <c r="C5" i="22"/>
  <c r="C6" i="22"/>
  <c r="C7" i="22"/>
  <c r="C8" i="22"/>
  <c r="C9" i="22"/>
  <c r="C10" i="22"/>
  <c r="C11" i="22"/>
  <c r="C12" i="22"/>
  <c r="C13" i="22"/>
  <c r="C14" i="22"/>
  <c r="C15" i="22"/>
  <c r="C16" i="22"/>
  <c r="C17" i="22"/>
  <c r="C4" i="22"/>
  <c r="D4" i="21"/>
  <c r="E4" i="21"/>
  <c r="F4" i="21"/>
  <c r="H4" i="21"/>
  <c r="I4" i="21"/>
  <c r="J4" i="21"/>
  <c r="K4" i="21"/>
  <c r="M4" i="21"/>
  <c r="N4" i="21"/>
  <c r="O4" i="21"/>
  <c r="P4" i="21"/>
  <c r="D5" i="21"/>
  <c r="E5" i="21"/>
  <c r="F5" i="21"/>
  <c r="H5" i="21"/>
  <c r="I5" i="21"/>
  <c r="J5" i="21"/>
  <c r="K5" i="21"/>
  <c r="M5" i="21"/>
  <c r="N5" i="21"/>
  <c r="O5" i="21"/>
  <c r="P5" i="21"/>
  <c r="D6" i="21"/>
  <c r="E6" i="21"/>
  <c r="F6" i="21"/>
  <c r="H6" i="21"/>
  <c r="I6" i="21"/>
  <c r="J6" i="21"/>
  <c r="K6" i="21"/>
  <c r="M6" i="21"/>
  <c r="N6" i="21"/>
  <c r="O6" i="21"/>
  <c r="P6" i="21"/>
  <c r="D7" i="21"/>
  <c r="E7" i="21"/>
  <c r="F7" i="21"/>
  <c r="H7" i="21"/>
  <c r="I7" i="21"/>
  <c r="J7" i="21"/>
  <c r="K7" i="21"/>
  <c r="M7" i="21"/>
  <c r="N7" i="21"/>
  <c r="O7" i="21"/>
  <c r="P7" i="21"/>
  <c r="D8" i="21"/>
  <c r="E8" i="21"/>
  <c r="F8" i="21"/>
  <c r="H8" i="21"/>
  <c r="I8" i="21"/>
  <c r="J8" i="21"/>
  <c r="K8" i="21"/>
  <c r="M8" i="21"/>
  <c r="N8" i="21"/>
  <c r="O8" i="21"/>
  <c r="P8" i="21"/>
  <c r="D9" i="21"/>
  <c r="E9" i="21"/>
  <c r="F9" i="21"/>
  <c r="H9" i="21"/>
  <c r="I9" i="21"/>
  <c r="J9" i="21"/>
  <c r="K9" i="21"/>
  <c r="M9" i="21"/>
  <c r="N9" i="21"/>
  <c r="O9" i="21"/>
  <c r="P9" i="21"/>
  <c r="D10" i="21"/>
  <c r="E10" i="21"/>
  <c r="F10" i="21"/>
  <c r="H10" i="21"/>
  <c r="I10" i="21"/>
  <c r="J10" i="21"/>
  <c r="K10" i="21"/>
  <c r="M10" i="21"/>
  <c r="N10" i="21"/>
  <c r="O10" i="21"/>
  <c r="P10" i="21"/>
  <c r="D11" i="21"/>
  <c r="E11" i="21"/>
  <c r="F11" i="21"/>
  <c r="H11" i="21"/>
  <c r="I11" i="21"/>
  <c r="J11" i="21"/>
  <c r="K11" i="21"/>
  <c r="M11" i="21"/>
  <c r="N11" i="21"/>
  <c r="O11" i="21"/>
  <c r="P11" i="21"/>
  <c r="D12" i="21"/>
  <c r="E12" i="21"/>
  <c r="F12" i="21"/>
  <c r="H12" i="21"/>
  <c r="I12" i="21"/>
  <c r="J12" i="21"/>
  <c r="K12" i="21"/>
  <c r="M12" i="21"/>
  <c r="N12" i="21"/>
  <c r="O12" i="21"/>
  <c r="P12" i="21"/>
  <c r="D13" i="21"/>
  <c r="E13" i="21"/>
  <c r="F13" i="21"/>
  <c r="H13" i="21"/>
  <c r="I13" i="21"/>
  <c r="J13" i="21"/>
  <c r="K13" i="21"/>
  <c r="M13" i="21"/>
  <c r="N13" i="21"/>
  <c r="O13" i="21"/>
  <c r="P13" i="21"/>
  <c r="D14" i="21"/>
  <c r="E14" i="21"/>
  <c r="F14" i="21"/>
  <c r="H14" i="21"/>
  <c r="I14" i="21"/>
  <c r="J14" i="21"/>
  <c r="K14" i="21"/>
  <c r="M14" i="21"/>
  <c r="N14" i="21"/>
  <c r="O14" i="21"/>
  <c r="P14" i="21"/>
  <c r="D15" i="21"/>
  <c r="E15" i="21"/>
  <c r="F15" i="21"/>
  <c r="H15" i="21"/>
  <c r="I15" i="21"/>
  <c r="J15" i="21"/>
  <c r="K15" i="21"/>
  <c r="M15" i="21"/>
  <c r="N15" i="21"/>
  <c r="O15" i="21"/>
  <c r="P15" i="21"/>
  <c r="D16" i="21"/>
  <c r="E16" i="21"/>
  <c r="F16" i="21"/>
  <c r="H16" i="21"/>
  <c r="I16" i="21"/>
  <c r="J16" i="21"/>
  <c r="K16" i="21"/>
  <c r="M16" i="21"/>
  <c r="N16" i="21"/>
  <c r="O16" i="21"/>
  <c r="P16" i="21"/>
  <c r="D17" i="21"/>
  <c r="E17" i="21"/>
  <c r="F17" i="21"/>
  <c r="H17" i="21"/>
  <c r="I17" i="21"/>
  <c r="J17" i="21"/>
  <c r="K17" i="21"/>
  <c r="M17" i="21"/>
  <c r="N17" i="21"/>
  <c r="O17" i="21"/>
  <c r="P17" i="21"/>
  <c r="C5" i="21"/>
  <c r="C6" i="21"/>
  <c r="C7" i="21"/>
  <c r="C8" i="21"/>
  <c r="C9" i="21"/>
  <c r="C10" i="21"/>
  <c r="C11" i="21"/>
  <c r="C12" i="21"/>
  <c r="C13" i="21"/>
  <c r="C14" i="21"/>
  <c r="C15" i="21"/>
  <c r="C16" i="21"/>
  <c r="C17" i="21"/>
  <c r="C4" i="21"/>
  <c r="D4" i="20"/>
  <c r="E4" i="20"/>
  <c r="H4" i="20"/>
  <c r="I4" i="20"/>
  <c r="J4" i="20"/>
  <c r="K4" i="20"/>
  <c r="M4" i="20"/>
  <c r="N4" i="20"/>
  <c r="O4" i="20"/>
  <c r="P4" i="20"/>
  <c r="D5" i="20"/>
  <c r="E5" i="20"/>
  <c r="F5" i="20"/>
  <c r="H5" i="20"/>
  <c r="I5" i="20"/>
  <c r="J5" i="20"/>
  <c r="K5" i="20"/>
  <c r="M5" i="20"/>
  <c r="N5" i="20"/>
  <c r="O5" i="20"/>
  <c r="P5" i="20"/>
  <c r="D6" i="20"/>
  <c r="E6" i="20"/>
  <c r="F6" i="20"/>
  <c r="H6" i="20"/>
  <c r="I6" i="20"/>
  <c r="J6" i="20"/>
  <c r="K6" i="20"/>
  <c r="M6" i="20"/>
  <c r="N6" i="20"/>
  <c r="O6" i="20"/>
  <c r="P6" i="20"/>
  <c r="D7" i="20"/>
  <c r="E7" i="20"/>
  <c r="F7" i="20"/>
  <c r="H7" i="20"/>
  <c r="I7" i="20"/>
  <c r="J7" i="20"/>
  <c r="K7" i="20"/>
  <c r="M7" i="20"/>
  <c r="N7" i="20"/>
  <c r="O7" i="20"/>
  <c r="P7" i="20"/>
  <c r="D8" i="20"/>
  <c r="E8" i="20"/>
  <c r="F8" i="20"/>
  <c r="H8" i="20"/>
  <c r="I8" i="20"/>
  <c r="J8" i="20"/>
  <c r="K8" i="20"/>
  <c r="M8" i="20"/>
  <c r="N8" i="20"/>
  <c r="O8" i="20"/>
  <c r="P8" i="20"/>
  <c r="D9" i="20"/>
  <c r="E9" i="20"/>
  <c r="F9" i="20"/>
  <c r="H9" i="20"/>
  <c r="I9" i="20"/>
  <c r="J9" i="20"/>
  <c r="K9" i="20"/>
  <c r="M9" i="20"/>
  <c r="N9" i="20"/>
  <c r="O9" i="20"/>
  <c r="P9" i="20"/>
  <c r="D10" i="20"/>
  <c r="E10" i="20"/>
  <c r="F10" i="20"/>
  <c r="H10" i="20"/>
  <c r="I10" i="20"/>
  <c r="J10" i="20"/>
  <c r="K10" i="20"/>
  <c r="M10" i="20"/>
  <c r="N10" i="20"/>
  <c r="O10" i="20"/>
  <c r="P10" i="20"/>
  <c r="D11" i="20"/>
  <c r="E11" i="20"/>
  <c r="F11" i="20"/>
  <c r="H11" i="20"/>
  <c r="I11" i="20"/>
  <c r="J11" i="20"/>
  <c r="K11" i="20"/>
  <c r="M11" i="20"/>
  <c r="N11" i="20"/>
  <c r="O11" i="20"/>
  <c r="P11" i="20"/>
  <c r="D12" i="20"/>
  <c r="E12" i="20"/>
  <c r="F12" i="20"/>
  <c r="H12" i="20"/>
  <c r="I12" i="20"/>
  <c r="J12" i="20"/>
  <c r="K12" i="20"/>
  <c r="M12" i="20"/>
  <c r="N12" i="20"/>
  <c r="O12" i="20"/>
  <c r="P12" i="20"/>
  <c r="D13" i="20"/>
  <c r="E13" i="20"/>
  <c r="F13" i="20"/>
  <c r="H13" i="20"/>
  <c r="I13" i="20"/>
  <c r="J13" i="20"/>
  <c r="K13" i="20"/>
  <c r="M13" i="20"/>
  <c r="N13" i="20"/>
  <c r="O13" i="20"/>
  <c r="P13" i="20"/>
  <c r="D14" i="20"/>
  <c r="E14" i="20"/>
  <c r="F14" i="20"/>
  <c r="H14" i="20"/>
  <c r="I14" i="20"/>
  <c r="J14" i="20"/>
  <c r="K14" i="20"/>
  <c r="M14" i="20"/>
  <c r="N14" i="20"/>
  <c r="O14" i="20"/>
  <c r="P14" i="20"/>
  <c r="D15" i="20"/>
  <c r="E15" i="20"/>
  <c r="F15" i="20"/>
  <c r="H15" i="20"/>
  <c r="I15" i="20"/>
  <c r="J15" i="20"/>
  <c r="K15" i="20"/>
  <c r="M15" i="20"/>
  <c r="N15" i="20"/>
  <c r="O15" i="20"/>
  <c r="P15" i="20"/>
  <c r="H16" i="20"/>
  <c r="I16" i="20"/>
  <c r="J16" i="20"/>
  <c r="K16" i="20"/>
  <c r="M16" i="20"/>
  <c r="N16" i="20"/>
  <c r="O16" i="20"/>
  <c r="P16" i="20"/>
  <c r="H17" i="20"/>
  <c r="I17" i="20"/>
  <c r="J17" i="20"/>
  <c r="K17" i="20"/>
  <c r="M17" i="20"/>
  <c r="N17" i="20"/>
  <c r="O17" i="20"/>
  <c r="P17" i="20"/>
  <c r="C5" i="20"/>
  <c r="C6" i="20"/>
  <c r="C7" i="20"/>
  <c r="C8" i="20"/>
  <c r="C9" i="20"/>
  <c r="C10" i="20"/>
  <c r="C11" i="20"/>
  <c r="C12" i="20"/>
  <c r="C13" i="20"/>
  <c r="C14" i="20"/>
  <c r="C15" i="20"/>
  <c r="C16" i="20"/>
  <c r="C17" i="20"/>
  <c r="C4" i="20"/>
  <c r="D4" i="19"/>
  <c r="E4" i="19"/>
  <c r="F4" i="19"/>
  <c r="H4" i="19"/>
  <c r="I4" i="19"/>
  <c r="J4" i="19"/>
  <c r="K4" i="19"/>
  <c r="M4" i="19"/>
  <c r="N4" i="19"/>
  <c r="O4" i="19"/>
  <c r="P4" i="19"/>
  <c r="D5" i="19"/>
  <c r="E5" i="19"/>
  <c r="F5" i="19"/>
  <c r="H5" i="19"/>
  <c r="I5" i="19"/>
  <c r="J5" i="19"/>
  <c r="K5" i="19"/>
  <c r="M5" i="19"/>
  <c r="N5" i="19"/>
  <c r="O5" i="19"/>
  <c r="P5" i="19"/>
  <c r="D6" i="19"/>
  <c r="E6" i="19"/>
  <c r="F6" i="19"/>
  <c r="H6" i="19"/>
  <c r="I6" i="19"/>
  <c r="J6" i="19"/>
  <c r="K6" i="19"/>
  <c r="M6" i="19"/>
  <c r="N6" i="19"/>
  <c r="O6" i="19"/>
  <c r="P6" i="19"/>
  <c r="D7" i="19"/>
  <c r="E7" i="19"/>
  <c r="F7" i="19"/>
  <c r="H7" i="19"/>
  <c r="I7" i="19"/>
  <c r="J7" i="19"/>
  <c r="K7" i="19"/>
  <c r="M7" i="19"/>
  <c r="N7" i="19"/>
  <c r="O7" i="19"/>
  <c r="P7" i="19"/>
  <c r="D8" i="19"/>
  <c r="E8" i="19"/>
  <c r="F8" i="19"/>
  <c r="H8" i="19"/>
  <c r="I8" i="19"/>
  <c r="J8" i="19"/>
  <c r="K8" i="19"/>
  <c r="M8" i="19"/>
  <c r="N8" i="19"/>
  <c r="O8" i="19"/>
  <c r="P8" i="19"/>
  <c r="D9" i="19"/>
  <c r="E9" i="19"/>
  <c r="F9" i="19"/>
  <c r="H9" i="19"/>
  <c r="I9" i="19"/>
  <c r="J9" i="19"/>
  <c r="K9" i="19"/>
  <c r="M9" i="19"/>
  <c r="N9" i="19"/>
  <c r="O9" i="19"/>
  <c r="P9" i="19"/>
  <c r="D10" i="19"/>
  <c r="E10" i="19"/>
  <c r="F10" i="19"/>
  <c r="H10" i="19"/>
  <c r="I10" i="19"/>
  <c r="J10" i="19"/>
  <c r="K10" i="19"/>
  <c r="M10" i="19"/>
  <c r="N10" i="19"/>
  <c r="O10" i="19"/>
  <c r="P10" i="19"/>
  <c r="D11" i="19"/>
  <c r="E11" i="19"/>
  <c r="F11" i="19"/>
  <c r="H11" i="19"/>
  <c r="I11" i="19"/>
  <c r="J11" i="19"/>
  <c r="K11" i="19"/>
  <c r="M11" i="19"/>
  <c r="N11" i="19"/>
  <c r="O11" i="19"/>
  <c r="P11" i="19"/>
  <c r="D12" i="19"/>
  <c r="E12" i="19"/>
  <c r="F12" i="19"/>
  <c r="H12" i="19"/>
  <c r="I12" i="19"/>
  <c r="J12" i="19"/>
  <c r="K12" i="19"/>
  <c r="M12" i="19"/>
  <c r="N12" i="19"/>
  <c r="O12" i="19"/>
  <c r="P12" i="19"/>
  <c r="D13" i="19"/>
  <c r="E13" i="19"/>
  <c r="F13" i="19"/>
  <c r="H13" i="19"/>
  <c r="I13" i="19"/>
  <c r="J13" i="19"/>
  <c r="K13" i="19"/>
  <c r="M13" i="19"/>
  <c r="N13" i="19"/>
  <c r="O13" i="19"/>
  <c r="P13" i="19"/>
  <c r="D14" i="19"/>
  <c r="E14" i="19"/>
  <c r="F14" i="19"/>
  <c r="H14" i="19"/>
  <c r="I14" i="19"/>
  <c r="J14" i="19"/>
  <c r="K14" i="19"/>
  <c r="M14" i="19"/>
  <c r="N14" i="19"/>
  <c r="O14" i="19"/>
  <c r="P14" i="19"/>
  <c r="D15" i="19"/>
  <c r="E15" i="19"/>
  <c r="F15" i="19"/>
  <c r="H15" i="19"/>
  <c r="I15" i="19"/>
  <c r="J15" i="19"/>
  <c r="K15" i="19"/>
  <c r="M15" i="19"/>
  <c r="N15" i="19"/>
  <c r="O15" i="19"/>
  <c r="P15" i="19"/>
  <c r="D16" i="19"/>
  <c r="E16" i="19"/>
  <c r="F16" i="19"/>
  <c r="H16" i="19"/>
  <c r="I16" i="19"/>
  <c r="J16" i="19"/>
  <c r="K16" i="19"/>
  <c r="M16" i="19"/>
  <c r="N16" i="19"/>
  <c r="O16" i="19"/>
  <c r="P16" i="19"/>
  <c r="D17" i="19"/>
  <c r="E17" i="19"/>
  <c r="F17" i="19"/>
  <c r="H17" i="19"/>
  <c r="I17" i="19"/>
  <c r="J17" i="19"/>
  <c r="K17" i="19"/>
  <c r="M17" i="19"/>
  <c r="N17" i="19"/>
  <c r="O17" i="19"/>
  <c r="P17" i="19"/>
  <c r="C5" i="19"/>
  <c r="C6" i="19"/>
  <c r="C7" i="19"/>
  <c r="C8" i="19"/>
  <c r="C9" i="19"/>
  <c r="C10" i="19"/>
  <c r="C11" i="19"/>
  <c r="C12" i="19"/>
  <c r="C13" i="19"/>
  <c r="C14" i="19"/>
  <c r="C15" i="19"/>
  <c r="C16" i="19"/>
  <c r="C17" i="19"/>
  <c r="C4" i="19"/>
  <c r="B4" i="18"/>
  <c r="C4" i="18"/>
  <c r="D4" i="18"/>
  <c r="F4" i="18"/>
  <c r="G4" i="18"/>
  <c r="H4" i="18"/>
  <c r="I4" i="18"/>
  <c r="K4" i="18"/>
  <c r="L4" i="18"/>
  <c r="M4" i="18"/>
  <c r="N4" i="18"/>
  <c r="B5" i="18"/>
  <c r="C5" i="18"/>
  <c r="D5" i="18"/>
  <c r="F5" i="18"/>
  <c r="G5" i="18"/>
  <c r="H5" i="18"/>
  <c r="I5" i="18"/>
  <c r="K5" i="18"/>
  <c r="L5" i="18"/>
  <c r="M5" i="18"/>
  <c r="N5" i="18"/>
  <c r="B6" i="18"/>
  <c r="C6" i="18"/>
  <c r="D6" i="18"/>
  <c r="F6" i="18"/>
  <c r="G6" i="18"/>
  <c r="H6" i="18"/>
  <c r="I6" i="18"/>
  <c r="K6" i="18"/>
  <c r="L6" i="18"/>
  <c r="M6" i="18"/>
  <c r="N6" i="18"/>
  <c r="B7" i="18"/>
  <c r="C7" i="18"/>
  <c r="D7" i="18"/>
  <c r="F7" i="18"/>
  <c r="G7" i="18"/>
  <c r="H7" i="18"/>
  <c r="I7" i="18"/>
  <c r="K7" i="18"/>
  <c r="L7" i="18"/>
  <c r="M7" i="18"/>
  <c r="N7" i="18"/>
  <c r="B8" i="18"/>
  <c r="C8" i="18"/>
  <c r="D8" i="18"/>
  <c r="F8" i="18"/>
  <c r="G8" i="18"/>
  <c r="H8" i="18"/>
  <c r="I8" i="18"/>
  <c r="K8" i="18"/>
  <c r="L8" i="18"/>
  <c r="M8" i="18"/>
  <c r="N8" i="18"/>
  <c r="B9" i="18"/>
  <c r="C9" i="18"/>
  <c r="D9" i="18"/>
  <c r="F9" i="18"/>
  <c r="G9" i="18"/>
  <c r="H9" i="18"/>
  <c r="I9" i="18"/>
  <c r="K9" i="18"/>
  <c r="L9" i="18"/>
  <c r="M9" i="18"/>
  <c r="N9" i="18"/>
  <c r="B10" i="18"/>
  <c r="C10" i="18"/>
  <c r="D10" i="18"/>
  <c r="F10" i="18"/>
  <c r="G10" i="18"/>
  <c r="H10" i="18"/>
  <c r="I10" i="18"/>
  <c r="K10" i="18"/>
  <c r="L10" i="18"/>
  <c r="M10" i="18"/>
  <c r="N10" i="18"/>
  <c r="B11" i="18"/>
  <c r="C11" i="18"/>
  <c r="D11" i="18"/>
  <c r="F11" i="18"/>
  <c r="G11" i="18"/>
  <c r="H11" i="18"/>
  <c r="I11" i="18"/>
  <c r="K11" i="18"/>
  <c r="L11" i="18"/>
  <c r="M11" i="18"/>
  <c r="N11" i="18"/>
  <c r="B12" i="18"/>
  <c r="C12" i="18"/>
  <c r="D12" i="18"/>
  <c r="F12" i="18"/>
  <c r="G12" i="18"/>
  <c r="H12" i="18"/>
  <c r="I12" i="18"/>
  <c r="K12" i="18"/>
  <c r="L12" i="18"/>
  <c r="M12" i="18"/>
  <c r="N12" i="18"/>
  <c r="B13" i="18"/>
  <c r="C13" i="18"/>
  <c r="D13" i="18"/>
  <c r="F13" i="18"/>
  <c r="G13" i="18"/>
  <c r="H13" i="18"/>
  <c r="I13" i="18"/>
  <c r="K13" i="18"/>
  <c r="L13" i="18"/>
  <c r="M13" i="18"/>
  <c r="N13" i="18"/>
  <c r="B14" i="18"/>
  <c r="C14" i="18"/>
  <c r="D14" i="18"/>
  <c r="F14" i="18"/>
  <c r="G14" i="18"/>
  <c r="H14" i="18"/>
  <c r="I14" i="18"/>
  <c r="K14" i="18"/>
  <c r="L14" i="18"/>
  <c r="M14" i="18"/>
  <c r="N14" i="18"/>
  <c r="B15" i="18"/>
  <c r="C15" i="18"/>
  <c r="D15" i="18"/>
  <c r="F15" i="18"/>
  <c r="G15" i="18"/>
  <c r="H15" i="18"/>
  <c r="I15" i="18"/>
  <c r="K15" i="18"/>
  <c r="L15" i="18"/>
  <c r="M15" i="18"/>
  <c r="N15" i="18"/>
  <c r="C16" i="18"/>
  <c r="D16" i="18"/>
  <c r="F16" i="18"/>
  <c r="G16" i="18"/>
  <c r="H16" i="18"/>
  <c r="I16" i="18"/>
  <c r="K16" i="18"/>
  <c r="L16" i="18"/>
  <c r="M16" i="18"/>
  <c r="N16" i="18"/>
  <c r="B17" i="18"/>
  <c r="C17" i="18"/>
  <c r="D17" i="18"/>
  <c r="F17" i="18"/>
  <c r="G17" i="18"/>
  <c r="H17" i="18"/>
  <c r="I17" i="18"/>
  <c r="K17" i="18"/>
  <c r="L17" i="18"/>
  <c r="M17" i="18"/>
  <c r="N17" i="18"/>
  <c r="AP45" i="7" l="1"/>
  <c r="AP43" i="7"/>
  <c r="AP41" i="7"/>
  <c r="AP159" i="7"/>
  <c r="AP99" i="7"/>
  <c r="AP162" i="7"/>
  <c r="AP160" i="7"/>
  <c r="AP157" i="7"/>
  <c r="AP155" i="7"/>
  <c r="AP153" i="7"/>
  <c r="AP102" i="7"/>
  <c r="AP81" i="7"/>
  <c r="AP86" i="7"/>
  <c r="AP11" i="7"/>
  <c r="AP68" i="7"/>
  <c r="AP130" i="7"/>
  <c r="AP23" i="7"/>
  <c r="AP142" i="7"/>
  <c r="AP17" i="7"/>
  <c r="AP158" i="7"/>
  <c r="AP93" i="7"/>
  <c r="AP6" i="7"/>
  <c r="AP125" i="7"/>
  <c r="AP88" i="7"/>
  <c r="AP143" i="7"/>
  <c r="AP114" i="7"/>
  <c r="AP77" i="7"/>
  <c r="AP62" i="7"/>
  <c r="AP10" i="7"/>
  <c r="AP72" i="7"/>
  <c r="AP2" i="7"/>
  <c r="AP57" i="7"/>
  <c r="AP27" i="7"/>
  <c r="AP5" i="7"/>
  <c r="AP108" i="7"/>
  <c r="AP101" i="7"/>
  <c r="AP96" i="7"/>
  <c r="AP48" i="7"/>
  <c r="AP53" i="7"/>
  <c r="AP51" i="7"/>
  <c r="AP49" i="7"/>
  <c r="AP136" i="7"/>
  <c r="AP22" i="7"/>
  <c r="AP36" i="7"/>
  <c r="AP133" i="7"/>
  <c r="AP90" i="7"/>
  <c r="AP82" i="7"/>
  <c r="AP73" i="7"/>
  <c r="AP128" i="7"/>
  <c r="AP78" i="7"/>
  <c r="AP56" i="7"/>
  <c r="AP20" i="7"/>
  <c r="AP145" i="7"/>
  <c r="AP129" i="7"/>
  <c r="AP37" i="7"/>
  <c r="AP15" i="7"/>
  <c r="AP134" i="7"/>
  <c r="AP75" i="7"/>
  <c r="AP118" i="7"/>
  <c r="AP47" i="7"/>
  <c r="AP148" i="7"/>
  <c r="AP146" i="7"/>
  <c r="AP105" i="7"/>
  <c r="AP19" i="7"/>
  <c r="AP59" i="7"/>
  <c r="AP115" i="7"/>
  <c r="AP21" i="7"/>
  <c r="AP139" i="7"/>
  <c r="AP124" i="7"/>
  <c r="AP116" i="7"/>
  <c r="AP127" i="7"/>
  <c r="AP91" i="7"/>
  <c r="AP76" i="7"/>
  <c r="AP32" i="7"/>
  <c r="AP25" i="7"/>
  <c r="AP9" i="7"/>
  <c r="AP46" i="7"/>
  <c r="AP44" i="7"/>
  <c r="AP42" i="7"/>
  <c r="AP38" i="7"/>
  <c r="AP39" i="7"/>
  <c r="AP107" i="7"/>
  <c r="AP163" i="7"/>
  <c r="AP161" i="7"/>
  <c r="AP151" i="7"/>
  <c r="AP156" i="7"/>
  <c r="AP154" i="7"/>
  <c r="AP152" i="7"/>
  <c r="AP87" i="7"/>
  <c r="AP110" i="7"/>
  <c r="AP24" i="7"/>
  <c r="AP79" i="7"/>
  <c r="AP35" i="7"/>
  <c r="AP55" i="7"/>
  <c r="AP100" i="7"/>
  <c r="AP92" i="7"/>
  <c r="AP97" i="7"/>
  <c r="AP95" i="7"/>
  <c r="AP54" i="7"/>
  <c r="AP52" i="7"/>
  <c r="AP50" i="7"/>
  <c r="AP40" i="7"/>
  <c r="AP16" i="7"/>
  <c r="AP8" i="7"/>
  <c r="AP121" i="7"/>
  <c r="AP70" i="7"/>
  <c r="AP33" i="7"/>
  <c r="AP3" i="7"/>
  <c r="AP65" i="7"/>
  <c r="AP29" i="7"/>
  <c r="AP141" i="7"/>
  <c r="AP83" i="7"/>
  <c r="AP74" i="7"/>
  <c r="AP66" i="7"/>
  <c r="AP144" i="7"/>
  <c r="AP122" i="7"/>
  <c r="AP63" i="7"/>
  <c r="AP34" i="7"/>
  <c r="AP12" i="7"/>
  <c r="AP138" i="7"/>
  <c r="AP147" i="7"/>
  <c r="AP109" i="7"/>
  <c r="AP106" i="7"/>
  <c r="AP104" i="7"/>
  <c r="AP126" i="7"/>
  <c r="AP7" i="7"/>
  <c r="AP60" i="7"/>
  <c r="AP84" i="7"/>
  <c r="AP61" i="7"/>
  <c r="AP31" i="7"/>
  <c r="AP71" i="7"/>
  <c r="AP28" i="7"/>
  <c r="AP13" i="7"/>
  <c r="AP132" i="7"/>
  <c r="AP117" i="7"/>
  <c r="AP98" i="7"/>
  <c r="AP14" i="7"/>
  <c r="AP4" i="7"/>
  <c r="AP137" i="7"/>
  <c r="AP18" i="7"/>
  <c r="AP150" i="7"/>
  <c r="AP64" i="7"/>
  <c r="AP140" i="7"/>
  <c r="AP30" i="7"/>
  <c r="AP94" i="7"/>
  <c r="AP111" i="7"/>
  <c r="AP135" i="7"/>
  <c r="AP69" i="7"/>
  <c r="AP89" i="7"/>
  <c r="AP120" i="7"/>
  <c r="AP123" i="7"/>
  <c r="AP26" i="7"/>
  <c r="AP112" i="7"/>
  <c r="AP80" i="7"/>
  <c r="AP119" i="7"/>
  <c r="AP58" i="7"/>
  <c r="T158" i="7" a="1"/>
  <c r="T158" i="7" s="1"/>
  <c r="T47" i="7" a="1"/>
  <c r="T47" i="7" s="1"/>
  <c r="T106" i="7" a="1"/>
  <c r="T106" i="7" s="1"/>
  <c r="T104" i="7" a="1"/>
  <c r="T104" i="7" s="1"/>
  <c r="T50" i="7" a="1"/>
  <c r="T50" i="7" s="1"/>
  <c r="T121" i="7" a="1"/>
  <c r="T121" i="7" s="1"/>
  <c r="T26" i="7" a="1"/>
  <c r="T26" i="7" s="1"/>
  <c r="T80" i="7" a="1"/>
  <c r="T80" i="7" s="1"/>
  <c r="T89" i="7" a="1"/>
  <c r="T89" i="7" s="1"/>
  <c r="T70" i="7" a="1"/>
  <c r="T70" i="7" s="1"/>
  <c r="T3" i="7" a="1"/>
  <c r="T3" i="7" s="1"/>
  <c r="T66" i="7" a="1"/>
  <c r="T66" i="7" s="1"/>
  <c r="T63" i="7" a="1"/>
  <c r="T63" i="7" s="1"/>
  <c r="T34" i="7" a="1"/>
  <c r="T34" i="7" s="1"/>
  <c r="T30" i="7" a="1"/>
  <c r="T30" i="7" s="1"/>
  <c r="T7" i="7" a="1"/>
  <c r="T7" i="7" s="1"/>
  <c r="T31" i="7" a="1"/>
  <c r="T31" i="7" s="1"/>
  <c r="T71" i="7" a="1"/>
  <c r="T71" i="7" s="1"/>
  <c r="T41" i="7" a="1"/>
  <c r="T41" i="7" s="1"/>
  <c r="T160" i="7" a="1"/>
  <c r="T160" i="7" s="1"/>
  <c r="T109" i="7" a="1"/>
  <c r="T109" i="7" s="1"/>
  <c r="T102" i="7" a="1"/>
  <c r="T102" i="7" s="1"/>
  <c r="T97" i="7" a="1"/>
  <c r="T97" i="7" s="1"/>
  <c r="T95" i="7" a="1"/>
  <c r="T95" i="7" s="1"/>
  <c r="T52" i="7" a="1"/>
  <c r="T52" i="7" s="1"/>
  <c r="T36" i="7" a="1"/>
  <c r="T36" i="7" s="1"/>
  <c r="T33" i="7" a="1"/>
  <c r="T33" i="7" s="1"/>
  <c r="T65" i="7" a="1"/>
  <c r="T65" i="7" s="1"/>
  <c r="T83" i="7" a="1"/>
  <c r="T83" i="7" s="1"/>
  <c r="T74" i="7" a="1"/>
  <c r="T74" i="7" s="1"/>
  <c r="T144" i="7" a="1"/>
  <c r="T144" i="7" s="1"/>
  <c r="T122" i="7" a="1"/>
  <c r="T122" i="7" s="1"/>
  <c r="T138" i="7" a="1"/>
  <c r="T138" i="7" s="1"/>
  <c r="T115" i="7" a="1"/>
  <c r="T115" i="7" s="1"/>
  <c r="T131" i="7" a="1"/>
  <c r="T131" i="7" s="1"/>
  <c r="T113" i="7" a="1"/>
  <c r="T113" i="7" s="1"/>
  <c r="T28" i="7" a="1"/>
  <c r="T28" i="7" s="1"/>
  <c r="T132" i="7" a="1"/>
  <c r="T132" i="7" s="1"/>
  <c r="T43" i="7" a="1"/>
  <c r="T43" i="7" s="1"/>
  <c r="T159" i="7" a="1"/>
  <c r="T159" i="7" s="1"/>
  <c r="T162" i="7" a="1"/>
  <c r="T162" i="7" s="1"/>
  <c r="T157" i="7" a="1"/>
  <c r="T157" i="7" s="1"/>
  <c r="T153" i="7" a="1"/>
  <c r="T153" i="7" s="1"/>
  <c r="T149" i="7" a="1"/>
  <c r="T149" i="7" s="1"/>
  <c r="T147" i="7" a="1"/>
  <c r="T147" i="7" s="1"/>
  <c r="T98" i="7" a="1"/>
  <c r="T98" i="7" s="1"/>
  <c r="T143" i="7" a="1"/>
  <c r="T143" i="7" s="1"/>
  <c r="T19" i="7" a="1"/>
  <c r="T19" i="7" s="1"/>
  <c r="T10" i="7" a="1"/>
  <c r="T10" i="7" s="1"/>
  <c r="T59" i="7" a="1"/>
  <c r="T59" i="7" s="1"/>
  <c r="T27" i="7" a="1"/>
  <c r="T27" i="7" s="1"/>
  <c r="T84" i="7" a="1"/>
  <c r="T84" i="7" s="1"/>
  <c r="T61" i="7" a="1"/>
  <c r="T61" i="7" s="1"/>
  <c r="T13" i="7" a="1"/>
  <c r="T13" i="7" s="1"/>
  <c r="T117" i="7" a="1"/>
  <c r="T117" i="7" s="1"/>
  <c r="T45" i="7" a="1"/>
  <c r="T45" i="7" s="1"/>
  <c r="T99" i="7" a="1"/>
  <c r="T99" i="7" s="1"/>
  <c r="T155" i="7" a="1"/>
  <c r="T155" i="7" s="1"/>
  <c r="T108" i="7" a="1"/>
  <c r="T108" i="7" s="1"/>
  <c r="T101" i="7" a="1"/>
  <c r="T101" i="7" s="1"/>
  <c r="T48" i="7" a="1"/>
  <c r="T48" i="7" s="1"/>
  <c r="T51" i="7" a="1"/>
  <c r="T51" i="7" s="1"/>
  <c r="T64" i="7" a="1"/>
  <c r="T64" i="7" s="1"/>
  <c r="T110" i="7" a="1"/>
  <c r="T110" i="7" s="1"/>
  <c r="T88" i="7" a="1"/>
  <c r="T88" i="7" s="1"/>
  <c r="T114" i="7" a="1"/>
  <c r="T114" i="7" s="1"/>
  <c r="T72" i="7" a="1"/>
  <c r="T72" i="7" s="1"/>
  <c r="T2" i="7" a="1"/>
  <c r="T2" i="7" s="1"/>
  <c r="T90" i="7" a="1"/>
  <c r="T90" i="7" s="1"/>
  <c r="T145" i="7" a="1"/>
  <c r="T145" i="7" s="1"/>
  <c r="T37" i="7" a="1"/>
  <c r="T37" i="7" s="1"/>
  <c r="T75" i="7" a="1"/>
  <c r="T75" i="7" s="1"/>
  <c r="T67" i="7" a="1"/>
  <c r="T67" i="7" s="1"/>
  <c r="T57" i="7" a="1"/>
  <c r="T57" i="7" s="1"/>
  <c r="T130" i="7" a="1"/>
  <c r="T130" i="7" s="1"/>
  <c r="T23" i="7" a="1"/>
  <c r="T23" i="7" s="1"/>
  <c r="T142" i="7" a="1"/>
  <c r="T142" i="7" s="1"/>
  <c r="T123" i="7" a="1"/>
  <c r="T123" i="7" s="1"/>
  <c r="T150" i="7" a="1"/>
  <c r="T150" i="7" s="1"/>
  <c r="T100" i="7" a="1"/>
  <c r="T100" i="7" s="1"/>
  <c r="T94" i="7" a="1"/>
  <c r="T94" i="7" s="1"/>
  <c r="T53" i="7" a="1"/>
  <c r="T53" i="7" s="1"/>
  <c r="T136" i="7" a="1"/>
  <c r="T136" i="7" s="1"/>
  <c r="T22" i="7" a="1"/>
  <c r="T22" i="7" s="1"/>
  <c r="T6" i="7" a="1"/>
  <c r="T6" i="7" s="1"/>
  <c r="T125" i="7" a="1"/>
  <c r="T125" i="7" s="1"/>
  <c r="T77" i="7" a="1"/>
  <c r="T77" i="7" s="1"/>
  <c r="T62" i="7" a="1"/>
  <c r="T62" i="7" s="1"/>
  <c r="T133" i="7" a="1"/>
  <c r="T133" i="7" s="1"/>
  <c r="T56" i="7" a="1"/>
  <c r="T56" i="7" s="1"/>
  <c r="T20" i="7" a="1"/>
  <c r="T20" i="7" s="1"/>
  <c r="T4" i="7" a="1"/>
  <c r="T4" i="7" s="1"/>
  <c r="T129" i="7" a="1"/>
  <c r="T129" i="7" s="1"/>
  <c r="T15" i="7" a="1"/>
  <c r="T15" i="7" s="1"/>
  <c r="T119" i="7" a="1"/>
  <c r="T119" i="7" s="1"/>
  <c r="T5" i="7" a="1"/>
  <c r="T5" i="7" s="1"/>
  <c r="T25" i="7" a="1"/>
  <c r="T25" i="7" s="1"/>
  <c r="T9" i="7" a="1"/>
  <c r="T9" i="7" s="1"/>
  <c r="T42" i="7" a="1"/>
  <c r="T42" i="7" s="1"/>
  <c r="T163" i="7" a="1"/>
  <c r="T163" i="7" s="1"/>
  <c r="T151" i="7" a="1"/>
  <c r="T151" i="7" s="1"/>
  <c r="T152" i="7" a="1"/>
  <c r="T152" i="7" s="1"/>
  <c r="T148" i="7" a="1"/>
  <c r="T148" i="7" s="1"/>
  <c r="T69" i="7" a="1"/>
  <c r="T69" i="7" s="1"/>
  <c r="T18" i="7" a="1"/>
  <c r="T18" i="7" s="1"/>
  <c r="T135" i="7" a="1"/>
  <c r="T135" i="7" s="1"/>
  <c r="T11" i="7" a="1"/>
  <c r="T11" i="7" s="1"/>
  <c r="T126" i="7" a="1"/>
  <c r="T126" i="7" s="1"/>
  <c r="T137" i="7" a="1"/>
  <c r="T137" i="7" s="1"/>
  <c r="T112" i="7" a="1"/>
  <c r="T112" i="7" s="1"/>
  <c r="T60" i="7" a="1"/>
  <c r="T60" i="7" s="1"/>
  <c r="T139" i="7" a="1"/>
  <c r="T139" i="7" s="1"/>
  <c r="T76" i="7" a="1"/>
  <c r="T76" i="7" s="1"/>
  <c r="T32" i="7" a="1"/>
  <c r="T32" i="7" s="1"/>
  <c r="T46" i="7" a="1"/>
  <c r="T46" i="7" s="1"/>
  <c r="T38" i="7" a="1"/>
  <c r="T38" i="7" s="1"/>
  <c r="T39" i="7" a="1"/>
  <c r="T39" i="7" s="1"/>
  <c r="T55" i="7" a="1"/>
  <c r="T55" i="7" s="1"/>
  <c r="T156" i="7" a="1"/>
  <c r="T156" i="7" s="1"/>
  <c r="T92" i="7" a="1"/>
  <c r="T92" i="7" s="1"/>
  <c r="T93" i="7" a="1"/>
  <c r="T93" i="7" s="1"/>
  <c r="T54" i="7" a="1"/>
  <c r="T54" i="7" s="1"/>
  <c r="T40" i="7" a="1"/>
  <c r="T40" i="7" s="1"/>
  <c r="T16" i="7" a="1"/>
  <c r="T16" i="7" s="1"/>
  <c r="T8" i="7" a="1"/>
  <c r="T8" i="7" s="1"/>
  <c r="T85" i="7" a="1"/>
  <c r="T85" i="7" s="1"/>
  <c r="T58" i="7" a="1"/>
  <c r="T58" i="7" s="1"/>
  <c r="T14" i="7" a="1"/>
  <c r="T14" i="7" s="1"/>
  <c r="T140" i="7" a="1"/>
  <c r="T140" i="7" s="1"/>
  <c r="T111" i="7" a="1"/>
  <c r="T111" i="7" s="1"/>
  <c r="T81" i="7" a="1"/>
  <c r="T81" i="7" s="1"/>
  <c r="T29" i="7" a="1"/>
  <c r="T29" i="7" s="1"/>
  <c r="T141" i="7" a="1"/>
  <c r="T141" i="7" s="1"/>
  <c r="T12" i="7" a="1"/>
  <c r="T12" i="7" s="1"/>
  <c r="T120" i="7" a="1"/>
  <c r="T120" i="7" s="1"/>
  <c r="T68" i="7" a="1"/>
  <c r="T68" i="7" s="1"/>
  <c r="T17" i="7" a="1"/>
  <c r="T17" i="7" s="1"/>
  <c r="T118" i="7" a="1"/>
  <c r="T118" i="7" s="1"/>
  <c r="T87" i="7" a="1"/>
  <c r="T87" i="7" s="1"/>
  <c r="T79" i="7" a="1"/>
  <c r="T79" i="7" s="1"/>
  <c r="T91" i="7" a="1"/>
  <c r="T91" i="7" s="1"/>
  <c r="T134" i="7" a="1"/>
  <c r="T134" i="7" s="1"/>
  <c r="T107" i="7" a="1"/>
  <c r="T107" i="7" s="1"/>
  <c r="T96" i="7" a="1"/>
  <c r="T96" i="7" s="1"/>
  <c r="T35" i="7" a="1"/>
  <c r="T35" i="7" s="1"/>
  <c r="T82" i="7" a="1"/>
  <c r="T82" i="7" s="1"/>
  <c r="T21" i="7" a="1"/>
  <c r="T21" i="7" s="1"/>
  <c r="T146" i="7" a="1"/>
  <c r="T146" i="7" s="1"/>
  <c r="T73" i="7" a="1"/>
  <c r="T73" i="7" s="1"/>
  <c r="T44" i="7" a="1"/>
  <c r="T44" i="7" s="1"/>
  <c r="T161" i="7" a="1"/>
  <c r="T161" i="7" s="1"/>
  <c r="T128" i="7" a="1"/>
  <c r="T128" i="7" s="1"/>
  <c r="T124" i="7" a="1"/>
  <c r="T124" i="7" s="1"/>
  <c r="T103" i="7" a="1"/>
  <c r="T103" i="7" s="1"/>
  <c r="T49" i="7" a="1"/>
  <c r="T49" i="7" s="1"/>
  <c r="T86" i="7" a="1"/>
  <c r="T86" i="7" s="1"/>
  <c r="T116" i="7" a="1"/>
  <c r="T116" i="7" s="1"/>
  <c r="T105" i="7" a="1"/>
  <c r="T105" i="7" s="1"/>
  <c r="T154" i="7" a="1"/>
  <c r="T154" i="7" s="1"/>
  <c r="T24" i="7" a="1"/>
  <c r="T24" i="7" s="1"/>
  <c r="T127" i="7" a="1"/>
  <c r="T127" i="7" s="1"/>
  <c r="T78" i="7" a="1"/>
  <c r="T78" i="7" s="1"/>
  <c r="D46" i="13"/>
  <c r="D32" i="13"/>
  <c r="D33" i="13"/>
  <c r="D34" i="13"/>
  <c r="D35" i="13"/>
  <c r="D36" i="13"/>
  <c r="D31" i="13"/>
  <c r="S79" i="13"/>
  <c r="P79" i="13"/>
  <c r="L79" i="13"/>
  <c r="I79" i="13"/>
  <c r="P78" i="13"/>
  <c r="L78" i="13"/>
  <c r="M78" i="13" s="1"/>
  <c r="I78" i="13"/>
  <c r="S77" i="13"/>
  <c r="P77" i="13"/>
  <c r="L77" i="13"/>
  <c r="M77" i="13" s="1"/>
  <c r="I77" i="13"/>
  <c r="S76" i="13"/>
  <c r="P76" i="13"/>
  <c r="L76" i="13"/>
  <c r="M76" i="13" s="1"/>
  <c r="I76" i="13"/>
  <c r="P75" i="13"/>
  <c r="L75" i="13"/>
  <c r="M75" i="13" s="1"/>
  <c r="I75" i="13"/>
  <c r="S74" i="13"/>
  <c r="P74" i="13"/>
  <c r="L74" i="13"/>
  <c r="M74" i="13" s="1"/>
  <c r="I74" i="13"/>
  <c r="S73" i="13"/>
  <c r="P73" i="13"/>
  <c r="L73" i="13"/>
  <c r="M73" i="13" s="1"/>
  <c r="I73" i="13"/>
  <c r="AB28" i="13"/>
  <c r="AB27" i="13"/>
  <c r="AF20" i="13"/>
  <c r="AB20" i="13"/>
  <c r="AF19" i="13"/>
  <c r="AB19" i="13"/>
  <c r="P18" i="13"/>
  <c r="AF17" i="13"/>
  <c r="AB17" i="13"/>
  <c r="P17" i="13"/>
  <c r="AF16" i="13"/>
  <c r="AB16" i="13"/>
  <c r="P16" i="13"/>
  <c r="AF15" i="13"/>
  <c r="AB15" i="13"/>
  <c r="P15" i="13"/>
  <c r="P14" i="13"/>
  <c r="AF13" i="13"/>
  <c r="AB13" i="13"/>
  <c r="P13" i="13"/>
  <c r="AF12" i="13"/>
  <c r="AB12" i="13"/>
  <c r="P12" i="13"/>
  <c r="AB22" i="13" l="1"/>
  <c r="AB23" i="13" s="1"/>
  <c r="T79" i="13"/>
  <c r="AB30" i="13"/>
  <c r="AB31" i="13" s="1"/>
  <c r="T76" i="13"/>
  <c r="T77" i="13"/>
  <c r="T73" i="13"/>
  <c r="AF22" i="13"/>
  <c r="AF23" i="13" s="1"/>
  <c r="T74" i="13"/>
  <c r="T75" i="13"/>
  <c r="T78" i="13"/>
  <c r="A1" i="12" l="1"/>
  <c r="P12" i="10" l="1"/>
  <c r="P13" i="10"/>
  <c r="P15" i="10"/>
  <c r="P16" i="10"/>
  <c r="P17" i="10"/>
  <c r="P18" i="10"/>
  <c r="P14" i="10"/>
  <c r="S77" i="10"/>
  <c r="P77" i="10"/>
  <c r="L77" i="10"/>
  <c r="I77" i="10"/>
  <c r="P76" i="10"/>
  <c r="L76" i="10"/>
  <c r="M76" i="10" s="1"/>
  <c r="I76" i="10"/>
  <c r="S75" i="10"/>
  <c r="P75" i="10"/>
  <c r="L75" i="10"/>
  <c r="M75" i="10" s="1"/>
  <c r="I75" i="10"/>
  <c r="S74" i="10"/>
  <c r="P74" i="10"/>
  <c r="L74" i="10"/>
  <c r="M74" i="10" s="1"/>
  <c r="I74" i="10"/>
  <c r="P73" i="10"/>
  <c r="L73" i="10"/>
  <c r="M73" i="10" s="1"/>
  <c r="I73" i="10"/>
  <c r="S72" i="10"/>
  <c r="P72" i="10"/>
  <c r="L72" i="10"/>
  <c r="M72" i="10" s="1"/>
  <c r="I72" i="10"/>
  <c r="S71" i="10"/>
  <c r="P71" i="10"/>
  <c r="L71" i="10"/>
  <c r="M71" i="10" s="1"/>
  <c r="I71" i="10"/>
  <c r="AB28" i="10"/>
  <c r="AB27" i="10"/>
  <c r="AF20" i="10"/>
  <c r="AB20" i="10"/>
  <c r="AF19" i="10"/>
  <c r="AB19" i="10"/>
  <c r="AF17" i="10"/>
  <c r="AB17" i="10"/>
  <c r="AF16" i="10"/>
  <c r="AB16" i="10"/>
  <c r="AF15" i="10"/>
  <c r="AB15" i="10"/>
  <c r="AF13" i="10"/>
  <c r="AB13" i="10"/>
  <c r="AF12" i="10"/>
  <c r="AB12" i="10"/>
  <c r="T77" i="10" l="1"/>
  <c r="T74" i="10"/>
  <c r="AB22" i="10"/>
  <c r="AB23" i="10" s="1"/>
  <c r="AB30" i="10"/>
  <c r="AB31" i="10" s="1"/>
  <c r="T72" i="10"/>
  <c r="T75" i="10"/>
  <c r="T71" i="10"/>
  <c r="T76" i="10"/>
  <c r="AF22" i="10"/>
  <c r="AF23" i="10" s="1"/>
  <c r="T73" i="10"/>
  <c r="AB11" i="4" l="1"/>
  <c r="AB27" i="4"/>
  <c r="AB26" i="4"/>
  <c r="AB29" i="4" s="1"/>
  <c r="AB30" i="4" s="1"/>
  <c r="U52" i="25" l="1"/>
  <c r="U49" i="25"/>
  <c r="U40" i="25"/>
  <c r="U34" i="25"/>
  <c r="U55" i="25"/>
  <c r="U43" i="25"/>
  <c r="U37" i="25"/>
  <c r="U31" i="25"/>
  <c r="U22" i="25"/>
  <c r="U19" i="25"/>
  <c r="U7" i="25"/>
  <c r="U46" i="25"/>
  <c r="U28" i="25"/>
  <c r="U25" i="25"/>
  <c r="U16" i="25"/>
  <c r="U13" i="25"/>
  <c r="U10" i="25"/>
  <c r="U4" i="25"/>
  <c r="AF19" i="4" l="1"/>
  <c r="AF18" i="4"/>
  <c r="AF16" i="4"/>
  <c r="AF15" i="4"/>
  <c r="AF14" i="4"/>
  <c r="AF12" i="4"/>
  <c r="AF11" i="4"/>
  <c r="AB12" i="4"/>
  <c r="AB14" i="4"/>
  <c r="AB15" i="4"/>
  <c r="AB16" i="4"/>
  <c r="AB18" i="4"/>
  <c r="AB19" i="4"/>
  <c r="AB21" i="4" l="1"/>
  <c r="AB22" i="4" s="1"/>
  <c r="AF21" i="4"/>
  <c r="AF22" i="4" s="1"/>
  <c r="I46" i="4"/>
  <c r="R4" i="7"/>
  <c r="R5" i="7"/>
  <c r="R6" i="7"/>
  <c r="R7" i="7"/>
  <c r="R8" i="7"/>
  <c r="R9" i="7"/>
  <c r="R10" i="7"/>
  <c r="R11" i="7"/>
  <c r="R12" i="7"/>
  <c r="R13" i="7"/>
  <c r="R14" i="7"/>
  <c r="R15" i="7"/>
  <c r="R16" i="7"/>
  <c r="R17" i="7"/>
  <c r="R18" i="7"/>
  <c r="R19" i="7"/>
  <c r="R20" i="7"/>
  <c r="R21" i="7"/>
  <c r="R22" i="7"/>
  <c r="R23" i="7"/>
  <c r="R24" i="7"/>
  <c r="R25" i="7"/>
  <c r="R26" i="7"/>
  <c r="R27" i="7"/>
  <c r="R28" i="7"/>
  <c r="R29" i="7"/>
  <c r="R30" i="7"/>
  <c r="R31" i="7"/>
  <c r="R32" i="7"/>
  <c r="R33" i="7"/>
  <c r="R34" i="7"/>
  <c r="R35" i="7"/>
  <c r="R36" i="7"/>
  <c r="R37" i="7"/>
  <c r="R38" i="7"/>
  <c r="R39" i="7"/>
  <c r="R40" i="7"/>
  <c r="R41" i="7"/>
  <c r="R42" i="7"/>
  <c r="R43" i="7"/>
  <c r="R44" i="7"/>
  <c r="R45" i="7"/>
  <c r="R46" i="7"/>
  <c r="R47" i="7"/>
  <c r="R48" i="7"/>
  <c r="R49" i="7"/>
  <c r="R50" i="7"/>
  <c r="R51" i="7"/>
  <c r="R52" i="7"/>
  <c r="R53" i="7"/>
  <c r="R54" i="7"/>
  <c r="R55" i="7"/>
  <c r="R3" i="7"/>
  <c r="R2" i="7"/>
  <c r="L3" i="7"/>
  <c r="M3" i="7" s="1"/>
  <c r="N3" i="7" s="1"/>
  <c r="L4" i="7"/>
  <c r="M4" i="7" s="1"/>
  <c r="N4" i="7" s="1"/>
  <c r="L5" i="7"/>
  <c r="M5" i="7" s="1"/>
  <c r="N5" i="7" s="1"/>
  <c r="L6" i="7"/>
  <c r="M6" i="7" s="1"/>
  <c r="N6" i="7" s="1"/>
  <c r="L7" i="7"/>
  <c r="M7" i="7" s="1"/>
  <c r="N7" i="7" s="1"/>
  <c r="L8" i="7"/>
  <c r="M8" i="7" s="1"/>
  <c r="N8" i="7" s="1"/>
  <c r="L9" i="7"/>
  <c r="M9" i="7" s="1"/>
  <c r="N9" i="7" s="1"/>
  <c r="L10" i="7"/>
  <c r="M10" i="7" s="1"/>
  <c r="N10" i="7" s="1"/>
  <c r="L11" i="7"/>
  <c r="M11" i="7" s="1"/>
  <c r="N11" i="7" s="1"/>
  <c r="L12" i="7"/>
  <c r="M12" i="7" s="1"/>
  <c r="N12" i="7" s="1"/>
  <c r="L13" i="7"/>
  <c r="M13" i="7" s="1"/>
  <c r="N13" i="7" s="1"/>
  <c r="L14" i="7"/>
  <c r="M14" i="7" s="1"/>
  <c r="N14" i="7" s="1"/>
  <c r="L15" i="7"/>
  <c r="M15" i="7" s="1"/>
  <c r="N15" i="7" s="1"/>
  <c r="L16" i="7"/>
  <c r="M16" i="7" s="1"/>
  <c r="N16" i="7" s="1"/>
  <c r="L17" i="7"/>
  <c r="M17" i="7" s="1"/>
  <c r="N17" i="7" s="1"/>
  <c r="L18" i="7"/>
  <c r="M18" i="7" s="1"/>
  <c r="N18" i="7" s="1"/>
  <c r="L19" i="7"/>
  <c r="M19" i="7" s="1"/>
  <c r="N19" i="7" s="1"/>
  <c r="L20" i="7"/>
  <c r="M20" i="7" s="1"/>
  <c r="N20" i="7" s="1"/>
  <c r="L21" i="7"/>
  <c r="M21" i="7" s="1"/>
  <c r="N21" i="7" s="1"/>
  <c r="L22" i="7"/>
  <c r="M22" i="7" s="1"/>
  <c r="N22" i="7" s="1"/>
  <c r="L23" i="7"/>
  <c r="M23" i="7" s="1"/>
  <c r="N23" i="7" s="1"/>
  <c r="L24" i="7"/>
  <c r="M24" i="7" s="1"/>
  <c r="N24" i="7" s="1"/>
  <c r="L25" i="7"/>
  <c r="M25" i="7" s="1"/>
  <c r="N25" i="7" s="1"/>
  <c r="L26" i="7"/>
  <c r="M26" i="7" s="1"/>
  <c r="N26" i="7" s="1"/>
  <c r="L27" i="7"/>
  <c r="M27" i="7" s="1"/>
  <c r="N27" i="7" s="1"/>
  <c r="L28" i="7"/>
  <c r="M28" i="7" s="1"/>
  <c r="N28" i="7" s="1"/>
  <c r="L29" i="7"/>
  <c r="M29" i="7" s="1"/>
  <c r="N29" i="7" s="1"/>
  <c r="L30" i="7"/>
  <c r="M30" i="7" s="1"/>
  <c r="N30" i="7" s="1"/>
  <c r="L31" i="7"/>
  <c r="M31" i="7" s="1"/>
  <c r="N31" i="7" s="1"/>
  <c r="L32" i="7"/>
  <c r="M32" i="7" s="1"/>
  <c r="N32" i="7" s="1"/>
  <c r="L33" i="7"/>
  <c r="M33" i="7" s="1"/>
  <c r="N33" i="7" s="1"/>
  <c r="L34" i="7"/>
  <c r="M34" i="7" s="1"/>
  <c r="N34" i="7" s="1"/>
  <c r="L35" i="7"/>
  <c r="M35" i="7" s="1"/>
  <c r="N35" i="7" s="1"/>
  <c r="L36" i="7"/>
  <c r="M36" i="7" s="1"/>
  <c r="N36" i="7" s="1"/>
  <c r="L37" i="7"/>
  <c r="M37" i="7" s="1"/>
  <c r="N37" i="7" s="1"/>
  <c r="L38" i="7"/>
  <c r="M38" i="7" s="1"/>
  <c r="N38" i="7" s="1"/>
  <c r="L39" i="7"/>
  <c r="M39" i="7" s="1"/>
  <c r="N39" i="7" s="1"/>
  <c r="L40" i="7"/>
  <c r="M40" i="7" s="1"/>
  <c r="N40" i="7" s="1"/>
  <c r="L41" i="7"/>
  <c r="M41" i="7" s="1"/>
  <c r="N41" i="7" s="1"/>
  <c r="L42" i="7"/>
  <c r="M42" i="7" s="1"/>
  <c r="N42" i="7" s="1"/>
  <c r="L43" i="7"/>
  <c r="M43" i="7" s="1"/>
  <c r="N43" i="7" s="1"/>
  <c r="L44" i="7"/>
  <c r="M44" i="7" s="1"/>
  <c r="N44" i="7" s="1"/>
  <c r="L45" i="7"/>
  <c r="M45" i="7" s="1"/>
  <c r="N45" i="7" s="1"/>
  <c r="L46" i="7"/>
  <c r="M46" i="7" s="1"/>
  <c r="N46" i="7" s="1"/>
  <c r="L47" i="7"/>
  <c r="M47" i="7" s="1"/>
  <c r="N47" i="7" s="1"/>
  <c r="L48" i="7"/>
  <c r="M48" i="7" s="1"/>
  <c r="N48" i="7" s="1"/>
  <c r="L49" i="7"/>
  <c r="M49" i="7" s="1"/>
  <c r="N49" i="7" s="1"/>
  <c r="L50" i="7"/>
  <c r="M50" i="7" s="1"/>
  <c r="N50" i="7" s="1"/>
  <c r="L51" i="7"/>
  <c r="M51" i="7" s="1"/>
  <c r="N51" i="7" s="1"/>
  <c r="L52" i="7"/>
  <c r="M52" i="7" s="1"/>
  <c r="N52" i="7" s="1"/>
  <c r="L53" i="7"/>
  <c r="M53" i="7" s="1"/>
  <c r="N53" i="7" s="1"/>
  <c r="L54" i="7"/>
  <c r="M54" i="7" s="1"/>
  <c r="N54" i="7" s="1"/>
  <c r="L55" i="7"/>
  <c r="M55" i="7" s="1"/>
  <c r="N55" i="7" s="1"/>
  <c r="L2" i="7"/>
  <c r="M2" i="7" s="1"/>
  <c r="N2" i="7" s="1"/>
  <c r="S46" i="4"/>
  <c r="H108" i="5"/>
  <c r="H106"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7"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2" i="5"/>
  <c r="S52" i="4"/>
  <c r="P52" i="4"/>
  <c r="L52" i="4"/>
  <c r="I52" i="4"/>
  <c r="P51" i="4"/>
  <c r="L51" i="4"/>
  <c r="M51" i="4" s="1"/>
  <c r="I51" i="4"/>
  <c r="S50" i="4"/>
  <c r="P50" i="4"/>
  <c r="L50" i="4"/>
  <c r="M50" i="4" s="1"/>
  <c r="I50" i="4"/>
  <c r="S49" i="4"/>
  <c r="P49" i="4"/>
  <c r="L49" i="4"/>
  <c r="M49" i="4" s="1"/>
  <c r="I49" i="4"/>
  <c r="P48" i="4"/>
  <c r="L48" i="4"/>
  <c r="M48" i="4" s="1"/>
  <c r="I48" i="4"/>
  <c r="S47" i="4"/>
  <c r="P47" i="4"/>
  <c r="L47" i="4"/>
  <c r="M47" i="4" s="1"/>
  <c r="I47" i="4"/>
  <c r="P46" i="4"/>
  <c r="L46" i="4"/>
  <c r="M46" i="4" s="1"/>
  <c r="U42" i="25" l="1"/>
  <c r="U39" i="25"/>
  <c r="U24" i="25"/>
  <c r="U21" i="25"/>
  <c r="U6" i="25"/>
  <c r="U3" i="25"/>
  <c r="U41" i="25"/>
  <c r="U38" i="25"/>
  <c r="U23" i="25"/>
  <c r="U20" i="25"/>
  <c r="U5" i="25"/>
  <c r="U2" i="25"/>
  <c r="U54" i="25"/>
  <c r="U51" i="25"/>
  <c r="U48" i="25"/>
  <c r="U45" i="25"/>
  <c r="U36" i="25"/>
  <c r="U33" i="25"/>
  <c r="U30" i="25"/>
  <c r="U27" i="25"/>
  <c r="U18" i="25"/>
  <c r="U15" i="25"/>
  <c r="U12" i="25"/>
  <c r="U9" i="25"/>
  <c r="U53" i="25"/>
  <c r="U50" i="25"/>
  <c r="U47" i="25"/>
  <c r="U44" i="25"/>
  <c r="U35" i="25"/>
  <c r="U32" i="25"/>
  <c r="U29" i="25"/>
  <c r="U26" i="25"/>
  <c r="U17" i="25"/>
  <c r="U14" i="25"/>
  <c r="U11" i="25"/>
  <c r="U8" i="25"/>
  <c r="T50" i="4"/>
  <c r="T52" i="4"/>
  <c r="T46" i="4"/>
  <c r="T51" i="4"/>
  <c r="T49" i="4"/>
  <c r="T47" i="4"/>
  <c r="T48" i="4"/>
  <c r="AV2" i="33" l="1"/>
  <c r="AV2" i="34" s="1"/>
  <c r="BB2" i="33"/>
  <c r="AD2" i="33"/>
  <c r="BH2" i="33"/>
  <c r="R2" i="33"/>
  <c r="X2" i="33"/>
  <c r="X20" i="34" l="1"/>
  <c r="X2" i="34"/>
  <c r="R20" i="34"/>
  <c r="R2" i="34"/>
  <c r="AD20" i="34"/>
  <c r="AD2" i="3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Alexa Varah</author>
    <author>tc={15F95E0A-1892-40B5-B94C-9E51E68EDF28}</author>
    <author>tc={D3E261AD-8395-4A73-AF4A-A53F6357BB13}</author>
  </authors>
  <commentList>
    <comment ref="C32" authorId="0" shapeId="0" xr:uid="{1EE4CFC6-8EA7-4E1D-922A-03353DD54654}">
      <text>
        <r>
          <rPr>
            <b/>
            <sz val="9"/>
            <color indexed="81"/>
            <rFont val="Tahoma"/>
            <family val="2"/>
          </rPr>
          <t>Alexa Varah:</t>
        </r>
        <r>
          <rPr>
            <sz val="9"/>
            <color indexed="81"/>
            <rFont val="Tahoma"/>
            <family val="2"/>
          </rPr>
          <t xml:space="preserve">
these choices of machinery came from a contractor I spoke to (James?).
The KGRU min til publication suggests 1 x mouldboard plough, 1 x field cultivator, 1 x drilling pass using a power harrow/drill combo.</t>
        </r>
      </text>
    </comment>
    <comment ref="Q43" authorId="1" shapeId="0" xr:uid="{15F95E0A-1892-40B5-B94C-9E51E68EDF28}">
      <text>
        <t>[Threaded comment]
Your version of Excel allows you to read this threaded comment; however, any edits to it will get removed if the file is opened in a newer version of Excel. Learn more: https://go.microsoft.com/fwlink/?linkid=870924
Comment:
    For ECOMOD, enter the deepest tillage operation carried out for a crop</t>
      </text>
    </comment>
    <comment ref="F47" authorId="2" shapeId="0" xr:uid="{D3E261AD-8395-4A73-AF4A-A53F6357BB13}">
      <text>
        <t>[Threaded comment]
Your version of Excel allows you to read this threaded comment; however, any edits to it will get removed if the file is opened in a newer version of Excel. Learn more: https://go.microsoft.com/fwlink/?linkid=870924
Comment:
    e.g. a power harrow or a roller harrow.
Power harrows finely break up the soil, refining and evenly distributing it over the entire working width to create a perfect seed bed: they are generally used for secondary tillage after ploughing or subsoiling and can break up even the most compacted ground, often in a single pass.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tc={CB1D172A-52C8-4A99-974A-E0FE7B4499AC}</author>
    <author>tc={C4B8AB5B-9B3E-46DC-880D-9E973E836136}</author>
    <author>tc={CA7CB8CC-B771-421D-9D5C-900C7CD20A89}</author>
    <author>tc={92C4F582-0180-4EAA-8EF4-6286F93CA968}</author>
    <author>tc={51548D0F-21B0-430F-84B3-1D6D169B0C5C}</author>
    <author>tc={7A987DA7-5D44-4585-A23C-2CC1611DE8E4}</author>
    <author>tc={9CD24DCA-F308-4029-B059-63816EBAA9AD}</author>
    <author>tc={D14D549B-5589-40F7-B8EA-350FFD609023}</author>
    <author>tc={89F36B12-5D9D-4FC2-9BF1-CC99CB5F9500}</author>
    <author>Alexa Varah</author>
    <author>tc={D9E13E71-962B-4BE0-AD67-2A2CCEB0FEFD}</author>
    <author>tc={18FC4B11-C93A-4957-AF3E-B2AA296995CB}</author>
    <author>tc={DB7CDE89-8BB1-4359-A828-A8DBD8E4E9E3}</author>
    <author>tc={5B95DD5E-5128-4456-AF17-C1CDC7DBCDFC}</author>
    <author>tc={E1A7C764-81CF-4E44-8AE3-CC6220EDFD09}</author>
    <author>tc={D4EAFF1E-6F00-4FD6-BD2D-188283A24D5E}</author>
    <author>tc={B4367B1A-F60F-46A6-84CA-25756611F088}</author>
    <author>tc={787A9FE7-BC96-4B9D-B615-E04B8C75653D}</author>
    <author>tc={8D7AE4CF-AEE1-4039-A613-4F20AB2DD172}</author>
    <author>tc={A4713002-693E-426D-9095-8C66C2283A43}</author>
    <author>tc={299497C2-413C-44F5-AF1C-A7CFF793C311}</author>
    <author>tc={373DBAC1-B479-44C3-805B-AF3BF4BB6109}</author>
  </authors>
  <commentList>
    <comment ref="F1" authorId="0" shapeId="0" xr:uid="{CB1D172A-52C8-4A99-974A-E0FE7B4499AC}">
      <text>
        <t>[Threaded comment]
Your version of Excel allows you to read this threaded comment; however, any edits to it will get removed if the file is opened in a newer version of Excel. Learn more: https://go.microsoft.com/fwlink/?linkid=870924
Comment:
    This is a free text box in the CFT. It's filled in to make data interpretation easier and also because this column is used by formulae in other columns in thei spreadsheet.</t>
      </text>
    </comment>
    <comment ref="G1" authorId="1" shapeId="0" xr:uid="{C4B8AB5B-9B3E-46DC-880D-9E973E836136}">
      <text>
        <t>[Threaded comment]
Your version of Excel allows you to read this threaded comment; however, any edits to it will get removed if the file is opened in a newer version of Excel. Learn more: https://go.microsoft.com/fwlink/?linkid=870924
Comment:
    7.2ha is the average size of the 66 fields used in the Nat Sust analysis</t>
      </text>
    </comment>
    <comment ref="M1" authorId="2" shapeId="0" xr:uid="{CA7CB8CC-B771-421D-9D5C-900C7CD20A89}">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N1" authorId="3" shapeId="0" xr:uid="{92C4F582-0180-4EAA-8EF4-6286F93CA968}">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P1" authorId="4" shapeId="0" xr:uid="{51548D0F-21B0-430F-84B3-1D6D169B0C5C}">
      <text>
        <t>[Threaded comment]
Your version of Excel allows you to read this threaded comment; however, any edits to it will get removed if the file is opened in a newer version of Excel. Learn more: https://go.microsoft.com/fwlink/?linkid=870924
Comment:
    Assumes field drains are installed and effective in fields with naturally poor drainage.</t>
      </text>
    </comment>
    <comment ref="Q1" authorId="5" shapeId="0" xr:uid="{7A987DA7-5D44-4585-A23C-2CC1611DE8E4}">
      <text>
        <t>[Threaded comment]
Your version of Excel allows you to read this threaded comment; however, any edits to it will get removed if the file is opened in a newer version of Excel. Learn more: https://go.microsoft.com/fwlink/?linkid=870924
Comment:
    7 is the average pH value of the soils from the 66 fields used in the Nature Sustainability analysis</t>
      </text>
    </comment>
    <comment ref="T1" authorId="6" shapeId="0" xr:uid="{9CD24DCA-F308-4029-B059-63816EBAA9AD}">
      <text>
        <t>[Threaded comment]
Your version of Excel allows you to read this threaded comment; however, any edits to it will get removed if the file is opened in a newer version of Excel. Learn more: https://go.microsoft.com/fwlink/?linkid=870924
Comment:
    This will need a formula</t>
      </text>
    </comment>
    <comment ref="V1" authorId="7" shapeId="0" xr:uid="{D14D549B-5589-40F7-B8EA-350FFD609023}">
      <text>
        <t>[Threaded comment]
Your version of Excel allows you to read this threaded comment; however, any edits to it will get removed if the file is opened in a newer version of Excel. Learn more: https://go.microsoft.com/fwlink/?linkid=870924
Comment:
    number of operations</t>
      </text>
    </comment>
    <comment ref="W1" authorId="8" shapeId="0" xr:uid="{89F36B12-5D9D-4FC2-9BF1-CC99CB5F9500}">
      <text>
        <t>[Threaded comment]
Your version of Excel allows you to read this threaded comment; however, any edits to it will get removed if the file is opened in a newer version of Excel. Learn more: https://go.microsoft.com/fwlink/?linkid=870924
Comment:
    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
Reply:
    Basically, it sees an application as each 500g/ha of pesticide, rather than the exact number of times pesticide was applied (which is unlike ECOMOD)</t>
      </text>
    </comment>
    <comment ref="X1" authorId="9" shapeId="0" xr:uid="{FB46426F-85D9-4C20-8B98-F801991629F6}">
      <text>
        <r>
          <rPr>
            <b/>
            <sz val="10"/>
            <color rgb="FF000000"/>
            <rFont val="Tahoma"/>
            <family val="2"/>
          </rPr>
          <t xml:space="preserve">Where there is no change, the value here must be 'No ' = note the space after the no. Otherwise, the CFT won't run this properly.
</t>
        </r>
        <r>
          <rPr>
            <b/>
            <sz val="10"/>
            <color rgb="FF000000"/>
            <rFont val="Tahoma"/>
            <family val="2"/>
          </rPr>
          <t xml:space="preserve">
</t>
        </r>
        <r>
          <rPr>
            <b/>
            <sz val="10"/>
            <color rgb="FF000000"/>
            <rFont val="Tahoma"/>
            <family val="2"/>
          </rPr>
          <t xml:space="preserve">Decision-making: 
</t>
        </r>
        <r>
          <rPr>
            <b/>
            <sz val="10"/>
            <color rgb="FF000000"/>
            <rFont val="Tahoma"/>
            <family val="2"/>
          </rPr>
          <t xml:space="preserve">where the amount of inversion ploughing is reduced compared to BAU (in BAU it's done every three years), I have entered 'Conventional to Reduced'.
</t>
        </r>
        <r>
          <rPr>
            <sz val="13"/>
            <color rgb="FF000000"/>
            <rFont val="Tahoma"/>
            <family val="2"/>
          </rPr>
          <t xml:space="preserve">
</t>
        </r>
        <r>
          <rPr>
            <sz val="10"/>
            <color rgb="FF000000"/>
            <rFont val="Tahoma"/>
            <family val="2"/>
          </rPr>
          <t xml:space="preserve">The formula in here was previously one which looked up the tillage method in each year and specified the tillage change accordingly. This is not the right approach as this column is for general changes over the last 20 years, e.g. whether there's been a general move towards reduced tillage, rather than annual changes. 
</t>
        </r>
        <r>
          <rPr>
            <sz val="10"/>
            <color rgb="FF000000"/>
            <rFont val="Tahoma"/>
            <family val="2"/>
          </rPr>
          <t xml:space="preserve">The formula previously used was:
</t>
        </r>
        <r>
          <rPr>
            <sz val="10"/>
            <color rgb="FF000000"/>
            <rFont val="Tahoma"/>
            <family val="2"/>
          </rPr>
          <t xml:space="preserve">=@IF(B19=B18,IFS(
</t>
        </r>
        <r>
          <rPr>
            <sz val="10"/>
            <color rgb="FF000000"/>
            <rFont val="Tahoma"/>
            <family val="2"/>
          </rPr>
          <t xml:space="preserve">
</t>
        </r>
        <r>
          <rPr>
            <sz val="10"/>
            <color rgb="FF000000"/>
            <rFont val="Tahoma"/>
            <family val="2"/>
          </rPr>
          <t xml:space="preserve">AND(SUM(AI19,AB19,AE19,AJ19,AL19)=SUM(AI18,AB18,AE18,AJ18,AL18),SUM(AC19,AD19,AM19,AN19)=SUM(AC18,AD18,AM18,AN18), SUM(AF19,AG19,AK19)=SUM(AF18,AG18,AK18)),Lists!$J$5,
</t>
        </r>
        <r>
          <rPr>
            <sz val="10"/>
            <color rgb="FF000000"/>
            <rFont val="Tahoma"/>
            <family val="2"/>
          </rPr>
          <t xml:space="preserve">AND(SUM(AI19,AB19,AE19,AJ19,AL19)&gt;0,SUM(AI18,AB18,AE18,AJ18,AL18)&gt;0),Lists!$J$5,
</t>
        </r>
        <r>
          <rPr>
            <sz val="10"/>
            <color rgb="FF000000"/>
            <rFont val="Tahoma"/>
            <family val="2"/>
          </rPr>
          <t xml:space="preserve">AND(SUM(AI19,AB19,AE19,AJ19,AL19)=0,SUM(AI18,AB18,AE18,AJ18,AL18)=0,SUM(AC19,AD19,AM19,AN19)&gt;0,SUM(AC18,AD18,AM18,AN18)&gt;0),Lists!$J$5,
</t>
        </r>
        <r>
          <rPr>
            <sz val="10"/>
            <color rgb="FF000000"/>
            <rFont val="Tahoma"/>
            <family val="2"/>
          </rPr>
          <t xml:space="preserve">AND(SUM(AI19,AB19,AE19,AJ19,AL19)=0,SUM(AI18,AB18,AE18,AJ18,AL18)=0,SUM(AC19,AD19,AM19,AN19)=0,SUM(AC18,AD18,AM18,AN18)=0,SUM(AF19,AG19,AK19)&gt;0,SUM(AF18,AG18,AK18)&gt;0),Lists!$J$5,
</t>
        </r>
        <r>
          <rPr>
            <sz val="10"/>
            <color rgb="FF000000"/>
            <rFont val="Tahoma"/>
            <family val="2"/>
          </rPr>
          <t xml:space="preserve">AND(SUM(AI19,AB19,AE19,AJ19,AL19)=0,SUM(AC19,AD19,AM19,AN19)&gt;0,SUM(AI18,AB18,AE18,AJ18,AL18)&gt;0),Lists!$J$6,
</t>
        </r>
        <r>
          <rPr>
            <sz val="10"/>
            <color rgb="FF000000"/>
            <rFont val="Tahoma"/>
            <family val="2"/>
          </rPr>
          <t xml:space="preserve">AND(SUM(AI19,AB19,AE19,AJ19,AL19)=0,SUM(AI18,AB18,AE18,AJ18,AL18)&gt;0,SUM(AC19,AD19,AM19,AN19)=0,SUM(AF19,AG19,AK19)&gt;0),Lists!$J$7,
</t>
        </r>
        <r>
          <rPr>
            <sz val="10"/>
            <color rgb="FF000000"/>
            <rFont val="Tahoma"/>
            <family val="2"/>
          </rPr>
          <t xml:space="preserve">AND(SUM(AI19,AB19,AE19,AJ19,AL19)=0,SUM(AI18,AB18,AE18,AJ18,AL18)=0,SUM(AC19,AD19,AM19,AN19)=0,SUM(AF19,AG19,AK19)&gt;0,SUM(AC18,AD18,AM18,AN18)&gt;0),Lists!$J$9,
</t>
        </r>
        <r>
          <rPr>
            <sz val="10"/>
            <color rgb="FF000000"/>
            <rFont val="Tahoma"/>
            <family val="2"/>
          </rPr>
          <t xml:space="preserve">AND(SUM(AI19,AB19,AE19,AJ19,AL19)=0,SUM(AI18,AB18,AE18,AJ18,AL18)=0,SUM(AC19,AD19,AM19,AN19)&gt;0,SUM(AF18,AG18,AK18)&gt;0,SUM(AC18,AD18,AM18,AN18)=0),Lists!$J$11,
</t>
        </r>
        <r>
          <rPr>
            <sz val="10"/>
            <color rgb="FF000000"/>
            <rFont val="Tahoma"/>
            <family val="2"/>
          </rPr>
          <t xml:space="preserve">AND(SUM(AI19,AB19,AE19,AJ19,AL19)&gt;0,SUM(AI18,AB18,AE18,AJ18,AL18)=0,SUM(AF18,AG18,AK18)&gt;0,SUM(AC18,AD18,AM18,AN18)=0),Lists!$J$10,
</t>
        </r>
        <r>
          <rPr>
            <sz val="10"/>
            <color rgb="FF000000"/>
            <rFont val="Tahoma"/>
            <family val="2"/>
          </rPr>
          <t xml:space="preserve">AND(SUM(AI19,AB19,AE19,AJ19,AL19)&gt;0,SUM(AI18,AB18,AE18,AJ18,AL18)=0,SUM(AC18,AD18,AM18,AN18)&gt;0),Lists!$J$8),
</t>
        </r>
        <r>
          <rPr>
            <sz val="10"/>
            <color rgb="FF000000"/>
            <rFont val="Tahoma"/>
            <family val="2"/>
          </rPr>
          <t xml:space="preserve">
</t>
        </r>
        <r>
          <rPr>
            <sz val="10"/>
            <color rgb="FF000000"/>
            <rFont val="Tahoma"/>
            <family val="2"/>
          </rPr>
          <t xml:space="preserve">IFS(SUM(AI19,AB19,AE19,AJ19,AL19)&gt;0,Lists!$J$5,
</t>
        </r>
        <r>
          <rPr>
            <sz val="10"/>
            <color rgb="FF000000"/>
            <rFont val="Tahoma"/>
            <family val="2"/>
          </rPr>
          <t xml:space="preserve">AND(SUM(AI19,AB19,AE19,AJ19,AL19)=0,SUM(AC19,AD19,AM19,AN19)&gt;0),Lists!$J$6,
</t>
        </r>
        <r>
          <rPr>
            <sz val="10"/>
            <color rgb="FF000000"/>
            <rFont val="Tahoma"/>
            <family val="2"/>
          </rPr>
          <t>AND(SUM(AI19,AB19,AE19,AJ19,AL19)=0,SUM(AC19,AD19,AM19,AN19)=0,SUM(AF19,AG19,AK19)&gt;0),Lists!$J$7))</t>
        </r>
        <r>
          <rPr>
            <sz val="13"/>
            <color rgb="FF000000"/>
            <rFont val="Tahoma"/>
            <family val="2"/>
          </rPr>
          <t xml:space="preserve">
</t>
        </r>
        <r>
          <rPr>
            <sz val="13"/>
            <color rgb="FF000000"/>
            <rFont val="Tahoma"/>
            <family val="2"/>
          </rPr>
          <t xml:space="preserve"> </t>
        </r>
      </text>
    </comment>
    <comment ref="Y1" authorId="10" shapeId="0" xr:uid="{D9E13E71-962B-4BE0-AD67-2A2CCEB0FEFD}">
      <text>
        <t>[Threaded comment]
Your version of Excel allows you to read this threaded comment; however, any edits to it will get removed if the file is opened in a newer version of Excel. Learn more: https://go.microsoft.com/fwlink/?linkid=870924
Comment:
    How long ago was this change made? (years)
Reply:
    To have 1,2,3,4,5,6, use this formula:
=IF(AND(W2=W1,B2=B1),X1+1,1)</t>
      </text>
    </comment>
    <comment ref="Z1" authorId="11" shapeId="0" xr:uid="{18FC4B11-C93A-4957-AF3E-B2AA296995CB}">
      <text>
        <t>[Threaded comment]
Your version of Excel allows you to read this threaded comment; however, any edits to it will get removed if the file is opened in a newer version of Excel. Learn more: https://go.microsoft.com/fwlink/?linkid=870924
Comment:
    What's this column for?</t>
      </text>
    </comment>
    <comment ref="AC1" authorId="12" shapeId="0" xr:uid="{DB7CDE89-8BB1-4359-A828-A8DBD8E4E9E3}">
      <text>
        <t>[Threaded comment]
Your version of Excel allows you to read this threaded comment; however, any edits to it will get removed if the file is opened in a newer version of Excel. Learn more: https://go.microsoft.com/fwlink/?linkid=870924
Comment:
    This column is not used in the current analysis. All ploughing operations are specified as moldboard ploughing. See 'Metadata' sheet, Conversions info.</t>
      </text>
    </comment>
    <comment ref="AD1" authorId="13" shapeId="0" xr:uid="{5B95DD5E-5128-4456-AF17-C1CDC7DBCDFC}">
      <text>
        <t>[Threaded comment]
Your version of Excel allows you to read this threaded comment; however, any edits to it will get removed if the file is opened in a newer version of Excel. Learn more: https://go.microsoft.com/fwlink/?linkid=870924
Comment:
    This column is not used in this analysis. All disc operations are assumed to be disc harrow. See 'Metadata' Conversions.</t>
      </text>
    </comment>
    <comment ref="AE1" authorId="14" shapeId="0" xr:uid="{E1A7C764-81CF-4E44-8AE3-CC6220EDFD09}">
      <text>
        <t>[Threaded comment]
Your version of Excel allows you to read this threaded comment; however, any edits to it will get removed if the file is opened in a newer version of Excel. Learn more: https://go.microsoft.com/fwlink/?linkid=870924
Comment:
    All disc operations are specified as disc harrow. See 'Metadata' sheet, Conversions info.
The formula in these cells looks for every instance of the word 'disc' in the relevant cell of the sheet called 'Focus Data Tillage by farm'. It then returns the frequency of the word 'disc' within that cell.
So a cell containing 'disc, disc' will return 2, for example.
N.B. this formula will need changing if any operations are to go in the 'disc_gang' column.</t>
      </text>
    </comment>
    <comment ref="AF1" authorId="15" shapeId="0" xr:uid="{D4EAFF1E-6F00-4FD6-BD2D-188283A24D5E}">
      <text>
        <t>[Threaded comment]
Your version of Excel allows you to read this threaded comment; however, any edits to it will get removed if the file is opened in a newer version of Excel. Learn more: https://go.microsoft.com/fwlink/?linkid=870924
Comment:
    This machine isn't used in this analysis, but (in case it needs to be used in other analyses) there is a formula to look up the string 'field cultivator' in the relevant cells of the sheet called 'Focus Data Tillage by farm'.</t>
      </text>
    </comment>
    <comment ref="AG1" authorId="16" shapeId="0" xr:uid="{B4367B1A-F60F-46A6-84CA-25756611F088}">
      <text>
        <t>[Threaded comment]
Your version of Excel allows you to read this threaded comment; however, any edits to it will get removed if the file is opened in a newer version of Excel. Learn more: https://go.microsoft.com/fwlink/?linkid=870924
Comment:
    This column looks for the string 'grain drill' in the relevant cells of the sheet called 'Focus Data Tillage by farm'. If you want direct drilling, this is the column called grain_drill_no_till and you should enter 'minimum tillage' in the 'Focus Data Tillage by farm' sheet.</t>
      </text>
    </comment>
    <comment ref="AH1" authorId="17" shapeId="0" xr:uid="{787A9FE7-BC96-4B9D-B615-E04B8C75653D}">
      <text>
        <t xml:space="preserve">[Threaded comment]
Your version of Excel allows you to read this threaded comment; however, any edits to it will get removed if the file is opened in a newer version of Excel. Learn more: https://go.microsoft.com/fwlink/?linkid=870924
Comment:
    This column looks for the string 'minimum tillage' in the relevant cells of the sheet called 'Focus Data Tillage by farm'. If you want standard drilling, this is the column called grain_drill and you should enter 'grain drill' in the 'Focus Data Tillage by farm' sheet.
</t>
      </text>
    </comment>
    <comment ref="AI1" authorId="18" shapeId="0" xr:uid="{8D7AE4CF-AEE1-4039-A613-4F20AB2DD172}">
      <text>
        <t>[Threaded comment]
Your version of Excel allows you to read this threaded comment; however, any edits to it will get removed if the file is opened in a newer version of Excel. Learn more: https://go.microsoft.com/fwlink/?linkid=870924
Comment:
    This is used for drilling sugar beet and also oilseed rape &amp; linseed. However, OSR and linseed can also be drilled with grain drills, so we specify 'grain drill' for drilling OSR and linseed in this analysis on the assumption that farmers use existing equipment where possible.</t>
      </text>
    </comment>
    <comment ref="AJ1" authorId="19" shapeId="0" xr:uid="{A4713002-693E-426D-9095-8C66C2283A43}">
      <text>
        <t>[Threaded comment]
Your version of Excel allows you to read this threaded comment; however, any edits to it will get removed if the file is opened in a newer version of Excel. Learn more: https://go.microsoft.com/fwlink/?linkid=870924
Comment:
    We assume all inversion plough operations are done with a moldboard plough.</t>
      </text>
    </comment>
    <comment ref="AK1" authorId="20" shapeId="0" xr:uid="{299497C2-413C-44F5-AF1C-A7CFF793C311}">
      <text>
        <t>[Threaded comment]
Your version of Excel allows you to read this threaded comment; however, any edits to it will get removed if the file is opened in a newer version of Excel. Learn more: https://go.microsoft.com/fwlink/?linkid=870924
Comment:
    We have not differentiated between 'power harrow' and 'roller harrow' so where farmers specified a power harrow, we entered roller harrow and it'll show up in this column.</t>
      </text>
    </comment>
    <comment ref="W17" authorId="21" shapeId="0" xr:uid="{373DBAC1-B479-44C3-805B-AF3BF4BB6109}">
      <text>
        <t>[Threaded comment]
Your version of Excel allows you to read this threaded comment; however, any edits to it will get removed if the file is opened in a newer version of Excel. Learn more: https://go.microsoft.com/fwlink/?linkid=870924
Comment:
    Teal squares are where data has been manually inputted to some extent to account for discrepancies in the formulae.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tc={69A0A807-5358-4869-919D-19CDE89021A9}</author>
    <author>tc={A745A4A7-7DA5-4FCB-9DEB-AD4914968539}</author>
    <author>tc={A16B04CE-E12D-48D5-814D-0BEFDFA17F0A}</author>
    <author>tc={72C8F5CC-2268-4703-8E05-D824E1B18BD0}</author>
    <author>tc={41887D83-7478-44B1-A498-E69536250AFB}</author>
    <author>tc={00140E3A-2D87-4DFA-92E2-C1408DEF196A}</author>
    <author>tc={A32448B4-11DC-4199-BC37-35245A8D2765}</author>
    <author>tc={3A45B8E0-75A3-4575-A8E5-540D69A1017D}</author>
    <author>tc={39025CE3-6ABA-46FD-B800-7DECE9B4DF5D}</author>
    <author>tc={44983C84-680C-4D08-A50D-93F1775F911D}</author>
    <author>tc={B4E626FF-14B2-4373-925D-2FD64664B937}</author>
    <author>tc={71FE6A19-D6BF-4354-BC51-A3B1C9840B70}</author>
    <author>tc={F3A7D741-93EC-4AAE-89AB-0DDD5C15ADAC}</author>
    <author>tc={D2220A41-269E-461F-A72A-7F3F686B74B4}</author>
    <author>tc={65170F01-2809-4773-ABCC-09C773BF3A93}</author>
    <author>tc={90566581-E8B6-46A8-A15A-842AD6856CE5}</author>
    <author>tc={F849BCB8-A029-44D8-B761-BF5E44592C11}</author>
    <author>tc={96A23966-EA70-47C6-BB88-7D56E881C079}</author>
    <author>tc={6DD7A838-4DA1-4094-9EB1-860374F78452}</author>
    <author>tc={2868D9D9-17AA-49B1-A7BF-5B97853E78F8}</author>
    <author>tc={7C2BB076-5092-4AA8-9027-974CF15CE5C5}</author>
    <author>tc={73946105-EF66-4514-8C20-682B7A7DE674}</author>
    <author>tc={63A56384-9804-490D-BE74-FF3067AEC83B}</author>
    <author>tc={B8143650-5088-4BBE-A352-0336E441AC50}</author>
    <author>tc={1EC0E078-E09B-4106-8C5E-811C247DB620}</author>
    <author>tc={BDE78F1E-C242-4B0A-A34E-7978F4519131}</author>
    <author>tc={A93F341B-3B50-42D5-814E-1618A6EB0806}</author>
    <author>tc={FEB0C5B6-471B-4D31-B253-110EF9CBCC4A}</author>
    <author>tc={8445CA8C-A4ED-4B48-81F6-46961D6F70CE}</author>
    <author>tc={5E2029AD-AD64-4AA2-8C03-D224870A6045}</author>
    <author>tc={5967D7D8-6475-4A4C-B9A3-72EDCA8D7E16}</author>
    <author>tc={BDD79EA5-2F2C-44E7-88ED-1CF48AC1C183}</author>
    <author>tc={52C2E3F1-64C6-4727-BB7D-F72D3524DAF5}</author>
    <author>tc={6EB1A7C3-80A4-4CBC-A60F-5BE92E96F0C4}</author>
    <author>tc={56A4C93F-DEFA-455D-9295-87090BC966E3}</author>
    <author>tc={E08A4295-84A6-4E0C-9222-E3C85265AED8}</author>
    <author>tc={B72C95B6-044A-4ABC-AE93-5E51C824CD75}</author>
    <author>tc={EB63F8C1-D78B-49C5-BBDB-E6976350FA6A}</author>
    <author>tc={8EEC14C8-E2D7-46D5-9688-1D369DA4CC23}</author>
    <author>tc={974555A4-C35E-4D66-ACFE-7FFE969A8763}</author>
    <author>tc={D8BBECD3-2802-4720-920B-FF798BE6150D}</author>
    <author>tc={F8270710-25D8-4D20-961F-6B3A80527C65}</author>
    <author>tc={3289E603-18CE-7A48-A3A3-214598F0C725}</author>
    <author>tc={9CF17D04-76F8-4169-8789-719CF696E2E2}</author>
    <author>tc={5AF1522A-1058-4810-935F-286E4ADDEE97}</author>
    <author>tc={89663A84-CA9E-4251-9345-EFE6CC0FC4DA}</author>
    <author>tc={C038F33E-40AA-40F6-A398-13057EFE8875}</author>
    <author>tc={61F959E3-1F3E-4BFA-9AF3-7AE267E183D8}</author>
    <author>tc={B5A6307A-E7FC-4F5E-9C2E-656884255D5C}</author>
    <author>tc={83D488AB-2C4B-45C7-BB78-D4F8711CBE6B}</author>
    <author>tc={7D37F277-78EE-4E37-94D5-68040394AA62}</author>
    <author>tc={F6BAF25E-3274-4EFA-B119-CFE7FC39090D}</author>
    <author>tc={07CBCB6E-13CF-486D-8972-1478E6F7157B}</author>
    <author>tc={9A8548D8-9A21-4969-9B44-9A492DF9BFFD}</author>
    <author>tc={CB06A8C7-4BC1-4367-9709-F709938422C6}</author>
    <author>tc={3E609938-DEF8-4765-83A3-9EE56740C18B}</author>
    <author>tc={E379398D-CE42-4A8D-8A79-AD7F85779C9D}</author>
    <author>tc={7E8D630C-5865-4824-AB46-2D936C6A1866}</author>
    <author>tc={34EA9FD7-B0EF-44F4-8D25-B5E246DFC4A5}</author>
    <author>tc={BB16D252-AE8D-4DF2-B5F5-A6B842EE2D8F}</author>
    <author>tc={35AD136B-0CC4-454F-9429-1AC685278D29}</author>
    <author>tc={8288803D-EF6E-46A3-AD93-DE3DCA2D2372}</author>
    <author>tc={8B5CF177-8321-4F4A-8F9A-C7C3ABE73EAB}</author>
    <author>tc={45A88FB9-36FE-4671-9AA7-3968FAD7B23F}</author>
    <author>tc={0EA22BF3-5539-4F81-B979-A240F2D07FDA}</author>
    <author>tc={992502AC-E495-499E-9973-9300C6484F0C}</author>
    <author>tc={64FCA520-B4D1-4DCC-BC65-AB5A527B9F0C}</author>
    <author>tc={5396F1D6-6D7B-4C3C-BC47-865A36673B7F}</author>
    <author>tc={A7628F34-D93D-4076-B93C-1E40BA4F3BE8}</author>
    <author>tc={CAB54F42-2083-4936-9823-E80F65F7C54E}</author>
    <author>tc={0EE075AB-1A4C-4D10-81FC-2DAEA8627DCB}</author>
    <author>tc={3D897C00-55A4-4EB8-BC54-8B6FBA464D80}</author>
    <author>tc={43FA8C4E-3B8A-45E6-AFA4-B4FD809286CE}</author>
    <author>tc={9CD2FEE6-509A-47C8-ABFD-1B7C8911EEA3}</author>
    <author>tc={61ADEC51-E354-4B93-9943-C7399A558242}</author>
    <author>tc={440769A6-543D-42E3-95DD-8911ACDB0553}</author>
    <author>tc={838B6E08-30B6-4B7F-9829-CFAB1359A845}</author>
    <author>tc={AB4DB4EE-4FD0-4B97-997A-5F1E6698AA2D}</author>
    <author>tc={7A9880FB-1832-4070-966E-358FE9D258B9}</author>
    <author>tc={E9F923C8-E47F-44AB-9DFB-C70FDAA71345}</author>
  </authors>
  <commentList>
    <comment ref="C9" authorId="0" shapeId="0" xr:uid="{69A0A807-5358-4869-919D-19CDE89021A9}">
      <text>
        <t>[Threaded comment]
Your version of Excel allows you to read this threaded comment; however, any edits to it will get removed if the file is opened in a newer version of Excel. Learn more: https://go.microsoft.com/fwlink/?linkid=870924
Comment:
    Farmers specified maize. Use sOSR as proxy in ECOMOD</t>
      </text>
    </comment>
    <comment ref="B11" authorId="1" shapeId="0" xr:uid="{A745A4A7-7DA5-4FCB-9DEB-AD4914968539}">
      <text>
        <t>[Threaded comment]
Your version of Excel allows you to read this threaded comment; however, any edits to it will get removed if the file is opened in a newer version of Excel. Learn more: https://go.microsoft.com/fwlink/?linkid=870924
Comment:
    ECOMOD will run spring barley rather than spring oats - to get round this, enter spring oat values and then run ECOMOD with 'actual' rather than 'estimated' yield.</t>
      </text>
    </comment>
    <comment ref="I12" authorId="2" shapeId="0" xr:uid="{A16B04CE-E12D-48D5-814D-0BEFDFA17F0A}">
      <text>
        <t>[Threaded comment]
Your version of Excel allows you to read this threaded comment; however, any edits to it will get removed if the file is opened in a newer version of Excel. Learn more: https://go.microsoft.com/fwlink/?linkid=870924
Comment:
    NB they said that ww was the preferred option here unless BG control hadn't worked, in which case back to spring barley. Assume BG still an issue and crop spring barley. Not recommended to follow spring barley with winter wheat so do wOSR again.</t>
      </text>
    </comment>
    <comment ref="B13" authorId="3" shapeId="0" xr:uid="{72C8F5CC-2268-4703-8E05-D824E1B18BD0}">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I13" authorId="4" shapeId="0" xr:uid="{41887D83-7478-44B1-A498-E69536250AFB}">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M13" authorId="5" shapeId="0" xr:uid="{00140E3A-2D87-4DFA-92E2-C1408DEF196A}">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N13" authorId="6" shapeId="0" xr:uid="{A32448B4-11DC-4199-BC37-35245A8D2765}">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C17" authorId="7" shapeId="0" xr:uid="{3A45B8E0-75A3-4575-A8E5-540D69A1017D}">
      <text>
        <t>[Threaded comment]
Your version of Excel allows you to read this threaded comment; however, any edits to it will get removed if the file is opened in a newer version of Excel. Learn more: https://go.microsoft.com/fwlink/?linkid=870924
Comment:
    Farmers specified maize. Use sOSR as proxy in ECOMOD</t>
      </text>
    </comment>
    <comment ref="B20" authorId="8" shapeId="0" xr:uid="{39025CE3-6ABA-46FD-B800-7DECE9B4DF5D}">
      <text>
        <t>[Threaded comment]
Your version of Excel allows you to read this threaded comment; however, any edits to it will get removed if the file is opened in a newer version of Excel. Learn more: https://go.microsoft.com/fwlink/?linkid=870924
Comment:
    ECOMOD will run spring barley rather than spring oats - to get round this, enter spring oat values and then run ECOMOD with 'actual' rather than 'estimated' yield.</t>
      </text>
    </comment>
    <comment ref="I20" authorId="9" shapeId="0" xr:uid="{44983C84-680C-4D08-A50D-93F1775F911D}">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I21" authorId="10" shapeId="0" xr:uid="{B4E626FF-14B2-4373-925D-2FD64664B937}">
      <text>
        <t>[Threaded comment]
Your version of Excel allows you to read this threaded comment; however, any edits to it will get removed if the file is opened in a newer version of Excel. Learn more: https://go.microsoft.com/fwlink/?linkid=870924
Comment:
    repeat first 3 years</t>
      </text>
    </comment>
    <comment ref="M21" authorId="11" shapeId="0" xr:uid="{71FE6A19-D6BF-4354-BC51-A3B1C9840B70}">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N21" authorId="12" shapeId="0" xr:uid="{F3A7D741-93EC-4AAE-89AB-0DDD5C15ADAC}">
      <text>
        <t>[Threaded comment]
Your version of Excel allows you to read this threaded comment; however, any edits to it will get removed if the file is opened in a newer version of Excel. Learn more: https://go.microsoft.com/fwlink/?linkid=870924
Comment:
    rotate back to year 1</t>
      </text>
    </comment>
    <comment ref="D24" authorId="13" shapeId="0" xr:uid="{D2220A41-269E-461F-A72A-7F3F686B74B4}">
      <text>
        <t>[Threaded comment]
Your version of Excel allows you to read this threaded comment; however, any edits to it will get removed if the file is opened in a newer version of Excel. Learn more: https://go.microsoft.com/fwlink/?linkid=870924
Comment:
    NB on light soils this is 240</t>
      </text>
    </comment>
    <comment ref="B27" authorId="14" shapeId="0" xr:uid="{65170F01-2809-4773-ABCC-09C773BF3A9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C32" authorId="15" shapeId="0" xr:uid="{90566581-E8B6-46A8-A15A-842AD6856CE5}">
      <text>
        <t>[Threaded comment]
Your version of Excel allows you to read this threaded comment; however, any edits to it will get removed if the file is opened in a newer version of Excel. Learn more: https://go.microsoft.com/fwlink/?linkid=870924
Comment:
    use sOSR as proxy for maize</t>
      </text>
    </comment>
    <comment ref="A38" authorId="16" shapeId="0" xr:uid="{F849BCB8-A029-44D8-B761-BF5E44592C11}">
      <text>
        <t>[Threaded comment]
Your version of Excel allows you to read this threaded comment; however, any edits to it will get removed if the file is opened in a newer version of Excel. Learn more: https://go.microsoft.com/fwlink/?linkid=870924
Comment:
    farmers specified maize but use sOSR as proxy in ECOMOD. Don't try to run it as maize as the costs are too different, esp for maize destined for AD.</t>
      </text>
    </comment>
    <comment ref="C38" authorId="17" shapeId="0" xr:uid="{96A23966-EA70-47C6-BB88-7D56E881C079}">
      <text>
        <t>[Threaded comment]
Your version of Excel allows you to read this threaded comment; however, any edits to it will get removed if the file is opened in a newer version of Excel. Learn more: https://go.microsoft.com/fwlink/?linkid=870924
Comment:
    I previously had 6.5 kg/ha here but KWS seed rate calc gives 2 units/ha</t>
      </text>
    </comment>
    <comment ref="A39" authorId="18" shapeId="0" xr:uid="{6DD7A838-4DA1-4094-9EB1-860374F78452}">
      <text>
        <t>[Threaded comment]
Your version of Excel allows you to read this threaded comment; however, any edits to it will get removed if the file is opened in a newer version of Excel. Learn more: https://go.microsoft.com/fwlink/?linkid=870924
Comment:
    ECOMOD runs spring oats as spring barley.
For the Resistance Management analysis, set all variables with values for spring oats and then run ECOMOD with yield as 'actual' rather than estimate. Use average yield from Nix.</t>
      </text>
    </comment>
    <comment ref="B45" authorId="19" shapeId="0" xr:uid="{2868D9D9-17AA-49B1-A7BF-5B97853E78F8}">
      <text>
        <t>[Threaded comment]
Your version of Excel allows you to read this threaded comment; however, any edits to it will get removed if the file is opened in a newer version of Excel. Learn more: https://go.microsoft.com/fwlink/?linkid=870924
Comment:
    using spring barley as a proxy for oats - farmers said oats would be drilled mid March - early April so timing is same.</t>
      </text>
    </comment>
    <comment ref="B60" authorId="20" shapeId="0" xr:uid="{7C2BB076-5092-4AA8-9027-974CF15CE5C5}">
      <text>
        <t>[Threaded comment]
Your version of Excel allows you to read this threaded comment; however, any edits to it will get removed if the file is opened in a newer version of Excel. Learn more: https://go.microsoft.com/fwlink/?linkid=870924
Comment:
    NB the second winter wheat has an inversion plough before drilling. Change this manually in spreadsheet.</t>
      </text>
    </comment>
    <comment ref="G60" authorId="21" shapeId="0" xr:uid="{73946105-EF66-4514-8C20-682B7A7DE674}">
      <text>
        <t>[Threaded comment]
Your version of Excel allows you to read this threaded comment; however, any edits to it will get removed if the file is opened in a newer version of Excel. Learn more: https://go.microsoft.com/fwlink/?linkid=870924
Comment:
    NB the 3rd winter wheat has an inversion plough before drilling. Change this manually in spreadsheet.</t>
      </text>
    </comment>
    <comment ref="I60" authorId="22" shapeId="0" xr:uid="{63A56384-9804-490D-BE74-FF3067AEC83B}">
      <text>
        <t>[Threaded comment]
Your version of Excel allows you to read this threaded comment; however, any edits to it will get removed if the file is opened in a newer version of Excel. Learn more: https://go.microsoft.com/fwlink/?linkid=870924
Comment:
    Inversion plough in 1st year, light cultivation in 4th year</t>
      </text>
    </comment>
    <comment ref="B63" authorId="23" shapeId="0" xr:uid="{B8143650-5088-4BBE-A352-0336E441AC50}">
      <text>
        <t>[Threaded comment]
Your version of Excel allows you to read this threaded comment; however, any edits to it will get removed if the file is opened in a newer version of Excel. Learn more: https://go.microsoft.com/fwlink/?linkid=870924
Comment:
    this is here in case we use it as a proxy for spring oats</t>
      </text>
    </comment>
    <comment ref="G72" authorId="24" shapeId="0" xr:uid="{1EC0E078-E09B-4106-8C5E-811C247DB620}">
      <text>
        <t>[Threaded comment]
Your version of Excel allows you to read this threaded comment; however, any edits to it will get removed if the file is opened in a newer version of Excel. Learn more: https://go.microsoft.com/fwlink/?linkid=870924
Comment:
    Also discing (light cultivation)</t>
      </text>
    </comment>
    <comment ref="D77" authorId="25" shapeId="0" xr:uid="{BDE78F1E-C242-4B0A-A34E-7978F4519131}">
      <text>
        <t>[Threaded comment]
Your version of Excel allows you to read this threaded comment; however, any edits to it will get removed if the file is opened in a newer version of Excel. Learn more: https://go.microsoft.com/fwlink/?linkid=870924
Comment:
    NB these values are for heavy soils</t>
      </text>
    </comment>
    <comment ref="B78" authorId="26" shapeId="0" xr:uid="{A93F341B-3B50-42D5-814E-1618A6EB0806}">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C78" authorId="27" shapeId="0" xr:uid="{FEB0C5B6-471B-4D31-B253-110EF9CBCC4A}">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D78" authorId="28" shapeId="0" xr:uid="{8445CA8C-A4ED-4B48-81F6-46961D6F70CE}">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H78" authorId="29" shapeId="0" xr:uid="{5E2029AD-AD64-4AA2-8C03-D224870A6045}">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L78" authorId="30" shapeId="0" xr:uid="{5967D7D8-6475-4A4C-B9A3-72EDCA8D7E16}">
      <text>
        <t>[Threaded comment]
Your version of Excel allows you to read this threaded comment; however, any edits to it will get removed if the file is opened in a newer version of Excel. Learn more: https://go.microsoft.com/fwlink/?linkid=870924
Comment:
    Atlantis at 0.4 kg/ha is assumed to be 0.4L/Ha</t>
      </text>
    </comment>
    <comment ref="M78" authorId="31" shapeId="0" xr:uid="{BDD79EA5-2F2C-44E7-88ED-1CF48AC1C183}">
      <text>
        <t>[Threaded comment]
Your version of Excel allows you to read this threaded comment; however, any edits to it will get removed if the file is opened in a newer version of Excel. Learn more: https://go.microsoft.com/fwlink/?linkid=870924
Comment:
    the second ww application is 4.4 l/ha</t>
      </text>
    </comment>
    <comment ref="N78" authorId="32" shapeId="0" xr:uid="{52C2E3F1-64C6-4727-BB7D-F72D3524DAF5}">
      <text>
        <t>[Threaded comment]
Your version of Excel allows you to read this threaded comment; however, any edits to it will get removed if the file is opened in a newer version of Excel. Learn more: https://go.microsoft.com/fwlink/?linkid=870924
Comment:
    the second ww application is 4.4 l/ha</t>
      </text>
    </comment>
    <comment ref="G80" authorId="33" shapeId="0" xr:uid="{6EB1A7C3-80A4-4CBC-A60F-5BE92E96F0C4}">
      <text>
        <t>[Threaded comment]
Your version of Excel allows you to read this threaded comment; however, any edits to it will get removed if the file is opened in a newer version of Excel. Learn more: https://go.microsoft.com/fwlink/?linkid=870924
Comment:
    assumes that 15kg/ha Avadex XL is equivalent (in terms of cost) to 5l/ha of Avadex Factor. This from result of conversation with Hank King at Gowan Crop Protection.</t>
      </text>
    </comment>
    <comment ref="B81" authorId="34" shapeId="0" xr:uid="{56A4C93F-DEFA-455D-9295-87090BC966E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D85" authorId="35" shapeId="0" xr:uid="{E08A4295-84A6-4E0C-9222-E3C85265AED8}">
      <text>
        <t>[Threaded comment]
Your version of Excel allows you to read this threaded comment; however, any edits to it will get removed if the file is opened in a newer version of Excel. Learn more: https://go.microsoft.com/fwlink/?linkid=870924
Comment:
    Assumes that the 3kg/ha of Crawler is equivalent to 3l/ha</t>
      </text>
    </comment>
    <comment ref="I85" authorId="36" shapeId="0" xr:uid="{B72C95B6-044A-4ABC-AE93-5E51C824CD75}">
      <text>
        <t>[Threaded comment]
Your version of Excel allows you to read this threaded comment; however, any edits to it will get removed if the file is opened in a newer version of Excel. Learn more: https://go.microsoft.com/fwlink/?linkid=870924
Comment:
    Assumes Crawler 2.5 kg/ha is equivalent to 2.5L/Ha</t>
      </text>
    </comment>
    <comment ref="A86" authorId="37" shapeId="0" xr:uid="{EB63F8C1-D78B-49C5-BBDB-E6976350FA6A}">
      <text>
        <t>[Threaded comment]
Your version of Excel allows you to read this threaded comment; however, any edits to it will get removed if the file is opened in a newer version of Excel. Learn more: https://go.microsoft.com/fwlink/?linkid=870924
Comment:
    Substitute variable for Maize
Reply:
    But only in Northern and High D High R</t>
      </text>
    </comment>
    <comment ref="D96" authorId="38" shapeId="0" xr:uid="{8EEC14C8-E2D7-46D5-9688-1D369DA4CC23}">
      <text>
        <t>[Threaded comment]
Your version of Excel allows you to read this threaded comment; however, any edits to it will get removed if the file is opened in a newer version of Excel. Learn more: https://go.microsoft.com/fwlink/?linkid=870924
Comment:
    9.3 for year 1, but 3.3 for year 4 (year 4 manually entered to ECOMOD)</t>
      </text>
    </comment>
    <comment ref="B99" authorId="39" shapeId="0" xr:uid="{974555A4-C35E-4D66-ACFE-7FFE969A8763}">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D114" authorId="40" shapeId="0" xr:uid="{D8BBECD3-2802-4720-920B-FF798BE6150D}">
      <text>
        <t>[Threaded comment]
Your version of Excel allows you to read this threaded comment; however, any edits to it will get removed if the file is opened in a newer version of Excel. Learn more: https://go.microsoft.com/fwlink/?linkid=870924
Comment:
    1st ww = 7 sprays, 
2nd ww = 5 sprays
Change manually in input file</t>
      </text>
    </comment>
    <comment ref="B117" authorId="41" shapeId="0" xr:uid="{F8270710-25D8-4D20-961F-6B3A80527C65}">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C117" authorId="42" shapeId="0" xr:uid="{3289E603-18CE-7A48-A3A3-214598F0C725}">
      <text>
        <t>[Threaded comment]
Your version of Excel allows you to read this threaded comment; however, any edits to it will get removed if the file is opened in a newer version of Excel. Learn more: https://go.microsoft.com/fwlink/?linkid=870924
Comment:
    For CFT, treat each herbicide in a tank mix as one separate herbicide.</t>
      </text>
    </comment>
    <comment ref="C122" authorId="43" shapeId="0" xr:uid="{9CF17D04-76F8-4169-8789-719CF696E2E2}">
      <text>
        <t>[Threaded comment]
Your version of Excel allows you to read this threaded comment; however, any edits to it will get removed if the file is opened in a newer version of Excel. Learn more: https://go.microsoft.com/fwlink/?linkid=870924
Comment:
    this is here as we'll use spring osr as a proxy for maize in ECOMOD</t>
      </text>
    </comment>
    <comment ref="D132" authorId="44" shapeId="0" xr:uid="{5AF1522A-1058-4810-935F-286E4ADDEE97}">
      <text>
        <t>[Threaded comment]
Your version of Excel allows you to read this threaded comment; however, any edits to it will get removed if the file is opened in a newer version of Excel. Learn more: https://go.microsoft.com/fwlink/?linkid=870924
Comment:
    Value changes depending on year. Earliest year given here, but other years given as relevant in the input sheet</t>
      </text>
    </comment>
    <comment ref="D139" authorId="45" shapeId="0" xr:uid="{89663A84-CA9E-4251-9345-EFE6CC0FC4DA}">
      <text>
        <t>[Threaded comment]
Your version of Excel allows you to read this threaded comment; however, any edits to it will get removed if the file is opened in a newer version of Excel. Learn more: https://go.microsoft.com/fwlink/?linkid=870924
Comment:
    Kerb was given in kg/ha</t>
      </text>
    </comment>
    <comment ref="G144" authorId="46" shapeId="0" xr:uid="{C038F33E-40AA-40F6-A398-13057EFE8875}">
      <text>
        <t>[Threaded comment]
Your version of Excel allows you to read this threaded comment; however, any edits to it will get removed if the file is opened in a newer version of Excel. Learn more: https://go.microsoft.com/fwlink/?linkid=870924
Comment:
    check</t>
      </text>
    </comment>
    <comment ref="C158" authorId="47" shapeId="0" xr:uid="{61F959E3-1F3E-4BFA-9AF3-7AE267E183D8}">
      <text>
        <t>[Threaded comment]
Your version of Excel allows you to read this threaded comment; however, any edits to it will get removed if the file is opened in a newer version of Excel. Learn more: https://go.microsoft.com/fwlink/?linkid=870924
Comment:
    Farmers specified maize. Might need to run spring OSR as proxy.</t>
      </text>
    </comment>
    <comment ref="A167" authorId="48" shapeId="0" xr:uid="{B5A6307A-E7FC-4F5E-9C2E-656884255D5C}">
      <text>
        <t>[Threaded comment]
Your version of Excel allows you to read this threaded comment; however, any edits to it will get removed if the file is opened in a newer version of Excel. Learn more: https://go.microsoft.com/fwlink/?linkid=870924
Comment:
    The Defra Manual on Nitrogen Application doesn't vary applications by region or by black grass levels. It does vary by soil type and miscellaneous other factors. This doesn't appear to be a problem so far as different soil densities have so far maintained consistent Nitrogen application levels (according to the Farmer Focus Strategies).</t>
      </text>
    </comment>
    <comment ref="A170" authorId="49" shapeId="0" xr:uid="{83D488AB-2C4B-45C7-BB78-D4F8711CBE6B}">
      <text>
        <t>[Threaded comment]
Your version of Excel allows you to read this threaded comment; however, any edits to it will get removed if the file is opened in a newer version of Excel. Learn more: https://go.microsoft.com/fwlink/?linkid=870924
Comment:
    assume all winter barley is feed barley</t>
      </text>
    </comment>
    <comment ref="A171" authorId="50" shapeId="0" xr:uid="{7D37F277-78EE-4E37-94D5-68040394AA62}">
      <text>
        <t>[Threaded comment]
Your version of Excel allows you to read this threaded comment; however, any edits to it will get removed if the file is opened in a newer version of Excel. Learn more: https://go.microsoft.com/fwlink/?linkid=870924
Comment:
    assume all spring barley is malting barley</t>
      </text>
    </comment>
    <comment ref="B179" authorId="51" shapeId="0" xr:uid="{F6BAF25E-3274-4EFA-B119-CFE7FC39090D}">
      <text>
        <t>[Threaded comment]
Your version of Excel allows you to read this threaded comment; however, any edits to it will get removed if the file is opened in a newer version of Excel. Learn more: https://go.microsoft.com/fwlink/?linkid=870924
Comment:
    But only 2 on light soils</t>
      </text>
    </comment>
    <comment ref="B183" authorId="52" shapeId="0" xr:uid="{07CBCB6E-13CF-486D-8972-1478E6F7157B}">
      <text>
        <t>[Threaded comment]
Your version of Excel allows you to read this threaded comment; however, any edits to it will get removed if the file is opened in a newer version of Excel. Learn more: https://go.microsoft.com/fwlink/?linkid=870924
Comment:
    100 and above just made the cutoff for a 2nd application</t>
      </text>
    </comment>
    <comment ref="B186" authorId="53" shapeId="0" xr:uid="{9A8548D8-9A21-4969-9B44-9A492DF9BFFD}">
      <text>
        <t>[Threaded comment]
Your version of Excel allows you to read this threaded comment; however, any edits to it will get removed if the file is opened in a newer version of Excel. Learn more: https://go.microsoft.com/fwlink/?linkid=870924
Comment:
    'minimum tillage' here returns 'grain drill-no-till' in the CFT_input sheet.</t>
      </text>
    </comment>
    <comment ref="C187" authorId="54" shapeId="0" xr:uid="{CB06A8C7-4BC1-4367-9709-F709938422C6}">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L187" authorId="55" shapeId="0" xr:uid="{3E609938-DEF8-4765-83A3-9EE56740C18B}">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C188" authorId="56" shapeId="0" xr:uid="{E379398D-CE42-4A8D-8A79-AD7F85779C9D}">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M188" authorId="57" shapeId="0" xr:uid="{7E8D630C-5865-4824-AB46-2D936C6A1866}">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N188" authorId="58" shapeId="0" xr:uid="{34EA9FD7-B0EF-44F4-8D25-B5E246DFC4A5}">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89" authorId="59" shapeId="0" xr:uid="{BB16D252-AE8D-4DF2-B5F5-A6B842EE2D8F}">
      <text>
        <t>[Threaded comment]
Your version of Excel allows you to read this threaded comment; however, any edits to it will get removed if the file is opened in a newer version of Excel. Learn more: https://go.microsoft.com/fwlink/?linkid=870924
Comment:
    farmers specified first disc 50mm</t>
      </text>
    </comment>
    <comment ref="C189" authorId="60" shapeId="0" xr:uid="{35AD136B-0CC4-454F-9429-1AC685278D29}">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B190" authorId="61" shapeId="0" xr:uid="{8288803D-EF6E-46A3-AD93-DE3DCA2D2372}">
      <text>
        <t>[Threaded comment]
Your version of Excel allows you to read this threaded comment; however, any edits to it will get removed if the file is opened in a newer version of Excel. Learn more: https://go.microsoft.com/fwlink/?linkid=870924
Comment:
    The farmers specified a power harrow here. We have not differentiated between 'power harrow' and 'roller harrow' so where farmers specified a power harrow, it will show up in the roller harrow column on the 'CFT_input' sheet.</t>
      </text>
    </comment>
    <comment ref="L190" authorId="62" shapeId="0" xr:uid="{8B5CF177-8321-4F4A-8F9A-C7C3ABE73EAB}">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1" authorId="63" shapeId="0" xr:uid="{45A88FB9-36FE-4671-9AA7-3968FAD7B23F}">
      <text>
        <t>[Threaded comment]
Your version of Excel allows you to read this threaded comment; however, any edits to it will get removed if the file is opened in a newer version of Excel. Learn more: https://go.microsoft.com/fwlink/?linkid=870924
Comment:
    changed from 'grain drill' to 'grain drill-no-till'. At the moment this doesn't show up in the correct column in the CFT input.</t>
      </text>
    </comment>
    <comment ref="D191" authorId="64" shapeId="0" xr:uid="{0EA22BF3-5539-4F81-B979-A240F2D07FDA}">
      <text>
        <t>[Threaded comment]
Your version of Excel allows you to read this threaded comment; however, any edits to it will get removed if the file is opened in a newer version of Excel. Learn more: https://go.microsoft.com/fwlink/?linkid=870924
Comment:
    Assume farmers use grain drill for cereals, OSR, maize, linseed, beans.</t>
      </text>
    </comment>
    <comment ref="A193" authorId="65" shapeId="0" xr:uid="{992502AC-E495-499E-9973-9300C6484F0C}">
      <text>
        <t>[Threaded comment]
Your version of Excel allows you to read this threaded comment; however, any edits to it will get removed if the file is opened in a newer version of Excel. Learn more: https://go.microsoft.com/fwlink/?linkid=870924
Comment:
    On light soils it's advised not to use a roller straight after drilling as the soil might blow away. I've therefore not used a roller after drilling on these soils.</t>
      </text>
    </comment>
    <comment ref="B194" authorId="66" shapeId="0" xr:uid="{64FCA520-B4D1-4DCC-BC65-AB5A527B9F0C}">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B195" authorId="67" shapeId="0" xr:uid="{5396F1D6-6D7B-4C3C-BC47-865A36673B7F}">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C195" authorId="68" shapeId="0" xr:uid="{A7628F34-D93D-4076-B93C-1E40BA4F3BE8}">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L195" authorId="69" shapeId="0" xr:uid="{CAB54F42-2083-4936-9823-E80F65F7C54E}">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6" authorId="70" shapeId="0" xr:uid="{0EE075AB-1A4C-4D10-81FC-2DAEA8627DCB}">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C196" authorId="71" shapeId="0" xr:uid="{3D897C00-55A4-4EB8-BC54-8B6FBA464D80}">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M196" authorId="72" shapeId="0" xr:uid="{43FA8C4E-3B8A-45E6-AFA4-B4FD809286CE}">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N196" authorId="73" shapeId="0" xr:uid="{9CD2FEE6-509A-47C8-ABFD-1B7C8911EEA3}">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7" authorId="74" shapeId="0" xr:uid="{61ADEC51-E354-4B93-9943-C7399A558242}">
      <text>
        <t>[Threaded comment]
Your version of Excel allows you to read this threaded comment; however, any edits to it will get removed if the file is opened in a newer version of Excel. Learn more: https://go.microsoft.com/fwlink/?linkid=870924
Comment:
    Haven't rolled as this is light soil and don't want it to blow away. Same reason why haven't rolled after drilling.
DRILL type:
ASSUME that farmers in the east grow a lot of beet and therefore have a pneumatic drill (so specify row crop planter rather than just a grain drill in CFT and DSSAT).
(NB in the CFT beet is drilled with a row crop planter)
From Farmers Weekly (https://www.fwi.co.uk/machinery/time-to-replace-ageing-beet-drills): If you’re just drilling beet, a mechanical drill is probably the best and lowest-cost option. If other seeds are also being drilled, then a pneumatic drill gives a wider choice of seeding discs, which are cheaper than cell wheels on a mechanical drill. However performance tests by British Sugar have shown that pneumatic drills are not as accurate as mechanical ones.</t>
      </text>
    </comment>
    <comment ref="C197" authorId="75" shapeId="0" xr:uid="{440769A6-543D-42E3-95DD-8911ACDB0553}">
      <text>
        <t>[Threaded comment]
Your version of Excel allows you to read this threaded comment; however, any edits to it will get removed if the file is opened in a newer version of Excel. Learn more: https://go.microsoft.com/fwlink/?linkid=870924
Comment:
    'minimum tillage' means direct drill and results in a '1' in the 'grain_drill_no_till' column in the CFT spreadsheet.</t>
      </text>
    </comment>
    <comment ref="B198" authorId="76" shapeId="0" xr:uid="{838B6E08-30B6-4B7F-9829-CFAB1359A845}">
      <text>
        <t>[Threaded comment]
Your version of Excel allows you to read this threaded comment; however, any edits to it will get removed if the file is opened in a newer version of Excel. Learn more: https://go.microsoft.com/fwlink/?linkid=870924
Comment:
    no roll as light soil</t>
      </text>
    </comment>
    <comment ref="L198" authorId="77" shapeId="0" xr:uid="{AB4DB4EE-4FD0-4B97-997A-5F1E6698AA2D}">
      <text>
        <t>[Threaded comment]
Your version of Excel allows you to read this threaded comment; however, any edits to it will get removed if the file is opened in a newer version of Excel. Learn more: https://go.microsoft.com/fwlink/?linkid=870924
Comment:
    Assume drill is on the subsoiler</t>
      </text>
    </comment>
    <comment ref="B199" authorId="78" shapeId="0" xr:uid="{7A9880FB-1832-4070-966E-358FE9D258B9}">
      <text>
        <t>[Threaded comment]
Your version of Excel allows you to read this threaded comment; however, any edits to it will get removed if the file is opened in a newer version of Excel. Learn more: https://go.microsoft.com/fwlink/?linkid=870924
Comment:
    no roll after drilling as light soil. Retain the roll to initiate 2nd stale seedbed as farmers specified this.</t>
      </text>
    </comment>
    <comment ref="D199" authorId="79" shapeId="0" xr:uid="{E9F923C8-E47F-44AB-9DFB-C70FDAA71345}">
      <text>
        <t>[Threaded comment]
Your version of Excel allows you to read this threaded comment; however, any edits to it will get removed if the file is opened in a newer version of Excel. Learn more: https://go.microsoft.com/fwlink/?linkid=870924
Comment:
    Assume farmers use grain drill for cereals, OSR, maize, linseed, beans.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tc={A82B86E9-B92E-4A3D-B1FB-8E43502D3354}</author>
    <author>tc={0A4E4ABE-BAE2-4652-912F-65C49CBD10EA}</author>
    <author>tc={3443ED80-4D8E-494F-B7AD-B6CCD7470E89}</author>
  </authors>
  <commentList>
    <comment ref="F4" authorId="0" shapeId="0" xr:uid="{A82B86E9-B92E-4A3D-B1FB-8E43502D3354}">
      <text>
        <t>[Threaded comment]
Your version of Excel allows you to read this threaded comment; however, any edits to it will get removed if the file is opened in a newer version of Excel. Learn more: https://go.microsoft.com/fwlink/?linkid=870924
Comment:
    Or 5, depending on the year</t>
      </text>
    </comment>
    <comment ref="I4" authorId="1" shapeId="0" xr:uid="{0A4E4ABE-BAE2-4652-912F-65C49CBD10EA}">
      <text>
        <t>[Threaded comment]
Your version of Excel allows you to read this threaded comment; however, any edits to it will get removed if the file is opened in a newer version of Excel. Learn more: https://go.microsoft.com/fwlink/?linkid=870924
Comment:
    3 in year 6</t>
      </text>
    </comment>
    <comment ref="D7" authorId="2" shapeId="0" xr:uid="{3443ED80-4D8E-494F-B7AD-B6CCD7470E89}">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tc={A6FCBAC3-A085-4424-B294-BE7ED5AFB660}</author>
    <author>tc={62BB95E9-4E41-41C3-8139-B91D3DC30D43}</author>
    <author>tc={94C971DE-A471-49AC-9EE4-80372E9153F5}</author>
    <author>tc={F73BA41E-734E-4100-B8C5-4D31BF02654F}</author>
    <author>tc={AEE44512-9074-40B4-A605-FF4CDA09786B}</author>
    <author>tc={34DDA7E8-8E46-4E84-922D-D839AE36E929}</author>
    <author>tc={EF44E686-E5C3-4CB5-96DB-DBA69830EA7B}</author>
    <author>tc={5BD8F7DD-B130-4A52-976E-0528C5E4C067}</author>
    <author>tc={B2959683-31F2-4A89-8C72-6B8527B2FD80}</author>
    <author>tc={3F9F42EC-FBAD-4902-B198-47D80642C70A}</author>
    <author>tc={2E9D15E4-C297-40E4-8A43-C20585A8AE94}</author>
    <author>tc={6BAD25D3-BB88-47BD-8980-617A32D021ED}</author>
    <author>tc={70F5CBBC-C618-45EE-A090-A51DF02DAF7E}</author>
    <author>tc={E743674E-0F02-4A07-B38C-DC4526C8E8B4}</author>
    <author>tc={1FAC9E6F-0F8B-4915-851D-5B875360818D}</author>
    <author>tc={D3591FD0-7BBB-4438-8AFF-3D73C9BD6077}</author>
    <author>tc={88AB29EF-291A-4A98-9226-FBA9769F1BF1}</author>
    <author>tc={475F1DE6-28B8-4FBF-9388-E34EF3559B22}</author>
    <author>tc={B7B1E7C9-64D7-4E65-AAAC-A6F4D515F07A}</author>
    <author>tc={CBFFB8E0-0206-4D04-9064-1836D18108BE}</author>
    <author>tc={F8C25D2F-2DEB-48B6-ACD2-920BBC6689F3}</author>
    <author>tc={89433658-E0D0-48F4-B9D1-7AA3E7060AF4}</author>
    <author>tc={951699D1-223E-42AD-8461-C8A29ECBFE03}</author>
    <author>tc={BBD5402A-BC58-41F6-A0D4-C4B22270C627}</author>
    <author>tc={8304E132-BD13-4238-A198-FE520FC11B3F}</author>
    <author>tc={174E4F28-162B-4B34-A128-F82CECA22262}</author>
    <author>tc={329BB787-B27F-405B-97B5-1911BF0BBFC8}</author>
    <author>tc={10DEC182-9AEE-4CFD-9F16-372E3E40F108}</author>
    <author>tc={FA87D612-A2F0-418F-A246-FDDE14DE21C1}</author>
    <author>tc={058A8436-53F0-44AC-B163-D5E84F17FE44}</author>
    <author>tc={B3FFB960-9FDC-4FB4-AA88-0C899684096E}</author>
    <author>tc={14AA6988-A7A6-4EB8-B080-ED678D6769AE}</author>
    <author>tc={33F7A03B-1CC5-4E29-BE08-7C583DAE9D31}</author>
    <author>tc={2A45F7CA-A0CE-4C50-8AD5-BEF5E905F9E3}</author>
    <author>tc={B056C000-F92B-46E1-8AFF-01BA67EF9EA1}</author>
    <author>tc={FE99904E-D2D7-49D7-B41F-3356BCA85EB2}</author>
    <author>tc={33E01CA4-B379-4B65-9C19-3136AB1389DF}</author>
    <author>tc={FC77CF30-A001-4813-844A-A9EEDD7DD4A4}</author>
    <author>tc={D64BC7C5-7020-4885-8868-8405CB181FBA}</author>
    <author>tc={3711BE2B-BB60-4FEF-B341-C58534F1451C}</author>
    <author>tc={BDE9D9EA-C3AB-445F-9A70-F725C4F0AF2A}</author>
    <author>tc={132F69BE-1E4A-4EBC-9B08-8E5541D42A0D}</author>
    <author>tc={D9980A08-1ED0-4D5D-9A0F-625900531039}</author>
    <author>tc={1FBD79FE-5CF1-47DA-99AD-E21FCF83AC5E}</author>
    <author>tc={46217CB8-09E6-4F2A-9B09-EFB15CD6674A}</author>
    <author>tc={02B6D871-154E-45D7-B9B5-5A0B59ADB0C8}</author>
    <author>tc={AF513611-2EB6-431B-AC5E-FF194BFC18BF}</author>
    <author>tc={5E10A610-3787-4EB6-93F2-A09FEFDC3541}</author>
    <author>tc={E2A0337E-BDF5-4ADF-A995-FE7AE9803AD4}</author>
    <author>tc={F3F9EC64-6392-4F05-BBE4-F68047167A35}</author>
    <author>tc={EC1289DD-AAA8-46BC-91C8-0874ECFB8748}</author>
    <author>tc={6EA5BDCC-B10F-43DA-BCB3-95A978B583B8}</author>
    <author>tc={F0C452BE-D765-465A-B24C-EDCAB7C81C24}</author>
    <author>tc={483EA11B-7306-4159-9B4A-1B9CC710D190}</author>
    <author>tc={D62A85F3-85A2-44FD-BC07-F99AE91E6189}</author>
    <author>tc={7B8AC08B-D35B-463F-AD20-641A09C3821B}</author>
    <author>tc={CA63AE0F-9B55-497A-BDCD-40EA30E273E6}</author>
    <author>tc={D07172F5-6F18-42D9-B68B-366802972779}</author>
    <author>tc={073471A3-47AF-4F02-B56C-68A620C1315A}</author>
    <author>tc={5CA33D87-9E02-40E0-A897-F8DE70C10DB7}</author>
    <author>tc={7A7DB49D-B710-4EC5-9F2C-A1BFED791FF2}</author>
    <author>tc={33D4CEDA-C846-4C40-B469-E103B2958873}</author>
    <author>tc={D8D605C4-6BD5-46DF-A4EA-108B07E3C75B}</author>
    <author>tc={70080455-2B05-47DC-868B-7049AC228AB8}</author>
    <author>tc={706644E1-6646-429C-8744-501A82F9B9D7}</author>
    <author>tc={5AFC5AD6-A7B3-4BEC-88F3-D2C210EE5465}</author>
    <author>tc={F4A7BEE8-A7FF-45C6-923F-7E211D8E4ABF}</author>
    <author>tc={9E66776C-E517-4D6D-A661-124B25BB3AE8}</author>
    <author>tc={5D424DF0-7F94-4913-A39B-EA8AC3E6F9C6}</author>
    <author>tc={F47CB466-082E-4AEA-AEB8-6001C944DCFF}</author>
    <author>tc={2C163E76-239F-4DAB-A37C-1AEAAF51AF8C}</author>
    <author>tc={D35E74D3-A675-4540-B77D-C42467251838}</author>
    <author>tc={5E704941-B962-4661-B1BB-B4FDF9F8FB2B}</author>
    <author>tc={DE839C69-389F-4DEF-836D-8A4C2FD480C0}</author>
    <author>tc={44144EEB-F607-4767-9972-B3F470612ACB}</author>
    <author>tc={18D51FE1-2BF0-4F59-AEE6-BEE184FEC831}</author>
    <author>tc={BC925F91-1748-4990-A8FB-536F1B6DE005}</author>
    <author>tc={46D826D3-28AE-4F2C-B265-4D5E5537FF2C}</author>
    <author>tc={004338AB-4FE1-4EB2-AC15-B052610EE293}</author>
    <author>tc={2F956A9D-00A7-40CB-BD87-5562462D1DD0}</author>
    <author>tc={438FD055-A68A-4EEA-BF85-5DC740D9B612}</author>
    <author>tc={4C1FC8D2-D501-464F-80B6-776F17624AE0}</author>
    <author>tc={33181749-05C5-4496-B86B-05E6AE63AA62}</author>
    <author>tc={E7D00E71-E027-403E-B65C-2EE451941DC3}</author>
    <author>tc={9DA224D1-397F-4EDB-9CE9-4497EE3D2E38}</author>
    <author>tc={E3E05772-57D7-4BAF-B1B9-8E3DACA2546D}</author>
    <author>tc={8F9CD491-6100-4D1D-9EE4-740952411A89}</author>
    <author>tc={F34452EE-EE22-4D40-B8D2-26C4AEF3FD12}</author>
    <author>tc={F64A13D9-43B9-452B-9E73-F05B205315A2}</author>
    <author>tc={20410E3C-FE35-4309-A772-AAC3696D09E1}</author>
    <author>tc={82FAE12F-251C-4A49-B80C-A4B3152905F8}</author>
    <author>tc={9AED8DC7-CD06-4BC4-85D0-AE03B7C48A07}</author>
    <author>tc={CE8ABE44-8F3C-4E8A-B237-1CD7EF9E8462}</author>
    <author>tc={ABD15D10-612E-466D-B28B-C9DCF464B162}</author>
    <author>tc={384D3ECB-84AE-4343-AC85-2C60BDB577F2}</author>
    <author>tc={09DF9C55-CAB1-45D2-8034-4CF465028F71}</author>
    <author>tc={0F61A108-98D1-4E2E-AB39-B12CF64848AC}</author>
    <author>tc={AB23BAC5-3E89-4606-8B76-4AEA3655F843}</author>
    <author>tc={F09B2BF4-BF98-4FB9-8E39-4C15CFBDA1D7}</author>
    <author>tc={8D893DA5-ED82-4E70-82D2-5A1EF25A76C6}</author>
    <author>tc={9073379A-3041-4E9D-B374-1CAAD99F763E}</author>
    <author>tc={7C08CBCE-8A5A-495E-9EE4-52EEF0BC6931}</author>
    <author>tc={52A55B7F-9034-4E6B-87B1-1E8A51600FFE}</author>
    <author>tc={D6F7D777-B74D-4272-854F-2013C32331F5}</author>
    <author>tc={83F3A48D-67C0-4183-A3CC-30B1E7A2A024}</author>
    <author>tc={B095132D-0340-4685-AD89-8107E6BE9BCE}</author>
    <author>tc={64FB6011-7071-4FD6-BF01-79BFCBC38BC9}</author>
    <author>tc={28182861-752F-4A33-880A-1BE269B7892D}</author>
    <author>tc={7A40088B-830A-48B5-AF3A-EF960F890951}</author>
    <author>tc={519B884A-007C-47FA-AD94-4C329B46394F}</author>
    <author>tc={A1EC2AD5-C51B-48B8-91A8-B4F9AC58EFE0}</author>
    <author>tc={3D950413-8330-40A2-9E8F-6CDAF4610371}</author>
    <author>tc={85C69B6E-553A-463C-BCB5-991DD4BDB60E}</author>
    <author>tc={2D48B406-C4A2-447B-840E-D188884EED95}</author>
    <author>tc={FBF2C93B-1B82-439C-A72A-A4E8154B8012}</author>
    <author>tc={2E2A0129-6484-4310-A94F-7AF5E2E5905D}</author>
    <author>tc={27C51D1F-BA10-4325-8755-F655AE50A5D8}</author>
    <author>tc={0D3C15AD-48C1-46FA-9E30-C2D4B036DA28}</author>
    <author>tc={AD676150-60AD-435B-90C4-057C4DBD5788}</author>
    <author>tc={17FA6632-11DB-42A8-BC2E-823EEFFF3270}</author>
    <author>tc={2E95A1DE-E363-4F08-BCFD-F3BB2FFAAD8B}</author>
    <author>tc={FD6655B1-2F95-4D28-A8BB-98CDF64D0D56}</author>
    <author>tc={1628CE85-3F5D-4813-8C74-76577CF6F10D}</author>
    <author>tc={0B2229E0-1DE5-493E-AF7F-2C85C5531698}</author>
    <author>tc={D1C05782-A867-4456-83EE-DBA8E420B038}</author>
    <author>tc={811F3F82-98E3-4637-B839-E45C03E1D82D}</author>
    <author>tc={69C343BC-3E93-4EE6-A786-A6A635ACA3FA}</author>
    <author>tc={8E249B7D-C7E1-4042-B866-44C0E61236C4}</author>
    <author>tc={8F67AE49-E1B7-40B8-A10A-B93A735912F9}</author>
    <author>tc={7E3C12DA-F7F8-4BFB-A46A-506933648FD3}</author>
    <author>tc={406DFD42-2549-4BCA-A2FD-2CFE7F7F0DB1}</author>
    <author>tc={8FBD8B67-B93D-4080-B4C7-F4D38D74A5BC}</author>
    <author>tc={0AAE891B-F648-4CD2-A5D4-AF6EA1F592EB}</author>
    <author>tc={CAC61D68-1424-4D5D-9D6B-BAD3968075D1}</author>
    <author>tc={728A261D-0FDD-4EF4-8759-18244CA43C75}</author>
    <author>tc={F0A48E24-26FA-4B71-B70C-4FA2ECB77AEC}</author>
    <author>tc={9B883A4E-CD8B-4B4A-AB40-2EEAD6CE3DB3}</author>
    <author>tc={3C048334-0BBC-4F40-A0D0-6C9E94413E12}</author>
    <author>tc={18369ECC-F8B0-4123-B44D-1634181AC316}</author>
    <author>tc={3DF18DBA-7545-4218-9F44-3968900B1D12}</author>
    <author>tc={81AB2E27-FBED-461B-B770-95315370338C}</author>
    <author>tc={E18DFD02-A6C3-4262-B68B-A3712944ACA9}</author>
    <author>tc={C0183E67-EA43-42E6-ADF1-EB7CE94784A9}</author>
    <author>tc={2FB66D13-F6D0-4DC4-8734-0C6464039CFF}</author>
    <author>tc={22D91E0A-0DB5-42D5-A438-ABC73BF5088F}</author>
    <author>tc={813F4337-1A05-4BBD-B11C-789C4B906F85}</author>
    <author>tc={821F5A52-FEBA-4417-9914-D1C537C333A8}</author>
    <author>tc={735801F2-4924-44FD-AB45-EA15B02BAE58}</author>
    <author>tc={491A6B25-F438-4D6B-85DE-959B5F210151}</author>
    <author>tc={08D5EC7C-E2C9-4C59-8206-C3D4C9042C4C}</author>
    <author>tc={D58742CB-32E5-423E-AD0E-609AC8AA8777}</author>
  </authors>
  <commentList>
    <comment ref="R1" authorId="0" shapeId="0" xr:uid="{A6FCBAC3-A085-4424-B294-BE7ED5AFB660}">
      <text>
        <t>[Threaded comment]
Your version of Excel allows you to read this threaded comment; however, any edits to it will get removed if the file is opened in a newer version of Excel. Learn more: https://go.microsoft.com/fwlink/?linkid=870924
Comment:
    kg/ha except for sugar beet which is units per ha.</t>
      </text>
    </comment>
    <comment ref="AV1" authorId="1" shapeId="0" xr:uid="{62BB95E9-4E41-41C3-8139-B91D3DC30D43}">
      <text>
        <t>[Threaded comment]
Your version of Excel allows you to read this threaded comment; however, any edits to it will get removed if the file is opened in a newer version of Excel. Learn more: https://go.microsoft.com/fwlink/?linkid=870924
Comment:
    l/ha</t>
      </text>
    </comment>
    <comment ref="BB1" authorId="2" shapeId="0" xr:uid="{94C971DE-A471-49AC-9EE4-80372E9153F5}">
      <text>
        <t>[Threaded comment]
Your version of Excel allows you to read this threaded comment; however, any edits to it will get removed if the file is opened in a newer version of Excel. Learn more: https://go.microsoft.com/fwlink/?linkid=870924
Comment:
    l/ha</t>
      </text>
    </comment>
    <comment ref="BU1" authorId="3" shapeId="0" xr:uid="{F73BA41E-734E-4100-B8C5-4D31BF02654F}">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V1" authorId="4" shapeId="0" xr:uid="{AEE44512-9074-40B4-A605-FF4CDA09786B}">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W1" authorId="5" shapeId="0" xr:uid="{34DDA7E8-8E46-4E84-922D-D839AE36E929}">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X1" authorId="6" shapeId="0" xr:uid="{EF44E686-E5C3-4CB5-96DB-DBA69830EA7B}">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Y1" authorId="7" shapeId="0" xr:uid="{5BD8F7DD-B130-4A52-976E-0528C5E4C067}">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Z1" authorId="8" shapeId="0" xr:uid="{B2959683-31F2-4A89-8C72-6B8527B2FD80}">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CA1" authorId="9" shapeId="0" xr:uid="{3F9F42EC-FBAD-4902-B198-47D80642C70A}">
      <text>
        <t>[Threaded comment]
Your version of Excel allows you to read this threaded comment; however, any edits to it will get removed if the file is opened in a newer version of Excel. Learn more: https://go.microsoft.com/fwlink/?linkid=870924
Comment:
    If column CF is 'estimate', crop yield here can be 0.</t>
      </text>
    </comment>
    <comment ref="DC1" authorId="10" shapeId="0" xr:uid="{2E9D15E4-C297-40E4-8A43-C20585A8AE94}">
      <text>
        <t>[Threaded comment]
Your version of Excel allows you to read this threaded comment; however, any edits to it will get removed if the file is opened in a newer version of Excel. Learn more: https://go.microsoft.com/fwlink/?linkid=870924
Comment:
    This is tractor size.
N.B. Machine size (machsize) MUST be entered in the following order: 
1. Tractor szie (kW);
2. Roller size (m);
3. Power harrow size (m); 
4. Sprayer tank size (litres);
5. Combine harvester size (kW)</t>
      </text>
    </comment>
    <comment ref="DD1" authorId="11" shapeId="0" xr:uid="{6BAD25D3-BB88-47BD-8980-617A32D021ED}">
      <text>
        <t>[Threaded comment]
Your version of Excel allows you to read this threaded comment; however, any edits to it will get removed if the file is opened in a newer version of Excel. Learn more: https://go.microsoft.com/fwlink/?linkid=870924
Comment:
    Roller size</t>
      </text>
    </comment>
    <comment ref="DE1" authorId="12" shapeId="0" xr:uid="{70F5CBBC-C618-45EE-A090-A51DF02DAF7E}">
      <text>
        <t>[Threaded comment]
Your version of Excel allows you to read this threaded comment; however, any edits to it will get removed if the file is opened in a newer version of Excel. Learn more: https://go.microsoft.com/fwlink/?linkid=870924
Comment:
    Power harrow size</t>
      </text>
    </comment>
    <comment ref="DF1" authorId="13" shapeId="0" xr:uid="{E743674E-0F02-4A07-B38C-DC4526C8E8B4}">
      <text>
        <t>[Threaded comment]
Your version of Excel allows you to read this threaded comment; however, any edits to it will get removed if the file is opened in a newer version of Excel. Learn more: https://go.microsoft.com/fwlink/?linkid=870924
Comment:
    Sprayer size</t>
      </text>
    </comment>
    <comment ref="DG1" authorId="14" shapeId="0" xr:uid="{1FAC9E6F-0F8B-4915-851D-5B875360818D}">
      <text>
        <t>[Threaded comment]
Your version of Excel allows you to read this threaded comment; however, any edits to it will get removed if the file is opened in a newer version of Excel. Learn more: https://go.microsoft.com/fwlink/?linkid=870924
Comment:
    Combine harvester size</t>
      </text>
    </comment>
    <comment ref="I2" authorId="15" shapeId="0" xr:uid="{D3591FD0-7BBB-4438-8AFF-3D73C9BD6077}">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P2" authorId="16" shapeId="0" xr:uid="{88AB29EF-291A-4A98-9226-FBA9769F1BF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2" authorId="17" shapeId="0" xr:uid="{475F1DE6-28B8-4FBF-9388-E34EF3559B22}">
      <text>
        <t>[Threaded comment]
Your version of Excel allows you to read this threaded comment; however, any edits to it will get removed if the file is opened in a newer version of Excel. Learn more: https://go.microsoft.com/fwlink/?linkid=870924
Comment:
    spring oats</t>
      </text>
    </comment>
    <comment ref="AG2" authorId="18" shapeId="0" xr:uid="{B7B1E7C9-64D7-4E65-AAAC-A6F4D515F07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M2" authorId="19" shapeId="0" xr:uid="{CBFFB8E0-0206-4D04-9064-1836D18108BE}">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AS2" authorId="20" shapeId="0" xr:uid="{F8C25D2F-2DEB-48B6-ACD2-920BBC6689F3}">
      <text>
        <t>[Threaded comment]
Your version of Excel allows you to read this threaded comment; however, any edits to it will get removed if the file is opened in a newer version of Excel. Learn more: https://go.microsoft.com/fwlink/?linkid=870924
Comment:
    SPRING OATS
RB209: 
SNS 1, straw ploughed in: 65 kg[K]/ha 
SNS 1, straw removed: 130 kg[K]/ha 
Nix: 31 kg[K]/ha
ABC: 30 kg[K]/ha</t>
      </text>
    </comment>
    <comment ref="BX2" authorId="21" shapeId="0" xr:uid="{89433658-E0D0-48F4-B9D1-7AA3E7060AF4}">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D2" authorId="22" shapeId="0" xr:uid="{951699D1-223E-42AD-8461-C8A29ECBFE03}">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G2" authorId="23" shapeId="0" xr:uid="{BBD5402A-BC58-41F6-A0D4-C4B22270C627}">
      <text>
        <t>[Threaded comment]
Your version of Excel allows you to read this threaded comment; however, any edits to it will get removed if the file is opened in a newer version of Excel. Learn more: https://go.microsoft.com/fwlink/?linkid=870924
Comment:
    need to run this twice, the second time with yields provided so that I can extract spring oats profits</t>
      </text>
    </comment>
    <comment ref="CN2" authorId="24" shapeId="0" xr:uid="{8304E132-BD13-4238-A198-FE520FC11B3F}">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P3" authorId="25" shapeId="0" xr:uid="{174E4F28-162B-4B34-A128-F82CECA2226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3" authorId="26" shapeId="0" xr:uid="{329BB787-B27F-405B-97B5-1911BF0BBFC8}">
      <text>
        <t>[Threaded comment]
Your version of Excel allows you to read this threaded comment; however, any edits to it will get removed if the file is opened in a newer version of Excel. Learn more: https://go.microsoft.com/fwlink/?linkid=870924
Comment:
    spring oats</t>
      </text>
    </comment>
    <comment ref="AG3" authorId="27" shapeId="0" xr:uid="{10DEC182-9AEE-4CFD-9F16-372E3E40F108}">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4" authorId="28" shapeId="0" xr:uid="{FA87D612-A2F0-418F-A246-FDDE14DE21C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4" authorId="29" shapeId="0" xr:uid="{058A8436-53F0-44AC-B163-D5E84F17FE44}">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4" authorId="30" shapeId="0" xr:uid="{B3FFB960-9FDC-4FB4-AA88-0C899684096E}">
      <text>
        <t>[Threaded comment]
Your version of Excel allows you to read this threaded comment; however, any edits to it will get removed if the file is opened in a newer version of Excel. Learn more: https://go.microsoft.com/fwlink/?linkid=870924
Comment:
    spring oats</t>
      </text>
    </comment>
    <comment ref="AG4" authorId="31" shapeId="0" xr:uid="{14AA6988-A7A6-4EB8-B080-ED678D6769AE}">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5" authorId="32" shapeId="0" xr:uid="{33F7A03B-1CC5-4E29-BE08-7C583DAE9D3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5" authorId="33" shapeId="0" xr:uid="{2A45F7CA-A0CE-4C50-8AD5-BEF5E905F9E3}">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5" authorId="34" shapeId="0" xr:uid="{B056C000-F92B-46E1-8AFF-01BA67EF9EA1}">
      <text>
        <t>[Threaded comment]
Your version of Excel allows you to read this threaded comment; however, any edits to it will get removed if the file is opened in a newer version of Excel. Learn more: https://go.microsoft.com/fwlink/?linkid=870924
Comment:
    spring oats</t>
      </text>
    </comment>
    <comment ref="AG5" authorId="35" shapeId="0" xr:uid="{FE99904E-D2D7-49D7-B41F-3356BCA85EB2}">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J6" authorId="36" shapeId="0" xr:uid="{33E01CA4-B379-4B65-9C19-3136AB1389DF}">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Q6" authorId="37" shapeId="0" xr:uid="{FC77CF30-A001-4813-844A-A9EEDD7DD4A4}">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6" authorId="38" shapeId="0" xr:uid="{D64BC7C5-7020-4885-8868-8405CB181FBA}">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6" authorId="39" shapeId="0" xr:uid="{3711BE2B-BB60-4FEF-B341-C58534F1451C}">
      <text>
        <t>[Threaded comment]
Your version of Excel allows you to read this threaded comment; however, any edits to it will get removed if the file is opened in a newer version of Excel. Learn more: https://go.microsoft.com/fwlink/?linkid=870924
Comment:
    spring oats</t>
      </text>
    </comment>
    <comment ref="AF6" authorId="40" shapeId="0" xr:uid="{BDE9D9EA-C3AB-445F-9A70-F725C4F0AF2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6" authorId="41" shapeId="0" xr:uid="{132F69BE-1E4A-4EBC-9B08-8E5541D42A0D}">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6" authorId="42" shapeId="0" xr:uid="{D9980A08-1ED0-4D5D-9A0F-62590053103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N6" authorId="43" shapeId="0" xr:uid="{1FBD79FE-5CF1-47DA-99AD-E21FCF83AC5E}">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BY6" authorId="44" shapeId="0" xr:uid="{46217CB8-09E6-4F2A-9B09-EFB15CD6674A}">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E6" authorId="45" shapeId="0" xr:uid="{02B6D871-154E-45D7-B9B5-5A0B59ADB0C8}">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O6" authorId="46" shapeId="0" xr:uid="{AF513611-2EB6-431B-AC5E-FF194BFC18BF}">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Q7" authorId="47" shapeId="0" xr:uid="{5E10A610-3787-4EB6-93F2-A09FEFDC354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7" authorId="48" shapeId="0" xr:uid="{E2A0337E-BDF5-4ADF-A995-FE7AE9803AD4}">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7" authorId="49" shapeId="0" xr:uid="{F3F9EC64-6392-4F05-BBE4-F68047167A35}">
      <text>
        <t>[Threaded comment]
Your version of Excel allows you to read this threaded comment; however, any edits to it will get removed if the file is opened in a newer version of Excel. Learn more: https://go.microsoft.com/fwlink/?linkid=870924
Comment:
    spring oats</t>
      </text>
    </comment>
    <comment ref="AF7" authorId="50" shapeId="0" xr:uid="{EC1289DD-AAA8-46BC-91C8-0874ECFB874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7" authorId="51" shapeId="0" xr:uid="{6EA5BDCC-B10F-43DA-BCB3-95A978B583B8}">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7" authorId="52" shapeId="0" xr:uid="{F0C452BE-D765-465A-B24C-EDCAB7C81C2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8" authorId="53" shapeId="0" xr:uid="{483EA11B-7306-4159-9B4A-1B9CC710D190}">
      <text>
        <t>[Threaded comment]
Your version of Excel allows you to read this threaded comment; however, any edits to it will get removed if the file is opened in a newer version of Excel. Learn more: https://go.microsoft.com/fwlink/?linkid=870924
Comment:
    Aii &amp; Aii.i</t>
      </text>
    </comment>
    <comment ref="G8" authorId="54" shapeId="0" xr:uid="{D62A85F3-85A2-44FD-BC07-F99AE91E6189}">
      <text>
        <t>[Threaded comment]
Your version of Excel allows you to read this threaded comment; however, any edits to it will get removed if the file is opened in a newer version of Excel. Learn more: https://go.microsoft.com/fwlink/?linkid=870924
Comment:
    sosr is a proxy for maize. I am not running the model twice as I did for spring oats as I don't know that all the sundry costs (processing etc) are similar for maize and sosr).</t>
      </text>
    </comment>
    <comment ref="AE8" authorId="55" shapeId="0" xr:uid="{7B8AC08B-D35B-463F-AD20-641A09C3821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K8" authorId="56" shapeId="0" xr:uid="{CA63AE0F-9B55-497A-BDCD-40EA30E273E6}">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Q8" authorId="57" shapeId="0" xr:uid="{D07172F5-6F18-42D9-B68B-366802972779}">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E9" authorId="58" shapeId="0" xr:uid="{073471A3-47AF-4F02-B56C-68A620C1315A}">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0" authorId="59" shapeId="0" xr:uid="{5CA33D87-9E02-40E0-A897-F8DE70C10DB7}">
      <text>
        <t>[Threaded comment]
Your version of Excel allows you to read this threaded comment; however, any edits to it will get removed if the file is opened in a newer version of Excel. Learn more: https://go.microsoft.com/fwlink/?linkid=870924
Comment:
    Aii &amp; Aii.i</t>
      </text>
    </comment>
    <comment ref="AE10" authorId="60" shapeId="0" xr:uid="{7A7DB49D-B710-4EC5-9F2C-A1BFED791FF2}">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E11" authorId="61" shapeId="0" xr:uid="{33D4CEDA-C846-4C40-B469-E103B2958873}">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2" authorId="62" shapeId="0" xr:uid="{D8D605C4-6BD5-46DF-A4EA-108B07E3C75B}">
      <text>
        <t>[Threaded comment]
Your version of Excel allows you to read this threaded comment; however, any edits to it will get removed if the file is opened in a newer version of Excel. Learn more: https://go.microsoft.com/fwlink/?linkid=870924
Comment:
    N/A?</t>
      </text>
    </comment>
    <comment ref="AE12" authorId="63" shapeId="0" xr:uid="{70080455-2B05-47DC-868B-7049AC228AB8}">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2" authorId="64" shapeId="0" xr:uid="{706644E1-6646-429C-8744-501A82F9B9D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E13" authorId="65" shapeId="0" xr:uid="{5AFC5AD6-A7B3-4BEC-88F3-D2C210EE5465}">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3" authorId="66" shapeId="0" xr:uid="{F4A7BEE8-A7FF-45C6-923F-7E211D8E4AB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4" authorId="67" shapeId="0" xr:uid="{9E66776C-E517-4D6D-A661-124B25BB3AE8}">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4" authorId="68" shapeId="0" xr:uid="{5D424DF0-7F94-4913-A39B-EA8AC3E6F9C6}">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5" authorId="69" shapeId="0" xr:uid="{F47CB466-082E-4AEA-AEB8-6001C944DCFF}">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5" authorId="70" shapeId="0" xr:uid="{2C163E76-239F-4DAB-A37C-1AEAAF51AF8C}">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6" authorId="71" shapeId="0" xr:uid="{D35E74D3-A675-4540-B77D-C42467251838}">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6" authorId="72" shapeId="0" xr:uid="{5E704941-B962-4661-B1BB-B4FDF9F8FB2B}">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7" authorId="73" shapeId="0" xr:uid="{DE839C69-389F-4DEF-836D-8A4C2FD480C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7" authorId="74" shapeId="0" xr:uid="{44144EEB-F607-4767-9972-B3F470612ACB}">
      <text>
        <t>[Threaded comment]
Your version of Excel allows you to read this threaded comment; however, any edits to it will get removed if the file is opened in a newer version of Excel. Learn more: https://go.microsoft.com/fwlink/?linkid=870924
Comment:
    entered manually</t>
      </text>
    </comment>
    <comment ref="R18" authorId="75" shapeId="0" xr:uid="{18D51FE1-2BF0-4F59-AEE6-BEE184FEC831}">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8" authorId="76" shapeId="0" xr:uid="{BC925F91-1748-4990-A8FB-536F1B6DE005}">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8" authorId="77" shapeId="0" xr:uid="{46D826D3-28AE-4F2C-B265-4D5E5537FF2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8" authorId="78" shapeId="0" xr:uid="{004338AB-4FE1-4EB2-AC15-B052610EE29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8" authorId="79" shapeId="0" xr:uid="{2F956A9D-00A7-40CB-BD87-5562462D1DD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8" authorId="80" shapeId="0" xr:uid="{438FD055-A68A-4EEA-BF85-5DC740D9B612}">
      <text>
        <t>[Threaded comment]
Your version of Excel allows you to read this threaded comment; however, any edits to it will get removed if the file is opened in a newer version of Excel. Learn more: https://go.microsoft.com/fwlink/?linkid=870924
Comment:
    entered manually</t>
      </text>
    </comment>
    <comment ref="R19" authorId="81" shapeId="0" xr:uid="{4C1FC8D2-D501-464F-80B6-776F17624AE0}">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9" authorId="82" shapeId="0" xr:uid="{33181749-05C5-4496-B86B-05E6AE63AA62}">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9" authorId="83" shapeId="0" xr:uid="{E7D00E71-E027-403E-B65C-2EE451941DC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9" authorId="84" shapeId="0" xr:uid="{9DA224D1-397F-4EDB-9CE9-4497EE3D2E3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9" authorId="85" shapeId="0" xr:uid="{E3E05772-57D7-4BAF-B1B9-8E3DACA2546D}">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9" authorId="86" shapeId="0" xr:uid="{8F9CD491-6100-4D1D-9EE4-740952411A89}">
      <text>
        <t>[Threaded comment]
Your version of Excel allows you to read this threaded comment; however, any edits to it will get removed if the file is opened in a newer version of Excel. Learn more: https://go.microsoft.com/fwlink/?linkid=870924
Comment:
    entered manually</t>
      </text>
    </comment>
    <comment ref="Q20" authorId="87" shapeId="0" xr:uid="{F34452EE-EE22-4D40-B8D2-26C4AEF3FD1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1" authorId="88" shapeId="0" xr:uid="{F64A13D9-43B9-452B-9E73-F05B205315A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2" authorId="89" shapeId="0" xr:uid="{20410E3C-FE35-4309-A772-AAC3696D09E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3" authorId="90" shapeId="0" xr:uid="{82FAE12F-251C-4A49-B80C-A4B3152905F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4" authorId="91" shapeId="0" xr:uid="{9AED8DC7-CD06-4BC4-85D0-AE03B7C48A07}">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4" authorId="92" shapeId="0" xr:uid="{CE8ABE44-8F3C-4E8A-B237-1CD7EF9E846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4" authorId="93" shapeId="0" xr:uid="{ABD15D10-612E-466D-B28B-C9DCF464B16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4" authorId="94" shapeId="0" xr:uid="{384D3ECB-84AE-4343-AC85-2C60BDB577F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Q25" authorId="95" shapeId="0" xr:uid="{09DF9C55-CAB1-45D2-8034-4CF465028F7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5" authorId="96" shapeId="0" xr:uid="{0F61A108-98D1-4E2E-AB39-B12CF64848A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5" authorId="97" shapeId="0" xr:uid="{AB23BAC5-3E89-4606-8B76-4AEA3655F84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5" authorId="98" shapeId="0" xr:uid="{F09B2BF4-BF98-4FB9-8E39-4C15CFBDA1D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26" authorId="99" shapeId="0" xr:uid="{8D893DA5-ED82-4E70-82D2-5A1EF25A76C6}">
      <text>
        <t>[Threaded comment]
Your version of Excel allows you to read this threaded comment; however, any edits to it will get removed if the file is opened in a newer version of Excel. Learn more: https://go.microsoft.com/fwlink/?linkid=870924
Comment:
    Bii</t>
      </text>
    </comment>
    <comment ref="B28" authorId="100" shapeId="0" xr:uid="{9073379A-3041-4E9D-B374-1CAAD99F763E}">
      <text>
        <t>[Threaded comment]
Your version of Excel allows you to read this threaded comment; however, any edits to it will get removed if the file is opened in a newer version of Excel. Learn more: https://go.microsoft.com/fwlink/?linkid=870924
Comment:
    Bii</t>
      </text>
    </comment>
    <comment ref="B30" authorId="101" shapeId="0" xr:uid="{7C08CBCE-8A5A-495E-9EE4-52EEF0BC6931}">
      <text>
        <t>[Threaded comment]
Your version of Excel allows you to read this threaded comment; however, any edits to it will get removed if the file is opened in a newer version of Excel. Learn more: https://go.microsoft.com/fwlink/?linkid=870924
Comment:
    Bii.i</t>
      </text>
    </comment>
    <comment ref="AD30" authorId="102" shapeId="0" xr:uid="{52A55B7F-9034-4E6B-87B1-1E8A51600FF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0" authorId="103" shapeId="0" xr:uid="{D6F7D777-B74D-4272-854F-2013C32331F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31" authorId="104" shapeId="0" xr:uid="{83F3A48D-67C0-4183-A3CC-30B1E7A2A02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1" authorId="105" shapeId="0" xr:uid="{B095132D-0340-4685-AD89-8107E6BE9BC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2" authorId="106" shapeId="0" xr:uid="{64FB6011-7071-4FD6-BF01-79BFCBC38BC9}">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3" authorId="107" shapeId="0" xr:uid="{28182861-752F-4A33-880A-1BE269B7892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4" authorId="108" shapeId="0" xr:uid="{7A40088B-830A-48B5-AF3A-EF960F890951}">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5" authorId="109" shapeId="0" xr:uid="{519B884A-007C-47FA-AD94-4C329B46394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6" authorId="110" shapeId="0" xr:uid="{A1EC2AD5-C51B-48B8-91A8-B4F9AC58EFE0}">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6" authorId="111" shapeId="0" xr:uid="{3D950413-8330-40A2-9E8F-6CDAF461037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6" authorId="112" shapeId="0" xr:uid="{85C69B6E-553A-463C-BCB5-991DD4BDB60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7" authorId="113" shapeId="0" xr:uid="{2D48B406-C4A2-447B-840E-D188884EED95}">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7" authorId="114" shapeId="0" xr:uid="{FBF2C93B-1B82-439C-A72A-A4E8154B801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7" authorId="115" shapeId="0" xr:uid="{2E2A0129-6484-4310-A94F-7AF5E2E5905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2" authorId="116" shapeId="0" xr:uid="{27C51D1F-BA10-4325-8755-F655AE50A5D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2" authorId="117" shapeId="0" xr:uid="{0D3C15AD-48C1-46FA-9E30-C2D4B036DA2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2" authorId="118" shapeId="0" xr:uid="{AD676150-60AD-435B-90C4-057C4DBD578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2" authorId="119" shapeId="0" xr:uid="{17FA6632-11DB-42A8-BC2E-823EEFFF3270}">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3" authorId="120" shapeId="0" xr:uid="{2E95A1DE-E363-4F08-BCFD-F3BB2FFAAD8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3" authorId="121" shapeId="0" xr:uid="{FD6655B1-2F95-4D28-A8BB-98CDF64D0D56}">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3" authorId="122" shapeId="0" xr:uid="{1628CE85-3F5D-4813-8C74-76577CF6F10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3" authorId="123" shapeId="0" xr:uid="{0B2229E0-1DE5-493E-AF7F-2C85C553169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44" authorId="124" shapeId="0" xr:uid="{D1C05782-A867-4456-83EE-DBA8E420B038}">
      <text>
        <t>[Threaded comment]
Your version of Excel allows you to read this threaded comment; however, any edits to it will get removed if the file is opened in a newer version of Excel. Learn more: https://go.microsoft.com/fwlink/?linkid=870924
Comment:
    Cii</t>
      </text>
    </comment>
    <comment ref="AY44" authorId="125" shapeId="0" xr:uid="{811F3F82-98E3-4637-B839-E45C03E1D82D}">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5" authorId="126" shapeId="0" xr:uid="{69C343BC-3E93-4EE6-A786-A6A635ACA3FA}">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6" authorId="127" shapeId="0" xr:uid="{8E249B7D-C7E1-4042-B866-44C0E61236C4}">
      <text>
        <t>[Threaded comment]
Your version of Excel allows you to read this threaded comment; however, any edits to it will get removed if the file is opened in a newer version of Excel. Learn more: https://go.microsoft.com/fwlink/?linkid=870924
Comment:
    Cii</t>
      </text>
    </comment>
    <comment ref="AY46" authorId="128" shapeId="0" xr:uid="{8F67AE49-E1B7-40B8-A10A-B93A735912F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7" authorId="129" shapeId="0" xr:uid="{7E3C12DA-F7F8-4BFB-A46A-506933648FD3}">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8" authorId="130" shapeId="0" xr:uid="{406DFD42-2549-4BCA-A2FD-2CFE7F7F0DB1}">
      <text>
        <t>[Threaded comment]
Your version of Excel allows you to read this threaded comment; however, any edits to it will get removed if the file is opened in a newer version of Excel. Learn more: https://go.microsoft.com/fwlink/?linkid=870924
Comment:
    Cii.i</t>
      </text>
    </comment>
    <comment ref="AD48" authorId="131" shapeId="0" xr:uid="{8FBD8B67-B93D-4080-B4C7-F4D38D74A5B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8" authorId="132" shapeId="0" xr:uid="{0AAE891B-F648-4CD2-A5D4-AF6EA1F592E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8" authorId="133" shapeId="0" xr:uid="{CAC61D68-1424-4D5D-9D6B-BAD3968075D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8" authorId="134" shapeId="0" xr:uid="{728A261D-0FDD-4EF4-8759-18244CA43C7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49" authorId="135" shapeId="0" xr:uid="{F0A48E24-26FA-4B71-B70C-4FA2ECB77AE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9" authorId="136" shapeId="0" xr:uid="{9B883A4E-CD8B-4B4A-AB40-2EEAD6CE3DB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9" authorId="137" shapeId="0" xr:uid="{3C048334-0BBC-4F40-A0D0-6C9E94413E1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9" authorId="138" shapeId="0" xr:uid="{18369ECC-F8B0-4123-B44D-1634181AC316}">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0" authorId="139" shapeId="0" xr:uid="{3DF18DBA-7545-4218-9F44-3968900B1D12}">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1" authorId="140" shapeId="0" xr:uid="{81AB2E27-FBED-461B-B770-95315370338C}">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2" authorId="141" shapeId="0" xr:uid="{E18DFD02-A6C3-4262-B68B-A3712944ACA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3" authorId="142" shapeId="0" xr:uid="{C0183E67-EA43-42E6-ADF1-EB7CE94784A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4" authorId="143" shapeId="0" xr:uid="{2FB66D13-F6D0-4DC4-8734-0C6464039CF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4" authorId="144" shapeId="0" xr:uid="{22D91E0A-0DB5-42D5-A438-ABC73BF5088F}">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4" authorId="145" shapeId="0" xr:uid="{813F4337-1A05-4BBD-B11C-789C4B906F8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4" authorId="146" shapeId="0" xr:uid="{821F5A52-FEBA-4417-9914-D1C537C333A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5" authorId="147" shapeId="0" xr:uid="{735801F2-4924-44FD-AB45-EA15B02BAE58}">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5" authorId="148" shapeId="0" xr:uid="{491A6B25-F438-4D6B-85DE-959B5F21015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5" authorId="149" shapeId="0" xr:uid="{08D5EC7C-E2C9-4C59-8206-C3D4C9042C4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5" authorId="150" shapeId="0" xr:uid="{D58742CB-32E5-423E-AD0E-609AC8AA8777}">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tc={B1A7EECA-24FF-4DDB-8557-C25A8E515843}</author>
    <author>tc={12E454F6-368A-4576-A9A6-02F905A39B5C}</author>
    <author>tc={300FC9D4-B824-4F7A-AE32-798772341CB8}</author>
    <author>tc={32CCFB88-A623-484E-A691-54A89A642F10}</author>
    <author>tc={03A5D122-96D8-4EEC-B37E-B55C67EF2D6D}</author>
    <author>tc={3DE298BB-AE14-422B-8DBC-9B2EF33C5983}</author>
    <author>tc={8CB10C8F-98E3-445F-AFA6-D588B1316A93}</author>
    <author>tc={8645E733-A24E-431E-AA92-77F5A3F04F0C}</author>
    <author>tc={2DCFA50F-3705-48C4-A26A-913D967EBC34}</author>
    <author>tc={52D38579-7CE5-403E-B5E0-57AD8769302A}</author>
    <author>tc={7A480B3A-6055-410B-9D86-7D2593CE753F}</author>
    <author>tc={74ABB803-4535-48C1-B718-A878EF0F0E78}</author>
    <author>tc={54A89F6B-0D51-43C4-B1C7-3B708A3FB538}</author>
    <author>tc={8F901F99-642C-4D0F-B54D-268A4FC15E30}</author>
    <author>tc={A54A9E62-B169-46CF-982C-F765384CF9A3}</author>
    <author>tc={EE602530-F415-4468-B876-CACE01C36F9A}</author>
    <author>tc={CC7ED63D-0FA9-40DB-8B63-87A785B43EDF}</author>
    <author>tc={08561C61-E2BC-4FAF-94D5-A8BBA7090B69}</author>
    <author>tc={7B5BD87D-44BD-4D66-9C3B-233BE209C38E}</author>
    <author>tc={1687ED55-95F8-4688-AE11-5B567C4118E1}</author>
    <author>tc={9B731367-E039-41E6-9A5E-E4750B33C420}</author>
    <author>tc={A7F309E7-9580-4D88-8D2D-DA0B3261D937}</author>
    <author>tc={429110D0-7E72-4817-A0CC-325376C9055A}</author>
    <author>tc={C45DC69C-0260-4AB5-A568-A2743ACE3A6D}</author>
    <author>tc={E2E1917F-1538-47A2-85A2-0496A8674808}</author>
    <author>tc={3D20A5EA-DCE2-46F8-83ED-E9820847F6BF}</author>
    <author>tc={A623F2D2-35E6-4486-AA2C-3DEA01E0EA7B}</author>
    <author>tc={2A351A9C-C08D-496D-ADF0-8F550E01ADB4}</author>
    <author>tc={08FD6022-4A5F-4041-89D9-6DEB16B8F67A}</author>
    <author>tc={DB5D611B-A350-4B44-8258-B2F318E6F623}</author>
    <author>tc={DD90C490-C3E1-4F37-8A8E-1FAB89679B47}</author>
    <author>tc={93DD9874-C504-49C3-BD78-98BF78D4DFA2}</author>
    <author>tc={DF9949D8-BFE6-4647-81EE-F05E62AF54CD}</author>
    <author>tc={D416DE4E-A618-4A8A-9962-97ABBB658358}</author>
    <author>tc={815B53EF-744F-42E2-A7E4-0F98D0A277F8}</author>
    <author>tc={AF19C7B4-4760-4CE3-8E56-B9BD30B0896A}</author>
    <author>tc={4836F0A5-6112-43EF-AA75-D74FA4A5E0FF}</author>
    <author>tc={FEA869F2-8CF8-49D4-BD88-39A83589CDC6}</author>
    <author>tc={B3E2C082-EAA2-42A0-8DE3-5883D0CAE4A9}</author>
    <author>tc={7393CB98-30C9-4193-B61C-7D0A3E809B82}</author>
    <author>tc={86B22EF8-9742-4B67-871A-CBE97A6B023B}</author>
    <author>tc={3DE99DD1-BF37-48FA-B71E-BE4E0FC0867A}</author>
    <author>tc={7F56E22D-B664-4BAD-9C70-C8E8B0FBB63B}</author>
    <author>tc={9B556F32-3D68-4794-A79F-3ECAB25A5C35}</author>
    <author>tc={C345C375-4770-4FD5-A4DC-5E7998E6FB7C}</author>
    <author>tc={46D604C8-FA8D-453C-BD61-4D720C30FB31}</author>
    <author>tc={BE96EF6E-8A1F-4FA4-941D-8A81B02C30A9}</author>
    <author>tc={FC102D11-B429-40E4-84A9-03160DA63DA3}</author>
    <author>tc={5154467C-1C3E-4647-81C7-52CB301D0C1E}</author>
    <author>tc={7C5F30A8-97F1-4DB8-99DA-1289B39F6FCA}</author>
    <author>tc={A45532C9-019C-4364-8BC9-76AAAB634634}</author>
    <author>tc={A196D739-5BDA-4D96-A4C5-31757D196984}</author>
    <author>tc={528267B6-CB1A-449B-A1CA-D4FE400F801A}</author>
    <author>tc={66D74245-F911-4D8A-B3DC-AB2BF920B895}</author>
    <author>tc={21235AB4-FB68-40CA-98B0-94E6AA8C9BAA}</author>
    <author>tc={5E03FF64-5CCA-41CC-96C8-101F132E3222}</author>
    <author>tc={CC9E0BFE-E7D3-4047-9320-5952ACE9525B}</author>
    <author>tc={0661D4C9-B75A-453E-A76A-BB7960C06582}</author>
    <author>tc={EB7E2601-834A-483E-872E-F89D4578D89B}</author>
    <author>tc={252D0726-9EAF-4249-8AEC-307A7512F5F9}</author>
    <author>tc={8350835B-FE2E-4990-9129-DEB7AB105FD5}</author>
    <author>tc={6056532D-AEB3-489F-9898-E0538DA264A7}</author>
    <author>tc={A3C89A15-4538-4F0E-ACE6-5BD59EA75ADA}</author>
    <author>tc={A32DCD42-C8E0-4AB5-A2BA-1B47A6190E1B}</author>
    <author>tc={C862D59A-B0E1-4B68-A1B6-7731BCF811C7}</author>
    <author>tc={3C3FB75D-8EC2-4DD5-9A9A-5A4E92875399}</author>
    <author>tc={3D8109CC-5C12-4B96-9FD2-E8212E72792D}</author>
    <author>tc={04587D8A-A71B-42AA-924C-580A9D577BEE}</author>
    <author>tc={A4FEFCA4-D446-4D1E-AA64-765DAEA5D7E2}</author>
    <author>tc={A0688978-F45A-41C0-8BE5-4D274D170C86}</author>
    <author>tc={D9D3ED09-AD09-4EDF-A90C-021743E8C604}</author>
    <author>tc={CB67BDB8-851E-4D86-99E4-FA15B05225B2}</author>
    <author>tc={2F12C4C8-C3A9-497B-AB9B-200E23402726}</author>
    <author>tc={427E7C92-2CD4-4378-89FB-A909AE8527C5}</author>
    <author>tc={57E0806D-3B60-40A4-AFAE-3DA178292496}</author>
    <author>tc={ED248A8C-3A93-483B-A529-D9B2E48C3A81}</author>
    <author>tc={E96BF803-A182-408B-B848-0FEF354B17DE}</author>
    <author>tc={D43C7B12-C21E-494E-BE95-9D24A0E77217}</author>
    <author>tc={3A973F60-886E-4A50-8FDE-E97798F8DBE3}</author>
    <author>tc={9638029F-9207-407A-BD7E-D6392C642B80}</author>
    <author>tc={2C6F5B68-879E-4E5C-AD9C-D43E6D6E5662}</author>
    <author>tc={DF6E356E-4502-4673-9E25-74921DE383AD}</author>
    <author>tc={532831F5-317B-4421-8817-1AC5427688E0}</author>
    <author>tc={53246720-ABE8-430B-8DDE-C82F7135D3CD}</author>
    <author>tc={8C8059AB-6693-43B3-8344-D0F12CBB7F9E}</author>
    <author>tc={576DAA06-9C32-4753-AACD-069118BCC97C}</author>
    <author>tc={F30CFB59-9817-40A1-9FBF-0D9A332CB5DF}</author>
    <author>tc={EB9711D3-C5AF-4464-9A63-CC9BB5871B02}</author>
    <author>tc={6E905C3A-62E5-4A1F-B536-79BD2DFC6B3D}</author>
    <author>tc={74473228-819E-478B-9AF3-29E0E39D2D74}</author>
    <author>tc={5047A9E8-1C53-40C4-A16B-749197DEFE6B}</author>
    <author>tc={15862D75-16CD-4C30-931A-3FC673D937CA}</author>
    <author>tc={F549B5BC-5F56-4F52-8DEA-98A000572E34}</author>
    <author>tc={6BCBBAAE-D877-4AD5-8ADA-A3BAFEC1CED2}</author>
    <author>tc={C7E28F76-1092-411C-B9C9-54F7445803A2}</author>
    <author>tc={D2A17A61-09C3-4DD1-88D3-FACBD7ACD808}</author>
    <author>tc={AE092DB5-3BB5-44F0-9958-F2D8EC426701}</author>
    <author>tc={022E0BE6-4250-49B4-AACF-E1B83FFBE96A}</author>
    <author>tc={231B0519-4AA4-4218-BB1F-5ADA2445A95A}</author>
    <author>tc={E5908E8E-ED4E-4B8A-8418-0090EE671464}</author>
    <author>tc={69C0F81E-E1B9-4371-9CA6-F8B5E2BDE0BA}</author>
    <author>tc={729E491D-E287-4EAF-B2CA-FB59FBBC31EE}</author>
    <author>tc={9214B5E6-C62C-400F-8FD0-5D99CDB9021B}</author>
    <author>tc={B5C753A7-AA0C-4BC1-99CD-93BA6CD41FD6}</author>
    <author>tc={4436172A-1A3F-4D91-9D45-AF98BA492DD2}</author>
    <author>tc={54D3ADAE-EB61-4869-A891-1AA8C0E53CC1}</author>
    <author>tc={8A4477CC-D432-425F-B8AD-C16ED96AC929}</author>
    <author>tc={9F6FD8EB-F9B3-4CD6-B4CA-DE35CC156CD3}</author>
    <author>tc={E3CEBC48-1746-4682-BF4B-F609351A78D3}</author>
    <author>tc={040E77C1-65C0-40D3-81B0-6358D931371C}</author>
    <author>tc={402E9D38-6C34-4290-BA0C-B694A7EFDA06}</author>
    <author>tc={7892B58A-7B37-419C-B8DB-474A7C0A3778}</author>
    <author>tc={5EC0B95E-E333-475A-89A3-BB153EB8DA97}</author>
    <author>tc={02DCFA8A-BBEA-45C5-A0D9-D283B81C3E42}</author>
    <author>tc={F2481D30-9981-4984-9BDF-FE7BBFF34C45}</author>
    <author>tc={F5309CF9-3D77-4EA6-BD10-697CBFE4A5EC}</author>
    <author>tc={46618D08-4766-4F10-A04A-1549EBEB2381}</author>
    <author>tc={ACD3B856-FABE-411E-996F-1E54A9C3709B}</author>
    <author>tc={0EC70A8A-20B6-4E5A-9827-5CC5138E6704}</author>
    <author>tc={E54A157E-96D6-4DC9-80F1-649941B0624C}</author>
    <author>tc={83F8A9F7-C1DC-4303-B321-2AC0F7D239F5}</author>
    <author>tc={AEF46341-C5A4-4856-A31C-EF69E2F62AA5}</author>
    <author>tc={DADC983C-F684-4483-865D-22BE3EF37314}</author>
    <author>tc={D1FD58B7-FD61-44CC-975C-003579617D99}</author>
    <author>tc={E8286D50-061A-4FCF-96F9-4E99FF8D04F3}</author>
    <author>tc={00670B31-ED1B-4EC3-9815-F0FBA50ADB6E}</author>
    <author>tc={621875BC-3197-4BBD-8CA5-77AF455EDC04}</author>
    <author>tc={CD315264-E3E7-4E61-B26B-BFCDB8107F75}</author>
    <author>tc={5B0F5DDD-62A7-4AE0-AF69-DAC350902275}</author>
    <author>tc={F49CD548-C44B-400F-91A9-461659A57F2F}</author>
    <author>tc={CFF340E7-BA43-43D1-8A32-8A86583C7055}</author>
    <author>tc={1C20C322-BE8D-4DCB-B5AC-F6D706698394}</author>
    <author>tc={8E0E2445-DE3B-4231-A05A-24C12B0D52EF}</author>
    <author>tc={6955FABB-4BAE-42EE-BB14-7455042C8F1B}</author>
    <author>tc={E46E2491-F82A-4A89-A094-A7FD4C5DBFAA}</author>
    <author>tc={CCD7F865-49B5-44FF-9D8B-A0E9E676DBEB}</author>
    <author>tc={27A80B84-9E6D-446E-9F90-7F88D3267D39}</author>
    <author>tc={82D543DC-F05A-4DE4-B0C0-86F28FBA85BB}</author>
    <author>tc={E4CB5E1A-40AF-479F-96FE-82628C7F489D}</author>
    <author>tc={1A87499A-B013-477B-B0D0-4C0352065C6E}</author>
    <author>tc={F38B066D-10C3-49C1-A5E3-0FFE33CC81CD}</author>
    <author>tc={B5B45A69-1376-411E-81DE-6839DA76B4AB}</author>
    <author>tc={79ECB7EC-401C-48D0-A20F-A41C6A2B3515}</author>
    <author>tc={A73CCBD0-8129-462F-B544-D93E03B9DE19}</author>
    <author>tc={DF776B0C-8556-4D7B-8B6C-844B2C5DE37C}</author>
    <author>tc={D7346817-0FF8-4AB4-84CD-2852C02BA368}</author>
    <author>tc={FD4BD97B-A23A-4D72-98A1-E35C94BF1223}</author>
    <author>tc={EE863999-B928-4088-9220-8F8344BEB823}</author>
    <author>tc={BD5BA356-E0B5-4827-97FE-6314DF84196C}</author>
    <author>tc={6762A0DD-7A54-46F6-BF74-FA833E2D979D}</author>
    <author>tc={C1716896-5C0F-4F5B-8C87-253585AE5675}</author>
    <author>tc={C94B5993-302E-4822-B511-268096AACCDE}</author>
    <author>tc={D429030B-DBB4-4078-8B03-8BC4938B7711}</author>
    <author>tc={D44803D5-7E60-4B75-A045-7F4429765BD3}</author>
    <author>tc={9D9A2E06-3EA4-49EC-A6DF-FAB894CD09A8}</author>
  </authors>
  <commentList>
    <comment ref="R1" authorId="0" shapeId="0" xr:uid="{B1A7EECA-24FF-4DDB-8557-C25A8E515843}">
      <text>
        <t>[Threaded comment]
Your version of Excel allows you to read this threaded comment; however, any edits to it will get removed if the file is opened in a newer version of Excel. Learn more: https://go.microsoft.com/fwlink/?linkid=870924
Comment:
    kg/ha except for sugar beet which is units per ha.</t>
      </text>
    </comment>
    <comment ref="AV1" authorId="1" shapeId="0" xr:uid="{12E454F6-368A-4576-A9A6-02F905A39B5C}">
      <text>
        <t>[Threaded comment]
Your version of Excel allows you to read this threaded comment; however, any edits to it will get removed if the file is opened in a newer version of Excel. Learn more: https://go.microsoft.com/fwlink/?linkid=870924
Comment:
    l/ha</t>
      </text>
    </comment>
    <comment ref="BB1" authorId="2" shapeId="0" xr:uid="{300FC9D4-B824-4F7A-AE32-798772341CB8}">
      <text>
        <t>[Threaded comment]
Your version of Excel allows you to read this threaded comment; however, any edits to it will get removed if the file is opened in a newer version of Excel. Learn more: https://go.microsoft.com/fwlink/?linkid=870924
Comment:
    l/ha</t>
      </text>
    </comment>
    <comment ref="BU1" authorId="3" shapeId="0" xr:uid="{32CCFB88-A623-484E-A691-54A89A642F10}">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V1" authorId="4" shapeId="0" xr:uid="{03A5D122-96D8-4EEC-B37E-B55C67EF2D6D}">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W1" authorId="5" shapeId="0" xr:uid="{3DE298BB-AE14-422B-8DBC-9B2EF33C5983}">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X1" authorId="6" shapeId="0" xr:uid="{8CB10C8F-98E3-445F-AFA6-D588B1316A93}">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Y1" authorId="7" shapeId="0" xr:uid="{8645E733-A24E-431E-AA92-77F5A3F04F0C}">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BZ1" authorId="8" shapeId="0" xr:uid="{2DCFA50F-3705-48C4-A26A-913D967EBC34}">
      <text>
        <t>[Threaded comment]
Your version of Excel allows you to read this threaded comment; however, any edits to it will get removed if the file is opened in a newer version of Excel. Learn more: https://go.microsoft.com/fwlink/?linkid=870924
Comment:
    Crop price is the Primary Yield Price in £/t
 i.e. how much the farmer sells it for.</t>
      </text>
    </comment>
    <comment ref="CA1" authorId="9" shapeId="0" xr:uid="{52D38579-7CE5-403E-B5E0-57AD8769302A}">
      <text>
        <t>[Threaded comment]
Your version of Excel allows you to read this threaded comment; however, any edits to it will get removed if the file is opened in a newer version of Excel. Learn more: https://go.microsoft.com/fwlink/?linkid=870924
Comment:
    If column CF is 'estimate', crop yield here can be 0.</t>
      </text>
    </comment>
    <comment ref="DC1" authorId="10" shapeId="0" xr:uid="{7A480B3A-6055-410B-9D86-7D2593CE753F}">
      <text>
        <t>[Threaded comment]
Your version of Excel allows you to read this threaded comment; however, any edits to it will get removed if the file is opened in a newer version of Excel. Learn more: https://go.microsoft.com/fwlink/?linkid=870924
Comment:
    This is tractor size.
N.B. Machine size (machsize) MUST be entered in the following order: 
1. Tractor szie (kW);
2. Roller size (m);
3. Power harrow size (m); 
4. Sprayer tank size (litres);
5. Combine harvester size (kW)</t>
      </text>
    </comment>
    <comment ref="DD1" authorId="11" shapeId="0" xr:uid="{74ABB803-4535-48C1-B718-A878EF0F0E78}">
      <text>
        <t>[Threaded comment]
Your version of Excel allows you to read this threaded comment; however, any edits to it will get removed if the file is opened in a newer version of Excel. Learn more: https://go.microsoft.com/fwlink/?linkid=870924
Comment:
    Roller size</t>
      </text>
    </comment>
    <comment ref="DE1" authorId="12" shapeId="0" xr:uid="{54A89F6B-0D51-43C4-B1C7-3B708A3FB538}">
      <text>
        <t>[Threaded comment]
Your version of Excel allows you to read this threaded comment; however, any edits to it will get removed if the file is opened in a newer version of Excel. Learn more: https://go.microsoft.com/fwlink/?linkid=870924
Comment:
    Power harrow size</t>
      </text>
    </comment>
    <comment ref="DF1" authorId="13" shapeId="0" xr:uid="{8F901F99-642C-4D0F-B54D-268A4FC15E30}">
      <text>
        <t>[Threaded comment]
Your version of Excel allows you to read this threaded comment; however, any edits to it will get removed if the file is opened in a newer version of Excel. Learn more: https://go.microsoft.com/fwlink/?linkid=870924
Comment:
    Sprayer size</t>
      </text>
    </comment>
    <comment ref="DG1" authorId="14" shapeId="0" xr:uid="{A54A9E62-B169-46CF-982C-F765384CF9A3}">
      <text>
        <t>[Threaded comment]
Your version of Excel allows you to read this threaded comment; however, any edits to it will get removed if the file is opened in a newer version of Excel. Learn more: https://go.microsoft.com/fwlink/?linkid=870924
Comment:
    Combine harvester size</t>
      </text>
    </comment>
    <comment ref="I2" authorId="15" shapeId="0" xr:uid="{EE602530-F415-4468-B876-CACE01C36F9A}">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P2" authorId="16" shapeId="0" xr:uid="{CC7ED63D-0FA9-40DB-8B63-87A785B43ED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2" authorId="17" shapeId="0" xr:uid="{08561C61-E2BC-4FAF-94D5-A8BBA7090B69}">
      <text>
        <t>[Threaded comment]
Your version of Excel allows you to read this threaded comment; however, any edits to it will get removed if the file is opened in a newer version of Excel. Learn more: https://go.microsoft.com/fwlink/?linkid=870924
Comment:
    spring oats</t>
      </text>
    </comment>
    <comment ref="AG2" authorId="18" shapeId="0" xr:uid="{7B5BD87D-44BD-4D66-9C3B-233BE209C38E}">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M2" authorId="19" shapeId="0" xr:uid="{1687ED55-95F8-4688-AE11-5B567C4118E1}">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AS2" authorId="20" shapeId="0" xr:uid="{9B731367-E039-41E6-9A5E-E4750B33C420}">
      <text>
        <t>[Threaded comment]
Your version of Excel allows you to read this threaded comment; however, any edits to it will get removed if the file is opened in a newer version of Excel. Learn more: https://go.microsoft.com/fwlink/?linkid=870924
Comment:
    SPRING OATS
RB209: 
SNS 1, straw ploughed in: 65 kg[K]/ha 
SNS 1, straw removed: 130 kg[K]/ha 
Nix: 31 kg[K]/ha
ABC: 30 kg[K]/ha</t>
      </text>
    </comment>
    <comment ref="BX2" authorId="21" shapeId="0" xr:uid="{A7F309E7-9580-4D88-8D2D-DA0B3261D937}">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D2" authorId="22" shapeId="0" xr:uid="{429110D0-7E72-4817-A0CC-325376C9055A}">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G2" authorId="23" shapeId="0" xr:uid="{C45DC69C-0260-4AB5-A568-A2743ACE3A6D}">
      <text>
        <t>[Threaded comment]
Your version of Excel allows you to read this threaded comment; however, any edits to it will get removed if the file is opened in a newer version of Excel. Learn more: https://go.microsoft.com/fwlink/?linkid=870924
Comment:
    need to run this twice, the second time with yields provided so that I can extract spring oats profits</t>
      </text>
    </comment>
    <comment ref="CN2" authorId="24" shapeId="0" xr:uid="{E2E1917F-1538-47A2-85A2-0496A8674808}">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P3" authorId="25" shapeId="0" xr:uid="{3D20A5EA-DCE2-46F8-83ED-E9820847F6BF}">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A3" authorId="26" shapeId="0" xr:uid="{A623F2D2-35E6-4486-AA2C-3DEA01E0EA7B}">
      <text>
        <t>[Threaded comment]
Your version of Excel allows you to read this threaded comment; however, any edits to it will get removed if the file is opened in a newer version of Excel. Learn more: https://go.microsoft.com/fwlink/?linkid=870924
Comment:
    spring oats</t>
      </text>
    </comment>
    <comment ref="AG3" authorId="27" shapeId="0" xr:uid="{2A351A9C-C08D-496D-ADF0-8F550E01ADB4}">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4" authorId="28" shapeId="0" xr:uid="{08FD6022-4A5F-4041-89D9-6DEB16B8F67A}">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4" authorId="29" shapeId="0" xr:uid="{DB5D611B-A350-4B44-8258-B2F318E6F623}">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4" authorId="30" shapeId="0" xr:uid="{DD90C490-C3E1-4F37-8A8E-1FAB89679B47}">
      <text>
        <t>[Threaded comment]
Your version of Excel allows you to read this threaded comment; however, any edits to it will get removed if the file is opened in a newer version of Excel. Learn more: https://go.microsoft.com/fwlink/?linkid=870924
Comment:
    spring oats</t>
      </text>
    </comment>
    <comment ref="AG4" authorId="31" shapeId="0" xr:uid="{93DD9874-C504-49C3-BD78-98BF78D4DFA2}">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P5" authorId="32" shapeId="0" xr:uid="{DF9949D8-BFE6-4647-81EE-F05E62AF54C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U5" authorId="33" shapeId="0" xr:uid="{D416DE4E-A618-4A8A-9962-97ABBB658358}">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A5" authorId="34" shapeId="0" xr:uid="{815B53EF-744F-42E2-A7E4-0F98D0A277F8}">
      <text>
        <t>[Threaded comment]
Your version of Excel allows you to read this threaded comment; however, any edits to it will get removed if the file is opened in a newer version of Excel. Learn more: https://go.microsoft.com/fwlink/?linkid=870924
Comment:
    spring oats</t>
      </text>
    </comment>
    <comment ref="AG5" authorId="35" shapeId="0" xr:uid="{AF19C7B4-4760-4CE3-8E56-B9BD30B0896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J6" authorId="36" shapeId="0" xr:uid="{4836F0A5-6112-43EF-AA75-D74FA4A5E0FF}">
      <text>
        <t>[Threaded comment]
Your version of Excel allows you to read this threaded comment; however, any edits to it will get removed if the file is opened in a newer version of Excel. Learn more: https://go.microsoft.com/fwlink/?linkid=870924
Comment:
    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
      </text>
    </comment>
    <comment ref="Q6" authorId="37" shapeId="0" xr:uid="{FEA869F2-8CF8-49D4-BD88-39A83589CDC6}">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6" authorId="38" shapeId="0" xr:uid="{B3E2C082-EAA2-42A0-8DE3-5883D0CAE4A9}">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6" authorId="39" shapeId="0" xr:uid="{7393CB98-30C9-4193-B61C-7D0A3E809B82}">
      <text>
        <t>[Threaded comment]
Your version of Excel allows you to read this threaded comment; however, any edits to it will get removed if the file is opened in a newer version of Excel. Learn more: https://go.microsoft.com/fwlink/?linkid=870924
Comment:
    spring oats</t>
      </text>
    </comment>
    <comment ref="AF6" authorId="40" shapeId="0" xr:uid="{86B22EF8-9742-4B67-871A-CBE97A6B023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6" authorId="41" shapeId="0" xr:uid="{3DE99DD1-BF37-48FA-B71E-BE4E0FC0867A}">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6" authorId="42" shapeId="0" xr:uid="{7F56E22D-B664-4BAD-9C70-C8E8B0FBB63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N6" authorId="43" shapeId="0" xr:uid="{9B556F32-3D68-4794-A79F-3ECAB25A5C35}">
      <text>
        <t>[Threaded comment]
Your version of Excel allows you to read this threaded comment; however, any edits to it will get removed if the file is opened in a newer version of Excel. Learn more: https://go.microsoft.com/fwlink/?linkid=870924
Comment:
    SPRING OATS
(RB209 says same P requirement as for spring wheat)
RB209: 
SNS 1, straw ploughed in: 80 kg[P]/ha 
SNS 1, straw removed: 85 kg[P]/ha 
Nix: 43 kg[P]/ha
ABC: 45 kg[P]/ha</t>
      </text>
    </comment>
    <comment ref="BY6" authorId="44" shapeId="0" xr:uid="{C345C375-4770-4FD5-A4DC-5E7998E6FB7C}">
      <text>
        <t>[Threaded comment]
Your version of Excel allows you to read this threaded comment; however, any edits to it will get removed if the file is opened in a newer version of Excel. Learn more: https://go.microsoft.com/fwlink/?linkid=870924
Comment:
    This is the price in Nix for spring oats (feed)</t>
      </text>
    </comment>
    <comment ref="CE6" authorId="45" shapeId="0" xr:uid="{46D604C8-FA8D-453C-BD61-4D720C30FB31}">
      <text>
        <t>[Threaded comment]
Your version of Excel allows you to read this threaded comment; however, any edits to it will get removed if the file is opened in a newer version of Excel. Learn more: https://go.microsoft.com/fwlink/?linkid=870924
Comment:
    For spring oats, use the average UK yield instead of using spring barley as a proxy. Nix 2019 gives 5.5 t/ha average.
(JHI Oat Growth Guide gives 7t/ha. They used harvests 2014-2017 as a benchmark. But they are in Scotland and stick to using Nix).</t>
      </text>
    </comment>
    <comment ref="CO6" authorId="46" shapeId="0" xr:uid="{BE96EF6E-8A1F-4FA4-941D-8A81B02C30A9}">
      <text>
        <t>[Threaded comment]
Your version of Excel allows you to read this threaded comment; however, any edits to it will get removed if the file is opened in a newer version of Excel. Learn more: https://go.microsoft.com/fwlink/?linkid=870924
Comment:
    seed price for spring oats is same as for spring barley, ABC gives £0.38/kg for spring milling oats</t>
      </text>
    </comment>
    <comment ref="Q7" authorId="47" shapeId="0" xr:uid="{FC102D11-B429-40E4-84A9-03160DA63DA3}">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V7" authorId="48" shapeId="0" xr:uid="{5154467C-1C3E-4647-81C7-52CB301D0C1E}">
      <text>
        <t>[Threaded comment]
Your version of Excel allows you to read this threaded comment; however, any edits to it will get removed if the file is opened in a newer version of Excel. Learn more: https://go.microsoft.com/fwlink/?linkid=870924
Comment:
    this is spring oat seed rate</t>
      </text>
    </comment>
    <comment ref="AB7" authorId="49" shapeId="0" xr:uid="{7C5F30A8-97F1-4DB8-99DA-1289B39F6FCA}">
      <text>
        <t>[Threaded comment]
Your version of Excel allows you to read this threaded comment; however, any edits to it will get removed if the file is opened in a newer version of Excel. Learn more: https://go.microsoft.com/fwlink/?linkid=870924
Comment:
    spring oats</t>
      </text>
    </comment>
    <comment ref="AF7" authorId="50" shapeId="0" xr:uid="{A45532C9-019C-4364-8BC9-76AAAB63463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H7" authorId="51" shapeId="0" xr:uid="{A196D739-5BDA-4D96-A4C5-31757D196984}">
      <text>
        <t>[Threaded comment]
Your version of Excel allows you to read this threaded comment; however, any edits to it will get removed if the file is opened in a newer version of Excel. Learn more: https://go.microsoft.com/fwlink/?linkid=870924
Comment:
    Farmers specified 100kg[N]/ha. 
For spring oats, use 'actual' yield and set it to the average UK yield (instead of using spring barley as a proxy). 
If I use spring barley as a proxy change this to 140 kg/ha as the crop yield estimation function in ECOMOD uses the N rate.</t>
      </text>
    </comment>
    <comment ref="AI7" authorId="52" shapeId="0" xr:uid="{528267B6-CB1A-449B-A1CA-D4FE400F801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8" authorId="53" shapeId="0" xr:uid="{66D74245-F911-4D8A-B3DC-AB2BF920B895}">
      <text>
        <t>[Threaded comment]
Your version of Excel allows you to read this threaded comment; however, any edits to it will get removed if the file is opened in a newer version of Excel. Learn more: https://go.microsoft.com/fwlink/?linkid=870924
Comment:
    Aii &amp; Aii.i</t>
      </text>
    </comment>
    <comment ref="G8" authorId="54" shapeId="0" xr:uid="{21235AB4-FB68-40CA-98B0-94E6AA8C9BAA}">
      <text>
        <t>[Threaded comment]
Your version of Excel allows you to read this threaded comment; however, any edits to it will get removed if the file is opened in a newer version of Excel. Learn more: https://go.microsoft.com/fwlink/?linkid=870924
Comment:
    sosr is a proxy for maize. I am not running the model twice as I did for spring oats as I don't know that all the sundry costs (processing etc) are similar for maize and sosr).</t>
      </text>
    </comment>
    <comment ref="AE8" authorId="55" shapeId="0" xr:uid="{5E03FF64-5CCA-41CC-96C8-101F132E3222}">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K8" authorId="56" shapeId="0" xr:uid="{CC9E0BFE-E7D3-4047-9320-5952ACE9525B}">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Q8" authorId="57" shapeId="0" xr:uid="{0661D4C9-B75A-453E-A76A-BB7960C06582}">
      <text>
        <t>[Threaded comment]
Your version of Excel allows you to read this threaded comment; however, any edits to it will get removed if the file is opened in a newer version of Excel. Learn more: https://go.microsoft.com/fwlink/?linkid=870924
Comment:
    value for spring oats rather than maize</t>
      </text>
    </comment>
    <comment ref="AE9" authorId="58" shapeId="0" xr:uid="{EB7E2601-834A-483E-872E-F89D4578D89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0" authorId="59" shapeId="0" xr:uid="{252D0726-9EAF-4249-8AEC-307A7512F5F9}">
      <text>
        <t>[Threaded comment]
Your version of Excel allows you to read this threaded comment; however, any edits to it will get removed if the file is opened in a newer version of Excel. Learn more: https://go.microsoft.com/fwlink/?linkid=870924
Comment:
    Aii &amp; Aii.i</t>
      </text>
    </comment>
    <comment ref="AE10" authorId="60" shapeId="0" xr:uid="{8350835B-FE2E-4990-9129-DEB7AB105FD5}">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E11" authorId="61" shapeId="0" xr:uid="{6056532D-AEB3-489F-9898-E0538DA264A7}">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B12" authorId="62" shapeId="0" xr:uid="{A3C89A15-4538-4F0E-ACE6-5BD59EA75ADA}">
      <text>
        <t>[Threaded comment]
Your version of Excel allows you to read this threaded comment; however, any edits to it will get removed if the file is opened in a newer version of Excel. Learn more: https://go.microsoft.com/fwlink/?linkid=870924
Comment:
    N/A?</t>
      </text>
    </comment>
    <comment ref="AE12" authorId="63" shapeId="0" xr:uid="{A32DCD42-C8E0-4AB5-A2BA-1B47A6190E1B}">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2" authorId="64" shapeId="0" xr:uid="{C862D59A-B0E1-4B68-A1B6-7731BCF811C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E13" authorId="65" shapeId="0" xr:uid="{3C3FB75D-8EC2-4DD5-9A9A-5A4E92875399}">
      <text>
        <t>[Threaded comment]
Your version of Excel allows you to read this threaded comment; however, any edits to it will get removed if the file is opened in a newer version of Excel. Learn more: https://go.microsoft.com/fwlink/?linkid=870924
Comment:
    ECOMOD can't run maize. This is the value for maize.</t>
      </text>
    </comment>
    <comment ref="AG13" authorId="66" shapeId="0" xr:uid="{3D8109CC-5C12-4B96-9FD2-E8212E72792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4" authorId="67" shapeId="0" xr:uid="{04587D8A-A71B-42AA-924C-580A9D577BEE}">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4" authorId="68" shapeId="0" xr:uid="{A4FEFCA4-D446-4D1E-AA64-765DAEA5D7E2}">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5" authorId="69" shapeId="0" xr:uid="{A0688978-F45A-41C0-8BE5-4D274D170C86}">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5" authorId="70" shapeId="0" xr:uid="{D9D3ED09-AD09-4EDF-A90C-021743E8C604}">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6" authorId="71" shapeId="0" xr:uid="{CB67BDB8-851E-4D86-99E4-FA15B05225B2}">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6" authorId="72" shapeId="0" xr:uid="{2F12C4C8-C3A9-497B-AB9B-200E23402726}">
      <text>
        <t>[Threaded comment]
Your version of Excel allows you to read this threaded comment; however, any edits to it will get removed if the file is opened in a newer version of Excel. Learn more: https://go.microsoft.com/fwlink/?linkid=870924
Comment:
    entered manually</t>
      </text>
    </comment>
    <comment ref="BE17" authorId="73" shapeId="0" xr:uid="{427E7C92-2CD4-4378-89FB-A909AE8527C5}">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7" authorId="74" shapeId="0" xr:uid="{57E0806D-3B60-40A4-AFAE-3DA178292496}">
      <text>
        <t>[Threaded comment]
Your version of Excel allows you to read this threaded comment; however, any edits to it will get removed if the file is opened in a newer version of Excel. Learn more: https://go.microsoft.com/fwlink/?linkid=870924
Comment:
    entered manually</t>
      </text>
    </comment>
    <comment ref="R18" authorId="75" shapeId="0" xr:uid="{ED248A8C-3A93-483B-A529-D9B2E48C3A81}">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8" authorId="76" shapeId="0" xr:uid="{E96BF803-A182-408B-B848-0FEF354B17DE}">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8" authorId="77" shapeId="0" xr:uid="{D43C7B12-C21E-494E-BE95-9D24A0E77217}">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8" authorId="78" shapeId="0" xr:uid="{3A973F60-886E-4A50-8FDE-E97798F8DBE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8" authorId="79" shapeId="0" xr:uid="{9638029F-9207-407A-BD7E-D6392C642B80}">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8" authorId="80" shapeId="0" xr:uid="{2C6F5B68-879E-4E5C-AD9C-D43E6D6E5662}">
      <text>
        <t>[Threaded comment]
Your version of Excel allows you to read this threaded comment; however, any edits to it will get removed if the file is opened in a newer version of Excel. Learn more: https://go.microsoft.com/fwlink/?linkid=870924
Comment:
    entered manually</t>
      </text>
    </comment>
    <comment ref="R19" authorId="81" shapeId="0" xr:uid="{DF6E356E-4502-4673-9E25-74921DE383AD}">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U19" authorId="82" shapeId="0" xr:uid="{532831F5-317B-4421-8817-1AC5427688E0}">
      <text>
        <t>[Threaded comment]
Your version of Excel allows you to read this threaded comment; however, any edits to it will get removed if the file is opened in a newer version of Excel. Learn more: https://go.microsoft.com/fwlink/?linkid=870924
Comment:
    different seedrate for light soils</t>
      </text>
    </comment>
    <comment ref="AD19" authorId="83" shapeId="0" xr:uid="{53246720-ABE8-430B-8DDE-C82F7135D3C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19" authorId="84" shapeId="0" xr:uid="{8C8059AB-6693-43B3-8344-D0F12CBB7F9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E19" authorId="85" shapeId="0" xr:uid="{576DAA06-9C32-4753-AACD-069118BCC97C}">
      <text>
        <t>[Threaded comment]
Your version of Excel allows you to read this threaded comment; however, any edits to it will get removed if the file is opened in a newer version of Excel. Learn more: https://go.microsoft.com/fwlink/?linkid=870924
Comment:
    entered manually as it's different to the other ww glyphosate application in this rotation</t>
      </text>
    </comment>
    <comment ref="BK19" authorId="86" shapeId="0" xr:uid="{F30CFB59-9817-40A1-9FBF-0D9A332CB5DF}">
      <text>
        <t>[Threaded comment]
Your version of Excel allows you to read this threaded comment; however, any edits to it will get removed if the file is opened in a newer version of Excel. Learn more: https://go.microsoft.com/fwlink/?linkid=870924
Comment:
    entered manually</t>
      </text>
    </comment>
    <comment ref="Q20" authorId="87" shapeId="0" xr:uid="{EB9711D3-C5AF-4464-9A63-CC9BB5871B0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1" authorId="88" shapeId="0" xr:uid="{6E905C3A-62E5-4A1F-B536-79BD2DFC6B3D}">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2" authorId="89" shapeId="0" xr:uid="{74473228-819E-478B-9AF3-29E0E39D2D74}">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3" authorId="90" shapeId="0" xr:uid="{5047A9E8-1C53-40C4-A16B-749197DEFE6B}">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Q24" authorId="91" shapeId="0" xr:uid="{15862D75-16CD-4C30-931A-3FC673D937CA}">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4" authorId="92" shapeId="0" xr:uid="{F549B5BC-5F56-4F52-8DEA-98A000572E3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4" authorId="93" shapeId="0" xr:uid="{6BCBBAAE-D877-4AD5-8ADA-A3BAFEC1CED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4" authorId="94" shapeId="0" xr:uid="{C7E28F76-1092-411C-B9C9-54F7445803A2}">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Q25" authorId="95" shapeId="0" xr:uid="{D2A17A61-09C3-4DD1-88D3-FACBD7ACD80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25" authorId="96" shapeId="0" xr:uid="{AE092DB5-3BB5-44F0-9958-F2D8EC42670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25" authorId="97" shapeId="0" xr:uid="{022E0BE6-4250-49B4-AACF-E1B83FFBE96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25" authorId="98" shapeId="0" xr:uid="{231B0519-4AA4-4218-BB1F-5ADA2445A95A}">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26" authorId="99" shapeId="0" xr:uid="{E5908E8E-ED4E-4B8A-8418-0090EE671464}">
      <text>
        <t>[Threaded comment]
Your version of Excel allows you to read this threaded comment; however, any edits to it will get removed if the file is opened in a newer version of Excel. Learn more: https://go.microsoft.com/fwlink/?linkid=870924
Comment:
    Bii</t>
      </text>
    </comment>
    <comment ref="B28" authorId="100" shapeId="0" xr:uid="{69C0F81E-E1B9-4371-9CA6-F8B5E2BDE0BA}">
      <text>
        <t>[Threaded comment]
Your version of Excel allows you to read this threaded comment; however, any edits to it will get removed if the file is opened in a newer version of Excel. Learn more: https://go.microsoft.com/fwlink/?linkid=870924
Comment:
    Bii</t>
      </text>
    </comment>
    <comment ref="B30" authorId="101" shapeId="0" xr:uid="{729E491D-E287-4EAF-B2CA-FB59FBBC31EE}">
      <text>
        <t>[Threaded comment]
Your version of Excel allows you to read this threaded comment; however, any edits to it will get removed if the file is opened in a newer version of Excel. Learn more: https://go.microsoft.com/fwlink/?linkid=870924
Comment:
    Bii.i</t>
      </text>
    </comment>
    <comment ref="AD30" authorId="102" shapeId="0" xr:uid="{9214B5E6-C62C-400F-8FD0-5D99CDB9021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0" authorId="103" shapeId="0" xr:uid="{B5C753A7-AA0C-4BC1-99CD-93BA6CD41FD6}">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X30" authorId="104" shapeId="0" xr:uid="{4436172A-1A3F-4D91-9D45-AF98BA492DD2}">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BA30" authorId="105" shapeId="0" xr:uid="{54D3ADAE-EB61-4869-A891-1AA8C0E53CC1}">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AD31" authorId="106" shapeId="0" xr:uid="{8A4477CC-D432-425F-B8AD-C16ED96AC92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1" authorId="107" shapeId="0" xr:uid="{9F6FD8EB-F9B3-4CD6-B4CA-DE35CC156CD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X31" authorId="108" shapeId="0" xr:uid="{E3CEBC48-1746-4682-BF4B-F609351A78D3}">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BA31" authorId="109" shapeId="0" xr:uid="{040E77C1-65C0-40D3-81B0-6358D931371C}">
      <text>
        <t>[Threaded comment]
Your version of Excel allows you to read this threaded comment; however, any edits to it will get removed if the file is opened in a newer version of Excel. Learn more: https://go.microsoft.com/fwlink/?linkid=870924
Comment:
    higher herb application than in heavy and medium soils as this is peas rather than beans</t>
      </text>
    </comment>
    <comment ref="O32" authorId="110" shapeId="0" xr:uid="{402E9D38-6C34-4290-BA0C-B694A7EFDA06}">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3" authorId="111" shapeId="0" xr:uid="{7892B58A-7B37-419C-B8DB-474A7C0A3778}">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4" authorId="112" shapeId="0" xr:uid="{5EC0B95E-E333-475A-89A3-BB153EB8DA97}">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5" authorId="113" shapeId="0" xr:uid="{02DCFA8A-BBEA-45C5-A0D9-D283B81C3E42}">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O36" authorId="114" shapeId="0" xr:uid="{F2481D30-9981-4984-9BDF-FE7BBFF34C45}">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6" authorId="115" shapeId="0" xr:uid="{F5309CF9-3D77-4EA6-BD10-697CBFE4A5E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6" authorId="116" shapeId="0" xr:uid="{46618D08-4766-4F10-A04A-1549EBEB238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O37" authorId="117" shapeId="0" xr:uid="{ACD3B856-FABE-411E-996F-1E54A9C3709B}">
      <text>
        <t>[Threaded comment]
Your version of Excel allows you to read this threaded comment; however, any edits to it will get removed if the file is opened in a newer version of Excel. Learn more: https://go.microsoft.com/fwlink/?linkid=870924
Comment:
    N.B. the lookup doesn't work for this as there's no option to distinguish between winter wheats in this rotation. Data entered manually.</t>
      </text>
    </comment>
    <comment ref="AD37" authorId="118" shapeId="0" xr:uid="{0EC70A8A-20B6-4E5A-9827-5CC5138E670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37" authorId="119" shapeId="0" xr:uid="{E54A157E-96D6-4DC9-80F1-649941B0624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2" authorId="120" shapeId="0" xr:uid="{83F8A9F7-C1DC-4303-B321-2AC0F7D239F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2" authorId="121" shapeId="0" xr:uid="{AEF46341-C5A4-4856-A31C-EF69E2F62AA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2" authorId="122" shapeId="0" xr:uid="{DADC983C-F684-4483-865D-22BE3EF3731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2" authorId="123" shapeId="0" xr:uid="{D1FD58B7-FD61-44CC-975C-003579617D9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D43" authorId="124" shapeId="0" xr:uid="{E8286D50-061A-4FCF-96F9-4E99FF8D04F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F43" authorId="125" shapeId="0" xr:uid="{00670B31-ED1B-4EC3-9815-F0FBA50ADB6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3" authorId="126" shapeId="0" xr:uid="{621875BC-3197-4BBD-8CA5-77AF455EDC04}">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3" authorId="127" shapeId="0" xr:uid="{CD315264-E3E7-4E61-B26B-BFCDB8107F75}">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B44" authorId="128" shapeId="0" xr:uid="{5B0F5DDD-62A7-4AE0-AF69-DAC350902275}">
      <text>
        <t>[Threaded comment]
Your version of Excel allows you to read this threaded comment; however, any edits to it will get removed if the file is opened in a newer version of Excel. Learn more: https://go.microsoft.com/fwlink/?linkid=870924
Comment:
    Cii</t>
      </text>
    </comment>
    <comment ref="AY44" authorId="129" shapeId="0" xr:uid="{F49CD548-C44B-400F-91A9-461659A57F2F}">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5" authorId="130" shapeId="0" xr:uid="{CFF340E7-BA43-43D1-8A32-8A86583C705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6" authorId="131" shapeId="0" xr:uid="{1C20C322-BE8D-4DCB-B5AC-F6D706698394}">
      <text>
        <t>[Threaded comment]
Your version of Excel allows you to read this threaded comment; however, any edits to it will get removed if the file is opened in a newer version of Excel. Learn more: https://go.microsoft.com/fwlink/?linkid=870924
Comment:
    Cii</t>
      </text>
    </comment>
    <comment ref="AY46" authorId="132" shapeId="0" xr:uid="{8E0E2445-DE3B-4231-A05A-24C12B0D52EF}">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47" authorId="133" shapeId="0" xr:uid="{6955FABB-4BAE-42EE-BB14-7455042C8F1B}">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B48" authorId="134" shapeId="0" xr:uid="{E46E2491-F82A-4A89-A094-A7FD4C5DBFAA}">
      <text>
        <t>[Threaded comment]
Your version of Excel allows you to read this threaded comment; however, any edits to it will get removed if the file is opened in a newer version of Excel. Learn more: https://go.microsoft.com/fwlink/?linkid=870924
Comment:
    Cii.i</t>
      </text>
    </comment>
    <comment ref="AD48" authorId="135" shapeId="0" xr:uid="{CCD7F865-49B5-44FF-9D8B-A0E9E676DBE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8" authorId="136" shapeId="0" xr:uid="{27A80B84-9E6D-446E-9F90-7F88D3267D39}">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8" authorId="137" shapeId="0" xr:uid="{82D543DC-F05A-4DE4-B0C0-86F28FBA85B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8" authorId="138" shapeId="0" xr:uid="{E4CB5E1A-40AF-479F-96FE-82628C7F489D}">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49" authorId="139" shapeId="0" xr:uid="{1A87499A-B013-477B-B0D0-4C0352065C6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49" authorId="140" shapeId="0" xr:uid="{F38B066D-10C3-49C1-A5E3-0FFE33CC81C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49" authorId="141" shapeId="0" xr:uid="{B5B45A69-1376-411E-81DE-6839DA76B4AB}">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49" authorId="142" shapeId="0" xr:uid="{79ECB7EC-401C-48D0-A20F-A41C6A2B351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0" authorId="143" shapeId="0" xr:uid="{A73CCBD0-8129-462F-B544-D93E03B9DE19}">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1" authorId="144" shapeId="0" xr:uid="{DF776B0C-8556-4D7B-8B6C-844B2C5DE37C}">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2" authorId="145" shapeId="0" xr:uid="{D7346817-0FF8-4AB4-84CD-2852C02BA36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Y53" authorId="146" shapeId="0" xr:uid="{FD4BD97B-A23A-4D72-98A1-E35C94BF1223}">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4" authorId="147" shapeId="0" xr:uid="{EE863999-B928-4088-9220-8F8344BEB82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4" authorId="148" shapeId="0" xr:uid="{BD5BA356-E0B5-4827-97FE-6314DF84196C}">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4" authorId="149" shapeId="0" xr:uid="{6762A0DD-7A54-46F6-BF74-FA833E2D979D}">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4" authorId="150" shapeId="0" xr:uid="{C1716896-5C0F-4F5B-8C87-253585AE5675}">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 ref="AD55" authorId="151" shapeId="0" xr:uid="{C94B5993-302E-4822-B511-268096AACCDE}">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G55" authorId="152" shapeId="0" xr:uid="{D429030B-DBB4-4078-8B03-8BC4938B7711}">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I55" authorId="153" shapeId="0" xr:uid="{D44803D5-7E60-4B75-A045-7F4429765BD3}">
      <text>
        <t>[Threaded comment]
Your version of Excel allows you to read this threaded comment; however, any edits to it will get removed if the file is opened in a newer version of Excel. Learn more: https://go.microsoft.com/fwlink/?linkid=870924
Comment:
    lookup doesn't work for light soils so entered manually</t>
      </text>
    </comment>
    <comment ref="AY55" authorId="154" shapeId="0" xr:uid="{9D9A2E06-3EA4-49EC-A6DF-FAB894CD09A8}">
      <text>
        <t>[Threaded comment]
Your version of Excel allows you to read this threaded comment; however, any edits to it will get removed if the file is opened in a newer version of Excel. Learn more: https://go.microsoft.com/fwlink/?linkid=870924
Comment:
    Data entered manually as second ww has different rate than first ww.</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tc={E3439356-A89E-4E36-A9CB-10B056C64793}</author>
    <author>tc={717518C6-1EB9-4D49-A742-9C51CDD3EF45}</author>
    <author>tc={0698327B-4C19-456B-8B11-29A16BE1059E}</author>
    <author>tc={5721B8D6-9660-460C-81FC-94E03C065001}</author>
    <author>tc={ED412088-733A-414E-B9FE-FFAA7DAB71B4}</author>
    <author>tc={80A7165F-6337-4E47-A1FE-370055DFDE7C}</author>
    <author>tc={82398711-ED17-41A3-84BA-7215B114F9B3}</author>
    <author>tc={05D799C3-FBCB-4DE3-B96E-EA7C64532196}</author>
    <author>tc={C1C00855-8765-4B04-BCF6-1087E63358F7}</author>
    <author>tc={E6F506EE-B919-4CE6-A97E-821BAEA0EBF9}</author>
    <author>tc={5D20CE77-57A2-4970-B16C-2CBD92FD69C0}</author>
    <author>tc={2A707C2A-58F4-457D-8CE9-1E1F5CE971FD}</author>
    <author>tc={777F97EA-6C43-4C5F-9640-251A6F8B31A7}</author>
    <author>tc={B1C5D010-4AE4-4A23-B233-D7C8D21592FB}</author>
    <author>tc={E2DCCC42-A3F8-4E54-B21F-BA2559F3C69C}</author>
    <author>tc={E61FB49A-5D89-449E-A24A-0946BFD01448}</author>
    <author>tc={4DF72F30-8666-496C-8BC1-3AF90411886B}</author>
    <author>tc={9E033D58-8221-4AB3-BC0D-1023CDC1C456}</author>
    <author>tc={8C58412A-06E6-4EFF-A204-3A86C51C9D33}</author>
    <author>tc={47917AB3-7582-4FFE-90A4-81D3E5FFB804}</author>
    <author>tc={E75B7D84-BF40-462C-B4A4-EFDB637EAD20}</author>
    <author>tc={07428B0F-D7A7-4F10-80C6-5CC47E8ABAD9}</author>
    <author>tc={59ED428B-F922-4247-8A4E-1688F98B4904}</author>
    <author>tc={11AB441C-26F7-46EA-8A63-8F78DC854519}</author>
    <author>tc={53C3F1F2-0498-4860-999C-5AE785A410F3}</author>
    <author>tc={14343837-DFF3-46CD-8490-17765A32D98B}</author>
    <author>tc={44CB94F3-55C1-4B04-8B3E-EFA548903B9F}</author>
    <author>tc={54E6D7B9-96BF-4722-86CC-51E3F393ED3F}</author>
    <author>tc={4D849473-68B3-4BA6-9684-E627CD9A1C4C}</author>
    <author>tc={7B63FC5F-FBF3-4F78-A683-4355BEE80C23}</author>
    <author>tc={9992DA3C-23C6-4B52-B22E-2A6D2DC8E5D2}</author>
    <author>tc={56496FA7-8170-4760-864C-DB4A20EBDECF}</author>
    <author>tc={091E3478-B6D0-4600-A10E-D962C5C6B117}</author>
    <author>tc={FCCDBE88-F4F0-45DC-83AA-53C524AC7A60}</author>
    <author>tc={7EF2E62B-CEF4-41F6-8D6D-9388ECE3AD24}</author>
    <author>tc={41042364-24E5-407D-B307-AD5F51E3A9E0}</author>
    <author>tc={263EBDB5-ED4D-47C4-BC3D-AD6198A1CB26}</author>
    <author>tc={5542A9E4-367B-44AE-B420-103A8D373BBE}</author>
    <author>tc={BCE80D31-D3C2-4A21-978F-A7AC72EDD3EA}</author>
  </authors>
  <commentList>
    <comment ref="C6" authorId="0" shapeId="0" xr:uid="{F9D64C0C-942D-48CC-B962-0065E7CEE385}">
      <text>
        <r>
          <rPr>
            <sz val="10"/>
            <color indexed="81"/>
            <rFont val="Calibri"/>
            <family val="2"/>
          </rPr>
          <t>To switch this off (</t>
        </r>
        <r>
          <rPr>
            <i/>
            <sz val="10"/>
            <color indexed="81"/>
            <rFont val="Calibri"/>
            <family val="2"/>
          </rPr>
          <t>i.e.</t>
        </r>
        <r>
          <rPr>
            <sz val="10"/>
            <color indexed="81"/>
            <rFont val="Calibri"/>
            <family val="2"/>
          </rPr>
          <t xml:space="preserve">if there is no secondary yield, for example when straw is left on the field) set </t>
        </r>
        <r>
          <rPr>
            <i/>
            <sz val="10"/>
            <color indexed="81"/>
            <rFont val="Calibri"/>
            <family val="2"/>
          </rPr>
          <t>seccost</t>
        </r>
        <r>
          <rPr>
            <sz val="10"/>
            <color indexed="81"/>
            <rFont val="Calibri"/>
            <family val="2"/>
          </rPr>
          <t xml:space="preserve"> to zero in line 259 of the R code (</t>
        </r>
        <r>
          <rPr>
            <sz val="10"/>
            <color indexed="81"/>
            <rFont val="Courier New"/>
            <family val="3"/>
          </rPr>
          <t>seccost &lt;- 0</t>
        </r>
        <r>
          <rPr>
            <sz val="10"/>
            <color indexed="81"/>
            <rFont val="Calibri"/>
            <family val="2"/>
          </rPr>
          <t>)</t>
        </r>
      </text>
    </comment>
    <comment ref="T8" authorId="1" shapeId="0" xr:uid="{E3439356-A89E-4E36-A9CB-10B056C64793}">
      <text>
        <t>[Threaded comment]
Your version of Excel allows you to read this threaded comment; however, any edits to it will get removed if the file is opened in a newer version of Excel. Learn more: https://go.microsoft.com/fwlink/?linkid=870924
Comment:
    assume blue peas</t>
      </text>
    </comment>
    <comment ref="H9" authorId="2" shapeId="0" xr:uid="{717518C6-1EB9-4D49-A742-9C51CDD3EF45}">
      <text>
        <t>[Threaded comment]
Your version of Excel allows you to read this threaded comment; however, any edits to it will get removed if the file is opened in a newer version of Excel. Learn more: https://go.microsoft.com/fwlink/?linkid=870924
Comment:
    110 kg[N]/ha for spring triticale/ rye/ oats</t>
      </text>
    </comment>
    <comment ref="M9" authorId="3" shapeId="0" xr:uid="{0698327B-4C19-456B-8B11-29A16BE1059E}">
      <text>
        <t>[Threaded comment]
Your version of Excel allows you to read this threaded comment; however, any edits to it will get removed if the file is opened in a newer version of Excel. Learn more: https://go.microsoft.com/fwlink/?linkid=870924
Comment:
    Assumes the variety determinincy group is 1 or 2, growing season &gt; 60 days. Rough average across these categories.</t>
      </text>
    </comment>
    <comment ref="R9" authorId="4" shapeId="0" xr:uid="{5721B8D6-9660-460C-81FC-94E03C065001}">
      <text>
        <t>[Threaded comment]
Your version of Excel allows you to read this threaded comment; however, any edits to it will get removed if the file is opened in a newer version of Excel. Learn more: https://go.microsoft.com/fwlink/?linkid=870924
Comment:
    Rate not given in RB209 so use 90kg[P]/ha as given in Nix 2019</t>
      </text>
    </comment>
    <comment ref="G10" authorId="5" shapeId="0" xr:uid="{ED412088-733A-414E-B9FE-FFAA7DAB71B4}">
      <text>
        <t>[Threaded comment]
Your version of Excel allows you to read this threaded comment; however, any edits to it will get removed if the file is opened in a newer version of Excel. Learn more: https://go.microsoft.com/fwlink/?linkid=870924
Comment:
    RB209 (2020) = 80 kg[P]/ha
ABC 2019 = 70 kg[P]/ha
Nix 2019 = 67 kg[P]/ha for feed wheat
RB209 value: I assumed Soil P index 1 &amp; assumed straw ploughed in / left on field</t>
      </text>
    </comment>
    <comment ref="H10" authorId="6" shapeId="0" xr:uid="{80A7165F-6337-4E47-A1FE-370055DFDE7C}">
      <text>
        <t>[Threaded comment]
Your version of Excel allows you to read this threaded comment; however, any edits to it will get removed if the file is opened in a newer version of Excel. Learn more: https://go.microsoft.com/fwlink/?linkid=870924
Comment:
    same P requirement for spring triticale/ rye/ oats
RB209 = 80 kg[P]/ha
Nix 2019 = 48 kg[P]/ha 
ABC 2019 = 45 kg[P]/ha</t>
      </text>
    </comment>
    <comment ref="I10" authorId="7" shapeId="0" xr:uid="{82398711-ED17-41A3-84BA-7215B114F9B3}">
      <text>
        <t>[Threaded comment]
Your version of Excel allows you to read this threaded comment; however, any edits to it will get removed if the file is opened in a newer version of Excel. Learn more: https://go.microsoft.com/fwlink/?linkid=870924
Comment:
    RB209 = 80 kg[P]/ha
Nix 2019 = 58 kg[P]/ha for winter feed barley</t>
      </text>
    </comment>
    <comment ref="J10" authorId="8" shapeId="0" xr:uid="{05D799C3-FBCB-4DE3-B96E-EA7C64532196}">
      <text>
        <t>[Threaded comment]
Your version of Excel allows you to read this threaded comment; however, any edits to it will get removed if the file is opened in a newer version of Excel. Learn more: https://go.microsoft.com/fwlink/?linkid=870924
Comment:
    RB209 = 75 kg[P]/ha
Nix 2019 = 44 kg[P]/ha for spring malting barley</t>
      </text>
    </comment>
    <comment ref="K10" authorId="9" shapeId="0" xr:uid="{C1C00855-8765-4B04-BCF6-1087E63358F7}">
      <text>
        <t>[Threaded comment]
Your version of Excel allows you to read this threaded comment; however, any edits to it will get removed if the file is opened in a newer version of Excel. Learn more: https://go.microsoft.com/fwlink/?linkid=870924
Comment:
    RB209 = 70 kg[P]/ha
Nix 2019 = 46 kg[P]/ha</t>
      </text>
    </comment>
    <comment ref="L10" authorId="10" shapeId="0" xr:uid="{E6F506EE-B919-4CE6-A97E-821BAEA0EBF9}">
      <text>
        <t>[Threaded comment]
Your version of Excel allows you to read this threaded comment; however, any edits to it will get removed if the file is opened in a newer version of Excel. Learn more: https://go.microsoft.com/fwlink/?linkid=870924
Comment:
    RB209 = 70 kg[P]/ha
Nix 2019 = 43 kg[P]/ha</t>
      </text>
    </comment>
    <comment ref="M10" authorId="11" shapeId="0" xr:uid="{5D20CE77-57A2-4970-B16C-2CBD92FD69C0}">
      <text>
        <t>[Threaded comment]
Your version of Excel allows you to read this threaded comment; however, any edits to it will get removed if the file is opened in a newer version of Excel. Learn more: https://go.microsoft.com/fwlink/?linkid=870924
Comment:
    RB209 = 210 kg[P]/ha at soil P index of 1
Nix 2019 = 45 kg[P]/ha</t>
      </text>
    </comment>
    <comment ref="N10" authorId="12" shapeId="0" xr:uid="{2A707C2A-58F4-457D-8CE9-1E1F5CE971FD}">
      <text>
        <t>[Threaded comment]
Your version of Excel allows you to read this threaded comment; however, any edits to it will get removed if the file is opened in a newer version of Excel. Learn more: https://go.microsoft.com/fwlink/?linkid=870924
Comment:
    RB209 (2020) = 80 kg[P]/ha
ABC 2019 = 55 kg[P]/ha
Nix 2019 = 49 kg[P]/ha
RB209 value: I assumed Soil P index 1 &amp; assumed straw ploughed in / left on field</t>
      </text>
    </comment>
    <comment ref="O10" authorId="13" shapeId="0" xr:uid="{777F97EA-6C43-4C5F-9640-251A6F8B31A7}">
      <text>
        <t>[Threaded comment]
Your version of Excel allows you to read this threaded comment; however, any edits to it will get removed if the file is opened in a newer version of Excel. Learn more: https://go.microsoft.com/fwlink/?linkid=870924
Comment:
    RB209 = 60 kg[P]/ha
Nix 2019 = 32 kg[P]/ha</t>
      </text>
    </comment>
    <comment ref="P10" authorId="14" shapeId="0" xr:uid="{B1C5D010-4AE4-4A23-B233-D7C8D21592FB}">
      <text>
        <t>[Threaded comment]
Your version of Excel allows you to read this threaded comment; however, any edits to it will get removed if the file is opened in a newer version of Excel. Learn more: https://go.microsoft.com/fwlink/?linkid=870924
Comment:
    RB209 = 80 kg[P]/ha
Nix 2019 = 65 kg[P]/ha</t>
      </text>
    </comment>
    <comment ref="R10" authorId="15" shapeId="0" xr:uid="{E2DCCC42-A3F8-4E54-B21F-BA2559F3C69C}">
      <text>
        <t>[Threaded comment]
Your version of Excel allows you to read this threaded comment; however, any edits to it will get removed if the file is opened in a newer version of Excel. Learn more: https://go.microsoft.com/fwlink/?linkid=870924
Comment:
    RB209 = 80 kg[P]/ha
Nix 2019 = 32 kg[P]/ha</t>
      </text>
    </comment>
    <comment ref="S10" authorId="16" shapeId="0" xr:uid="{E61FB49A-5D89-449E-A24A-0946BFD01448}">
      <text>
        <t>[Threaded comment]
Your version of Excel allows you to read this threaded comment; however, any edits to it will get removed if the file is opened in a newer version of Excel. Learn more: https://go.microsoft.com/fwlink/?linkid=870924
Comment:
    RB209 = 60 kg[P]/ha
Nix 2019 = 30 kg[P]/ha</t>
      </text>
    </comment>
    <comment ref="T10" authorId="17" shapeId="0" xr:uid="{4DF72F30-8666-496C-8BC1-3AF90411886B}">
      <text>
        <t>[Threaded comment]
Your version of Excel allows you to read this threaded comment; however, any edits to it will get removed if the file is opened in a newer version of Excel. Learn more: https://go.microsoft.com/fwlink/?linkid=870924
Comment:
    RB209 = 70 kg[P]/ha
Nix 2019 = 35 kg[P]/ha</t>
      </text>
    </comment>
    <comment ref="V10" authorId="18" shapeId="0" xr:uid="{9E033D58-8221-4AB3-BC0D-1023CDC1C456}">
      <text>
        <t>[Threaded comment]
Your version of Excel allows you to read this threaded comment; however, any edits to it will get removed if the file is opened in a newer version of Excel. Learn more: https://go.microsoft.com/fwlink/?linkid=870924
Comment:
    Nix doesn't give fertiliser rates for maize so I've applied the rate given in ABC here.</t>
      </text>
    </comment>
    <comment ref="G13" authorId="19" shapeId="0" xr:uid="{8C58412A-06E6-4EFF-A204-3A86C51C9D33}">
      <text>
        <t>[Threaded comment]
Your version of Excel allows you to read this threaded comment; however, any edits to it will get removed if the file is opened in a newer version of Excel. Learn more: https://go.microsoft.com/fwlink/?linkid=870924
Comment:
    RB209 (2020) = 75 kg[K]/ha
ABC 2019 = 50 kg[K]/ha
Nix 2019 = 48 kg[K]/ha
RB209 value: I assumed Soil K index 1 &amp; assumed straw ploughed in / left on field</t>
      </text>
    </comment>
    <comment ref="H13" authorId="20" shapeId="0" xr:uid="{47917AB3-7582-4FFE-90A4-81D3E5FFB804}">
      <text>
        <t>[Threaded comment]
Your version of Excel allows you to read this threaded comment; however, any edits to it will get removed if the file is opened in a newer version of Excel. Learn more: https://go.microsoft.com/fwlink/?linkid=870924
Comment:
    same K requirement for spring triticale/ rye/ oats
RB209 = 65 kg[K]/ha
Nix 2019 = 34 kg[K]/ha
ABC = 30 kg[K]/ha</t>
      </text>
    </comment>
    <comment ref="I13" authorId="21" shapeId="0" xr:uid="{E75B7D84-BF40-462C-B4A4-EFDB637EAD20}">
      <text>
        <t>[Threaded comment]
Your version of Excel allows you to read this threaded comment; however, any edits to it will get removed if the file is opened in a newer version of Excel. Learn more: https://go.microsoft.com/fwlink/?linkid=870924
Comment:
    RB209 = 65 kg[K]/ha
Nix 2019 = 41 kg[K]/ha for winter feed barley</t>
      </text>
    </comment>
    <comment ref="J13" authorId="22" shapeId="0" xr:uid="{07428B0F-D7A7-4F10-80C6-5CC47E8ABAD9}">
      <text>
        <t>[Threaded comment]
Your version of Excel allows you to read this threaded comment; however, any edits to it will get removed if the file is opened in a newer version of Excel. Learn more: https://go.microsoft.com/fwlink/?linkid=870924
Comment:
    RB209 = 60 kg[K]/ha
Nix 2019 = 32 kg[K]/ha for spring malting barely</t>
      </text>
    </comment>
    <comment ref="K13" authorId="23" shapeId="0" xr:uid="{59ED428B-F922-4247-8A4E-1688F98B4904}">
      <text>
        <t>[Threaded comment]
Your version of Excel allows you to read this threaded comment; however, any edits to it will get removed if the file is opened in a newer version of Excel. Learn more: https://go.microsoft.com/fwlink/?linkid=870924
Comment:
    RB209 = 70 kg[K]/ha
Nix 2019 = 50 kg[K]/ha</t>
      </text>
    </comment>
    <comment ref="L13" authorId="24" shapeId="0" xr:uid="{11AB441C-26F7-46EA-8A63-8F78DC854519}">
      <text>
        <t>[Threaded comment]
Your version of Excel allows you to read this threaded comment; however, any edits to it will get removed if the file is opened in a newer version of Excel. Learn more: https://go.microsoft.com/fwlink/?linkid=870924
Comment:
    RB209 = 70 kg[K]/ha
Nix 2019 = 47 kg[K]/ha</t>
      </text>
    </comment>
    <comment ref="M13" authorId="25" shapeId="0" xr:uid="{53C3F1F2-0498-4860-999C-5AE785A410F3}">
      <text>
        <t>[Threaded comment]
Your version of Excel allows you to read this threaded comment; however, any edits to it will get removed if the file is opened in a newer version of Excel. Learn more: https://go.microsoft.com/fwlink/?linkid=870924
Comment:
    RB209 = 330 kg[K]/ha at soil P index of 1
Nix 2019 = 261 kg[K]/ha</t>
      </text>
    </comment>
    <comment ref="N13" authorId="26" shapeId="0" xr:uid="{14343837-DFF3-46CD-8490-17765A32D98B}">
      <text>
        <t>[Threaded comment]
Your version of Excel allows you to read this threaded comment; however, any edits to it will get removed if the file is opened in a newer version of Excel. Learn more: https://go.microsoft.com/fwlink/?linkid=870924
Comment:
    RB209 (2020) = 70 kg[K]/ha
ABC 2019 = 45 kg[K]/ha
Nix 2019 = 39 kg[K]/ha
RB209 value: I assumed Soil K index 1 &amp; assumed straw ploughed in / left on field</t>
      </text>
    </comment>
    <comment ref="O13" authorId="27" shapeId="0" xr:uid="{44CB94F3-55C1-4B04-8B3E-EFA548903B9F}">
      <text>
        <t>[Threaded comment]
Your version of Excel allows you to read this threaded comment; however, any edits to it will get removed if the file is opened in a newer version of Excel. Learn more: https://go.microsoft.com/fwlink/?linkid=870924
Comment:
    RB209 = 50 kg[K]/ha
Nix 2019 = 25 kg[K]/ha</t>
      </text>
    </comment>
    <comment ref="P13" authorId="28" shapeId="0" xr:uid="{54E6D7B9-96BF-4722-86CC-51E3F393ED3F}">
      <text>
        <t>[Threaded comment]
Your version of Excel allows you to read this threaded comment; however, any edits to it will get removed if the file is opened in a newer version of Excel. Learn more: https://go.microsoft.com/fwlink/?linkid=870924
Comment:
    RB209 = 130 kg[K]/ha
Nix 2019 = 131 kg[K]/ha</t>
      </text>
    </comment>
    <comment ref="R13" authorId="29" shapeId="0" xr:uid="{4D849473-68B3-4BA6-9684-E627CD9A1C4C}">
      <text>
        <t>[Threaded comment]
Your version of Excel allows you to read this threaded comment; however, any edits to it will get removed if the file is opened in a newer version of Excel. Learn more: https://go.microsoft.com/fwlink/?linkid=870924
Comment:
    RB209 = 70 kg[K]/ha
Nix 2019 = 25 kg[K]/ha</t>
      </text>
    </comment>
    <comment ref="S13" authorId="30" shapeId="0" xr:uid="{7B63FC5F-FBF3-4F78-A683-4355BEE80C23}">
      <text>
        <t>[Threaded comment]
Your version of Excel allows you to read this threaded comment; however, any edits to it will get removed if the file is opened in a newer version of Excel. Learn more: https://go.microsoft.com/fwlink/?linkid=870924
Comment:
    RB209 = 50 kg[K]/ha
Nix 2019 = 10 kg[K]/ha</t>
      </text>
    </comment>
    <comment ref="T13" authorId="31" shapeId="0" xr:uid="{9992DA3C-23C6-4B52-B22E-2A6D2DC8E5D2}">
      <text>
        <t>[Threaded comment]
Your version of Excel allows you to read this threaded comment; however, any edits to it will get removed if the file is opened in a newer version of Excel. Learn more: https://go.microsoft.com/fwlink/?linkid=870924
Comment:
    RB209 = 70 kg[K]/ha
Nix 2019 = 40 kg[K]/ha</t>
      </text>
    </comment>
    <comment ref="U13" authorId="32" shapeId="0" xr:uid="{56496FA7-8170-4760-864C-DB4A20EBDECF}">
      <text>
        <t>[Threaded comment]
Your version of Excel allows you to read this threaded comment; however, any edits to it will get removed if the file is opened in a newer version of Excel. Learn more: https://go.microsoft.com/fwlink/?linkid=870924
Comment:
    same K requirement as for spring wheat
RB209 = 65 kg[K]/ha
Nix 2019 = 31 kg[K]/ha
ABC = 30 kg[K]/ha</t>
      </text>
    </comment>
    <comment ref="V13" authorId="33" shapeId="0" xr:uid="{091E3478-B6D0-4600-A10E-D962C5C6B117}">
      <text>
        <t>[Threaded comment]
Your version of Excel allows you to read this threaded comment; however, any edits to it will get removed if the file is opened in a newer version of Excel. Learn more: https://go.microsoft.com/fwlink/?linkid=870924
Comment:
    Nix doesn't give fertiliser rates for maize so I've applied the rate given in ABC here.</t>
      </text>
    </comment>
    <comment ref="P19" authorId="0" shapeId="0" xr:uid="{B6335F52-B077-4C47-888F-F752F30536D8}">
      <text>
        <r>
          <rPr>
            <b/>
            <sz val="10"/>
            <color indexed="81"/>
            <rFont val="Calibri"/>
            <family val="2"/>
          </rPr>
          <t>N.B.</t>
        </r>
        <r>
          <rPr>
            <sz val="10"/>
            <color indexed="81"/>
            <rFont val="Calibri"/>
            <family val="2"/>
          </rPr>
          <t xml:space="preserve"> Seed rate of sugar beet is measured in units per hectare, not kg/ha as for all the other crops.</t>
        </r>
      </text>
    </comment>
    <comment ref="J20" authorId="34" shapeId="0" xr:uid="{FCCDBE88-F4F0-45DC-83AA-53C524AC7A60}">
      <text>
        <t>[Threaded comment]
Your version of Excel allows you to read this threaded comment; however, any edits to it will get removed if the file is opened in a newer version of Excel. Learn more: https://go.microsoft.com/fwlink/?linkid=870924
Comment:
    Seed price for spring oats is the same, ABC gives £0.38/kg for spring milling oats</t>
      </text>
    </comment>
    <comment ref="M20" authorId="35" shapeId="0" xr:uid="{7EF2E62B-CEF4-41F6-8D6D-9388ECE3AD24}">
      <text>
        <t>[Threaded comment]
Your version of Excel allows you to read this threaded comment; however, any edits to it will get removed if the file is opened in a newer version of Excel. Learn more: https://go.microsoft.com/fwlink/?linkid=870924
Comment:
    £260/tonne</t>
      </text>
    </comment>
    <comment ref="P20" authorId="0" shapeId="0" xr:uid="{D4A6C0A3-03B0-4C6F-9C8F-15F9A6BE6339}">
      <text>
        <r>
          <rPr>
            <b/>
            <sz val="10"/>
            <color indexed="81"/>
            <rFont val="Calibri"/>
            <family val="2"/>
          </rPr>
          <t>N.B.</t>
        </r>
        <r>
          <rPr>
            <sz val="10"/>
            <color indexed="81"/>
            <rFont val="Calibri"/>
            <family val="2"/>
          </rPr>
          <t xml:space="preserve"> Price given in £ per unit, not £/kg as for all the other crops.</t>
        </r>
      </text>
    </comment>
    <comment ref="V20" authorId="36" shapeId="0" xr:uid="{41042364-24E5-407D-B307-AD5F51E3A9E0}">
      <text>
        <t>[Threaded comment]
Your version of Excel allows you to read this threaded comment; however, any edits to it will get removed if the file is opened in a newer version of Excel. Learn more: https://go.microsoft.com/fwlink/?linkid=870924
Comment:
    Nix 2019 gives seed price for grain maize at £4.75/kg and says that forage and grain maize are essentially the same (same varieties used for grain and forage) just that it's left in the field longer for grain maize to let the cobs mature.
ABC also gives £4.75/kg</t>
      </text>
    </comment>
    <comment ref="D21" authorId="0" shapeId="0" xr:uid="{479899CA-762F-4D91-9962-11B95C51890F}">
      <text>
        <r>
          <rPr>
            <sz val="10"/>
            <color indexed="81"/>
            <rFont val="Calibri"/>
            <family val="2"/>
          </rPr>
          <t xml:space="preserve">'BG herb' refers to the </t>
        </r>
        <r>
          <rPr>
            <b/>
            <sz val="10"/>
            <color indexed="81"/>
            <rFont val="Calibri"/>
            <family val="2"/>
          </rPr>
          <t>DOSE</t>
        </r>
        <r>
          <rPr>
            <sz val="10"/>
            <color indexed="81"/>
            <rFont val="Calibri"/>
            <family val="2"/>
          </rPr>
          <t xml:space="preserve"> of selective herbicides targeting black-grass.</t>
        </r>
      </text>
    </comment>
    <comment ref="D22" authorId="0" shapeId="0" xr:uid="{ADF11B6F-810A-4E07-9062-71B36A49B595}">
      <text>
        <r>
          <rPr>
            <sz val="10"/>
            <color indexed="81"/>
            <rFont val="Calibri"/>
            <family val="2"/>
          </rPr>
          <t xml:space="preserve">'Herb Price' refers to the </t>
        </r>
        <r>
          <rPr>
            <b/>
            <sz val="10"/>
            <color indexed="81"/>
            <rFont val="Calibri"/>
            <family val="2"/>
          </rPr>
          <t>PRICE</t>
        </r>
        <r>
          <rPr>
            <sz val="10"/>
            <color indexed="81"/>
            <rFont val="Calibri"/>
            <family val="2"/>
          </rPr>
          <t xml:space="preserve"> for selective herbicides targeting black-grass.</t>
        </r>
      </text>
    </comment>
    <comment ref="T28" authorId="37" shapeId="0" xr:uid="{263EBDB5-ED4D-47C4-BC3D-AD6198A1CB26}">
      <text>
        <t>[Threaded comment]
Your version of Excel allows you to read this threaded comment; however, any edits to it will get removed if the file is opened in a newer version of Excel. Learn more: https://go.microsoft.com/fwlink/?linkid=870924
Comment:
    blue peas</t>
      </text>
    </comment>
    <comment ref="T29" authorId="38" shapeId="0" xr:uid="{5542A9E4-367B-44AE-B420-103A8D373BBE}">
      <text>
        <t>[Threaded comment]
Your version of Excel allows you to read this threaded comment; however, any edits to it will get removed if the file is opened in a newer version of Excel. Learn more: https://go.microsoft.com/fwlink/?linkid=870924
Comment:
    blue peas</t>
      </text>
    </comment>
    <comment ref="T30" authorId="39" shapeId="0" xr:uid="{BCE80D31-D3C2-4A21-978F-A7AC72EDD3EA}">
      <text>
        <t>[Threaded comment]
Your version of Excel allows you to read this threaded comment; however, any edits to it will get removed if the file is opened in a newer version of Excel. Learn more: https://go.microsoft.com/fwlink/?linkid=870924
Comment:
    this is for Blue peas</t>
      </text>
    </comment>
    <comment ref="I33" authorId="0" shapeId="0" xr:uid="{75403161-4F44-4031-89C5-784D1C13EC9C}">
      <text>
        <r>
          <rPr>
            <b/>
            <sz val="10"/>
            <color indexed="81"/>
            <rFont val="Calibri"/>
            <family val="2"/>
          </rPr>
          <t>N.B.</t>
        </r>
        <r>
          <rPr>
            <sz val="10"/>
            <color indexed="81"/>
            <rFont val="Calibri"/>
            <family val="2"/>
          </rPr>
          <t xml:space="preserve"> Straw price for barley given in Nix 2019 at £70/ha but ECOMOD only uses one value for both wheat and barley so using £65.</t>
        </r>
      </text>
    </comment>
    <comment ref="J33" authorId="0" shapeId="0" xr:uid="{AF12C28E-CB34-4F99-97A6-0F729174855B}">
      <text>
        <r>
          <rPr>
            <b/>
            <sz val="10"/>
            <color indexed="81"/>
            <rFont val="Calibri"/>
            <family val="2"/>
          </rPr>
          <t>N.B.</t>
        </r>
        <r>
          <rPr>
            <sz val="10"/>
            <color indexed="81"/>
            <rFont val="Calibri"/>
            <family val="2"/>
          </rPr>
          <t xml:space="preserve"> Straw price for barley given in Nix 2019 at £70/ha but ECOMOD only uses one value for both wheat and barley so using £65.</t>
        </r>
      </text>
    </comment>
    <comment ref="G34" authorId="0" shapeId="0" xr:uid="{00E2AD64-42A4-4119-9FA7-F9F62DE64FDD}">
      <text>
        <r>
          <rPr>
            <sz val="10"/>
            <color indexed="81"/>
            <rFont val="Calibri"/>
            <family val="2"/>
          </rPr>
          <t xml:space="preserve">Source: https://www.gov.uk/guidance/bps-2019
Basic payment 2019: €189.70, or £157.59/ha
Greening rate* €78.69 or £65.38
</t>
        </r>
        <r>
          <rPr>
            <b/>
            <sz val="10"/>
            <color indexed="81"/>
            <rFont val="Calibri"/>
            <family val="2"/>
          </rPr>
          <t>Total</t>
        </r>
        <r>
          <rPr>
            <sz val="10"/>
            <color indexed="81"/>
            <rFont val="Calibri"/>
            <family val="2"/>
          </rPr>
          <t xml:space="preserve"> is €268.39, which is £222.97, so </t>
        </r>
        <r>
          <rPr>
            <b/>
            <sz val="10"/>
            <color indexed="81"/>
            <rFont val="Calibri"/>
            <family val="2"/>
          </rPr>
          <t xml:space="preserve">£223
</t>
        </r>
        <r>
          <rPr>
            <sz val="10"/>
            <color indexed="81"/>
            <rFont val="Calibri"/>
            <family val="2"/>
          </rPr>
          <t xml:space="preserve">
*(assume all farms eligible and conform) 
 Exchange rate 0.830753</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tc={5027CD3D-A709-44A4-9F5F-EA9E0ED7B24A}</author>
  </authors>
  <commentList>
    <comment ref="D7" authorId="0" shapeId="0" xr:uid="{5027CD3D-A709-44A4-9F5F-EA9E0ED7B24A}">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tc={EC74E963-3E29-4A3D-9277-56EB0950F50E}</author>
    <author>tc={20C4CC1E-A588-45BE-BBF4-7E7114D46144}</author>
  </authors>
  <commentList>
    <comment ref="B4" authorId="0" shapeId="0" xr:uid="{EC74E963-3E29-4A3D-9277-56EB0950F50E}">
      <text>
        <t>[Threaded comment]
Your version of Excel allows you to read this threaded comment; however, any edits to it will get removed if the file is opened in a newer version of Excel. Learn more: https://go.microsoft.com/fwlink/?linkid=870924
Comment:
    N.B. the second winter wheat in this rotation has an inversion plough. Change this manually in the input sheet.</t>
      </text>
    </comment>
    <comment ref="I4" authorId="1" shapeId="0" xr:uid="{20C4CC1E-A588-45BE-BBF4-7E7114D46144}">
      <text>
        <t>[Threaded comment]
Your version of Excel allows you to read this threaded comment; however, any edits to it will get removed if the file is opened in a newer version of Excel. Learn more: https://go.microsoft.com/fwlink/?linkid=870924
Comment:
    (inversion plough)
Reply:
    Inversion plough in 1st year, light cultivation in 4th year</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Alexa Varah</author>
  </authors>
  <commentList>
    <comment ref="A1" authorId="0" shapeId="0" xr:uid="{8027AE44-6245-4285-A77E-B75E3D52AD3B}">
      <text>
        <r>
          <rPr>
            <b/>
            <sz val="9"/>
            <color indexed="81"/>
            <rFont val="Tahoma"/>
            <family val="2"/>
          </rPr>
          <t>Alexa Varah:</t>
        </r>
        <r>
          <rPr>
            <sz val="9"/>
            <color indexed="81"/>
            <rFont val="Tahoma"/>
            <family val="2"/>
          </rPr>
          <t xml:space="preserve">
this only specifies the herbicides targeting black-grass. For CFT and ECOMOD, ansure there's a default value  for each crop to cover the 'other' pesticide applications: i.e. herbicides not targeting BG, herbicides used as dessicant, fungicides, insecticides.</t>
        </r>
      </text>
    </comment>
    <comment ref="C2" authorId="0" shapeId="0" xr:uid="{DD2ED72A-368D-47A7-A342-6483B10E2DDF}">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the planting window 48hrs after, i.e.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t>
        </r>
        <r>
          <rPr>
            <sz val="10"/>
            <color indexed="81"/>
            <rFont val="Calibri"/>
            <family val="2"/>
            <scheme val="minor"/>
          </rPr>
          <t xml:space="preserve"> chopped and spread on fields (I previously specified baled and removed but Sarah Cook says normally straw is chopped and spread on fields)</t>
        </r>
      </text>
    </comment>
    <comment ref="K2" authorId="0" shapeId="0" xr:uid="{0CD6E390-9152-4725-96AE-B72A1FE82DE5}">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is September for fields with low BG density, October for fields with high BG density, machine = C54/D101 (NB start of drill window not b4 first glyphosate applicn) NB Black grass sprayed off 10th Oct so perhaps better to start planting window 48hrs after, i.e. 12th Oct
175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 </t>
        </r>
        <r>
          <rPr>
            <sz val="10"/>
            <color indexed="81"/>
            <rFont val="Calibri"/>
            <family val="2"/>
            <scheme val="minor"/>
          </rPr>
          <t>chopped and spread on fields (I previously specified baled and removed but Sarah Cook says normally straw is chopped and spread on fields)</t>
        </r>
      </text>
    </comment>
    <comment ref="T2" authorId="0" shapeId="0" xr:uid="{B1B30E74-9120-42A1-84F8-D9E65EF8C617}">
      <text>
        <r>
          <rPr>
            <sz val="9"/>
            <color indexed="81"/>
            <rFont val="Tahoma"/>
            <family val="2"/>
          </rPr>
          <t xml:space="preserve">drill (at same time as subsoil) as soon as sbar is harvested

</t>
        </r>
        <r>
          <rPr>
            <b/>
            <sz val="9"/>
            <color indexed="81"/>
            <rFont val="Tahoma"/>
            <family val="2"/>
          </rPr>
          <t>drilling</t>
        </r>
        <r>
          <rPr>
            <sz val="9"/>
            <color indexed="81"/>
            <rFont val="Tahoma"/>
            <family val="2"/>
          </rPr>
          <t xml:space="preserve"> window 16th August - 11th Sep
seeding unit on back of subsoiler, 80 seeds/m2, depth = 2cm, spacing = 12.5cm

</t>
        </r>
        <r>
          <rPr>
            <b/>
            <sz val="9"/>
            <color indexed="81"/>
            <rFont val="Tahoma"/>
            <family val="2"/>
          </rPr>
          <t>fertiliser N</t>
        </r>
        <r>
          <rPr>
            <sz val="9"/>
            <color indexed="81"/>
            <rFont val="Tahoma"/>
            <family val="2"/>
          </rPr>
          <t xml:space="preserve">: 
30 kg/ha at drilling, 
95 kg/ha early March, 
95 kg/ha early April 
(avg total value our farmers are applying is 200kg N/ha but Ed Brooks reckons it's more realistic to use 220kgN/ha)

wosr harvested end July - end Aug

wosr </t>
        </r>
        <r>
          <rPr>
            <b/>
            <sz val="9"/>
            <color indexed="81"/>
            <rFont val="Tahoma"/>
            <family val="2"/>
          </rPr>
          <t>straw</t>
        </r>
        <r>
          <rPr>
            <sz val="9"/>
            <color indexed="81"/>
            <rFont val="Tahoma"/>
            <family val="2"/>
          </rPr>
          <t xml:space="preserve"> chopped and spread (it'll be incorporated by the subsequent moldboard plough operation)
</t>
        </r>
      </text>
    </comment>
    <comment ref="AA2" authorId="0" shapeId="0" xr:uid="{85C7E4CB-AC34-4985-BFE9-69AD0CAD55D0}">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planting window 48hrs after, 1e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 </t>
        </r>
        <r>
          <rPr>
            <sz val="10"/>
            <color indexed="81"/>
            <rFont val="Calibri"/>
            <family val="2"/>
            <scheme val="minor"/>
          </rPr>
          <t>chopped and spread on fields (I previously specified baled and removed but Sarah Cook says normally straw is chopped and spread on fields)</t>
        </r>
      </text>
    </comment>
    <comment ref="AI2" authorId="0" shapeId="0" xr:uid="{0CDDA964-31D4-430D-ABF9-B791CCB861AD}">
      <text>
        <r>
          <rPr>
            <sz val="9"/>
            <color indexed="81"/>
            <rFont val="Tahoma"/>
            <family val="2"/>
          </rPr>
          <t xml:space="preserve">
</t>
        </r>
        <r>
          <rPr>
            <sz val="10"/>
            <color indexed="81"/>
            <rFont val="Calibri"/>
            <family val="2"/>
            <scheme val="minor"/>
          </rPr>
          <t xml:space="preserve">create </t>
        </r>
        <r>
          <rPr>
            <b/>
            <sz val="10"/>
            <color indexed="81"/>
            <rFont val="Calibri"/>
            <family val="2"/>
            <scheme val="minor"/>
          </rPr>
          <t>stale seedbed</t>
        </r>
        <r>
          <rPr>
            <sz val="10"/>
            <color indexed="81"/>
            <rFont val="Calibri"/>
            <family val="2"/>
            <scheme val="minor"/>
          </rPr>
          <t xml:space="preserve"> (late drill allows time for two lots of glyphosate):
- light cultivation after harvest - disced, 7.5cm
- spray glyphosate 8th Sep 540g ai (rate 0.5l) (I've made this a week earlier as didn't need to wait a week after first cultivation)
- roll 11th Sep
- 3 weeks later (2nd Oct - jdate 275) apply 2nd glyphosate 540g ai (rate 0.5l)

</t>
        </r>
        <r>
          <rPr>
            <b/>
            <sz val="10"/>
            <color indexed="81"/>
            <rFont val="Calibri"/>
            <family val="2"/>
            <scheme val="minor"/>
          </rPr>
          <t>drilling</t>
        </r>
        <r>
          <rPr>
            <sz val="10"/>
            <color indexed="81"/>
            <rFont val="Calibri"/>
            <family val="2"/>
            <scheme val="minor"/>
          </rPr>
          <t xml:space="preserve"> window 17th Oct - 16th Nov, machine = C54/D101 (NB start of drill window not b4 first glyphosate applicn) NB Black grass sprayed off 10th Oct so perhaps better to start planting window 48hrs after, 1e 12th Oct
167 plants/m2; row spacing 12.5 cm; depth 3cm

</t>
        </r>
        <r>
          <rPr>
            <b/>
            <sz val="10"/>
            <color indexed="81"/>
            <rFont val="Calibri"/>
            <family val="2"/>
            <scheme val="minor"/>
          </rPr>
          <t>fertiliser N</t>
        </r>
        <r>
          <rPr>
            <sz val="10"/>
            <color indexed="81"/>
            <rFont val="Calibri"/>
            <family val="2"/>
            <scheme val="minor"/>
          </rPr>
          <t>: 
40kg/ha end Feb (growth stage GS30), 
80kg 1st week April, 
80kg 3rd week April 
(avg total value our farmers are applying is 200kg N/ha)
</t>
        </r>
        <r>
          <rPr>
            <b/>
            <sz val="10"/>
            <color indexed="81"/>
            <rFont val="Calibri"/>
            <family val="2"/>
            <scheme val="minor"/>
          </rPr>
          <t xml:space="preserve">
straw</t>
        </r>
        <r>
          <rPr>
            <sz val="10"/>
            <color indexed="81"/>
            <rFont val="Calibri"/>
            <family val="2"/>
            <scheme val="minor"/>
          </rPr>
          <t xml:space="preserve"> chopped and spread on fields (I previously specified baled and removed but Sarah Cook says normally straw is chopped and spread on fields)</t>
        </r>
      </text>
    </comment>
    <comment ref="AR2" authorId="0" shapeId="0" xr:uid="{C35EBC12-2632-4200-BEC0-41E54CA00B01}">
      <text>
        <r>
          <rPr>
            <sz val="9"/>
            <color indexed="81"/>
            <rFont val="Tahoma"/>
            <family val="2"/>
          </rPr>
          <t xml:space="preserve">drill (at same time as subsoil) as soon as sbar is harvested

</t>
        </r>
        <r>
          <rPr>
            <b/>
            <sz val="9"/>
            <color indexed="81"/>
            <rFont val="Tahoma"/>
            <family val="2"/>
          </rPr>
          <t>drilling</t>
        </r>
        <r>
          <rPr>
            <sz val="9"/>
            <color indexed="81"/>
            <rFont val="Tahoma"/>
            <family val="2"/>
          </rPr>
          <t xml:space="preserve"> window 16th August - 11th Sep
seeding unit on back of subsoiler, 80 seeds/m2, depth = 2cm, spacing = 12.5cm

</t>
        </r>
        <r>
          <rPr>
            <b/>
            <sz val="9"/>
            <color indexed="81"/>
            <rFont val="Tahoma"/>
            <family val="2"/>
          </rPr>
          <t>fertiliser N</t>
        </r>
        <r>
          <rPr>
            <sz val="9"/>
            <color indexed="81"/>
            <rFont val="Tahoma"/>
            <family val="2"/>
          </rPr>
          <t xml:space="preserve">: 
30 kg/ha at drilling, 
95 kg/ha early March, 
95 kg/ha early April 
(avg total value our farmers are applying is 200kg N/ha but Ed Brooks reckons it's more realistic to use 220kgN/ha)

wosr harvested end July - end Aug

wosr </t>
        </r>
        <r>
          <rPr>
            <b/>
            <sz val="9"/>
            <color indexed="81"/>
            <rFont val="Tahoma"/>
            <family val="2"/>
          </rPr>
          <t>straw</t>
        </r>
        <r>
          <rPr>
            <sz val="9"/>
            <color indexed="81"/>
            <rFont val="Tahoma"/>
            <family val="2"/>
          </rPr>
          <t xml:space="preserve"> chopped and spread (it'll be incorporated by the subsequent moldboard plough operation)
</t>
        </r>
      </text>
    </comment>
    <comment ref="T3" authorId="0" shapeId="0" xr:uid="{FD0FD6FB-19C8-4AF4-9E4A-6749400D72F9}">
      <text>
        <r>
          <rPr>
            <b/>
            <sz val="9"/>
            <color indexed="81"/>
            <rFont val="Tahoma"/>
            <family val="2"/>
          </rPr>
          <t>Alexa Varah:</t>
        </r>
        <r>
          <rPr>
            <sz val="9"/>
            <color indexed="81"/>
            <rFont val="Tahoma"/>
            <family val="2"/>
          </rPr>
          <t xml:space="preserve">
in the 'environmentally friendlier' option, drill using Cousins Microwing direct drill (developed specifically to combat BG in OSR)</t>
        </r>
      </text>
    </comment>
    <comment ref="AR3" authorId="0" shapeId="0" xr:uid="{28AEB397-9C97-40BB-BDED-0BF3293E38AB}">
      <text>
        <r>
          <rPr>
            <b/>
            <sz val="9"/>
            <color indexed="81"/>
            <rFont val="Tahoma"/>
            <family val="2"/>
          </rPr>
          <t>Alexa Varah:</t>
        </r>
        <r>
          <rPr>
            <sz val="9"/>
            <color indexed="81"/>
            <rFont val="Tahoma"/>
            <family val="2"/>
          </rPr>
          <t xml:space="preserve">
in the 'environmentally friendlier' option, drill using Cousins Microwing direct drill (developed specifically to combat BG in OSR)</t>
        </r>
      </text>
    </comment>
    <comment ref="V8" authorId="0" shapeId="0" xr:uid="{86788789-BC52-456C-B11E-6555CEA01EB9}">
      <text>
        <r>
          <rPr>
            <sz val="9"/>
            <color indexed="81"/>
            <rFont val="Tahoma"/>
            <family val="2"/>
          </rPr>
          <t>95kg/ha early March</t>
        </r>
      </text>
    </comment>
    <comment ref="AT8" authorId="0" shapeId="0" xr:uid="{53234297-8E08-4F21-98B8-394877ED1DCA}">
      <text>
        <r>
          <rPr>
            <sz val="9"/>
            <color indexed="81"/>
            <rFont val="Tahoma"/>
            <family val="2"/>
          </rPr>
          <t>95kg/ha early March</t>
        </r>
      </text>
    </comment>
    <comment ref="F9" authorId="0" shapeId="0" xr:uid="{79C75EAF-C4CF-49C7-A31D-05B0C4CD993B}">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G9" authorId="0" shapeId="0" xr:uid="{8DE8C67A-E991-485D-A465-E2E7AE0F301E}">
      <text>
        <r>
          <rPr>
            <b/>
            <sz val="9"/>
            <color indexed="81"/>
            <rFont val="Tahoma"/>
            <family val="2"/>
          </rPr>
          <t>Alexa Varah:</t>
        </r>
        <r>
          <rPr>
            <sz val="9"/>
            <color indexed="81"/>
            <rFont val="Tahoma"/>
            <family val="2"/>
          </rPr>
          <t xml:space="preserve">
mid-March apply 90kg/ha fertiliser (N)</t>
        </r>
      </text>
    </comment>
    <comment ref="O9" authorId="0" shapeId="0" xr:uid="{B114D603-498E-48CE-ABBA-79BE8C484737}">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P9" authorId="0" shapeId="0" xr:uid="{35E0326A-379D-496D-8411-A247769698DE}">
      <text>
        <r>
          <rPr>
            <b/>
            <sz val="9"/>
            <color indexed="81"/>
            <rFont val="Tahoma"/>
            <family val="2"/>
          </rPr>
          <t>Alexa Varah:</t>
        </r>
        <r>
          <rPr>
            <sz val="9"/>
            <color indexed="81"/>
            <rFont val="Tahoma"/>
            <family val="2"/>
          </rPr>
          <t xml:space="preserve">
mid-March apply 90kg/ha fertiliser (N)</t>
        </r>
      </text>
    </comment>
    <comment ref="AD9" authorId="0" shapeId="0" xr:uid="{4CCD07F5-2DF7-48EE-9A93-B8DDC4A19946}">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AE9" authorId="0" shapeId="0" xr:uid="{F3AF0F74-7D18-4F28-9998-0693C33D60A0}">
      <text>
        <r>
          <rPr>
            <b/>
            <sz val="9"/>
            <color indexed="81"/>
            <rFont val="Tahoma"/>
            <family val="2"/>
          </rPr>
          <t>Alexa Varah:</t>
        </r>
        <r>
          <rPr>
            <sz val="9"/>
            <color indexed="81"/>
            <rFont val="Tahoma"/>
            <family val="2"/>
          </rPr>
          <t xml:space="preserve">
mid-March apply 90kg/ha fertiliser (N)</t>
        </r>
      </text>
    </comment>
    <comment ref="AM9" authorId="0" shapeId="0" xr:uid="{FF67D1DF-120A-4335-ABF9-11B95C191988}">
      <text>
        <r>
          <rPr>
            <b/>
            <sz val="9"/>
            <color indexed="81"/>
            <rFont val="Tahoma"/>
            <family val="2"/>
          </rPr>
          <t>Alexa Varah:</t>
        </r>
        <r>
          <rPr>
            <sz val="9"/>
            <color indexed="81"/>
            <rFont val="Tahoma"/>
            <family val="2"/>
          </rPr>
          <t xml:space="preserve">
spring herbicide sprayed from start of March to mid-April (selective herbicide for BG)
March 2011: tank mix Atlantis (</t>
        </r>
        <r>
          <rPr>
            <b/>
            <sz val="9"/>
            <color indexed="81"/>
            <rFont val="Tahoma"/>
            <family val="2"/>
          </rPr>
          <t>rate = 0.4l/ha</t>
        </r>
        <r>
          <rPr>
            <sz val="9"/>
            <color indexed="81"/>
            <rFont val="Tahoma"/>
            <family val="2"/>
          </rPr>
          <t>) + Pendimethalin (</t>
        </r>
        <r>
          <rPr>
            <b/>
            <sz val="9"/>
            <color indexed="81"/>
            <rFont val="Tahoma"/>
            <family val="2"/>
          </rPr>
          <t>rate = 3l/ha</t>
        </r>
        <r>
          <rPr>
            <sz val="9"/>
            <color indexed="81"/>
            <rFont val="Tahoma"/>
            <family val="2"/>
          </rPr>
          <t>) 
(MOAs: ALS inhibitor; 
 inhibit microtubule assembly)</t>
        </r>
      </text>
    </comment>
    <comment ref="AN9" authorId="0" shapeId="0" xr:uid="{017C6A64-0597-44DE-BFE4-05384E63226C}">
      <text>
        <r>
          <rPr>
            <b/>
            <sz val="9"/>
            <color indexed="81"/>
            <rFont val="Tahoma"/>
            <family val="2"/>
          </rPr>
          <t>Alexa Varah:</t>
        </r>
        <r>
          <rPr>
            <sz val="9"/>
            <color indexed="81"/>
            <rFont val="Tahoma"/>
            <family val="2"/>
          </rPr>
          <t xml:space="preserve">
mid-March apply 90kg/ha fertiliser (N)</t>
        </r>
      </text>
    </comment>
    <comment ref="G10" authorId="0" shapeId="0" xr:uid="{F93C3A24-4E28-4C58-9587-D40747405AEC}">
      <text>
        <r>
          <rPr>
            <b/>
            <sz val="9"/>
            <color indexed="81"/>
            <rFont val="Tahoma"/>
            <family val="2"/>
          </rPr>
          <t>Alexa Varah:</t>
        </r>
        <r>
          <rPr>
            <sz val="9"/>
            <color indexed="81"/>
            <rFont val="Tahoma"/>
            <family val="2"/>
          </rPr>
          <t xml:space="preserve">
early April apply 90kg/ha fertiliser (N)</t>
        </r>
      </text>
    </comment>
    <comment ref="P10" authorId="0" shapeId="0" xr:uid="{C78B4B96-353A-4806-83A9-785DAF004A24}">
      <text>
        <r>
          <rPr>
            <b/>
            <sz val="9"/>
            <color indexed="81"/>
            <rFont val="Tahoma"/>
            <family val="2"/>
          </rPr>
          <t>Alexa Varah:</t>
        </r>
        <r>
          <rPr>
            <sz val="9"/>
            <color indexed="81"/>
            <rFont val="Tahoma"/>
            <family val="2"/>
          </rPr>
          <t xml:space="preserve">
early April apply 90kg/ha fertiliser (N)</t>
        </r>
      </text>
    </comment>
    <comment ref="V10" authorId="0" shapeId="0" xr:uid="{05C95D60-D434-40CD-B8CF-4808D88A59C4}">
      <text>
        <r>
          <rPr>
            <sz val="9"/>
            <color indexed="81"/>
            <rFont val="Tahoma"/>
            <family val="2"/>
          </rPr>
          <t>95kg/ha early April</t>
        </r>
      </text>
    </comment>
    <comment ref="AE10" authorId="0" shapeId="0" xr:uid="{E4A7119F-4B94-473F-BF88-16AB12656F7D}">
      <text>
        <r>
          <rPr>
            <b/>
            <sz val="9"/>
            <color indexed="81"/>
            <rFont val="Tahoma"/>
            <family val="2"/>
          </rPr>
          <t>Alexa Varah:</t>
        </r>
        <r>
          <rPr>
            <sz val="9"/>
            <color indexed="81"/>
            <rFont val="Tahoma"/>
            <family val="2"/>
          </rPr>
          <t xml:space="preserve">
early April apply 90kg/ha fertiliser (N)</t>
        </r>
      </text>
    </comment>
    <comment ref="AN10" authorId="0" shapeId="0" xr:uid="{B849194D-978E-4710-A882-8E36999C1EF0}">
      <text>
        <r>
          <rPr>
            <b/>
            <sz val="9"/>
            <color indexed="81"/>
            <rFont val="Tahoma"/>
            <family val="2"/>
          </rPr>
          <t>Alexa Varah:</t>
        </r>
        <r>
          <rPr>
            <sz val="9"/>
            <color indexed="81"/>
            <rFont val="Tahoma"/>
            <family val="2"/>
          </rPr>
          <t xml:space="preserve">
early April apply 90kg/ha fertiliser (N)</t>
        </r>
      </text>
    </comment>
    <comment ref="AT10" authorId="0" shapeId="0" xr:uid="{E2844501-FE65-4DF2-96A3-023677A0E6C9}">
      <text>
        <r>
          <rPr>
            <sz val="9"/>
            <color indexed="81"/>
            <rFont val="Tahoma"/>
            <family val="2"/>
          </rPr>
          <t>95kg/ha early April</t>
        </r>
      </text>
    </comment>
    <comment ref="G11" authorId="0" shapeId="0" xr:uid="{6F7AF24A-C345-489B-85F9-F2D35C9A6376}">
      <text>
        <r>
          <rPr>
            <b/>
            <sz val="9"/>
            <color indexed="81"/>
            <rFont val="Tahoma"/>
            <family val="2"/>
          </rPr>
          <t>Alexa Varah:</t>
        </r>
        <r>
          <rPr>
            <sz val="9"/>
            <color indexed="81"/>
            <rFont val="Tahoma"/>
            <family val="2"/>
          </rPr>
          <t xml:space="preserve">
mid April apply 40 kg/ha fertiliser (N)</t>
        </r>
      </text>
    </comment>
    <comment ref="P11" authorId="0" shapeId="0" xr:uid="{D131E8D3-7A34-4169-A3A0-38302ED677FE}">
      <text>
        <r>
          <rPr>
            <b/>
            <sz val="9"/>
            <color indexed="81"/>
            <rFont val="Tahoma"/>
            <family val="2"/>
          </rPr>
          <t>Alexa Varah:</t>
        </r>
        <r>
          <rPr>
            <sz val="9"/>
            <color indexed="81"/>
            <rFont val="Tahoma"/>
            <family val="2"/>
          </rPr>
          <t xml:space="preserve">
mid April apply 40 kg/ha fertiliser (N)</t>
        </r>
      </text>
    </comment>
    <comment ref="AE11" authorId="0" shapeId="0" xr:uid="{BD662DF3-1996-4BBF-B989-805397DA2B08}">
      <text>
        <r>
          <rPr>
            <b/>
            <sz val="9"/>
            <color indexed="81"/>
            <rFont val="Tahoma"/>
            <family val="2"/>
          </rPr>
          <t>Alexa Varah:</t>
        </r>
        <r>
          <rPr>
            <sz val="9"/>
            <color indexed="81"/>
            <rFont val="Tahoma"/>
            <family val="2"/>
          </rPr>
          <t xml:space="preserve">
mid April apply 40 kg/ha fertiliser (N)</t>
        </r>
      </text>
    </comment>
    <comment ref="AN11" authorId="0" shapeId="0" xr:uid="{98AABDB4-55E2-4193-A84E-4D2BC00777B0}">
      <text>
        <r>
          <rPr>
            <b/>
            <sz val="9"/>
            <color indexed="81"/>
            <rFont val="Tahoma"/>
            <family val="2"/>
          </rPr>
          <t>Alexa Varah:</t>
        </r>
        <r>
          <rPr>
            <sz val="9"/>
            <color indexed="81"/>
            <rFont val="Tahoma"/>
            <family val="2"/>
          </rPr>
          <t xml:space="preserve">
mid April apply 40 kg/ha fertiliser (N)</t>
        </r>
      </text>
    </comment>
    <comment ref="W17" authorId="0" shapeId="0" xr:uid="{4BD7877F-1C41-41D7-9F46-6774FDF72D3C}">
      <text>
        <r>
          <rPr>
            <sz val="9"/>
            <color indexed="81"/>
            <rFont val="Tahoma"/>
            <family val="2"/>
          </rPr>
          <t xml:space="preserve">July 2014: glyphosate 14 days pre harvest
</t>
        </r>
        <r>
          <rPr>
            <b/>
            <sz val="9"/>
            <color indexed="81"/>
            <rFont val="Tahoma"/>
            <family val="2"/>
          </rPr>
          <t>Rate = 3l/ha</t>
        </r>
      </text>
    </comment>
    <comment ref="AU17" authorId="0" shapeId="0" xr:uid="{8AE83570-DA34-44DC-AAF5-9DE3FE8E76B3}">
      <text>
        <r>
          <rPr>
            <sz val="9"/>
            <color indexed="81"/>
            <rFont val="Tahoma"/>
            <family val="2"/>
          </rPr>
          <t>July 2014: glyphosate 14 days pre harvest</t>
        </r>
      </text>
    </comment>
    <comment ref="K20" authorId="0" shapeId="0" xr:uid="{823425A4-DC88-47F2-8A83-A6E626929B16}">
      <text>
        <r>
          <rPr>
            <sz val="9"/>
            <color indexed="81"/>
            <rFont val="Tahoma"/>
            <family val="2"/>
          </rPr>
          <t>disc stale seedbed (CFT = disc harrow) immediately after harvest (ww is harvested in Aug or Sep). This breaks the stubble up and stops moisture being lost from the soil through the stubble.</t>
        </r>
      </text>
    </comment>
    <comment ref="N20" authorId="0" shapeId="0" xr:uid="{07E7A008-113C-43E2-9272-547A22827DE2}">
      <text>
        <r>
          <rPr>
            <sz val="9"/>
            <color indexed="81"/>
            <rFont val="Tahoma"/>
            <family val="2"/>
          </rPr>
          <t>roll stale seedbed after discing (CFT = roller packer)</t>
        </r>
      </text>
    </comment>
    <comment ref="T20" authorId="0" shapeId="0" xr:uid="{979AFE23-54CA-4D70-B8A7-B5C0885D6FB2}">
      <text>
        <r>
          <rPr>
            <sz val="9"/>
            <color indexed="81"/>
            <rFont val="Tahoma"/>
            <family val="2"/>
          </rPr>
          <t xml:space="preserve">subsoil and drill
</t>
        </r>
        <r>
          <rPr>
            <b/>
            <sz val="9"/>
            <color indexed="81"/>
            <rFont val="Tahoma"/>
            <family val="2"/>
          </rPr>
          <t>CFT = subsoiler and roller packer</t>
        </r>
        <r>
          <rPr>
            <sz val="9"/>
            <color indexed="81"/>
            <rFont val="Tahoma"/>
            <family val="2"/>
          </rPr>
          <t xml:space="preserve"> (leave out the grain drill as the drill would be mounted on the subsoiler so this would not be a separate pass. There is often a roller on the subsoiler I think but in reality many farmers do a separate roll anyway).</t>
        </r>
      </text>
    </comment>
    <comment ref="AI20" authorId="0" shapeId="0" xr:uid="{854DA3A2-C178-43FE-8B9C-17E2FDCC61C3}">
      <text>
        <r>
          <rPr>
            <sz val="9"/>
            <color indexed="81"/>
            <rFont val="Tahoma"/>
            <family val="2"/>
          </rPr>
          <t>disc stale seedbed (CFT = disc harrow) immediately after harvest (this breaks the stubble up and stops moisture being lost from the soil through the stubble)</t>
        </r>
      </text>
    </comment>
    <comment ref="AR20" authorId="0" shapeId="0" xr:uid="{AAABE292-8B0C-4F93-84F4-C01A3B3D562C}">
      <text>
        <r>
          <rPr>
            <sz val="9"/>
            <color indexed="81"/>
            <rFont val="Tahoma"/>
            <family val="2"/>
          </rPr>
          <t xml:space="preserve">subsoil and drill
</t>
        </r>
        <r>
          <rPr>
            <b/>
            <sz val="9"/>
            <color indexed="81"/>
            <rFont val="Tahoma"/>
            <family val="2"/>
          </rPr>
          <t>CFT = subsoiler and roller packer</t>
        </r>
        <r>
          <rPr>
            <sz val="9"/>
            <color indexed="81"/>
            <rFont val="Tahoma"/>
            <family val="2"/>
          </rPr>
          <t xml:space="preserve"> (leave out the grain drill as the drill would be mounted on the subsoiler so this would not be a separate pass. There is often a roller on the subsoiler I think but in reality many farmers do a separate roll anyway).</t>
        </r>
      </text>
    </comment>
    <comment ref="C21" authorId="0" shapeId="0" xr:uid="{F7024E42-B981-48EB-B31A-A3A598C19FBA}">
      <text>
        <r>
          <rPr>
            <sz val="9"/>
            <color indexed="81"/>
            <rFont val="Tahoma"/>
            <family val="2"/>
          </rPr>
          <t>disc stale seedbed (CFT = disc harrow)
This will not only encourage BG germination but also OSR germination, thus controlling volunteer OSR too.</t>
        </r>
      </text>
    </comment>
    <comment ref="E21" authorId="0" shapeId="0" xr:uid="{FE13E6B9-9196-4714-8052-A43961A809D6}">
      <text>
        <r>
          <rPr>
            <sz val="9"/>
            <color indexed="81"/>
            <rFont val="Tahoma"/>
            <family val="2"/>
          </rPr>
          <t>roll stale seedbed after discing (CFT = roller packer)</t>
        </r>
      </text>
    </comment>
    <comment ref="V21" authorId="0" shapeId="0" xr:uid="{19F6D072-A37B-4118-AFB1-82E8218A3FD6}">
      <text>
        <r>
          <rPr>
            <sz val="9"/>
            <color indexed="81"/>
            <rFont val="Tahoma"/>
            <family val="2"/>
          </rPr>
          <t>30kg/ha at drilling</t>
        </r>
      </text>
    </comment>
    <comment ref="AA21" authorId="0" shapeId="0" xr:uid="{FAB372FA-E1C3-459A-8392-D71F26E885AB}">
      <text>
        <r>
          <rPr>
            <sz val="9"/>
            <color indexed="81"/>
            <rFont val="Tahoma"/>
            <family val="2"/>
          </rPr>
          <t>disc stale seedbed (CFT = disc harrow)
This will not only encourage BG germination but also OSR germination, thus controlling volunteer OSR too.</t>
        </r>
      </text>
    </comment>
    <comment ref="AT21" authorId="0" shapeId="0" xr:uid="{607169E7-3CAD-49BA-9F36-0C420178EAC1}">
      <text>
        <r>
          <rPr>
            <sz val="9"/>
            <color indexed="81"/>
            <rFont val="Tahoma"/>
            <family val="2"/>
          </rPr>
          <t>30kg/ha at drilling</t>
        </r>
      </text>
    </comment>
    <comment ref="AU21" authorId="0" shapeId="0" xr:uid="{F1681AA8-FB0B-4CA0-86DF-1192CBC53D6A}">
      <text>
        <r>
          <rPr>
            <b/>
            <sz val="9"/>
            <color indexed="81"/>
            <rFont val="Tahoma"/>
            <family val="2"/>
          </rPr>
          <t>Alexa Varah:</t>
        </r>
        <r>
          <rPr>
            <sz val="9"/>
            <color indexed="81"/>
            <rFont val="Tahoma"/>
            <family val="2"/>
          </rPr>
          <t xml:space="preserve">
(farmer would spray a BLW pre-em herbicide 3 days after drilling - leave this out as it's in the sundry costs in ECOMOD)</t>
        </r>
      </text>
    </comment>
    <comment ref="F22" authorId="0" shapeId="0" xr:uid="{5D453552-8B4B-4D05-876E-3643FF18155C}">
      <text>
        <r>
          <rPr>
            <sz val="9"/>
            <color indexed="81"/>
            <rFont val="Tahoma"/>
            <family val="2"/>
          </rPr>
          <t xml:space="preserve">2nd half Sep: glyphosate on stale seedbed (this is done 4-6 weeks after the disc operation. If it's wet, the BG will grow faster. A hig proportion of seeds won't germinate until early Oct). (Glyphosate is most commonly applied in second half of Sep. Most common date when harvest years 2012-2016 used OR when all harvest years used = </t>
        </r>
        <r>
          <rPr>
            <b/>
            <sz val="9"/>
            <color indexed="81"/>
            <rFont val="Tahoma"/>
            <family val="2"/>
          </rPr>
          <t>15th Sep</t>
        </r>
        <r>
          <rPr>
            <sz val="9"/>
            <color indexed="81"/>
            <rFont val="Tahoma"/>
            <family val="2"/>
          </rPr>
          <t xml:space="preserve">)
Glyphosate </t>
        </r>
        <r>
          <rPr>
            <b/>
            <sz val="9"/>
            <color indexed="81"/>
            <rFont val="Tahoma"/>
            <family val="2"/>
          </rPr>
          <t>360 g a.i./l</t>
        </r>
        <r>
          <rPr>
            <sz val="9"/>
            <color indexed="81"/>
            <rFont val="Tahoma"/>
            <family val="2"/>
          </rPr>
          <t xml:space="preserve">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K22" authorId="0" shapeId="0" xr:uid="{6A155EA8-CEA2-4242-BED8-402FBA5CFE0C}">
      <text>
        <r>
          <rPr>
            <sz val="9"/>
            <color indexed="81"/>
            <rFont val="Tahoma"/>
            <family val="2"/>
          </rPr>
          <t>17th Sep: disc stale seedbed (CFT = disc harrow) again soon after killing BG with glyphosate. Do it two days after gly spray</t>
        </r>
      </text>
    </comment>
    <comment ref="N22" authorId="0" shapeId="0" xr:uid="{FF430BE3-E7EF-4469-A720-E521634CEC3D}">
      <text>
        <r>
          <rPr>
            <sz val="9"/>
            <color indexed="81"/>
            <rFont val="Tahoma"/>
            <family val="2"/>
          </rPr>
          <t>roll stale seedbed after discing (CFT = roller packer)</t>
        </r>
      </text>
    </comment>
    <comment ref="O22" authorId="0" shapeId="0" xr:uid="{477BBB75-BDA0-4A96-97E1-FDE1CC5F0C7B}">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AC22" authorId="0" shapeId="0" xr:uid="{5A976B80-1F2B-4CEB-B868-D84767DC3021}">
      <text>
        <r>
          <rPr>
            <sz val="9"/>
            <color indexed="81"/>
            <rFont val="Tahoma"/>
            <family val="2"/>
          </rPr>
          <t>17th Sep: roll stale seedbed (CFT = roller packer)</t>
        </r>
      </text>
    </comment>
    <comment ref="AD22" authorId="0" shapeId="0" xr:uid="{C4DED766-A7AD-4EA3-9889-7C73627231F0}">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AI22" authorId="0" shapeId="0" xr:uid="{BC40B6B0-479E-45B3-BAB3-1B68A5121181}">
      <text>
        <r>
          <rPr>
            <sz val="9"/>
            <color indexed="81"/>
            <rFont val="Tahoma"/>
            <family val="2"/>
          </rPr>
          <t>17th Sep: disc stale seedbed (CFT = disc harrow) again soon after killing BG with glyphosate. Do it two days after gly spray</t>
        </r>
      </text>
    </comment>
    <comment ref="AM22" authorId="0" shapeId="0" xr:uid="{EF277EFA-A7CE-4B46-BE02-A41BECC9D172}">
      <text>
        <r>
          <rPr>
            <sz val="9"/>
            <color indexed="81"/>
            <rFont val="Tahoma"/>
            <family val="2"/>
          </rPr>
          <t xml:space="preserve">15th Sep: glyphosate on stale seedbed (this is done 4-6 weeks after the disc operation. If it's wet, the BG will grow faster. A hig proportion of seeds won't germinate until early Oct).
Glyphosate 360 g a.i./l
</t>
        </r>
        <r>
          <rPr>
            <b/>
            <sz val="9"/>
            <color indexed="81"/>
            <rFont val="Tahoma"/>
            <family val="2"/>
          </rPr>
          <t xml:space="preserve">Rate = 2 l/ha </t>
        </r>
        <r>
          <rPr>
            <sz val="9"/>
            <color indexed="81"/>
            <rFont val="Tahoma"/>
            <family val="2"/>
          </rPr>
          <t>if low density BG</t>
        </r>
        <r>
          <rPr>
            <b/>
            <sz val="9"/>
            <color indexed="81"/>
            <rFont val="Tahoma"/>
            <family val="2"/>
          </rPr>
          <t xml:space="preserve">
Rate = 3 l/ha </t>
        </r>
        <r>
          <rPr>
            <sz val="9"/>
            <color indexed="81"/>
            <rFont val="Tahoma"/>
            <family val="2"/>
          </rPr>
          <t>if high density BG</t>
        </r>
      </text>
    </comment>
    <comment ref="D24" authorId="0" shapeId="0" xr:uid="{3104B709-3A7B-41AA-9A1D-A7F05D6DDF58}">
      <text>
        <r>
          <rPr>
            <sz val="9"/>
            <color indexed="81"/>
            <rFont val="Tahoma"/>
            <family val="2"/>
          </rPr>
          <t xml:space="preserve">Min till / direct drill.
Drilling window 1st week October.
This allows stale seedbeds. 
</t>
        </r>
        <r>
          <rPr>
            <b/>
            <sz val="9"/>
            <color indexed="81"/>
            <rFont val="Tahoma"/>
            <family val="2"/>
          </rPr>
          <t>CFT = grain drill</t>
        </r>
        <r>
          <rPr>
            <sz val="9"/>
            <color indexed="81"/>
            <rFont val="Tahoma"/>
            <family val="2"/>
          </rPr>
          <t xml:space="preserve">
Roll after drilling.</t>
        </r>
      </text>
    </comment>
    <comment ref="E24" authorId="0" shapeId="0" xr:uid="{B0899A85-8FC5-4FFE-9446-3A20557E4D03}">
      <text>
        <r>
          <rPr>
            <sz val="9"/>
            <color indexed="81"/>
            <rFont val="Tahoma"/>
            <family val="2"/>
          </rPr>
          <t xml:space="preserve">Roll after drilling.
</t>
        </r>
        <r>
          <rPr>
            <b/>
            <sz val="9"/>
            <color indexed="81"/>
            <rFont val="Tahoma"/>
            <family val="2"/>
          </rPr>
          <t>CFT = roller packer</t>
        </r>
      </text>
    </comment>
    <comment ref="F24" authorId="0" shapeId="0" xr:uid="{8D54B3AD-27EA-4F17-B572-01C9EB854115}">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L24" authorId="0" shapeId="0" xr:uid="{D0072792-6CDA-4CE5-83D4-03AB49854716}">
      <text>
        <r>
          <rPr>
            <sz val="9"/>
            <color indexed="81"/>
            <rFont val="Tahoma"/>
            <family val="2"/>
          </rPr>
          <t xml:space="preserve">17th Oct: mouldboard plough + cultivate before drilling.
</t>
        </r>
        <r>
          <rPr>
            <b/>
            <sz val="9"/>
            <color indexed="81"/>
            <rFont val="Tahoma"/>
            <family val="2"/>
          </rPr>
          <t xml:space="preserve">CFT = moldboard_plough, </t>
        </r>
        <r>
          <rPr>
            <sz val="9"/>
            <color indexed="81"/>
            <rFont val="Tahoma"/>
            <family val="2"/>
          </rPr>
          <t xml:space="preserve">then followed by a separate pass with a  </t>
        </r>
        <r>
          <rPr>
            <b/>
            <sz val="9"/>
            <color indexed="81"/>
            <rFont val="Tahoma"/>
            <family val="2"/>
          </rPr>
          <t xml:space="preserve">roller_harrow
N.B. </t>
        </r>
        <r>
          <rPr>
            <sz val="9"/>
            <color indexed="81"/>
            <rFont val="Tahoma"/>
            <family val="2"/>
          </rPr>
          <t xml:space="preserve">there's little ploughing on heavy land. </t>
        </r>
        <r>
          <rPr>
            <b/>
            <sz val="9"/>
            <color indexed="81"/>
            <rFont val="Tahoma"/>
            <family val="2"/>
          </rPr>
          <t xml:space="preserve">In heavy soil, omit this plough and do no tillage - direct drill </t>
        </r>
        <r>
          <rPr>
            <sz val="9"/>
            <color indexed="81"/>
            <rFont val="Tahoma"/>
            <family val="2"/>
          </rPr>
          <t>(ref: Sarah Cook, ADAS, pers comm).</t>
        </r>
      </text>
    </comment>
    <comment ref="M24" authorId="0" shapeId="0" xr:uid="{787EC22C-9AC9-47B6-9D52-ABA3B14348F8}">
      <text>
        <r>
          <rPr>
            <sz val="9"/>
            <color indexed="81"/>
            <rFont val="Tahoma"/>
            <family val="2"/>
          </rPr>
          <t xml:space="preserve">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N24" authorId="0" shapeId="0" xr:uid="{F3787BC8-3983-4D10-BD95-878F881B1BDA}">
      <text>
        <r>
          <rPr>
            <sz val="9"/>
            <color indexed="81"/>
            <rFont val="Tahoma"/>
            <family val="2"/>
          </rPr>
          <t xml:space="preserve">Roll after drilling.
</t>
        </r>
        <r>
          <rPr>
            <b/>
            <sz val="9"/>
            <color indexed="81"/>
            <rFont val="Tahoma"/>
            <family val="2"/>
          </rPr>
          <t>CFT = roller packer</t>
        </r>
      </text>
    </comment>
    <comment ref="O24" authorId="0" shapeId="0" xr:uid="{E15D2BE4-3ECA-4CAE-B94D-234F4C96C3CE}">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W24" authorId="0" shapeId="0" xr:uid="{1FABEB5C-C689-44CD-8268-0E965A29D86E}">
      <text>
        <r>
          <rPr>
            <sz val="9"/>
            <color indexed="81"/>
            <rFont val="Tahoma"/>
            <family val="2"/>
          </rPr>
          <t xml:space="preserve">Oct: Clethodim (e.g. Centurion Max, 120g/l clethodim. </t>
        </r>
        <r>
          <rPr>
            <b/>
            <sz val="9"/>
            <color indexed="81"/>
            <rFont val="Tahoma"/>
            <family val="2"/>
          </rPr>
          <t>Rate = 1l/ha</t>
        </r>
        <r>
          <rPr>
            <sz val="9"/>
            <color indexed="81"/>
            <rFont val="Tahoma"/>
            <family val="2"/>
          </rPr>
          <t xml:space="preserve">)
(MOA: ACCase inhibitor)
</t>
        </r>
      </text>
    </comment>
    <comment ref="AB24" authorId="0" shapeId="0" xr:uid="{FD7B9B01-0BA3-46B1-84B8-A2548DDAD5A1}">
      <text>
        <r>
          <rPr>
            <sz val="9"/>
            <color indexed="81"/>
            <rFont val="Tahoma"/>
            <family val="2"/>
          </rPr>
          <t xml:space="preserve">Min till / direct 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AC24" authorId="0" shapeId="0" xr:uid="{9F7CCF95-C4FA-4D4B-965F-B6E8B4291565}">
      <text>
        <r>
          <rPr>
            <sz val="9"/>
            <color indexed="81"/>
            <rFont val="Tahoma"/>
            <family val="2"/>
          </rPr>
          <t xml:space="preserve">Roll after drilling.
</t>
        </r>
        <r>
          <rPr>
            <b/>
            <sz val="9"/>
            <color indexed="81"/>
            <rFont val="Tahoma"/>
            <family val="2"/>
          </rPr>
          <t>CFT = roller packer</t>
        </r>
      </text>
    </comment>
    <comment ref="AD24" authorId="0" shapeId="0" xr:uid="{2AA94669-B45D-4BDA-9961-B1690D19800C}">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AJ24" authorId="0" shapeId="0" xr:uid="{BFB0B729-5EA2-4F25-8BB9-76CF7E7828A6}">
      <text>
        <r>
          <rPr>
            <sz val="9"/>
            <color indexed="81"/>
            <rFont val="Tahoma"/>
            <family val="2"/>
          </rPr>
          <t xml:space="preserve">17th Oct: mouldboard plough + cultivate before drilling.
</t>
        </r>
        <r>
          <rPr>
            <b/>
            <sz val="9"/>
            <color indexed="81"/>
            <rFont val="Tahoma"/>
            <family val="2"/>
          </rPr>
          <t xml:space="preserve">CFT = moldboard_plough, </t>
        </r>
        <r>
          <rPr>
            <sz val="9"/>
            <color indexed="81"/>
            <rFont val="Tahoma"/>
            <family val="2"/>
          </rPr>
          <t xml:space="preserve">then followed by a separate pass with a  </t>
        </r>
        <r>
          <rPr>
            <b/>
            <sz val="9"/>
            <color indexed="81"/>
            <rFont val="Tahoma"/>
            <family val="2"/>
          </rPr>
          <t xml:space="preserve">roller_harrow
N.B. </t>
        </r>
        <r>
          <rPr>
            <sz val="9"/>
            <color indexed="81"/>
            <rFont val="Tahoma"/>
            <family val="2"/>
          </rPr>
          <t xml:space="preserve">Sarah Cook said there's little ploughing on heavy land. </t>
        </r>
        <r>
          <rPr>
            <b/>
            <sz val="9"/>
            <color indexed="81"/>
            <rFont val="Tahoma"/>
            <family val="2"/>
          </rPr>
          <t>In heavy soil, omit this plough and do no tillage - direct drill.</t>
        </r>
      </text>
    </comment>
    <comment ref="AK24" authorId="0" shapeId="0" xr:uid="{163541CD-5E6E-4AE6-A547-0A42565C810F}">
      <text>
        <r>
          <rPr>
            <sz val="9"/>
            <color indexed="81"/>
            <rFont val="Tahoma"/>
            <family val="2"/>
          </rPr>
          <t xml:space="preserve">Drill.
Drilling window 1st-15th October.
This allows stale seedbeds. 
</t>
        </r>
        <r>
          <rPr>
            <b/>
            <sz val="9"/>
            <color indexed="81"/>
            <rFont val="Tahoma"/>
            <family val="2"/>
          </rPr>
          <t>CFT = grain drill</t>
        </r>
        <r>
          <rPr>
            <sz val="9"/>
            <color indexed="81"/>
            <rFont val="Tahoma"/>
            <family val="2"/>
          </rPr>
          <t xml:space="preserve">
Roll after drilling.</t>
        </r>
      </text>
    </comment>
    <comment ref="AL24" authorId="0" shapeId="0" xr:uid="{2070A901-5CD0-4F8D-A1D4-1CF41361C5D8}">
      <text>
        <r>
          <rPr>
            <sz val="9"/>
            <color indexed="81"/>
            <rFont val="Tahoma"/>
            <family val="2"/>
          </rPr>
          <t xml:space="preserve">Roll after drilling.
</t>
        </r>
        <r>
          <rPr>
            <b/>
            <sz val="9"/>
            <color indexed="81"/>
            <rFont val="Tahoma"/>
            <family val="2"/>
          </rPr>
          <t>CFT = roller packer</t>
        </r>
      </text>
    </comment>
    <comment ref="AM24" authorId="0" shapeId="0" xr:uid="{9DDA5503-6340-4652-B07C-F23302920FD4}">
      <text>
        <r>
          <rPr>
            <sz val="9"/>
            <color indexed="81"/>
            <rFont val="Tahoma"/>
            <family val="2"/>
          </rPr>
          <t xml:space="preserve">15th Oct: glyphosate on stale seedbed.
Glyphosate 360 g a.i./l
</t>
        </r>
        <r>
          <rPr>
            <b/>
            <sz val="9"/>
            <color indexed="81"/>
            <rFont val="Tahoma"/>
            <family val="2"/>
          </rPr>
          <t>Rate = 2 l/ha if low density BG
Rate = 3 l/ha if high density BG</t>
        </r>
      </text>
    </comment>
    <comment ref="AU24" authorId="0" shapeId="0" xr:uid="{5CC2C3C6-F95C-45D8-A593-C3F2C6A14B35}">
      <text>
        <r>
          <rPr>
            <sz val="9"/>
            <color indexed="81"/>
            <rFont val="Tahoma"/>
            <family val="2"/>
          </rPr>
          <t xml:space="preserve">Oct: Clethodim (e.g. Centurion Max, 120g/l clethodim. Rate = 1l/ha)
(MOA: ACCase inhibitor)
</t>
        </r>
      </text>
    </comment>
    <comment ref="F25" authorId="0" shapeId="0" xr:uid="{23D85683-BB61-4FA3-ABB0-232BBAA6B775}">
      <text>
        <r>
          <rPr>
            <sz val="9"/>
            <color indexed="81"/>
            <rFont val="Tahoma"/>
            <family val="2"/>
          </rPr>
          <t xml:space="preserve">
Oct: Pre-em, tank mix Crystal (</t>
        </r>
        <r>
          <rPr>
            <b/>
            <sz val="9"/>
            <color indexed="81"/>
            <rFont val="Tahoma"/>
            <family val="2"/>
          </rPr>
          <t>rate = 4l/ha</t>
        </r>
        <r>
          <rPr>
            <sz val="9"/>
            <color indexed="81"/>
            <rFont val="Tahoma"/>
            <family val="2"/>
          </rPr>
          <t>) + Liberator (</t>
        </r>
        <r>
          <rPr>
            <b/>
            <sz val="9"/>
            <color indexed="81"/>
            <rFont val="Tahoma"/>
            <family val="2"/>
          </rPr>
          <t>rate = 0.6l/ha</t>
        </r>
        <r>
          <rPr>
            <sz val="9"/>
            <color indexed="81"/>
            <rFont val="Tahoma"/>
            <family val="2"/>
          </rPr>
          <t xml:space="preserve">)
pre-em within 48hrs of drilling 
</t>
        </r>
      </text>
    </comment>
    <comment ref="O25" authorId="0" shapeId="0" xr:uid="{05BB1EF1-5075-490D-AD71-470F2768213C}">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AD25" authorId="0" shapeId="0" xr:uid="{34F77B10-A4E9-4D76-87F3-9E8A1BD239E4}">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AM25" authorId="0" shapeId="0" xr:uid="{29881F7A-F3F1-4F30-9080-985995EE4EEF}">
      <text>
        <r>
          <rPr>
            <sz val="9"/>
            <color indexed="81"/>
            <rFont val="Tahoma"/>
            <family val="2"/>
          </rPr>
          <t xml:space="preserve">
Oct: tank mix Crystal (</t>
        </r>
        <r>
          <rPr>
            <b/>
            <sz val="9"/>
            <color indexed="81"/>
            <rFont val="Tahoma"/>
            <family val="2"/>
          </rPr>
          <t>rate = 4l/ha</t>
        </r>
        <r>
          <rPr>
            <sz val="9"/>
            <color indexed="81"/>
            <rFont val="Tahoma"/>
            <family val="2"/>
          </rPr>
          <t>) + DFF (</t>
        </r>
        <r>
          <rPr>
            <b/>
            <sz val="9"/>
            <color indexed="81"/>
            <rFont val="Tahoma"/>
            <family val="2"/>
          </rPr>
          <t>rate = 0.2l/ha</t>
        </r>
        <r>
          <rPr>
            <sz val="9"/>
            <color indexed="81"/>
            <rFont val="Tahoma"/>
            <family val="2"/>
          </rPr>
          <t xml:space="preserve">)
pre-em within 48hrs of drilling 
(MOAs: bleacher;  inhibit microtubule assembly; inhibit cell division)
</t>
        </r>
      </text>
    </comment>
    <comment ref="F26" authorId="0" shapeId="0" xr:uid="{B15997D4-E7A3-4BA5-AC6B-3E22728A7341}">
      <text>
        <r>
          <rPr>
            <sz val="9"/>
            <color indexed="81"/>
            <rFont val="Tahoma"/>
            <family val="2"/>
          </rPr>
          <t xml:space="preserve">Post-em: 
Atlantis (6 g/kg iodosulfuron-methyl-sodium, 30 g/kg mesosulfuron-methyl) 
</t>
        </r>
        <r>
          <rPr>
            <b/>
            <sz val="9"/>
            <color indexed="81"/>
            <rFont val="Tahoma"/>
            <family val="2"/>
          </rPr>
          <t>Rate = 0.4 kg/ha</t>
        </r>
      </text>
    </comment>
    <comment ref="O26" authorId="0" shapeId="0" xr:uid="{481ACDA3-259D-4F50-B652-0E3D0B33791C}">
      <text>
        <r>
          <rPr>
            <sz val="9"/>
            <color indexed="81"/>
            <rFont val="Tahoma"/>
            <family val="2"/>
          </rPr>
          <t xml:space="preserve">Post-em: 
Atlantis (6 g/kg iodosulfuron-methyl-sodium, 30 g/kg mesosulfuron-methyl) 
</t>
        </r>
        <r>
          <rPr>
            <b/>
            <sz val="9"/>
            <color indexed="81"/>
            <rFont val="Tahoma"/>
            <family val="2"/>
          </rPr>
          <t>Rate = 0.4 kg/ha</t>
        </r>
      </text>
    </comment>
    <comment ref="W26" authorId="0" shapeId="0" xr:uid="{AB7DB42E-B5D6-42C1-B8AB-2E2E9109E55B}">
      <text>
        <r>
          <rPr>
            <sz val="9"/>
            <color indexed="81"/>
            <rFont val="Tahoma"/>
            <family val="2"/>
          </rPr>
          <t xml:space="preserve">November 5th: Propyzamide (e.g. Kerb Flo 500, 500g/l propyzamide, max </t>
        </r>
        <r>
          <rPr>
            <b/>
            <sz val="9"/>
            <color indexed="81"/>
            <rFont val="Tahoma"/>
            <family val="2"/>
          </rPr>
          <t>rate = 1.7l/ha</t>
        </r>
        <r>
          <rPr>
            <sz val="9"/>
            <color indexed="81"/>
            <rFont val="Tahoma"/>
            <family val="2"/>
          </rPr>
          <t>)
(MOA: inhibit microtubule assembly)</t>
        </r>
      </text>
    </comment>
    <comment ref="AD26" authorId="0" shapeId="0" xr:uid="{C49C5363-31C1-48E0-86D0-768BF6502218}">
      <text>
        <r>
          <rPr>
            <sz val="9"/>
            <color indexed="81"/>
            <rFont val="Tahoma"/>
            <family val="2"/>
          </rPr>
          <t xml:space="preserve">Post-em: 
Atlantis (6 g/kg iodosulfuron-methyl-sodium, 30 g/kg mesosulfuron-methyl) 
</t>
        </r>
        <r>
          <rPr>
            <b/>
            <sz val="9"/>
            <color indexed="81"/>
            <rFont val="Tahoma"/>
            <family val="2"/>
          </rPr>
          <t>Rate = 0.4 kg/ha</t>
        </r>
      </text>
    </comment>
    <comment ref="AM26" authorId="0" shapeId="0" xr:uid="{6F934AAA-53B8-4CF2-8945-EC1173690080}">
      <text>
        <r>
          <rPr>
            <sz val="9"/>
            <color indexed="81"/>
            <rFont val="Tahoma"/>
            <family val="2"/>
          </rPr>
          <t xml:space="preserve">Post-em: 
Atlantis (6 g/kg iodosulfuron-methyl-sodium, 30 g/kg mesosulfuron-methyl) 
</t>
        </r>
        <r>
          <rPr>
            <b/>
            <sz val="9"/>
            <color indexed="81"/>
            <rFont val="Tahoma"/>
            <family val="2"/>
          </rPr>
          <t>Rate = 0.4 kg/ha</t>
        </r>
      </text>
    </comment>
    <comment ref="AU26" authorId="0" shapeId="0" xr:uid="{AE410D3F-4F32-496C-9D5E-13DBD7402E0C}">
      <text>
        <r>
          <rPr>
            <sz val="9"/>
            <color indexed="81"/>
            <rFont val="Tahoma"/>
            <family val="2"/>
          </rPr>
          <t>November 5th: Propyzamide (e.g. Kerb Flo 500, 500g/l propyzamide, max rate = 1.7l/ha)
(MOA: inhibit microtubule assembly)</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Alexa Varah</author>
    <author>tc={2B5A054E-A2E6-4C9D-A2E2-FDBCEE87E7D6}</author>
    <author>tc={1481BD78-0A3E-4D44-8DEC-D80BB0BCDBF0}</author>
    <author>tc={F3550905-01FC-4799-8874-A248548B1656}</author>
    <author>tc={687F6B2B-BFED-46BE-B502-BA4CB3A90202}</author>
    <author>tc={94C95FE2-2C5C-451C-A05F-F1C5746F7855}</author>
    <author>tc={FF835413-758B-45E8-B4E0-99D58FE8CA09}</author>
    <author>tc={666D2BA7-B07E-4B5C-AE4A-3D64C4C43135}</author>
    <author>tc={7E3A62A9-97C6-4C09-AA38-D562E2266727}</author>
    <author>tc={E09396E2-67D2-48EA-9B0B-3F2BEED57FD2}</author>
    <author>tc={B3F528DF-851E-4411-817D-BC5CB0739D99}</author>
    <author>tc={B6D07447-401F-4B70-B867-EDE49579E958}</author>
    <author>tc={EE163DC1-8BE0-410B-9A73-713EF934C31F}</author>
    <author>tc={5F87A13C-0D32-4E0F-8347-65FADAA6E347}</author>
    <author>tc={15D3F1C4-9E04-4F48-992A-8B5039BC28F7}</author>
    <author>tc={27FE8C55-4865-41B1-8AC2-6D1A258E8812}</author>
    <author>tc={7D022F65-3938-4DBA-8E84-1F567B2F4F21}</author>
  </authors>
  <commentList>
    <comment ref="D2" authorId="0" shapeId="0" xr:uid="{FA8B425E-9268-4E12-839B-374769165A05}">
      <text>
        <r>
          <rPr>
            <b/>
            <sz val="9"/>
            <color indexed="81"/>
            <rFont val="Tahoma"/>
            <family val="2"/>
          </rPr>
          <t>Alexa Varah:</t>
        </r>
        <r>
          <rPr>
            <sz val="9"/>
            <color indexed="81"/>
            <rFont val="Tahoma"/>
            <family val="2"/>
          </rPr>
          <t xml:space="preserve">
as opposed to HYBRID</t>
        </r>
      </text>
    </comment>
    <comment ref="G2" authorId="0" shapeId="0" xr:uid="{5A71BE0C-C1E5-472F-9D2B-8BE1A639624A}">
      <text>
        <r>
          <rPr>
            <b/>
            <sz val="9"/>
            <color indexed="81"/>
            <rFont val="Tahoma"/>
            <family val="2"/>
          </rPr>
          <t>Alexa Varah:</t>
        </r>
        <r>
          <rPr>
            <sz val="9"/>
            <color indexed="81"/>
            <rFont val="Tahoma"/>
            <family val="2"/>
          </rPr>
          <t xml:space="preserve">
as opposed to HYBRID</t>
        </r>
      </text>
    </comment>
    <comment ref="B5" authorId="1" shapeId="0" xr:uid="{2B5A054E-A2E6-4C9D-A2E2-FDBCEE87E7D6}">
      <text>
        <t>[Threaded comment]
Your version of Excel allows you to read this threaded comment; however, any edits to it will get removed if the file is opened in a newer version of Excel. Learn more: https://go.microsoft.com/fwlink/?linkid=870924
Comment:
    Our farmers, in recent years (2012-16), are very commonly using glyphosate in Sep and quite often in Oct too.
Glyphosate is most commonly applied in second half of Sep. Most common date when harvest years 2012-2016 used OR when all harvest years used = 15th Sep.</t>
      </text>
    </comment>
    <comment ref="C5" authorId="2" shapeId="0" xr:uid="{1481BD78-0A3E-4D44-8DEC-D80BB0BCDBF0}">
      <text>
        <t>[Threaded comment]
Your version of Excel allows you to read this threaded comment; however, any edits to it will get removed if the file is opened in a newer version of Excel. Learn more: https://go.microsoft.com/fwlink/?linkid=870924
Comment:
    Sarah Cook says most people do 20cm inversion</t>
      </text>
    </comment>
    <comment ref="E5" authorId="3" shapeId="0" xr:uid="{F3550905-01FC-4799-8874-A248548B1656}">
      <text>
        <t>[Threaded comment]
Your version of Excel allows you to read this threaded comment; however, any edits to it will get removed if the file is opened in a newer version of Excel. Learn more: https://go.microsoft.com/fwlink/?linkid=870924
Comment:
    Our farmers, in recent years (2012-16), are very commonly using glyphosate in Sep and quite often in Oct too.
Glyphosate is most commonly applied in second half of Sep. Most common date when harvest years 2012-2016 used OR when all harvest years used = 15th Sep.</t>
      </text>
    </comment>
    <comment ref="F5" authorId="4" shapeId="0" xr:uid="{687F6B2B-BFED-46BE-B502-BA4CB3A90202}">
      <text>
        <t>[Threaded comment]
Your version of Excel allows you to read this threaded comment; however, any edits to it will get removed if the file is opened in a newer version of Excel. Learn more: https://go.microsoft.com/fwlink/?linkid=870924
Comment:
    Sarah Cook says most people do 20cm inversion</t>
      </text>
    </comment>
    <comment ref="B6" authorId="5" shapeId="0" xr:uid="{94C95FE2-2C5C-451C-A05F-F1C5746F7855}">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C6" authorId="6" shapeId="0" xr:uid="{FF835413-758B-45E8-B4E0-99D58FE8CA09}">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D6" authorId="7" shapeId="0" xr:uid="{666D2BA7-B07E-4B5C-AE4A-3D64C4C43135}">
      <text>
        <t>[Threaded comment]
Your version of Excel allows you to read this threaded comment; however, any edits to it will get removed if the file is opened in a newer version of Excel. Learn more: https://go.microsoft.com/fwlink/?linkid=870924
Comment:
    AHDB OSR guide:
A target plant population of 25-35 plants/m2 can generally be achieved from 30-40 seeds/m2.
This is approx 80% emergence.
AHDB osr guide says optimal plant pop of 25-35 plants/m2</t>
      </text>
    </comment>
    <comment ref="E6" authorId="8" shapeId="0" xr:uid="{7E3A62A9-97C6-4C09-AA38-D562E2266727}">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F6" authorId="9" shapeId="0" xr:uid="{E09396E2-67D2-48EA-9B0B-3F2BEED57FD2}">
      <text>
        <t>[Threaded comment]
Your version of Excel allows you to read this threaded comment; however, any edits to it will get removed if the file is opened in a newer version of Excel. Learn more: https://go.microsoft.com/fwlink/?linkid=870924
Comment:
    BGRI data (for ww crops from harvest years 2009-2014, 2016) show the following ww drill dates:
- across all soil types = 278 (5th Oct)
- clay/heavy soil = 279 (6th Oct)
- medium/loamy soil = 277 (4th Oct)
- silty = 280 (7th Oct)
- sandy = 278 (5th Oct)</t>
      </text>
    </comment>
    <comment ref="G6" authorId="10" shapeId="0" xr:uid="{B3F528DF-851E-4411-817D-BC5CB0739D99}">
      <text>
        <t>[Threaded comment]
Your version of Excel allows you to read this threaded comment; however, any edits to it will get removed if the file is opened in a newer version of Excel. Learn more: https://go.microsoft.com/fwlink/?linkid=870924
Comment:
    AHDB OSR guide:
A target plant population of 25-35 plants/m2 can generally be achieved from 30-40 seeds/m2.
This is approx 80% emergence.
AHDB osr guide says optimal plant pop of 25-35 plants/m2</t>
      </text>
    </comment>
    <comment ref="B7" authorId="11" shapeId="0" xr:uid="{B6D07447-401F-4B70-B867-EDE49579E958}">
      <text>
        <t>[Threaded comment]
Your version of Excel allows you to read this threaded comment; however, any edits to it will get removed if the file is opened in a newer version of Excel. Learn more: https://go.microsoft.com/fwlink/?linkid=870924
Comment:
    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
      </text>
    </comment>
    <comment ref="E7" authorId="12" shapeId="0" xr:uid="{EE163DC1-8BE0-410B-9A73-713EF934C31F}">
      <text>
        <t>[Threaded comment]
Your version of Excel allows you to read this threaded comment; however, any edits to it will get removed if the file is opened in a newer version of Excel. Learn more: https://go.microsoft.com/fwlink/?linkid=870924
Comment:
    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
      </text>
    </comment>
    <comment ref="D8" authorId="13" shapeId="0" xr:uid="{5F87A13C-0D32-4E0F-8347-65FADAA6E347}">
      <text>
        <t>[Threaded comment]
Your version of Excel allows you to read this threaded comment; however, any edits to it will get removed if the file is opened in a newer version of Excel. Learn more: https://go.microsoft.com/fwlink/?linkid=870924
Comment:
    Avg total value our farmers are applying is 200kg N/ha but Ed Brooks reckons it's more realistic to use 220kgN/ha as a BAU scenario.</t>
      </text>
    </comment>
    <comment ref="G8" authorId="14" shapeId="0" xr:uid="{15D3F1C4-9E04-4F48-992A-8B5039BC28F7}">
      <text>
        <t>[Threaded comment]
Your version of Excel allows you to read this threaded comment; however, any edits to it will get removed if the file is opened in a newer version of Excel. Learn more: https://go.microsoft.com/fwlink/?linkid=870924
Comment:
    Avg total value our farmers are applying is 200kg N/ha but Ed Brooks reckons it's more realistic to use 220kgN/ha as a BAU scenario.</t>
      </text>
    </comment>
    <comment ref="B9" authorId="15" shapeId="0" xr:uid="{27FE8C55-4865-41B1-8AC2-6D1A258E8812}">
      <text>
        <t>[Threaded comment]
Your version of Excel allows you to read this threaded comment; however, any edits to it will get removed if the file is opened in a newer version of Excel. Learn more: https://go.microsoft.com/fwlink/?linkid=870924
Comment:
    (Sarah Cook at ADAS says most straw is chopped and spread)</t>
      </text>
    </comment>
    <comment ref="E9" authorId="16" shapeId="0" xr:uid="{7D022F65-3938-4DBA-8E84-1F567B2F4F21}">
      <text>
        <t>[Threaded comment]
Your version of Excel allows you to read this threaded comment; however, any edits to it will get removed if the file is opened in a newer version of Excel. Learn more: https://go.microsoft.com/fwlink/?linkid=870924
Comment:
    (Sarah Cook at ADAS says most straw is chopped and spread)</t>
      </text>
    </comment>
    <comment ref="B10" authorId="0" shapeId="0" xr:uid="{F0E64F80-3ED6-4E8C-B9C9-AFA192E7EDA0}">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C10" authorId="0" shapeId="0" xr:uid="{0BD19B81-0C6E-482A-BC47-663CEC9354C6}">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D10" authorId="0" shapeId="0" xr:uid="{61FE2A1D-212D-4E3B-8A54-796E59BFC865}">
      <text>
        <r>
          <rPr>
            <b/>
            <sz val="9"/>
            <color indexed="81"/>
            <rFont val="Tahoma"/>
            <family val="2"/>
          </rPr>
          <t>Alexa Varah:</t>
        </r>
        <r>
          <rPr>
            <sz val="9"/>
            <color indexed="81"/>
            <rFont val="Tahoma"/>
            <family val="2"/>
          </rPr>
          <t xml:space="preserve">
</t>
        </r>
        <r>
          <rPr>
            <b/>
            <u/>
            <sz val="9"/>
            <color indexed="81"/>
            <rFont val="Tahoma"/>
            <family val="2"/>
          </rPr>
          <t>Herbicide 1:</t>
        </r>
        <r>
          <rPr>
            <sz val="9"/>
            <color indexed="81"/>
            <rFont val="Tahoma"/>
            <family val="2"/>
          </rPr>
          <t xml:space="preserve">
</t>
        </r>
        <r>
          <rPr>
            <u/>
            <sz val="9"/>
            <color indexed="81"/>
            <rFont val="Tahoma"/>
            <family val="2"/>
          </rPr>
          <t>10 yrs mgmt history:</t>
        </r>
        <r>
          <rPr>
            <sz val="9"/>
            <color indexed="81"/>
            <rFont val="Tahoma"/>
            <family val="2"/>
          </rPr>
          <t xml:space="preserve"> propaquizafop most common h1, followed by tepraloxydim.
</t>
        </r>
        <r>
          <rPr>
            <u/>
            <sz val="9"/>
            <color indexed="81"/>
            <rFont val="Tahoma"/>
            <family val="2"/>
          </rPr>
          <t>Sarah Cook:</t>
        </r>
        <r>
          <rPr>
            <sz val="9"/>
            <color indexed="81"/>
            <rFont val="Tahoma"/>
            <family val="2"/>
          </rPr>
          <t xml:space="preserve"> she said Clethodim, but no records of our farmers using this
</t>
        </r>
        <r>
          <rPr>
            <u/>
            <sz val="9"/>
            <color indexed="81"/>
            <rFont val="Tahoma"/>
            <family val="2"/>
          </rPr>
          <t>date h1:</t>
        </r>
        <r>
          <rPr>
            <sz val="9"/>
            <color indexed="81"/>
            <rFont val="Tahoma"/>
            <family val="2"/>
          </rPr>
          <t xml:space="preserve"> 2nd week Oct (5th - 12th) most common application date range, 8th Oct most common date.
</t>
        </r>
        <r>
          <rPr>
            <b/>
            <u/>
            <sz val="9"/>
            <color indexed="81"/>
            <rFont val="Tahoma"/>
            <family val="2"/>
          </rPr>
          <t>Herbicide 2:</t>
        </r>
        <r>
          <rPr>
            <sz val="9"/>
            <color indexed="81"/>
            <rFont val="Tahoma"/>
            <family val="2"/>
          </rPr>
          <t xml:space="preserve">
</t>
        </r>
        <r>
          <rPr>
            <u/>
            <sz val="9"/>
            <color indexed="81"/>
            <rFont val="Tahoma"/>
            <family val="2"/>
          </rPr>
          <t>10 yrs mgmt history:</t>
        </r>
        <r>
          <rPr>
            <sz val="9"/>
            <color indexed="81"/>
            <rFont val="Tahoma"/>
            <family val="2"/>
          </rPr>
          <t xml:space="preserve"> propyzamide is the most common h2.
date h2: most common range 18th Oct - 3rd Dec, with peak 7-28th Nov and smaller peak 7-14th Nov. Go with 7th Nov.</t>
        </r>
      </text>
    </comment>
    <comment ref="E10" authorId="0" shapeId="0" xr:uid="{A4181E9F-BF3D-4D79-B9DB-89BFB1B70CF7}">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F10" authorId="0" shapeId="0" xr:uid="{DE027FC0-BB0D-49E1-B66E-74C1D767BD7A}">
      <text>
        <r>
          <rPr>
            <b/>
            <u/>
            <sz val="9"/>
            <color indexed="81"/>
            <rFont val="Tahoma"/>
            <family val="2"/>
          </rPr>
          <t>Herbicide 1</t>
        </r>
        <r>
          <rPr>
            <sz val="9"/>
            <color indexed="81"/>
            <rFont val="Tahoma"/>
            <family val="2"/>
          </rPr>
          <t xml:space="preserve">:
</t>
        </r>
        <r>
          <rPr>
            <u/>
            <sz val="9"/>
            <color indexed="81"/>
            <rFont val="Tahoma"/>
            <family val="2"/>
          </rPr>
          <t>Sarah Cook said:</t>
        </r>
        <r>
          <rPr>
            <sz val="9"/>
            <color indexed="81"/>
            <rFont val="Tahoma"/>
            <family val="2"/>
          </rPr>
          <t xml:space="preserve"> Crystal (flufenacet + pendimathalin) + DFF pre-em within 48 hrs drilling
</t>
        </r>
        <r>
          <rPr>
            <u/>
            <sz val="9"/>
            <color indexed="81"/>
            <rFont val="Tahoma"/>
            <family val="2"/>
          </rPr>
          <t>10 yrs mgmt history:</t>
        </r>
        <r>
          <rPr>
            <b/>
            <sz val="9"/>
            <color indexed="81"/>
            <rFont val="Tahoma"/>
            <family val="2"/>
          </rPr>
          <t xml:space="preserve"> </t>
        </r>
        <r>
          <rPr>
            <sz val="9"/>
            <color indexed="81"/>
            <rFont val="Tahoma"/>
            <family val="2"/>
          </rPr>
          <t xml:space="preserve">the most common h1 actives are flufenacet + pendimethalin (e.g. Crystal) and often in tank mix with more pendimethalin.
</t>
        </r>
        <r>
          <rPr>
            <u/>
            <sz val="9"/>
            <color indexed="81"/>
            <rFont val="Tahoma"/>
            <family val="2"/>
          </rPr>
          <t>2012-2016 mgmt history:</t>
        </r>
        <r>
          <rPr>
            <i/>
            <sz val="9"/>
            <color indexed="81"/>
            <rFont val="Tahoma"/>
            <family val="2"/>
          </rPr>
          <t xml:space="preserve"> </t>
        </r>
        <r>
          <rPr>
            <sz val="9"/>
            <color indexed="81"/>
            <rFont val="Tahoma"/>
            <family val="2"/>
          </rPr>
          <t xml:space="preserve">farmers are changing herbicide slightly: looking at herbicide 1 from farm history  (for h1 application in Sep, Oct or Nov), just over half of applications are flufenacet + diflufenican (e.g. Liberator), and over 50% </t>
        </r>
        <r>
          <rPr>
            <u/>
            <sz val="9"/>
            <color indexed="81"/>
            <rFont val="Tahoma"/>
            <family val="2"/>
          </rPr>
          <t>don't</t>
        </r>
        <r>
          <rPr>
            <sz val="9"/>
            <color indexed="81"/>
            <rFont val="Tahoma"/>
            <family val="2"/>
          </rPr>
          <t xml:space="preserve"> use a third active in tank mix.
However, where flufenacet and pendimethalin are used (e.g. Crystal) it's almost always in a tank mix with diflufenican (DFF). Flufenacet and pendimethalin used in just under 50% of recent cases.
</t>
        </r>
        <r>
          <rPr>
            <b/>
            <u/>
            <sz val="9"/>
            <color indexed="81"/>
            <rFont val="Tahoma"/>
            <family val="2"/>
          </rPr>
          <t xml:space="preserve">
Herbicide 2</t>
        </r>
        <r>
          <rPr>
            <sz val="9"/>
            <color indexed="81"/>
            <rFont val="Tahoma"/>
            <family val="2"/>
          </rPr>
          <t xml:space="preserve">: 
</t>
        </r>
        <r>
          <rPr>
            <u/>
            <sz val="9"/>
            <color indexed="81"/>
            <rFont val="Tahoma"/>
            <family val="2"/>
          </rPr>
          <t>Sarah Cook said:</t>
        </r>
        <r>
          <rPr>
            <sz val="9"/>
            <color indexed="81"/>
            <rFont val="Tahoma"/>
            <family val="2"/>
          </rPr>
          <t xml:space="preserve"> Atlantis + pendimethalin
</t>
        </r>
        <r>
          <rPr>
            <u/>
            <sz val="9"/>
            <color indexed="81"/>
            <rFont val="Tahoma"/>
            <family val="2"/>
          </rPr>
          <t>10 yrs mgmt history:</t>
        </r>
        <r>
          <rPr>
            <sz val="9"/>
            <color indexed="81"/>
            <rFont val="Tahoma"/>
            <family val="2"/>
          </rPr>
          <t xml:space="preserve"> for ww, most common actives in herbicide 2 from farm history (for h2 application in Mar or Apr) are Mesosulfuron-methyl &amp; Iodosulfuron-methyl-sodium (e.g. Atlantis). </t>
        </r>
        <r>
          <rPr>
            <b/>
            <sz val="9"/>
            <color indexed="81"/>
            <rFont val="Tahoma"/>
            <family val="2"/>
          </rPr>
          <t xml:space="preserve">Mostly, our farmers have just been using Atlantis and not adding pendimethalin. 
</t>
        </r>
        <r>
          <rPr>
            <u/>
            <sz val="9"/>
            <color indexed="81"/>
            <rFont val="Tahoma"/>
            <family val="2"/>
          </rPr>
          <t>2012-2016 mgmt history:</t>
        </r>
        <r>
          <rPr>
            <sz val="9"/>
            <color indexed="81"/>
            <rFont val="Tahoma"/>
            <family val="2"/>
          </rPr>
          <t xml:space="preserve"> In more recent years farmers are starting to add </t>
        </r>
        <r>
          <rPr>
            <b/>
            <sz val="9"/>
            <color indexed="81"/>
            <rFont val="Tahoma"/>
            <family val="2"/>
          </rPr>
          <t>diflufenican</t>
        </r>
        <r>
          <rPr>
            <sz val="9"/>
            <color indexed="81"/>
            <rFont val="Tahoma"/>
            <family val="2"/>
          </rPr>
          <t xml:space="preserve"> in tanx mixes with Atlantis.
</t>
        </r>
        <r>
          <rPr>
            <b/>
            <u/>
            <sz val="9"/>
            <color indexed="81"/>
            <rFont val="Tahoma"/>
            <family val="2"/>
          </rPr>
          <t xml:space="preserve">
OCTOBER</t>
        </r>
        <r>
          <rPr>
            <sz val="9"/>
            <color indexed="81"/>
            <rFont val="Tahoma"/>
            <family val="2"/>
          </rPr>
          <t xml:space="preserve">
Crystal is pendimethalin + flufenacet
</t>
        </r>
        <r>
          <rPr>
            <b/>
            <sz val="9"/>
            <color indexed="81"/>
            <rFont val="Tahoma"/>
            <family val="2"/>
          </rPr>
          <t xml:space="preserve">
Pendimethalin</t>
        </r>
        <r>
          <rPr>
            <sz val="9"/>
            <color indexed="81"/>
            <rFont val="Tahoma"/>
            <family val="2"/>
          </rPr>
          <t xml:space="preserve">
chem group: dinitroanilines
MOA: inhibits microtubule assembly. HRAC group K1
</t>
        </r>
        <r>
          <rPr>
            <b/>
            <sz val="9"/>
            <color indexed="81"/>
            <rFont val="Tahoma"/>
            <family val="2"/>
          </rPr>
          <t>Flufenacet</t>
        </r>
        <r>
          <rPr>
            <sz val="9"/>
            <color indexed="81"/>
            <rFont val="Tahoma"/>
            <family val="2"/>
          </rPr>
          <t xml:space="preserve">
chem group: oxyacetamide. 
MOA: Selective herbicide with meristematic activity. Inhibition of VLCFA (inhibition of cell division). HRAC K3
</t>
        </r>
        <r>
          <rPr>
            <b/>
            <sz val="9"/>
            <color indexed="81"/>
            <rFont val="Tahoma"/>
            <family val="2"/>
          </rPr>
          <t>DFF = Diflufenican</t>
        </r>
        <r>
          <rPr>
            <sz val="9"/>
            <color indexed="81"/>
            <rFont val="Tahoma"/>
            <family val="2"/>
          </rPr>
          <t xml:space="preserve">
chem group: piridincarboxamides.
MOA: Bleachers: inhibitors of carotene biosynthesis (PDS). HRAC group F1
</t>
        </r>
        <r>
          <rPr>
            <b/>
            <u/>
            <sz val="9"/>
            <color indexed="81"/>
            <rFont val="Tahoma"/>
            <family val="2"/>
          </rPr>
          <t xml:space="preserve">MARCH
</t>
        </r>
        <r>
          <rPr>
            <sz val="9"/>
            <color indexed="81"/>
            <rFont val="Tahoma"/>
            <family val="2"/>
          </rPr>
          <t xml:space="preserve">
</t>
        </r>
        <r>
          <rPr>
            <b/>
            <sz val="9"/>
            <color indexed="81"/>
            <rFont val="Tahoma"/>
            <family val="2"/>
          </rPr>
          <t>Atlantis</t>
        </r>
        <r>
          <rPr>
            <sz val="9"/>
            <color indexed="81"/>
            <rFont val="Tahoma"/>
            <family val="2"/>
          </rPr>
          <t xml:space="preserve"> (Mesosulfuron-methyl &amp; Iodosulfuron-methyl-sodium) 
Recorded resistance.
chem group: sulfonylurea
MOA: ALS inhibitor. Inhibits plant amino acid synthesis - acetohydroxyacid synthase AHAS. HRAC group B
</t>
        </r>
        <r>
          <rPr>
            <b/>
            <sz val="9"/>
            <color indexed="81"/>
            <rFont val="Tahoma"/>
            <family val="2"/>
          </rPr>
          <t>Pendimethalin</t>
        </r>
        <r>
          <rPr>
            <sz val="9"/>
            <color indexed="81"/>
            <rFont val="Tahoma"/>
            <family val="2"/>
          </rPr>
          <t xml:space="preserve">
chem group: dinitroanilines
MOA: inhibits microtubule assembly. HRAC group K1</t>
        </r>
      </text>
    </comment>
    <comment ref="G10" authorId="0" shapeId="0" xr:uid="{49410A65-BE13-489A-9B67-C336CA6B8DF4}">
      <text>
        <r>
          <rPr>
            <b/>
            <sz val="9"/>
            <color indexed="81"/>
            <rFont val="Tahoma"/>
            <family val="2"/>
          </rPr>
          <t>Alexa Varah:</t>
        </r>
        <r>
          <rPr>
            <sz val="9"/>
            <color indexed="81"/>
            <rFont val="Tahoma"/>
            <family val="2"/>
          </rPr>
          <t xml:space="preserve">
</t>
        </r>
        <r>
          <rPr>
            <b/>
            <u/>
            <sz val="9"/>
            <color indexed="81"/>
            <rFont val="Tahoma"/>
            <family val="2"/>
          </rPr>
          <t>Herbicide 1:</t>
        </r>
        <r>
          <rPr>
            <sz val="9"/>
            <color indexed="81"/>
            <rFont val="Tahoma"/>
            <family val="2"/>
          </rPr>
          <t xml:space="preserve">
</t>
        </r>
        <r>
          <rPr>
            <u/>
            <sz val="9"/>
            <color indexed="81"/>
            <rFont val="Tahoma"/>
            <family val="2"/>
          </rPr>
          <t>10 yrs mgmt history:</t>
        </r>
        <r>
          <rPr>
            <sz val="9"/>
            <color indexed="81"/>
            <rFont val="Tahoma"/>
            <family val="2"/>
          </rPr>
          <t xml:space="preserve"> propaquizafop most common h1, followed by tepraloxydim.
</t>
        </r>
        <r>
          <rPr>
            <u/>
            <sz val="9"/>
            <color indexed="81"/>
            <rFont val="Tahoma"/>
            <family val="2"/>
          </rPr>
          <t>Sarah Cook:</t>
        </r>
        <r>
          <rPr>
            <sz val="9"/>
            <color indexed="81"/>
            <rFont val="Tahoma"/>
            <family val="2"/>
          </rPr>
          <t xml:space="preserve"> she said Clethodim, but no records of our farmers using this
</t>
        </r>
        <r>
          <rPr>
            <u/>
            <sz val="9"/>
            <color indexed="81"/>
            <rFont val="Tahoma"/>
            <family val="2"/>
          </rPr>
          <t>date h1:</t>
        </r>
        <r>
          <rPr>
            <sz val="9"/>
            <color indexed="81"/>
            <rFont val="Tahoma"/>
            <family val="2"/>
          </rPr>
          <t xml:space="preserve"> 2nd week Oct (5th - 12th) most common application date range, 8th Oct most common date.
</t>
        </r>
        <r>
          <rPr>
            <b/>
            <u/>
            <sz val="9"/>
            <color indexed="81"/>
            <rFont val="Tahoma"/>
            <family val="2"/>
          </rPr>
          <t>Herbicide 2:</t>
        </r>
        <r>
          <rPr>
            <sz val="9"/>
            <color indexed="81"/>
            <rFont val="Tahoma"/>
            <family val="2"/>
          </rPr>
          <t xml:space="preserve">
</t>
        </r>
        <r>
          <rPr>
            <u/>
            <sz val="9"/>
            <color indexed="81"/>
            <rFont val="Tahoma"/>
            <family val="2"/>
          </rPr>
          <t>10 yrs mgmt history:</t>
        </r>
        <r>
          <rPr>
            <sz val="9"/>
            <color indexed="81"/>
            <rFont val="Tahoma"/>
            <family val="2"/>
          </rPr>
          <t xml:space="preserve"> propyzamide is the most common h2.
date h2: most common range 18th Oct - 3rd Dec, with peak 7-28th Nov and smaller peak 7-14th Nov. Go with 7th Nov.</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tc={C88DEE10-0D15-4276-9FE2-6EB82D555138}</author>
    <author>tc={367D39CE-66E5-477B-B49F-535CE2A24E64}</author>
    <author>tc={CE0C176F-692B-4742-8105-D9188D86196C}</author>
    <author>tc={57637C3C-79D4-42B0-B943-7D2A1226AE9A}</author>
    <author>tc={6A791313-41C3-4FB8-B0C7-694BCBB1A52A}</author>
    <author>tc={3A3DF678-1EC7-4282-9BC6-20EBBB15CC99}</author>
    <author>tc={42F0472D-38DE-4FDF-BE40-00B418CBF8B0}</author>
    <author>tc={41D7B0F1-330A-4974-8DD9-989657A57FEB}</author>
    <author>tc={00E1E2B6-CFB6-45F7-85A0-09A76E66A208}</author>
    <author>tc={C4CC2CE9-4544-4EFF-9CB6-A1E7D0D22034}</author>
    <author>Microsoft Office User</author>
    <author>tc={DB85308D-4A46-497A-AC58-55736EE90245}</author>
    <author>tc={379A17A6-4FB4-4673-A3FF-EE741FF632CF}</author>
    <author>tc={8312FB69-E37A-46B4-9AAF-A8043D7A8D67}</author>
  </authors>
  <commentList>
    <comment ref="AA14" authorId="0" shapeId="0" xr:uid="{C88DEE10-0D15-4276-9FE2-6EB82D555138}">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4" authorId="1" shapeId="0" xr:uid="{367D39CE-66E5-477B-B49F-535CE2A24E64}">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5" authorId="2" shapeId="0" xr:uid="{CE0C176F-692B-4742-8105-D9188D86196C}">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5" authorId="3" shapeId="0" xr:uid="{57637C3C-79D4-42B0-B943-7D2A1226AE9A}">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6" authorId="4" shapeId="0" xr:uid="{6A791313-41C3-4FB8-B0C7-694BCBB1A52A}">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6" authorId="5" shapeId="0" xr:uid="{3A3DF678-1EC7-4282-9BC6-20EBBB15CC99}">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8" authorId="6" shapeId="0" xr:uid="{42F0472D-38DE-4FDF-BE40-00B418CBF8B0}">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8" authorId="7" shapeId="0" xr:uid="{41D7B0F1-330A-4974-8DD9-989657A57FEB}">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8" shapeId="0" xr:uid="{00E1E2B6-CFB6-45F7-85A0-09A76E66A208}">
      <text>
        <t>[Threaded comment]
Your version of Excel allows you to read this threaded comment; however, any edits to it will get removed if the file is opened in a newer version of Excel. Learn more: https://go.microsoft.com/fwlink/?linkid=870924
Comment:
    400 g/l (36% w/w) a.i.</t>
      </text>
    </comment>
    <comment ref="AE19" authorId="9" shapeId="0" xr:uid="{C4CC2CE9-4544-4EFF-9CB6-A1E7D0D22034}">
      <text>
        <t>[Threaded comment]
Your version of Excel allows you to read this threaded comment; however, any edits to it will get removed if the file is opened in a newer version of Excel. Learn more: https://go.microsoft.com/fwlink/?linkid=870924
Comment:
    400 g/l (36% w/w)</t>
      </text>
    </comment>
    <comment ref="C46" authorId="10" shapeId="0" xr:uid="{D750DB65-5D72-4362-8163-88C337F3B7FA}">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47" authorId="10" shapeId="0" xr:uid="{BDECABA7-B526-4265-9ADD-2C88469E5D8D}">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48" authorId="10" shapeId="0" xr:uid="{87FC4F20-1442-4F3E-9925-E82FA0BFEBC6}">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49" authorId="10" shapeId="0" xr:uid="{3C3ABEE9-EBEF-4EF4-AD8B-F10C19A81632}">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50" authorId="11" shapeId="0" xr:uid="{DB85308D-4A46-497A-AC58-55736EE90245}">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50" authorId="12" shapeId="0" xr:uid="{379A17A6-4FB4-4673-A3FF-EE741FF632CF}">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51" authorId="13" shapeId="0" xr:uid="{8312FB69-E37A-46B4-9AAF-A8043D7A8D67}">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52" authorId="10" shapeId="0" xr:uid="{2D597CDC-3E7D-4292-AA78-B2D0F2FE1485}">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tc={28B05E85-0941-4351-A013-A6DC9C59C1D2}</author>
    <author>tc={800DA1CD-8161-475C-B138-6DC55495C1BD}</author>
    <author>tc={32E704FB-F944-4FCD-B9DA-05F6E163CB06}</author>
    <author>tc={9A2A979D-E548-42BE-9DD4-9E297DE8D551}</author>
    <author>tc={EB221ED3-8F1B-4CA7-98D7-2CE4A6394A8A}</author>
    <author>tc={5304DA32-1F60-4DFC-A588-1C1972E57951}</author>
    <author>tc={E1DF9216-74E4-4EE2-ACBB-55B23D613E2B}</author>
    <author>tc={CE42710E-3471-4950-BD27-7C794843C13F}</author>
    <author>tc={6705DF4E-2241-469A-81DA-CB47053DDF2A}</author>
    <author>tc={89360BB6-A571-41FE-B688-AF9CB3ED7A3D}</author>
    <author>tc={D461ADD9-B9A2-413F-86D8-07FC64DB8A02}</author>
    <author>tc={409E77A6-1897-4561-BE63-FD290E0ECFBB}</author>
    <author>tc={E1D2AFA2-A5FC-409E-97F9-D6FB52364CEC}</author>
    <author>tc={4EB4F9A2-0DCD-459A-9591-7270563D04E3}</author>
    <author>tc={2A491F52-7B50-4742-9423-3E68F282E09C}</author>
    <author>tc={FF1D27B2-E763-4352-84C8-60FF433ACF11}</author>
    <author>tc={50B8DF27-629B-4C15-A3D5-344105C0D496}</author>
    <author>tc={95DADE87-8F37-4FA7-B2D1-E3307087628B}</author>
    <author>tc={5416C84B-A984-4973-AA6B-CD1979869596}</author>
    <author>tc={BA4DED53-74CB-4EEB-AA89-6E245CC70628}</author>
    <author>tc={0EE215F0-4001-4925-BBAE-BEBB712761B2}</author>
    <author>tc={0B93AF59-4246-4768-9EFE-F7FDDDEE4E0B}</author>
    <author>tc={CA54C0F3-9067-4172-8F69-6FB0ABDE8C2B}</author>
    <author>tc={E5883DB9-7D92-4841-AF23-7A8DE5C92170}</author>
    <author>tc={A2E3E7AE-C3F9-4C14-A45D-145FF6FCA58D}</author>
    <author>tc={946A7436-A619-4C70-B46C-A18F43F4506D}</author>
    <author>tc={90E7CF0A-B908-4CCF-98C2-24EAAD55A4AF}</author>
    <author>tc={D64B6B6F-5794-43A2-A250-CDFC761CF0D0}</author>
    <author>Microsoft Office User</author>
    <author>tc={083A4089-E01A-41D9-B867-14020221833D}</author>
    <author>tc={51117CE2-9E6C-4D9B-9295-985423FDD1A9}</author>
    <author>tc={20973679-F69A-49CF-8DCC-526244BCA0A6}</author>
  </authors>
  <commentList>
    <comment ref="E11" authorId="0" shapeId="0" xr:uid="{28B05E85-0941-4351-A013-A6DC9C59C1D2}">
      <text>
        <t>[Threaded comment]
Your version of Excel allows you to read this threaded comment; however, any edits to it will get removed if the file is opened in a newer version of Excel. Learn more: https://go.microsoft.com/fwlink/?linkid=870924
Comment:
    AFAIK, Seed rate is not affected by soil type within 'Northern'.
As there are not yet verified 'low resistance' strategies, I can't tell if seed rate varies by this factor.</t>
      </text>
    </comment>
    <comment ref="N11" authorId="1" shapeId="0" xr:uid="{800DA1CD-8161-475C-B138-6DC55495C1BD}">
      <text>
        <t>[Threaded comment]
Your version of Excel allows you to read this threaded comment; however, any edits to it will get removed if the file is opened in a newer version of Excel. Learn more: https://go.microsoft.com/fwlink/?linkid=870924
Comment:
    It would seem that for the crops in northern regions, fertiliser remains consistent across all variables (soil type, BG density) ALthough low resistance was not compared as the data is not verified yet</t>
      </text>
    </comment>
    <comment ref="F13" authorId="2" shapeId="0" xr:uid="{32E704FB-F944-4FCD-B9DA-05F6E163CB06}">
      <text>
        <t>[Threaded comment]
Your version of Excel allows you to read this threaded comment; however, any edits to it will get removed if the file is opened in a newer version of Excel. Learn more: https://go.microsoft.com/fwlink/?linkid=870924
Comment:
    So far, no entries for WOSR at low density</t>
      </text>
    </comment>
    <comment ref="N13" authorId="3" shapeId="0" xr:uid="{9A2A979D-E548-42BE-9DD4-9E297DE8D551}">
      <text>
        <t>[Threaded comment]
Your version of Excel allows you to read this threaded comment; however, any edits to it will get removed if the file is opened in a newer version of Excel. Learn more: https://go.microsoft.com/fwlink/?linkid=870924
Comment:
    Note that the spreadsheet uses wosr as a substitute for the absent 'maize' variable. Maize has a different fertiliser rate to wosr, which will therefore not be reflected in the calculations.
This is relevant to scenarios Aii and Aii.i</t>
      </text>
    </comment>
    <comment ref="F15" authorId="4" shapeId="0" xr:uid="{EB221ED3-8F1B-4CA7-98D7-2CE4A6394A8A}">
      <text>
        <t>[Threaded comment]
Your version of Excel allows you to read this threaded comment; however, any edits to it will get removed if the file is opened in a newer version of Excel. Learn more: https://go.microsoft.com/fwlink/?linkid=870924
Comment:
    So far, no entried for this data type
Hereafter, to be replaced with 'NA'</t>
      </text>
    </comment>
    <comment ref="AA15" authorId="5" shapeId="0" xr:uid="{5304DA32-1F60-4DFC-A588-1C1972E57951}">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5" authorId="6" shapeId="0" xr:uid="{E1DF9216-74E4-4EE2-ACBB-55B23D613E2B}">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6" authorId="7" shapeId="0" xr:uid="{CE42710E-3471-4950-BD27-7C794843C13F}">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6" authorId="8" shapeId="0" xr:uid="{6705DF4E-2241-469A-81DA-CB47053DDF2A}">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7" authorId="9" shapeId="0" xr:uid="{89360BB6-A571-41FE-B688-AF9CB3ED7A3D}">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7" authorId="10" shapeId="0" xr:uid="{D461ADD9-B9A2-413F-86D8-07FC64DB8A02}">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11" shapeId="0" xr:uid="{409E77A6-1897-4561-BE63-FD290E0ECFBB}">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9" authorId="12" shapeId="0" xr:uid="{E1D2AFA2-A5FC-409E-97F9-D6FB52364CEC}">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N20" authorId="13" shapeId="0" xr:uid="{4EB4F9A2-0DCD-459A-9591-7270563D04E3}">
      <text>
        <t>[Threaded comment]
Your version of Excel allows you to read this threaded comment; however, any edits to it will get removed if the file is opened in a newer version of Excel. Learn more: https://go.microsoft.com/fwlink/?linkid=870924
Comment:
    This doesn't appear in Farmer Focus Strategies</t>
      </text>
    </comment>
    <comment ref="AA20" authorId="14" shapeId="0" xr:uid="{2A491F52-7B50-4742-9423-3E68F282E09C}">
      <text>
        <t>[Threaded comment]
Your version of Excel allows you to read this threaded comment; however, any edits to it will get removed if the file is opened in a newer version of Excel. Learn more: https://go.microsoft.com/fwlink/?linkid=870924
Comment:
    400 g/l (36% w/w) a.i.</t>
      </text>
    </comment>
    <comment ref="AE20" authorId="15" shapeId="0" xr:uid="{FF1D27B2-E763-4352-84C8-60FF433ACF11}">
      <text>
        <t>[Threaded comment]
Your version of Excel allows you to read this threaded comment; however, any edits to it will get removed if the file is opened in a newer version of Excel. Learn more: https://go.microsoft.com/fwlink/?linkid=870924
Comment:
    400 g/l (36% w/w)</t>
      </text>
    </comment>
    <comment ref="E21" authorId="16" shapeId="0" xr:uid="{50B8DF27-629B-4C15-A3D5-344105C0D496}">
      <text>
        <t>[Threaded comment]
Your version of Excel allows you to read this threaded comment; however, any edits to it will get removed if the file is opened in a newer version of Excel. Learn more: https://go.microsoft.com/fwlink/?linkid=870924
Comment:
    AFAIK, Drill date is not affected by soil type within 'Northern'.
As there are not yet verified 'low resistance' strategies, I can't tell if it varies by this factor.</t>
      </text>
    </comment>
    <comment ref="N24" authorId="17" shapeId="0" xr:uid="{95DADE87-8F37-4FA7-B2D1-E3307087628B}">
      <text>
        <t>[Threaded comment]
Your version of Excel allows you to read this threaded comment; however, any edits to it will get removed if the file is opened in a newer version of Excel. Learn more: https://go.microsoft.com/fwlink/?linkid=870924
Comment:
    This doesn't appear in Farmer Focus strategies</t>
      </text>
    </comment>
    <comment ref="C26" authorId="18" shapeId="0" xr:uid="{5416C84B-A984-4973-AA6B-CD1979869596}">
      <text>
        <t>[Threaded comment]
Your version of Excel allows you to read this threaded comment; however, any edits to it will get removed if the file is opened in a newer version of Excel. Learn more: https://go.microsoft.com/fwlink/?linkid=870924
Comment:
    The strategy for these soils hasn't been decided yet</t>
      </text>
    </comment>
    <comment ref="E29" authorId="19" shapeId="0" xr:uid="{BA4DED53-74CB-4EEB-AA89-6E245CC70628}">
      <text>
        <t>[Threaded comment]
Your version of Excel allows you to read this threaded comment; however, any edits to it will get removed if the file is opened in a newer version of Excel. Learn more: https://go.microsoft.com/fwlink/?linkid=870924
Comment:
    AFAIK, Tillage is not affected by soil type within 'Northern'.
As there are not yet verified 'low resistance' strategies, I can't tell if it varies by this factor.</t>
      </text>
    </comment>
    <comment ref="G33" authorId="20" shapeId="0" xr:uid="{0EE215F0-4001-4925-BBAE-BEBB712761B2}">
      <text>
        <t>[Threaded comment]
Your version of Excel allows you to read this threaded comment; however, any edits to it will get removed if the file is opened in a newer version of Excel. Learn more: https://go.microsoft.com/fwlink/?linkid=870924
Comment:
    Also direct drilling, but as this is analogous to no tillage and I can only pick 1, I went for the more invasive disking</t>
      </text>
    </comment>
    <comment ref="E38" authorId="21" shapeId="0" xr:uid="{0B93AF59-4246-4768-9EFE-F7FDDDEE4E0B}">
      <text>
        <t>[Threaded comment]
Your version of Excel allows you to read this threaded comment; however, any edits to it will get removed if the file is opened in a newer version of Excel. Learn more: https://go.microsoft.com/fwlink/?linkid=870924
Comment:
    AFAIK, specific herbicides is not affected by soil type within 'Northern'.
As there are not yet verified 'low resistance' strategies, I can't tell if it varies by this factor.
I also assumed that any herbicides which aren't glyphosate are in this category. This is through comparison with the BAU value of 8.4 for ww and then calculating the same value with the same method by looking at the Linear Presentation of rotations sheet.</t>
      </text>
    </comment>
    <comment ref="F39" authorId="22" shapeId="0" xr:uid="{CA54C0F3-9067-4172-8F69-6FB0ABDE8C2B}">
      <text>
        <t>[Threaded comment]
Your version of Excel allows you to read this threaded comment; however, any edits to it will get removed if the file is opened in a newer version of Excel. Learn more: https://go.microsoft.com/fwlink/?linkid=870924
Comment:
    Avadex usage isn't given in L/ha in farmer focus strategies, so I've decided to assume 1.5L/ha from 15Kg/ha</t>
      </text>
    </comment>
    <comment ref="G39" authorId="23" shapeId="0" xr:uid="{E5883DB9-7D92-4841-AF23-7A8DE5C92170}">
      <text>
        <t>[Threaded comment]
Your version of Excel allows you to read this threaded comment; however, any edits to it will get removed if the file is opened in a newer version of Excel. Learn more: https://go.microsoft.com/fwlink/?linkid=870924
Comment:
    Avadex usage isn't given in L/ha in farmer focus strategies, so I've decided to assume 1.5L/ha from 15Kg/ha
Reply:
    This should actually be 15 l/ha
Reply:
    This value was 4.80.
As Avadex should be 15l/ha, not 1.5l/ha, I'll subtract 1.5 from 4.80 and then add 15 to get the correct value</t>
      </text>
    </comment>
    <comment ref="E47" authorId="24" shapeId="0" xr:uid="{A2E3E7AE-C3F9-4C14-A45D-145FF6FCA58D}">
      <text>
        <t>[Threaded comment]
Your version of Excel allows you to read this threaded comment; however, any edits to it will get removed if the file is opened in a newer version of Excel. Learn more: https://go.microsoft.com/fwlink/?linkid=870924
Comment:
    AFAIK, glyphosate is not affected by soil type within 'Northern'.
As there are not yet verified 'low resistance' strategies, I can't tell if it varies by this factor.</t>
      </text>
    </comment>
    <comment ref="C53" authorId="25" shapeId="0" xr:uid="{946A7436-A619-4C70-B46C-A18F43F4506D}">
      <text>
        <t>[Threaded comment]
Your version of Excel allows you to read this threaded comment; however, any edits to it will get removed if the file is opened in a newer version of Excel. Learn more: https://go.microsoft.com/fwlink/?linkid=870924
Comment:
    The strategy for these soils hasn't been decided yet</t>
      </text>
    </comment>
    <comment ref="E56" authorId="26" shapeId="0" xr:uid="{90E7CF0A-B908-4CCF-98C2-24EAAD55A4AF}">
      <text>
        <t>[Threaded comment]
Your version of Excel allows you to read this threaded comment; however, any edits to it will get removed if the file is opened in a newer version of Excel. Learn more: https://go.microsoft.com/fwlink/?linkid=870924
Comment:
    AFAIK, glyphosate is not affected by soil type within 'Northern'.
As there are not yet verified 'low resistance' strategies, I can't tell if it varies by this factor.</t>
      </text>
    </comment>
    <comment ref="B68" authorId="27" shapeId="0" xr:uid="{D64B6B6F-5794-43A2-A250-CDFC761CF0D0}">
      <text>
        <t>[Threaded comment]
Your version of Excel allows you to read this threaded comment; however, any edits to it will get removed if the file is opened in a newer version of Excel. Learn more: https://go.microsoft.com/fwlink/?linkid=870924
Comment:
    The farmer focus strategies don't offer alternative data for these variables, so it is reasonable to assume it follows the BAU norms.</t>
      </text>
    </comment>
    <comment ref="C71" authorId="28" shapeId="0" xr:uid="{5DE20263-2A78-48E1-B54F-453E933272B0}">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72" authorId="28" shapeId="0" xr:uid="{D777D011-BFE0-4967-BAF8-1B0555E4C219}">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73" authorId="28" shapeId="0" xr:uid="{91274C66-EFBC-41C5-93E8-E40EE71C201D}">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74" authorId="28" shapeId="0" xr:uid="{2E4DE866-9D87-4F0C-8C3B-9BEF9D34E585}">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75" authorId="29" shapeId="0" xr:uid="{083A4089-E01A-41D9-B867-14020221833D}">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75" authorId="30" shapeId="0" xr:uid="{51117CE2-9E6C-4D9B-9295-985423FDD1A9}">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76" authorId="31" shapeId="0" xr:uid="{20973679-F69A-49CF-8DCC-526244BCA0A6}">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77" authorId="28" shapeId="0" xr:uid="{CA2F6040-71B6-4BB0-8649-8213ECF816B6}">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tc={8A59506E-64FA-4C61-A903-E990C429C3F3}</author>
    <author>tc={53414C1B-19F4-447A-84B5-E87907067741}</author>
    <author>tc={E4021A35-2D46-4D59-A99B-81830E10DF72}</author>
    <author>tc={C354CF88-9F07-4C34-8BF8-E62FA957D4DD}</author>
    <author>tc={3BAE2EA6-B0DE-4E43-99A6-A2977E4F2B0C}</author>
    <author>tc={E58B36EB-50F2-4B73-ADF4-47EE96E90AB9}</author>
    <author>tc={257092B4-CC09-4346-8502-41EDFCD064F8}</author>
    <author>tc={1A929A61-530C-4C24-B2A7-740A23EDA070}</author>
    <author>tc={073DA24E-94C8-4225-BF3A-8ED541B65BAA}</author>
    <author>tc={26CB7542-BC8C-405A-AD42-A1ABAA9ACC00}</author>
    <author>tc={4F1FC985-5C0B-41B5-ACCA-37836BBDE6D2}</author>
    <author>Microsoft Office User</author>
    <author>tc={6291F395-329C-489E-99F3-2669E0BCB69C}</author>
    <author>tc={32A45938-B846-4D01-A8B1-48F10B185C01}</author>
    <author>tc={F2C06311-499F-4F2F-9A83-1394C248B7FF}</author>
  </authors>
  <commentList>
    <comment ref="D15" authorId="0" shapeId="0" xr:uid="{8A59506E-64FA-4C61-A903-E990C429C3F3}">
      <text>
        <t>[Threaded comment]
Your version of Excel allows you to read this threaded comment; however, any edits to it will get removed if the file is opened in a newer version of Excel. Learn more: https://go.microsoft.com/fwlink/?linkid=870924
Comment:
    How do I code for this?</t>
      </text>
    </comment>
    <comment ref="AA15" authorId="1" shapeId="0" xr:uid="{53414C1B-19F4-447A-84B5-E87907067741}">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E15" authorId="2" shapeId="0" xr:uid="{E4021A35-2D46-4D59-A99B-81830E10DF72}">
      <text>
        <t>[Threaded comment]
Your version of Excel allows you to read this threaded comment; however, any edits to it will get removed if the file is opened in a newer version of Excel. Learn more: https://go.microsoft.com/fwlink/?linkid=870924
Comment:
    60 g/l flufenacet and 300 g/l pendimethalin</t>
      </text>
    </comment>
    <comment ref="AA16" authorId="3" shapeId="0" xr:uid="{C354CF88-9F07-4C34-8BF8-E62FA957D4DD}">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E16" authorId="4" shapeId="0" xr:uid="{3BAE2EA6-B0DE-4E43-99A6-A2977E4F2B0C}">
      <text>
        <t>[Threaded comment]
Your version of Excel allows you to read this threaded comment; however, any edits to it will get removed if the file is opened in a newer version of Excel. Learn more: https://go.microsoft.com/fwlink/?linkid=870924
Comment:
    400 g/L flufenacet and 100 g/L diflufenican</t>
      </text>
    </comment>
    <comment ref="AA17" authorId="5" shapeId="0" xr:uid="{E58B36EB-50F2-4B73-ADF4-47EE96E90AB9}">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7" authorId="6" shapeId="0" xr:uid="{257092B4-CC09-4346-8502-41EDFCD064F8}">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19" authorId="7" shapeId="0" xr:uid="{1A929A61-530C-4C24-B2A7-740A23EDA070}">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E19" authorId="8" shapeId="0" xr:uid="{073DA24E-94C8-4225-BF3A-8ED541B65BAA}">
      <text>
        <t>[Threaded comment]
Your version of Excel allows you to read this threaded comment; however, any edits to it will get removed if the file is opened in a newer version of Excel. Learn more: https://go.microsoft.com/fwlink/?linkid=870924
Comment:
    30 g/kg mesosulfuron-methyl and
6 g/kg iodosulfuron-methyl-sodium</t>
      </text>
    </comment>
    <comment ref="AA20" authorId="9" shapeId="0" xr:uid="{26CB7542-BC8C-405A-AD42-A1ABAA9ACC00}">
      <text>
        <t>[Threaded comment]
Your version of Excel allows you to read this threaded comment; however, any edits to it will get removed if the file is opened in a newer version of Excel. Learn more: https://go.microsoft.com/fwlink/?linkid=870924
Comment:
    400 g/l (36% w/w) a.i.</t>
      </text>
    </comment>
    <comment ref="AE20" authorId="10" shapeId="0" xr:uid="{4F1FC985-5C0B-41B5-ACCA-37836BBDE6D2}">
      <text>
        <t>[Threaded comment]
Your version of Excel allows you to read this threaded comment; however, any edits to it will get removed if the file is opened in a newer version of Excel. Learn more: https://go.microsoft.com/fwlink/?linkid=870924
Comment:
    400 g/l (36% w/w)</t>
      </text>
    </comment>
    <comment ref="C73" authorId="11" shapeId="0" xr:uid="{EC435021-A45F-47D8-9433-EF075ADA5048}">
      <text>
        <r>
          <rPr>
            <b/>
            <sz val="10"/>
            <color rgb="FF000000"/>
            <rFont val="Tahoma"/>
            <family val="2"/>
          </rPr>
          <t>Microsoft Office User:</t>
        </r>
        <r>
          <rPr>
            <sz val="10"/>
            <color rgb="FF000000"/>
            <rFont val="Tahoma"/>
            <family val="2"/>
          </rPr>
          <t xml:space="preserve">
</t>
        </r>
        <r>
          <rPr>
            <sz val="10"/>
            <color rgb="FF000000"/>
            <rFont val="Tahoma"/>
            <family val="2"/>
          </rPr>
          <t>DEFRA Doc p.7</t>
        </r>
      </text>
    </comment>
    <comment ref="C74" authorId="11" shapeId="0" xr:uid="{4F55D2C8-E7D8-4C7B-8BC7-503D7DB17D93}">
      <text>
        <r>
          <rPr>
            <b/>
            <sz val="10"/>
            <color rgb="FF000000"/>
            <rFont val="Tahoma"/>
            <family val="2"/>
          </rPr>
          <t>Microsoft Office User:</t>
        </r>
        <r>
          <rPr>
            <sz val="10"/>
            <color rgb="FF000000"/>
            <rFont val="Tahoma"/>
            <family val="2"/>
          </rPr>
          <t xml:space="preserve">
</t>
        </r>
        <r>
          <rPr>
            <sz val="10"/>
            <color rgb="FF000000"/>
            <rFont val="Tahoma"/>
            <family val="2"/>
          </rPr>
          <t>DEFRA Doc p.29</t>
        </r>
      </text>
    </comment>
    <comment ref="C75" authorId="11" shapeId="0" xr:uid="{BBE4FE1E-B774-4186-8707-0FE3B0E47332}">
      <text>
        <r>
          <rPr>
            <b/>
            <sz val="10"/>
            <color rgb="FF000000"/>
            <rFont val="Tahoma"/>
            <family val="2"/>
          </rPr>
          <t>Microsoft Office User:</t>
        </r>
        <r>
          <rPr>
            <sz val="10"/>
            <color rgb="FF000000"/>
            <rFont val="Tahoma"/>
            <family val="2"/>
          </rPr>
          <t xml:space="preserve">
</t>
        </r>
        <r>
          <rPr>
            <sz val="10"/>
            <color rgb="FF000000"/>
            <rFont val="Tahoma"/>
            <family val="2"/>
          </rPr>
          <t>DEFRA Doc p.49</t>
        </r>
      </text>
    </comment>
    <comment ref="C76" authorId="11" shapeId="0" xr:uid="{4FF1A386-1E65-4DB1-8F77-D8AFB6B57B26}">
      <text>
        <r>
          <rPr>
            <b/>
            <sz val="10"/>
            <color rgb="FF000000"/>
            <rFont val="Tahoma"/>
            <family val="2"/>
          </rPr>
          <t>Microsoft Office User:</t>
        </r>
        <r>
          <rPr>
            <sz val="10"/>
            <color rgb="FF000000"/>
            <rFont val="Tahoma"/>
            <family val="2"/>
          </rPr>
          <t xml:space="preserve">
</t>
        </r>
        <r>
          <rPr>
            <sz val="10"/>
            <color rgb="FF000000"/>
            <rFont val="Tahoma"/>
            <family val="2"/>
          </rPr>
          <t>DEFRA Doc p.11</t>
        </r>
      </text>
    </comment>
    <comment ref="E77" authorId="12" shapeId="0" xr:uid="{6291F395-329C-489E-99F3-2669E0BCB69C}">
      <text>
        <t>[Threaded comment]
Your version of Excel allows you to read this threaded comment; however, any edits to it will get removed if the file is opened in a newer version of Excel. Learn more: https://go.microsoft.com/fwlink/?linkid=870924
Comment:
    BGRI data only had two occurrences of spring OSR</t>
      </text>
    </comment>
    <comment ref="G77" authorId="13" shapeId="0" xr:uid="{32A45938-B846-4D01-A8B1-48F10B185C01}">
      <text>
        <t>[Threaded comment]
Your version of Excel allows you to read this threaded comment; however, any edits to it will get removed if the file is opened in a newer version of Excel. Learn more: https://go.microsoft.com/fwlink/?linkid=870924
Comment:
    This row uses data from winter OSR</t>
      </text>
    </comment>
    <comment ref="G78" authorId="14" shapeId="0" xr:uid="{F2C06311-499F-4F2F-9A83-1394C248B7FF}">
      <text>
        <t>[Threaded comment]
Your version of Excel allows you to read this threaded comment; however, any edits to it will get removed if the file is opened in a newer version of Excel. Learn more: https://go.microsoft.com/fwlink/?linkid=870924
Comment:
    This row uses data from winter beans</t>
      </text>
    </comment>
    <comment ref="C79" authorId="11" shapeId="0" xr:uid="{2E0AEFDF-8795-412E-9FB5-9ACA6FDBEF3B}">
      <text>
        <r>
          <rPr>
            <b/>
            <sz val="10"/>
            <color rgb="FF000000"/>
            <rFont val="Tahoma"/>
            <family val="2"/>
          </rPr>
          <t>Microsoft Office User:</t>
        </r>
        <r>
          <rPr>
            <sz val="10"/>
            <color rgb="FF000000"/>
            <rFont val="Tahoma"/>
            <family val="2"/>
          </rPr>
          <t xml:space="preserve">
</t>
        </r>
        <r>
          <rPr>
            <sz val="10"/>
            <color rgb="FF000000"/>
            <rFont val="Tahoma"/>
            <family val="2"/>
          </rPr>
          <t>DEFRA Doc p.15</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tc={CBAB1A0F-B52A-41E7-81F3-086611F74AF7}</author>
  </authors>
  <commentList>
    <comment ref="D7" authorId="0" shapeId="0" xr:uid="{CBAB1A0F-B52A-41E7-81F3-086611F74AF7}">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tc={F1FDC1B2-629F-4251-A3C5-6BB41A66AFD1}</author>
    <author>tc={5BE24725-41EA-49B3-93AE-758EAB7DEB69}</author>
    <author>tc={4596B939-DC53-4A0F-981C-F434D787A783}</author>
    <author>tc={B668A0A3-50DC-42D0-A094-65AB7508A90F}</author>
    <author>tc={6392E1EB-20E5-4417-A14E-371C3E67B91D}</author>
    <author>tc={D3DD46C7-BE81-4722-B240-400F5B8B9373}</author>
    <author>tc={DA1F2CEF-B374-42B7-A30E-77B888DDA157}</author>
    <author>tc={2A3157F5-5014-4FF7-9BCA-88BC688772BE}</author>
    <author>tc={A1492E7B-CFE3-4979-87EF-AC6C30FD4F31}</author>
    <author>tc={BAA98CDB-67B0-49C5-9205-ED2F4664C9C3}</author>
    <author>tc={60FA2F30-9F22-49C9-9DF3-462BDDA7F59B}</author>
    <author>tc={0B7EDEEB-DDF2-4840-9135-7FD241767C80}</author>
    <author>tc={7DEF4155-3D04-4E21-829D-4D9404316F86}</author>
  </authors>
  <commentList>
    <comment ref="M3" authorId="0" shapeId="0" xr:uid="{F1FDC1B2-629F-4251-A3C5-6BB41A66AFD1}">
      <text>
        <t>[Threaded comment]
Your version of Excel allows you to read this threaded comment; however, any edits to it will get removed if the file is opened in a newer version of Excel. Learn more: https://go.microsoft.com/fwlink/?linkid=870924
Comment:
    Basically all of this data has been queried in some way</t>
      </text>
    </comment>
    <comment ref="N4" authorId="1" shapeId="0" xr:uid="{5BE24725-41EA-49B3-93AE-758EAB7DEB69}">
      <text>
        <t>[Threaded comment]
Your version of Excel allows you to read this threaded comment; however, any edits to it will get removed if the file is opened in a newer version of Excel. Learn more: https://go.microsoft.com/fwlink/?linkid=870924
Comment:
    Atlantis at 0.4 kg/ha is assumed to be 0.4L/Ha</t>
      </text>
    </comment>
    <comment ref="O4" authorId="2" shapeId="0" xr:uid="{4596B939-DC53-4A0F-981C-F434D787A783}">
      <text>
        <t>[Threaded comment]
Your version of Excel allows you to read this threaded comment; however, any edits to it will get removed if the file is opened in a newer version of Excel. Learn more: https://go.microsoft.com/fwlink/?linkid=870924
Comment:
    1 or 4.4 (year 4 is 4.4)</t>
      </text>
    </comment>
    <comment ref="P4" authorId="3" shapeId="0" xr:uid="{B668A0A3-50DC-42D0-A094-65AB7508A90F}">
      <text>
        <t>[Threaded comment]
Your version of Excel allows you to read this threaded comment; however, any edits to it will get removed if the file is opened in a newer version of Excel. Learn more: https://go.microsoft.com/fwlink/?linkid=870924
Comment:
    1 or 4.4 (year 4 is 4.4)</t>
      </text>
    </comment>
    <comment ref="I6" authorId="4" shapeId="0" xr:uid="{6392E1EB-20E5-4417-A14E-371C3E67B91D}">
      <text>
        <t>[Threaded comment]
Your version of Excel allows you to read this threaded comment; however, any edits to it will get removed if the file is opened in a newer version of Excel. Learn more: https://go.microsoft.com/fwlink/?linkid=870924
Comment:
    Assumes Avadex = 15L/Ha</t>
      </text>
    </comment>
    <comment ref="O6" authorId="5" shapeId="0" xr:uid="{D3DD46C7-BE81-4722-B240-400F5B8B9373}">
      <text>
        <t>[Threaded comment]
Your version of Excel allows you to read this threaded comment; however, any edits to it will get removed if the file is opened in a newer version of Excel. Learn more: https://go.microsoft.com/fwlink/?linkid=870924
Comment:
    Missing SOme Data</t>
      </text>
    </comment>
    <comment ref="P6" authorId="6" shapeId="0" xr:uid="{DA1F2CEF-B374-42B7-A30E-77B888DDA157}">
      <text>
        <t>[Threaded comment]
Your version of Excel allows you to read this threaded comment; however, any edits to it will get removed if the file is opened in a newer version of Excel. Learn more: https://go.microsoft.com/fwlink/?linkid=870924
Comment:
    Missing SOme Data</t>
      </text>
    </comment>
    <comment ref="D7" authorId="7" shapeId="0" xr:uid="{2A3157F5-5014-4FF7-9BCA-88BC688772BE}">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O9" authorId="8" shapeId="0" xr:uid="{A1492E7B-CFE3-4979-87EF-AC6C30FD4F31}">
      <text>
        <t>[Threaded comment]
Your version of Excel allows you to read this threaded comment; however, any edits to it will get removed if the file is opened in a newer version of Excel. Learn more: https://go.microsoft.com/fwlink/?linkid=870924
Comment:
    Missing some data</t>
      </text>
    </comment>
    <comment ref="P9" authorId="9" shapeId="0" xr:uid="{BAA98CDB-67B0-49C5-9205-ED2F4664C9C3}">
      <text>
        <t>[Threaded comment]
Your version of Excel allows you to read this threaded comment; however, any edits to it will get removed if the file is opened in a newer version of Excel. Learn more: https://go.microsoft.com/fwlink/?linkid=870924
Comment:
    Missing some data</t>
      </text>
    </comment>
    <comment ref="F11" authorId="10" shapeId="0" xr:uid="{60FA2F30-9F22-49C9-9DF3-462BDDA7F59B}">
      <text>
        <t>[Threaded comment]
Your version of Excel allows you to read this threaded comment; however, any edits to it will get removed if the file is opened in a newer version of Excel. Learn more: https://go.microsoft.com/fwlink/?linkid=870924
Comment:
    Assumes that the 3Kg/Ha of Crawler is equivalent to 3L/Ha</t>
      </text>
    </comment>
    <comment ref="K11" authorId="11" shapeId="0" xr:uid="{0B7EDEEB-DDF2-4840-9135-7FD241767C80}">
      <text>
        <t>[Threaded comment]
Your version of Excel allows you to read this threaded comment; however, any edits to it will get removed if the file is opened in a newer version of Excel. Learn more: https://go.microsoft.com/fwlink/?linkid=870924
Comment:
    Assumes Crawler 2.5 kg/ha is equivalent to 2.5L/Ha</t>
      </text>
    </comment>
    <comment ref="C12" authorId="12" shapeId="0" xr:uid="{7DEF4155-3D04-4E21-829D-4D9404316F86}">
      <text>
        <t>[Threaded comment]
Your version of Excel allows you to read this threaded comment; however, any edits to it will get removed if the file is opened in a newer version of Excel. Learn more: https://go.microsoft.com/fwlink/?linkid=870924
Comment:
    Substitute variable for Maize
Reply:
    But only in Northern and High D High R</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tc={3A19ADA0-91AA-4E8D-857F-A752755CBD2E}</author>
    <author>tc={3505AA52-F425-44E0-B8AB-F87F2AAC1B81}</author>
    <author>tc={46DB489A-9B18-492F-82D3-DCDC6F9D0C12}</author>
    <author>tc={51E04910-26B5-493C-BDA4-D29A924172D2}</author>
  </authors>
  <commentList>
    <comment ref="F4" authorId="0" shapeId="0" xr:uid="{3A19ADA0-91AA-4E8D-857F-A752755CBD2E}">
      <text>
        <t>[Threaded comment]
Your version of Excel allows you to read this threaded comment; however, any edits to it will get removed if the file is opened in a newer version of Excel. Learn more: https://go.microsoft.com/fwlink/?linkid=870924
Comment:
    Can also be 3.3 depending on the year it is used
Reply:
    Also assumes that final patch spraying is 0.3L/Ha, rather than the stated 3L/Ha</t>
      </text>
    </comment>
    <comment ref="I4" authorId="1" shapeId="0" xr:uid="{3505AA52-F425-44E0-B8AB-F87F2AAC1B81}">
      <text>
        <t>[Threaded comment]
Your version of Excel allows you to read this threaded comment; however, any edits to it will get removed if the file is opened in a newer version of Excel. Learn more: https://go.microsoft.com/fwlink/?linkid=870924
Comment:
    Or just 6, depending on the year (year 6 is 6, others are 6.3)</t>
      </text>
    </comment>
    <comment ref="D7" authorId="2" shapeId="0" xr:uid="{46DB489A-9B18-492F-82D3-DCDC6F9D0C12}">
      <text>
        <t>[Threaded comment]
Your version of Excel allows you to read this threaded comment; however, any edits to it will get removed if the file is opened in a newer version of Excel. Learn more: https://go.microsoft.com/fwlink/?linkid=870924
Comment:
    This is actually 'Spring Oats' but no such variable is coded into ECOMOD</t>
      </text>
    </comment>
    <comment ref="F16" authorId="3" shapeId="0" xr:uid="{51E04910-26B5-493C-BDA4-D29A924172D2}">
      <text>
        <t>[Threaded comment]
Your version of Excel allows you to read this threaded comment; however, any edits to it will get removed if the file is opened in a newer version of Excel. Learn more: https://go.microsoft.com/fwlink/?linkid=870924
Comment:
    Assumes that final patch spraying is 0.3L/Ha, rather than the 3L/Ha stated</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tc={4D89A335-FCBD-4F23-9D30-E4285B2F2B2D}</author>
    <author>tc={0D9A7A83-3ED9-4CF4-90D2-8FA8B3322221}</author>
    <author>tc={E8E2D29E-12B2-463A-9FB7-7303AE49E1F5}</author>
    <author>tc={1A57F678-64AE-4DD2-B659-F8F716D5B9EC}</author>
  </authors>
  <commentList>
    <comment ref="J6" authorId="0" shapeId="0" xr:uid="{4D89A335-FCBD-4F23-9D30-E4285B2F2B2D}">
      <text>
        <t>[Threaded comment]
Your version of Excel allows you to read this threaded comment; however, any edits to it will get removed if the file is opened in a newer version of Excel. Learn more: https://go.microsoft.com/fwlink/?linkid=870924
Comment:
    changed this</t>
      </text>
    </comment>
    <comment ref="O6" authorId="1" shapeId="0" xr:uid="{0D9A7A83-3ED9-4CF4-90D2-8FA8B3322221}">
      <text>
        <t>[Threaded comment]
Your version of Excel allows you to read this threaded comment; however, any edits to it will get removed if the file is opened in a newer version of Excel. Learn more: https://go.microsoft.com/fwlink/?linkid=870924
Comment:
    changed this</t>
      </text>
    </comment>
    <comment ref="P6" authorId="2" shapeId="0" xr:uid="{E8E2D29E-12B2-463A-9FB7-7303AE49E1F5}">
      <text>
        <t>[Threaded comment]
Your version of Excel allows you to read this threaded comment; however, any edits to it will get removed if the file is opened in a newer version of Excel. Learn more: https://go.microsoft.com/fwlink/?linkid=870924
Comment:
    changed this</t>
      </text>
    </comment>
    <comment ref="C16" authorId="3" shapeId="0" xr:uid="{1A57F678-64AE-4DD2-B659-F8F716D5B9EC}">
      <text>
        <t>[Threaded comment]
Your version of Excel allows you to read this threaded comment; however, any edits to it will get removed if the file is opened in a newer version of Excel. Learn more: https://go.microsoft.com/fwlink/?linkid=870924
Comment:
    this should just be 'peas'. We're asssuming blue peas.</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tc={42611F2E-3600-42EE-BE3D-40E76DA5BC18}</author>
    <author>tc={2F307BAD-74F1-46FE-9965-036E4C3720B9}</author>
    <author>tc={BC7D9D0A-2396-4971-88A3-FE93389017CC}</author>
    <author>tc={D99E64C8-FF9E-4072-A911-2C0D0075CD6B}</author>
    <author>tc={A11DC4BF-2D1C-43A2-88BD-AFC84E33FA25}</author>
    <author>tc={2037E436-5EB4-4BBE-9BCA-6B240364FA1E}</author>
    <author>tc={D20094D8-FFE7-4846-923F-C0FF6805ABD0}</author>
    <author>tc={C3DB265C-8BCC-4862-A67B-6C6F9005109A}</author>
    <author>tc={07A6B36F-DD31-4FE6-A5E2-8C5E2517E752}</author>
    <author>tc={B82F1BDA-4AC2-408F-B113-BD469EA7DD32}</author>
    <author>tc={2A119E94-3158-4384-820F-C96E18120360}</author>
    <author>tc={968BB58D-1BEB-4047-ADB6-37D91931CBE3}</author>
    <author>tc={CCCDC32D-AFEF-407A-BEA1-6907DE4B1545}</author>
    <author>tc={676C626F-5643-4517-BA09-9D8D4E98DD4D}</author>
    <author>tc={4D9FD83C-08EB-4BCA-A214-A1C502560C10}</author>
    <author>tc={C9A74F43-8208-47DD-9B1D-4537A3361DF2}</author>
    <author>tc={44F938AE-FCA2-453C-A6B5-B0D92B6D98BC}</author>
    <author>tc={CA091986-D1D0-4065-BB99-B7D9FCEC93FD}</author>
    <author>tc={6DA559FD-C5C0-4BDE-9B9C-B73B8980C86B}</author>
    <author>tc={5863A568-8367-473B-91DE-B5F2871DAB31}</author>
    <author>tc={114AB3BA-A96C-4168-B673-9D152E22B2E2}</author>
    <author>tc={6671A594-B99F-4D91-BF39-027570273696}</author>
    <author>tc={85787000-9FB2-4A20-B62E-6B8E8E8D7083}</author>
    <author>tc={9532BA5F-3A47-4F96-9DA0-A942E66B2CE4}</author>
    <author>tc={824C4D4B-71EE-450F-8389-673508F0072C}</author>
    <author>tc={D2630015-3F60-451C-B9D2-CF238CC20E22}</author>
    <author>tc={7F841E59-A41C-44B3-914F-42CCBB8744D3}</author>
    <author>tc={3BEDF471-6DA2-47FD-B542-755C53E2AEC8}</author>
    <author>tc={93DA2D72-4772-4921-9F22-C75419768F3F}</author>
    <author>tc={B84643C0-3D2A-4565-A3C4-3FB4D1FBA48E}</author>
    <author>tc={5788CD26-E4DB-46DC-BE69-75AC4B8D6122}</author>
    <author>tc={2BD63899-BA5A-4C17-B3F3-7E0A9B7D9628}</author>
    <author>tc={A928ACED-E449-4886-9139-E1C95798C5D2}</author>
    <author>tc={C050ADDD-908C-4432-BC9E-1172356084CA}</author>
    <author>tc={29984392-5C90-47AC-A4B8-378596E435D2}</author>
  </authors>
  <commentList>
    <comment ref="H3" authorId="0" shapeId="0" xr:uid="{42611F2E-3600-42EE-BE3D-40E76DA5BC18}">
      <text>
        <t>[Threaded comment]
Your version of Excel allows you to read this threaded comment; however, any edits to it will get removed if the file is opened in a newer version of Excel. Learn more: https://go.microsoft.com/fwlink/?linkid=870924
Comment:
    Data from Nix, 2019</t>
      </text>
    </comment>
    <comment ref="F5" authorId="1" shapeId="0" xr:uid="{2F307BAD-74F1-46FE-9965-036E4C3720B9}">
      <text>
        <t>[Threaded comment]
Your version of Excel allows you to read this threaded comment; however, any edits to it will get removed if the file is opened in a newer version of Excel. Learn more: https://go.microsoft.com/fwlink/?linkid=870924
Comment:
    Wasn't actually used in Farmer Focus strategies, but was used to make the formulae work</t>
      </text>
    </comment>
    <comment ref="G8" authorId="2" shapeId="0" xr:uid="{BC7D9D0A-2396-4971-88A3-FE93389017CC}">
      <text>
        <t>[Threaded comment]
Your version of Excel allows you to read this threaded comment; however, any edits to it will get removed if the file is opened in a newer version of Excel. Learn more: https://go.microsoft.com/fwlink/?linkid=870924
Comment:
    assume that winter beans are grown for forage: about 70% of the UK winter bean market goes to animal feed (http://www.winter-beans.co.uk/markets/4594194808)</t>
      </text>
    </comment>
    <comment ref="G9" authorId="3" shapeId="0" xr:uid="{D99E64C8-FF9E-4072-A911-2C0D0075CD6B}">
      <text>
        <t>[Threaded comment]
Your version of Excel allows you to read this threaded comment; however, any edits to it will get removed if the file is opened in a newer version of Excel. Learn more: https://go.microsoft.com/fwlink/?linkid=870924
Comment:
    almost all spring beans are aimed at the human consumption market</t>
      </text>
    </comment>
    <comment ref="F12" authorId="4" shapeId="0" xr:uid="{A11DC4BF-2D1C-43A2-88BD-AFC84E33FA25}">
      <text>
        <t>[Threaded comment]
Your version of Excel allows you to read this threaded comment; however, any edits to it will get removed if the file is opened in a newer version of Excel. Learn more: https://go.microsoft.com/fwlink/?linkid=870924
Comment:
    Wasn't actually used in Farmer Focus strategies, but was used to make the formulae work.</t>
      </text>
    </comment>
    <comment ref="G16" authorId="5" shapeId="0" xr:uid="{2037E436-5EB4-4BBE-9BCA-6B240364FA1E}">
      <text>
        <t>[Threaded comment]
Your version of Excel allows you to read this threaded comment; however, any edits to it will get removed if the file is opened in a newer version of Excel. Learn more: https://go.microsoft.com/fwlink/?linkid=870924
Comment:
    Assume blue peas - so used for human consumption</t>
      </text>
    </comment>
    <comment ref="F18" authorId="6" shapeId="0" xr:uid="{D20094D8-FFE7-4846-923F-C0FF6805ABD0}">
      <text>
        <t>[Threaded comment]
Your version of Excel allows you to read this threaded comment; however, any edits to it will get removed if the file is opened in a newer version of Excel. Learn more: https://go.microsoft.com/fwlink/?linkid=870924
Comment:
    Maize and oats weren't actually ECOMOD crops, but they were in the farmer focus strategies</t>
      </text>
    </comment>
    <comment ref="H18" authorId="7" shapeId="0" xr:uid="{C3DB265C-8BCC-4862-A67B-6C6F9005109A}">
      <text>
        <t>[Threaded comment]
Your version of Excel allows you to read this threaded comment; however, any edits to it will get removed if the file is opened in a newer version of Excel. Learn more: https://go.microsoft.com/fwlink/?linkid=870924
Comment:
    This is for grain Maize</t>
      </text>
    </comment>
    <comment ref="G19" authorId="8" shapeId="0" xr:uid="{07A6B36F-DD31-4FE6-A5E2-8C5E2517E752}">
      <text>
        <t>[Threaded comment]
Your version of Excel allows you to read this threaded comment; however, any edits to it will get removed if the file is opened in a newer version of Excel. Learn more: https://go.microsoft.com/fwlink/?linkid=870924
Comment:
    assume spring oats are for feed</t>
      </text>
    </comment>
    <comment ref="H19" authorId="9" shapeId="0" xr:uid="{B82F1BDA-4AC2-408F-B113-BD469EA7DD32}">
      <text>
        <t>[Threaded comment]
Your version of Excel allows you to read this threaded comment; however, any edits to it will get removed if the file is opened in a newer version of Excel. Learn more: https://go.microsoft.com/fwlink/?linkid=870924
Comment:
    Scenario Ai is the only one to use oats, and they use spring oats. Therefore, the value for 'oats' corresponds to Spring Oats.</t>
      </text>
    </comment>
    <comment ref="H24" authorId="10" shapeId="0" xr:uid="{2A119E94-3158-4384-820F-C96E18120360}">
      <text>
        <t>[Threaded comment]
Your version of Excel allows you to read this threaded comment; however, any edits to it will get removed if the file is opened in a newer version of Excel. Learn more: https://go.microsoft.com/fwlink/?linkid=870924
Comment:
    Updated this on 14/02/2020. It was prev 11% but ABC 2019 suggests 10% (compare yields p11 &amp; 12). (For info Nix 2019 says 8%, top page 6)</t>
      </text>
    </comment>
    <comment ref="F38" authorId="11" shapeId="0" xr:uid="{968BB58D-1BEB-4047-ADB6-37D91931CBE3}">
      <text>
        <t>[Threaded comment]
Your version of Excel allows you to read this threaded comment; however, any edits to it will get removed if the file is opened in a newer version of Excel. Learn more: https://go.microsoft.com/fwlink/?linkid=870924
Comment:
    Maize is not mentioned in the BGRI data, so is assumed to be no penalty</t>
      </text>
    </comment>
    <comment ref="F39" authorId="12" shapeId="0" xr:uid="{CCCDC32D-AFEF-407A-BEA1-6907DE4B1545}">
      <text>
        <t>[Threaded comment]
Your version of Excel allows you to read this threaded comment; however, any edits to it will get removed if the file is opened in a newer version of Excel. Learn more: https://go.microsoft.com/fwlink/?linkid=870924
Comment:
    Oats are not mentioned in the BGRI data, so is assumed to be no penalty</t>
      </text>
    </comment>
    <comment ref="M42" authorId="13" shapeId="0" xr:uid="{676C626F-5643-4517-BA09-9D8D4E98DD4D}">
      <text>
        <t>[Threaded comment]
Your version of Excel allows you to read this threaded comment; however, any edits to it will get removed if the file is opened in a newer version of Excel. Learn more: https://go.microsoft.com/fwlink/?linkid=870924
Comment:
    THESE ARE THE VALUES FRO SPRING LINSEED! FIX!!!
Reply:
    Fixed</t>
      </text>
    </comment>
    <comment ref="R42" authorId="14" shapeId="0" xr:uid="{4D9FD83C-08EB-4BCA-A214-A1C502560C10}">
      <text>
        <t>[Threaded comment]
Your version of Excel allows you to read this threaded comment; however, any edits to it will get removed if the file is opened in a newer version of Excel. Learn more: https://go.microsoft.com/fwlink/?linkid=870924
Comment:
    Calculations for year 1. Calculations for year 6 differ</t>
      </text>
    </comment>
    <comment ref="AL42" authorId="15" shapeId="0" xr:uid="{C9A74F43-8208-47DD-9B1D-4537A3361DF2}">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1 figures given here</t>
      </text>
    </comment>
    <comment ref="AQ42" authorId="16" shapeId="0" xr:uid="{44F938AE-FCA2-453C-A6B5-B0D92B6D98BC}">
      <text>
        <t>[Threaded comment]
Your version of Excel allows you to read this threaded comment; however, any edits to it will get removed if the file is opened in a newer version of Excel. Learn more: https://go.microsoft.com/fwlink/?linkid=870924
Comment:
    Year 1 and year 4 values differ</t>
      </text>
    </comment>
    <comment ref="BA42" authorId="17" shapeId="0" xr:uid="{CA091986-D1D0-4065-BB99-B7D9FCEC93FD}">
      <text>
        <t>[Threaded comment]
Your version of Excel allows you to read this threaded comment; however, any edits to it will get removed if the file is opened in a newer version of Excel. Learn more: https://go.microsoft.com/fwlink/?linkid=870924
Comment:
    Year 1 and year 4 values differ. Year 1 values given</t>
      </text>
    </comment>
    <comment ref="ER42" authorId="18" shapeId="0" xr:uid="{6DA559FD-C5C0-4BDE-9B9C-B73B8980C86B}">
      <text>
        <t>[Threaded comment]
Your version of Excel allows you to read this threaded comment; however, any edits to it will get removed if the file is opened in a newer version of Excel. Learn more: https://go.microsoft.com/fwlink/?linkid=870924
Comment:
    There was no data in the herbicides cell of Farmer Focus Strategies so I've left this as 0
Reply:
    This remained the case in the newest strategy document as well</t>
      </text>
    </comment>
    <comment ref="GZ42" authorId="19" shapeId="0" xr:uid="{5863A568-8367-473B-91DE-B5F2871DAB31}">
      <text>
        <t>[Threaded comment]
Your version of Excel allows you to read this threaded comment; however, any edits to it will get removed if the file is opened in a newer version of Excel. Learn more: https://go.microsoft.com/fwlink/?linkid=870924
Comment:
    changed this from EAST to NORTH</t>
      </text>
    </comment>
    <comment ref="CP44" authorId="20" shapeId="0" xr:uid="{114AB3BA-A96C-4168-B673-9D152E22B2E2}">
      <text>
        <t>[Threaded comment]
Your version of Excel allows you to read this threaded comment; however, any edits to it will get removed if the file is opened in a newer version of Excel. Learn more: https://go.microsoft.com/fwlink/?linkid=870924
Comment:
    changed all these from 3 to 2</t>
      </text>
    </comment>
    <comment ref="AB46" authorId="21" shapeId="0" xr:uid="{6671A594-B99F-4D91-BF39-027570273696}">
      <text>
        <t>[Threaded comment]
Your version of Excel allows you to read this threaded comment; however, any edits to it will get removed if the file is opened in a newer version of Excel. Learn more: https://go.microsoft.com/fwlink/?linkid=870924
Comment:
    inserted this</t>
      </text>
    </comment>
    <comment ref="BB46" authorId="22" shapeId="0" xr:uid="{85787000-9FB2-4A20-B62E-6B8E8E8D7083}">
      <text>
        <t>[Threaded comment]
Your version of Excel allows you to read this threaded comment; however, any edits to it will get removed if the file is opened in a newer version of Excel. Learn more: https://go.microsoft.com/fwlink/?linkid=870924
Comment:
    0.4kg/ha given - assumed to be 0.4l/ha</t>
      </text>
    </comment>
    <comment ref="GL46" authorId="23" shapeId="0" xr:uid="{9532BA5F-3A47-4F96-9DA0-A942E66B2CE4}">
      <text>
        <t>[Threaded comment]
Your version of Excel allows you to read this threaded comment; however, any edits to it will get removed if the file is opened in a newer version of Excel. Learn more: https://go.microsoft.com/fwlink/?linkid=870924
Comment:
    changed this from 4.5 to 4</t>
      </text>
    </comment>
    <comment ref="GQ46" authorId="24" shapeId="0" xr:uid="{824C4D4B-71EE-450F-8389-673508F0072C}">
      <text>
        <t>[Threaded comment]
Your version of Excel allows you to read this threaded comment; however, any edits to it will get removed if the file is opened in a newer version of Excel. Learn more: https://go.microsoft.com/fwlink/?linkid=870924
Comment:
    changed this from 4.5 to 4</t>
      </text>
    </comment>
    <comment ref="AB48" authorId="25" shapeId="0" xr:uid="{D2630015-3F60-451C-B9D2-CF238CC20E22}">
      <text>
        <t>[Threaded comment]
Your version of Excel allows you to read this threaded comment; however, any edits to it will get removed if the file is opened in a newer version of Excel. Learn more: https://go.microsoft.com/fwlink/?linkid=870924
Comment:
    changed this</t>
      </text>
    </comment>
    <comment ref="AX48" authorId="26" shapeId="0" xr:uid="{7F841E59-A41C-44B3-914F-42CCBB8744D3}">
      <text>
        <t>[Threaded comment]
Your version of Excel allows you to read this threaded comment; however, any edits to it will get removed if the file is opened in a newer version of Excel. Learn more: https://go.microsoft.com/fwlink/?linkid=870924
Comment:
    Concentration/weight of active ingredient for flufenacet not give, so 400g/l is assumed as that appeared to be what most commercial products had.</t>
      </text>
    </comment>
    <comment ref="CT48" authorId="27" shapeId="0" xr:uid="{3BEDF471-6DA2-47FD-B542-755C53E2AEC8}">
      <text>
        <t>[Threaded comment]
Your version of Excel allows you to read this threaded comment; however, any edits to it will get removed if the file is opened in a newer version of Excel. Learn more: https://go.microsoft.com/fwlink/?linkid=870924
Comment:
    inserted this</t>
      </text>
    </comment>
    <comment ref="BK49" authorId="28" shapeId="0" xr:uid="{93DA2D72-4772-4921-9F22-C75419768F3F}">
      <text>
        <t>[Threaded comment]
Your version of Excel allows you to read this threaded comment; however, any edits to it will get removed if the file is opened in a newer version of Excel. Learn more: https://go.microsoft.com/fwlink/?linkid=870924
Comment:
    added this</t>
      </text>
    </comment>
    <comment ref="AR51" authorId="29" shapeId="0" xr:uid="{B84643C0-3D2A-4565-A3C4-3FB4D1FBA48E}">
      <text>
        <t>[Threaded comment]
Your version of Excel allows you to read this threaded comment; however, any edits to it will get removed if the file is opened in a newer version of Excel. Learn more: https://go.microsoft.com/fwlink/?linkid=870924
Comment:
    changed this</t>
      </text>
    </comment>
    <comment ref="R58" authorId="30" shapeId="0" xr:uid="{5788CD26-E4DB-46DC-BE69-75AC4B8D6122}">
      <text>
        <t>[Threaded comment]
Your version of Excel allows you to read this threaded comment; however, any edits to it will get removed if the file is opened in a newer version of Excel. Learn more: https://go.microsoft.com/fwlink/?linkid=870924
Comment:
    Calculations for year 1. Calculations for year 6 differ
Reply:
    Actually they don't differ - think I updated the Farmer Focus data once I'd checked the actual sheets from the workshop.</t>
      </text>
    </comment>
    <comment ref="AL58" authorId="31" shapeId="0" xr:uid="{2BD63899-BA5A-4C17-B3F3-7E0A9B7D9628}">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4 figures given here</t>
      </text>
    </comment>
    <comment ref="BA58" authorId="32" shapeId="0" xr:uid="{A928ACED-E449-4886-9139-E1C95798C5D2}">
      <text>
        <t>[Threaded comment]
Your version of Excel allows you to read this threaded comment; however, any edits to it will get removed if the file is opened in a newer version of Excel. Learn more: https://go.microsoft.com/fwlink/?linkid=870924
Comment:
    Values differ for year 4 vs year 1
Reply:
    Year 4 figures given here</t>
      </text>
    </comment>
    <comment ref="S64" authorId="33" shapeId="0" xr:uid="{C050ADDD-908C-4432-BC9E-1172356084CA}">
      <text>
        <t>[Threaded comment]
Your version of Excel allows you to read this threaded comment; however, any edits to it will get removed if the file is opened in a newer version of Excel. Learn more: https://go.microsoft.com/fwlink/?linkid=870924
Comment:
    inserted this</t>
      </text>
    </comment>
    <comment ref="AR65" authorId="34" shapeId="0" xr:uid="{29984392-5C90-47AC-A4B8-378596E435D2}">
      <text>
        <t>[Threaded comment]
Your version of Excel allows you to read this threaded comment; however, any edits to it will get removed if the file is opened in a newer version of Excel. Learn more: https://go.microsoft.com/fwlink/?linkid=870924
Comment:
    changed this</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tc={77EBB3D3-5CBA-4443-A9F7-323D540A38B8}</author>
  </authors>
  <commentList>
    <comment ref="D6" authorId="0" shapeId="0" xr:uid="{77EBB3D3-5CBA-4443-A9F7-323D540A38B8}">
      <text>
        <t>[Threaded comment]
Your version of Excel allows you to read this threaded comment; however, any edits to it will get removed if the file is opened in a newer version of Excel. Learn more: https://go.microsoft.com/fwlink/?linkid=870924
Comment:
    Updated this on 14/02/2020. It was prev 11% but ABC 2019 suggests 10% (compare yields p11 &amp; 12). (For info Nix 2019 says 8%, top page 6)</t>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C4" authorId="0" shapeId="0" xr:uid="{4EF0A4D6-BDE3-43AA-99B2-B6BFC8FC7264}">
      <text>
        <r>
          <rPr>
            <sz val="10"/>
            <color indexed="81"/>
            <rFont val="Calibri"/>
            <family val="2"/>
          </rPr>
          <t>This is the label that must be used in the model input file</t>
        </r>
      </text>
    </comment>
    <comment ref="D4" authorId="0" shapeId="0" xr:uid="{97C1356F-61C6-405A-B112-4B6156F4AA37}">
      <text>
        <r>
          <rPr>
            <sz val="10"/>
            <color indexed="81"/>
            <rFont val="Calibri"/>
            <family val="2"/>
          </rPr>
          <t>This is the label given in the model output</t>
        </r>
      </text>
    </comment>
    <comment ref="F6" authorId="0" shapeId="0" xr:uid="{1A11A0E0-D587-4D6C-8B1D-F861F0E54658}">
      <text>
        <r>
          <rPr>
            <b/>
            <sz val="10"/>
            <color indexed="81"/>
            <rFont val="Calibri"/>
            <family val="2"/>
          </rPr>
          <t>N.B.</t>
        </r>
        <r>
          <rPr>
            <sz val="10"/>
            <color indexed="81"/>
            <rFont val="Calibri"/>
            <family val="2"/>
          </rPr>
          <t xml:space="preserve"> ploughing and inversion tillage are the same thing here: either terminology may be used in the model</t>
        </r>
      </text>
    </comment>
    <comment ref="F11" authorId="0" shapeId="0" xr:uid="{656372C7-E7B9-4EEA-AE59-F954978B130E}">
      <text>
        <r>
          <rPr>
            <sz val="10"/>
            <color indexed="81"/>
            <rFont val="Calibri"/>
            <family val="2"/>
          </rPr>
          <t>If no tillage was done, choose this option. There are no fuel/operations costs associated with this option.</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tc={0A1D1381-6F09-4E1A-8695-33DBDD924526}</author>
    <author>tc={F6314C2F-3133-4633-A3DB-672DBD3CE8A0}</author>
    <author>tc={B303219C-C5FE-4627-A74C-6F38C2D95D8E}</author>
    <author>tc={DC9022C9-BE63-427F-A8D1-AA03E1B2003A}</author>
    <author>tc={C27D5ABC-61A3-45BC-8279-E7BDB3C92C0B}</author>
    <author>tc={90CDA95F-CD1E-4615-9940-38DFB43F71DC}</author>
    <author>tc={9C7F1469-57EF-483E-B4F8-F2A77F75DFEF}</author>
    <author>tc={041FA79D-84FF-430C-A2DA-3F3C113E973F}</author>
    <author>tc={B2FDED9A-D846-4BBE-8DB2-3CEEAB5ED625}</author>
    <author>tc={88F64DF6-3844-4618-82F2-416BE0A464B6}</author>
    <author>tc={4B6D2ECB-A431-4ECD-8A40-DF6165C88B8A}</author>
    <author>tc={2C3E6C8F-968C-4F23-A36A-31ED3B76D2CD}</author>
    <author>tc={89718436-A7B6-4BEA-A83D-9842D57C7855}</author>
    <author>tc={DDFD460D-06CE-4CAF-9543-677D8055057B}</author>
    <author>tc={BBB67A58-1CC9-4A20-B0C4-75DAC962AEB3}</author>
    <author>tc={3DF8ABF1-BB25-41DA-9EC1-F81E455906B3}</author>
    <author>tc={FC52757F-E82C-4F5E-9F99-8E0C80481227}</author>
    <author>tc={63B6489D-08CD-4482-BAFB-3B98DA89D846}</author>
    <author>tc={C07F1522-CECA-4B9E-B90D-30102F68E5B9}</author>
    <author>tc={6408D9E9-6392-4A3D-A8B5-4375EB3B9741}</author>
    <author>tc={77484144-0465-4497-9CEC-F9CADD0998F9}</author>
    <author>tc={39EBBC9A-78C1-4055-BC1F-E3C028BAE4C2}</author>
    <author>tc={E7FE82E6-62B0-48E8-8681-4E2D0BC966D3}</author>
    <author>tc={7166C184-BFA4-4D18-B285-87F0C6D07ECE}</author>
    <author>tc={392869CB-5F53-415E-B40B-657AE385DB7A}</author>
    <author>tc={14EFC89E-0DAF-451D-A70E-546C60F83064}</author>
    <author>tc={942198F9-242B-4230-9B97-BE2DD96502D7}</author>
    <author>tc={80F03143-EB10-41DA-9553-64AAA9D7F0F3}</author>
    <author>tc={5E4A9CDE-583A-4D87-89E2-0383A9839907}</author>
  </authors>
  <commentList>
    <comment ref="A1" authorId="0" shapeId="0" xr:uid="{0A1D1381-6F09-4E1A-8695-33DBDD924526}">
      <text>
        <t>[Threaded comment]
Your version of Excel allows you to read this threaded comment; however, any edits to it will get removed if the file is opened in a newer version of Excel. Learn more: https://go.microsoft.com/fwlink/?linkid=870924
Comment:
    N.B. The region is irrelevant here as the BAU scenario doesn't do anything different across regions. So to simplify data entry, I've just entered data for the North. Can remove the 'N.' later and just analyse data by soil type, initial density and resistance status.</t>
      </text>
    </comment>
    <comment ref="F1" authorId="1" shapeId="0" xr:uid="{F6314C2F-3133-4633-A3DB-672DBD3CE8A0}">
      <text>
        <t>[Threaded comment]
Your version of Excel allows you to read this threaded comment; however, any edits to it will get removed if the file is opened in a newer version of Excel. Learn more: https://go.microsoft.com/fwlink/?linkid=870924
Comment:
    Free text box for our benefit</t>
      </text>
    </comment>
    <comment ref="G1" authorId="2" shapeId="0" xr:uid="{B303219C-C5FE-4627-A74C-6F38C2D95D8E}">
      <text>
        <t>[Threaded comment]
Your version of Excel allows you to read this threaded comment; however, any edits to it will get removed if the file is opened in a newer version of Excel. Learn more: https://go.microsoft.com/fwlink/?linkid=870924
Comment:
    7.2ha is the average size of the 66 fields used in the Nat Sust analysis</t>
      </text>
    </comment>
    <comment ref="H1" authorId="3" shapeId="0" xr:uid="{DC9022C9-BE63-427F-A8D1-AA03E1B2003A}">
      <text>
        <t>[Threaded comment]
Your version of Excel allows you to read this threaded comment; however, any edits to it will get removed if the file is opened in a newer version of Excel. Learn more: https://go.microsoft.com/fwlink/?linkid=870924
Comment:
    This is a cell I need to write a formula for.
If possible, a formula that takes into account the different penalties from mixing certain crop types together</t>
      </text>
    </comment>
    <comment ref="K1" authorId="4" shapeId="0" xr:uid="{C27D5ABC-61A3-45BC-8279-E7BDB3C92C0B}">
      <text>
        <t>[Threaded comment]
Your version of Excel allows you to read this threaded comment; however, any edits to it will get removed if the file is opened in a newer version of Excel. Learn more: https://go.microsoft.com/fwlink/?linkid=870924
Comment:
    Write a formula for this cell so it can take multiple data into account</t>
      </text>
    </comment>
    <comment ref="M1" authorId="5" shapeId="0" xr:uid="{90CDA95F-CD1E-4615-9940-38DFB43F71DC}">
      <text>
        <t>[Threaded comment]
Your version of Excel allows you to read this threaded comment; however, any edits to it will get removed if the file is opened in a newer version of Excel. Learn more: https://go.microsoft.com/fwlink/?linkid=870924
Comment:
    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
      </text>
    </comment>
    <comment ref="O1" authorId="6" shapeId="0" xr:uid="{9C7F1469-57EF-483E-B4F8-F2A77F75DFEF}">
      <text>
        <t>[Threaded comment]
Your version of Excel allows you to read this threaded comment; however, any edits to it will get removed if the file is opened in a newer version of Excel. Learn more: https://go.microsoft.com/fwlink/?linkid=870924
Comment:
    Assumes field drains are installed and effective in fields with naturally poor drainage.</t>
      </text>
    </comment>
    <comment ref="P1" authorId="7" shapeId="0" xr:uid="{041FA79D-84FF-430C-A2DA-3F3C113E973F}">
      <text>
        <t>[Threaded comment]
Your version of Excel allows you to read this threaded comment; however, any edits to it will get removed if the file is opened in a newer version of Excel. Learn more: https://go.microsoft.com/fwlink/?linkid=870924
Comment:
    7 is the average pH value of the soils from the 66 fields used in the Nature Sustainability analysis</t>
      </text>
    </comment>
    <comment ref="T1" authorId="8" shapeId="0" xr:uid="{B2FDED9A-D846-4BBE-8DB2-3CEEAB5ED625}">
      <text>
        <t>[Threaded comment]
Your version of Excel allows you to read this threaded comment; however, any edits to it will get removed if the file is opened in a newer version of Excel. Learn more: https://go.microsoft.com/fwlink/?linkid=870924
Comment:
    number of operations</t>
      </text>
    </comment>
    <comment ref="U1" authorId="9" shapeId="0" xr:uid="{88F64DF6-3844-4618-82F2-416BE0A464B6}">
      <text>
        <t>[Threaded comment]
Your version of Excel allows you to read this threaded comment; however, any edits to it will get removed if the file is opened in a newer version of Excel. Learn more: https://go.microsoft.com/fwlink/?linkid=870924
Comment:
    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
      </text>
    </comment>
    <comment ref="W1" authorId="10" shapeId="0" xr:uid="{4B6D2ECB-A431-4ECD-8A40-DF6165C88B8A}">
      <text>
        <t>[Threaded comment]
Your version of Excel allows you to read this threaded comment; however, any edits to it will get removed if the file is opened in a newer version of Excel. Learn more: https://go.microsoft.com/fwlink/?linkid=870924
Comment:
    How long ago was this change made? (years)</t>
      </text>
    </comment>
    <comment ref="AF4" authorId="11" shapeId="0" xr:uid="{2C3E6C8F-968C-4F23-A36A-31ED3B76D2CD}">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7" authorId="12" shapeId="0" xr:uid="{89718436-A7B6-4BEA-A83D-9842D57C7855}">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0" authorId="13" shapeId="0" xr:uid="{DDFD460D-06CE-4CAF-9543-677D8055057B}">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3" authorId="14" shapeId="0" xr:uid="{BBB67A58-1CC9-4A20-B0C4-75DAC962AEB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6" authorId="15" shapeId="0" xr:uid="{3DF8ABF1-BB25-41DA-9EC1-F81E455906B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19" authorId="16" shapeId="0" xr:uid="{FC52757F-E82C-4F5E-9F99-8E0C8048122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2" authorId="17" shapeId="0" xr:uid="{63B6489D-08CD-4482-BAFB-3B98DA89D846}">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5" authorId="18" shapeId="0" xr:uid="{C07F1522-CECA-4B9E-B90D-30102F68E5B9}">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28" authorId="19" shapeId="0" xr:uid="{6408D9E9-6392-4A3D-A8B5-4375EB3B9741}">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1" authorId="20" shapeId="0" xr:uid="{77484144-0465-4497-9CEC-F9CADD0998F9}">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4" authorId="21" shapeId="0" xr:uid="{39EBBC9A-78C1-4055-BC1F-E3C028BAE4C2}">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37" authorId="22" shapeId="0" xr:uid="{E7FE82E6-62B0-48E8-8681-4E2D0BC966D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0" authorId="23" shapeId="0" xr:uid="{7166C184-BFA4-4D18-B285-87F0C6D07ECE}">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3" authorId="24" shapeId="0" xr:uid="{392869CB-5F53-415E-B40B-657AE385DB7A}">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6" authorId="25" shapeId="0" xr:uid="{14EFC89E-0DAF-451D-A70E-546C60F83064}">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49" authorId="26" shapeId="0" xr:uid="{942198F9-242B-4230-9B97-BE2DD96502D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52" authorId="27" shapeId="0" xr:uid="{80F03143-EB10-41DA-9553-64AAA9D7F0F3}">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 ref="AF55" authorId="28" shapeId="0" xr:uid="{5E4A9CDE-583A-4D87-89E2-0383A9839907}">
      <text>
        <t>[Threaded comment]
Your version of Excel allows you to read this threaded comment; however, any edits to it will get removed if the file is opened in a newer version of Excel. Learn more: https://go.microsoft.com/fwlink/?linkid=870924
Comment:
    obviously the OSR is drilled, but the drill is normally on the subsoiler so don't include it here as a separate bit of kit/ separate pass</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<sst xmlns="http://schemas.openxmlformats.org/spreadsheetml/2006/main" count="20910" uniqueCount="1783">
  <si>
    <t>Contents</t>
  </si>
  <si>
    <t>Author</t>
  </si>
  <si>
    <t>Alexa Varah</t>
  </si>
  <si>
    <t>Date</t>
  </si>
  <si>
    <t>February 2020</t>
  </si>
  <si>
    <t>Description</t>
  </si>
  <si>
    <t>Input data is given for different soil types, regions, resistance status and initial starting densities of black-grass.</t>
  </si>
  <si>
    <t>The grid below sets out the combinations of soil types, regions, resistance status and initial density.</t>
  </si>
  <si>
    <t>Black-grass density state changes are derived from Rob Goodsell's models, using a large farm management &amp; BG density dataset to predict density state changes for given crop rotations</t>
  </si>
  <si>
    <t>Region</t>
  </si>
  <si>
    <t>North</t>
  </si>
  <si>
    <t>Central</t>
  </si>
  <si>
    <t>East</t>
  </si>
  <si>
    <t>Soil type</t>
  </si>
  <si>
    <t>heavy</t>
  </si>
  <si>
    <t>H-Den.H-Res</t>
  </si>
  <si>
    <t>L-Den.H-Res</t>
  </si>
  <si>
    <t>L-Den.L-Res</t>
  </si>
  <si>
    <t>medium</t>
  </si>
  <si>
    <t>light</t>
  </si>
  <si>
    <t>Sheets</t>
  </si>
  <si>
    <t>Rotation calendar:</t>
  </si>
  <si>
    <t>This sheet sets out the timings of operations and gives details in the notes on each cell.</t>
  </si>
  <si>
    <t>=</t>
  </si>
  <si>
    <t>date range I have selected for an operation to occur</t>
  </si>
  <si>
    <t>operation done before the end of the year</t>
  </si>
  <si>
    <t>operation done in the new year</t>
  </si>
  <si>
    <t>Operations</t>
  </si>
  <si>
    <t>FE</t>
  </si>
  <si>
    <t>P/K fertiliser spreading</t>
  </si>
  <si>
    <t>WW</t>
  </si>
  <si>
    <t>winter wheat</t>
  </si>
  <si>
    <t>PO</t>
  </si>
  <si>
    <t xml:space="preserve">Ploughing </t>
  </si>
  <si>
    <t>WOSR</t>
  </si>
  <si>
    <t>winter oilseed rape</t>
  </si>
  <si>
    <t>MT</t>
  </si>
  <si>
    <t>Min til</t>
  </si>
  <si>
    <t>WBEA</t>
  </si>
  <si>
    <t>winter beans</t>
  </si>
  <si>
    <t xml:space="preserve">We assume farmers always roll after drilling. </t>
  </si>
  <si>
    <t>DD</t>
  </si>
  <si>
    <t>Direct drilling</t>
  </si>
  <si>
    <t>WBAR</t>
  </si>
  <si>
    <t>winter barley</t>
  </si>
  <si>
    <t>RO</t>
  </si>
  <si>
    <t>Rolling</t>
  </si>
  <si>
    <t>SOSR</t>
  </si>
  <si>
    <t>spring oilseed rape</t>
  </si>
  <si>
    <t>DR</t>
  </si>
  <si>
    <t>Drilling</t>
  </si>
  <si>
    <t>SBEA</t>
  </si>
  <si>
    <t>spring beans</t>
  </si>
  <si>
    <t>CO</t>
  </si>
  <si>
    <t>Combine harvesting</t>
  </si>
  <si>
    <t>SBAR</t>
  </si>
  <si>
    <t>spring barley</t>
  </si>
  <si>
    <t>BA</t>
  </si>
  <si>
    <t>Baling</t>
  </si>
  <si>
    <t>FALL</t>
  </si>
  <si>
    <t>fallow</t>
  </si>
  <si>
    <t>SP</t>
  </si>
  <si>
    <t>Spraying</t>
  </si>
  <si>
    <t>HA</t>
  </si>
  <si>
    <t>Harrowing</t>
  </si>
  <si>
    <t>RI</t>
  </si>
  <si>
    <t>Ridging</t>
  </si>
  <si>
    <t>IH</t>
  </si>
  <si>
    <t>Inter-row hoeing</t>
  </si>
  <si>
    <t>HT</t>
  </si>
  <si>
    <t>Harvesting potatoes/ sugarbeet</t>
  </si>
  <si>
    <t>ST</t>
  </si>
  <si>
    <t>Start</t>
  </si>
  <si>
    <t>EN</t>
  </si>
  <si>
    <t>End</t>
  </si>
  <si>
    <t>NB: read note on this cell</t>
  </si>
  <si>
    <t>year 1 in rotation</t>
  </si>
  <si>
    <t>year 2 in rotation</t>
  </si>
  <si>
    <t>year 3 in rotation</t>
  </si>
  <si>
    <t>year 4 in rotation</t>
  </si>
  <si>
    <t>year 5 in rotation</t>
  </si>
  <si>
    <t>year 6 in rotation</t>
  </si>
  <si>
    <t>01 JAN - 15 JAN</t>
  </si>
  <si>
    <t>p1</t>
  </si>
  <si>
    <t>15 JAN - 29 JAN</t>
  </si>
  <si>
    <t>p2</t>
  </si>
  <si>
    <t>29 JAN - 11 FEB</t>
  </si>
  <si>
    <t>p3</t>
  </si>
  <si>
    <t>12 FEB - 25 FEB</t>
  </si>
  <si>
    <t>p4</t>
  </si>
  <si>
    <t>26 FEB - 11 MAR</t>
  </si>
  <si>
    <t>p5</t>
  </si>
  <si>
    <t>12 MAR - 25 MAR</t>
  </si>
  <si>
    <t>p6</t>
  </si>
  <si>
    <t>26 MAR - 08 APR</t>
  </si>
  <si>
    <t>p7</t>
  </si>
  <si>
    <t>09 APR - 22 APR</t>
  </si>
  <si>
    <t>p8</t>
  </si>
  <si>
    <t>23 APR - 06 MAY</t>
  </si>
  <si>
    <t>p9</t>
  </si>
  <si>
    <t>07 MAY - 20 MAY</t>
  </si>
  <si>
    <t>p10</t>
  </si>
  <si>
    <t>21 MAY - 03 JUN</t>
  </si>
  <si>
    <t>p11</t>
  </si>
  <si>
    <t>04 JUN - 18 JUN</t>
  </si>
  <si>
    <t>p12</t>
  </si>
  <si>
    <t>18 JUN - 01 JUL</t>
  </si>
  <si>
    <t>p13</t>
  </si>
  <si>
    <t>01 JUL - 16 JUL</t>
  </si>
  <si>
    <t>p14</t>
  </si>
  <si>
    <t>16 JUL - 29 JUL</t>
  </si>
  <si>
    <t>p15</t>
  </si>
  <si>
    <t>30 JUL - 12 AUG</t>
  </si>
  <si>
    <t>p16</t>
  </si>
  <si>
    <t>13 AUG - 26 AUG</t>
  </si>
  <si>
    <t>p17</t>
  </si>
  <si>
    <t>27 AUG - 09 SEP</t>
  </si>
  <si>
    <t>p18</t>
  </si>
  <si>
    <t>10 SEP - 23 SEP</t>
  </si>
  <si>
    <t>p19</t>
  </si>
  <si>
    <t>24 SEP - 08 OCT</t>
  </si>
  <si>
    <t>p20</t>
  </si>
  <si>
    <t>08 OCT - 21 OCT</t>
  </si>
  <si>
    <t>p21</t>
  </si>
  <si>
    <t>22 OCT - 04 NOV</t>
  </si>
  <si>
    <t>p22</t>
  </si>
  <si>
    <t>05 NOV - 18 NOV</t>
  </si>
  <si>
    <t>p23</t>
  </si>
  <si>
    <t>19 NOV - 02 DEC</t>
  </si>
  <si>
    <t>p24</t>
  </si>
  <si>
    <t>03 DEC -  16 DEC</t>
  </si>
  <si>
    <t>p25</t>
  </si>
  <si>
    <t>16 DEC - 31 DEC</t>
  </si>
  <si>
    <t>p26</t>
  </si>
  <si>
    <t>Year 1</t>
  </si>
  <si>
    <t>Year 2</t>
  </si>
  <si>
    <t>Year 3</t>
  </si>
  <si>
    <t>Year 4</t>
  </si>
  <si>
    <t>Year 5</t>
  </si>
  <si>
    <t>Year 6</t>
  </si>
  <si>
    <t>crop</t>
  </si>
  <si>
    <t>ww (FEED WHEAT)</t>
  </si>
  <si>
    <t>wosr (CONVENTIONAL)</t>
  </si>
  <si>
    <t>cultivation</t>
  </si>
  <si>
    <t>light cultivation</t>
  </si>
  <si>
    <t>invert</t>
  </si>
  <si>
    <t>subsoil</t>
  </si>
  <si>
    <t>BG strategy</t>
  </si>
  <si>
    <r>
      <t xml:space="preserve">Min-till / stale seedbed
</t>
    </r>
    <r>
      <rPr>
        <sz val="9"/>
        <color theme="0" tint="-0.499984740745262"/>
        <rFont val="Calibri"/>
        <family val="2"/>
        <scheme val="minor"/>
      </rPr>
      <t>Keep the weed seeds as close to the surface as possible, and provide them with the correct environment to germinate, emerge, and be killed with glyphosate before the crop is drilled.</t>
    </r>
  </si>
  <si>
    <r>
      <t xml:space="preserve">Plough
</t>
    </r>
    <r>
      <rPr>
        <sz val="9"/>
        <color theme="0" tint="-0.499984740745262"/>
        <rFont val="Calibri"/>
        <family val="2"/>
        <scheme val="minor"/>
      </rPr>
      <t>Bury all weed seeds to a depth at which they will not germinate</t>
    </r>
    <r>
      <rPr>
        <sz val="10"/>
        <color theme="1"/>
        <rFont val="Calibri"/>
        <family val="2"/>
        <scheme val="minor"/>
      </rPr>
      <t>.</t>
    </r>
  </si>
  <si>
    <t>out-compete with wOSR</t>
  </si>
  <si>
    <t>Stale seedbed</t>
  </si>
  <si>
    <r>
      <t xml:space="preserve">1 stale seedbed
</t>
    </r>
    <r>
      <rPr>
        <b/>
        <sz val="10"/>
        <color theme="1"/>
        <rFont val="Calibri"/>
        <family val="2"/>
        <scheme val="minor"/>
      </rPr>
      <t>Cultivations</t>
    </r>
    <r>
      <rPr>
        <sz val="10"/>
        <color theme="1"/>
        <rFont val="Calibri"/>
        <family val="2"/>
        <charset val="2"/>
        <scheme val="minor"/>
      </rPr>
      <t xml:space="preserve">
Light cultivation immediately after harvest - disced, </t>
    </r>
    <r>
      <rPr>
        <b/>
        <sz val="10"/>
        <color rgb="FFFF0000"/>
        <rFont val="Calibri"/>
        <family val="2"/>
        <scheme val="minor"/>
      </rPr>
      <t xml:space="preserve">3 </t>
    </r>
    <r>
      <rPr>
        <sz val="10"/>
        <color theme="1"/>
        <rFont val="Calibri"/>
        <family val="2"/>
        <charset val="2"/>
        <scheme val="minor"/>
      </rPr>
      <t>cm (</t>
    </r>
    <r>
      <rPr>
        <i/>
        <sz val="10"/>
        <color theme="1"/>
        <rFont val="Calibri"/>
        <family val="2"/>
        <scheme val="minor"/>
      </rPr>
      <t>DSSAT,</t>
    </r>
    <r>
      <rPr>
        <sz val="10"/>
        <color theme="1"/>
        <rFont val="Calibri"/>
        <family val="2"/>
        <scheme val="minor"/>
      </rPr>
      <t xml:space="preserve"> double disc; </t>
    </r>
    <r>
      <rPr>
        <i/>
        <sz val="10"/>
        <color theme="1"/>
        <rFont val="Calibri"/>
        <family val="2"/>
        <scheme val="minor"/>
      </rPr>
      <t>CFT</t>
    </r>
    <r>
      <rPr>
        <sz val="10"/>
        <color theme="1"/>
        <rFont val="Calibri"/>
        <family val="2"/>
        <scheme val="minor"/>
      </rPr>
      <t xml:space="preserve">, </t>
    </r>
    <r>
      <rPr>
        <sz val="10"/>
        <color theme="1"/>
        <rFont val="Calibri"/>
        <family val="2"/>
        <charset val="2"/>
        <scheme val="minor"/>
      </rPr>
      <t>disc harrow) and rolled (</t>
    </r>
    <r>
      <rPr>
        <i/>
        <sz val="10"/>
        <color theme="1"/>
        <rFont val="Calibri"/>
        <family val="2"/>
        <scheme val="minor"/>
      </rPr>
      <t>DSSAT</t>
    </r>
    <r>
      <rPr>
        <sz val="10"/>
        <color theme="1"/>
        <rFont val="Calibri"/>
        <family val="2"/>
        <charset val="2"/>
        <scheme val="minor"/>
      </rPr>
      <t xml:space="preserve">, Roller packer; </t>
    </r>
    <r>
      <rPr>
        <i/>
        <sz val="10"/>
        <color theme="1"/>
        <rFont val="Calibri"/>
        <family val="2"/>
        <scheme val="minor"/>
      </rPr>
      <t>CFT</t>
    </r>
    <r>
      <rPr>
        <sz val="10"/>
        <color theme="1"/>
        <rFont val="Calibri"/>
        <family val="2"/>
        <charset val="2"/>
        <scheme val="minor"/>
      </rPr>
      <t xml:space="preserve">, roller packer) to get BG to germinate.
</t>
    </r>
    <r>
      <rPr>
        <b/>
        <sz val="10"/>
        <color theme="1"/>
        <rFont val="Calibri"/>
        <family val="2"/>
        <scheme val="minor"/>
      </rPr>
      <t>Glyphosate</t>
    </r>
    <r>
      <rPr>
        <sz val="10"/>
        <color theme="1"/>
        <rFont val="Calibri"/>
        <family val="2"/>
        <charset val="2"/>
        <scheme val="minor"/>
      </rPr>
      <t xml:space="preserve">
Spray glyphosate ~4-6 weeks after disc operation (i.e. second half Sep)
</t>
    </r>
    <r>
      <rPr>
        <i/>
        <sz val="10"/>
        <rFont val="Calibri"/>
        <family val="2"/>
        <scheme val="minor"/>
      </rPr>
      <t>Low/medium density BG</t>
    </r>
    <r>
      <rPr>
        <sz val="10"/>
        <rFont val="Calibri"/>
        <family val="2"/>
        <scheme val="minor"/>
      </rPr>
      <t xml:space="preserve">
2 l/ha 360g a.i.
</t>
    </r>
    <r>
      <rPr>
        <i/>
        <sz val="10"/>
        <rFont val="Calibri"/>
        <family val="2"/>
        <scheme val="minor"/>
      </rPr>
      <t>High/v high density BG</t>
    </r>
    <r>
      <rPr>
        <sz val="10"/>
        <rFont val="Calibri"/>
        <family val="2"/>
        <scheme val="minor"/>
      </rPr>
      <t xml:space="preserve">
</t>
    </r>
    <r>
      <rPr>
        <sz val="10"/>
        <color theme="1"/>
        <rFont val="Calibri"/>
        <family val="2"/>
        <scheme val="minor"/>
      </rPr>
      <t>3 l/ha 360g a.i.</t>
    </r>
  </si>
  <si>
    <r>
      <t xml:space="preserve">1 stale seedbed
</t>
    </r>
    <r>
      <rPr>
        <b/>
        <sz val="10"/>
        <color theme="1"/>
        <rFont val="Calibri"/>
        <family val="2"/>
        <scheme val="minor"/>
      </rPr>
      <t>Cultivations</t>
    </r>
    <r>
      <rPr>
        <sz val="10"/>
        <color theme="1"/>
        <rFont val="Calibri"/>
        <family val="2"/>
        <charset val="2"/>
        <scheme val="minor"/>
      </rPr>
      <t xml:space="preserve">
- Moldboard plough 20 cm after harvest
- Leave a week or so after ploughing
- Disc </t>
    </r>
    <r>
      <rPr>
        <b/>
        <sz val="10"/>
        <color rgb="FFFF0000"/>
        <rFont val="Calibri"/>
        <family val="2"/>
        <scheme val="minor"/>
      </rPr>
      <t xml:space="preserve">7.5 </t>
    </r>
    <r>
      <rPr>
        <sz val="10"/>
        <color theme="1"/>
        <rFont val="Calibri"/>
        <family val="2"/>
        <charset val="2"/>
        <scheme val="minor"/>
      </rPr>
      <t>cm (</t>
    </r>
    <r>
      <rPr>
        <i/>
        <sz val="10"/>
        <color theme="1"/>
        <rFont val="Calibri"/>
        <family val="2"/>
        <scheme val="minor"/>
      </rPr>
      <t>DSSAT</t>
    </r>
    <r>
      <rPr>
        <sz val="10"/>
        <color theme="1"/>
        <rFont val="Calibri"/>
        <family val="2"/>
        <charset val="2"/>
        <scheme val="minor"/>
      </rPr>
      <t xml:space="preserve">, double disc; </t>
    </r>
    <r>
      <rPr>
        <i/>
        <sz val="10"/>
        <color theme="1"/>
        <rFont val="Calibri"/>
        <family val="2"/>
        <scheme val="minor"/>
      </rPr>
      <t>CFT</t>
    </r>
    <r>
      <rPr>
        <sz val="10"/>
        <color theme="1"/>
        <rFont val="Calibri"/>
        <family val="2"/>
        <charset val="2"/>
        <scheme val="minor"/>
      </rPr>
      <t>, disc harrow) and rolled (</t>
    </r>
    <r>
      <rPr>
        <i/>
        <sz val="10"/>
        <color theme="1"/>
        <rFont val="Calibri"/>
        <family val="2"/>
        <scheme val="minor"/>
      </rPr>
      <t>DSSAT</t>
    </r>
    <r>
      <rPr>
        <sz val="10"/>
        <color theme="1"/>
        <rFont val="Calibri"/>
        <family val="2"/>
        <charset val="2"/>
        <scheme val="minor"/>
      </rPr>
      <t xml:space="preserve">, Roller packer; </t>
    </r>
    <r>
      <rPr>
        <i/>
        <sz val="10"/>
        <color theme="1"/>
        <rFont val="Calibri"/>
        <family val="2"/>
        <scheme val="minor"/>
      </rPr>
      <t>CFT</t>
    </r>
    <r>
      <rPr>
        <sz val="10"/>
        <color theme="1"/>
        <rFont val="Calibri"/>
        <family val="2"/>
        <charset val="2"/>
        <scheme val="minor"/>
      </rPr>
      <t xml:space="preserve">, roller packer) to get BG to germinate.
</t>
    </r>
    <r>
      <rPr>
        <b/>
        <sz val="10"/>
        <color theme="1"/>
        <rFont val="Calibri"/>
        <family val="2"/>
        <scheme val="minor"/>
      </rPr>
      <t>Glyphosate</t>
    </r>
    <r>
      <rPr>
        <sz val="10"/>
        <color theme="1"/>
        <rFont val="Calibri"/>
        <family val="2"/>
        <charset val="2"/>
        <scheme val="minor"/>
      </rPr>
      <t xml:space="preserve">
Spray glyphosate ~4-6 weeks after disc operation (i.e. second half/ end of Sep)
</t>
    </r>
    <r>
      <rPr>
        <i/>
        <sz val="10"/>
        <color theme="1"/>
        <rFont val="Calibri"/>
        <family val="2"/>
        <scheme val="minor"/>
      </rPr>
      <t>Low/medium density BG</t>
    </r>
    <r>
      <rPr>
        <sz val="10"/>
        <color theme="1"/>
        <rFont val="Calibri"/>
        <family val="2"/>
        <charset val="2"/>
        <scheme val="minor"/>
      </rPr>
      <t xml:space="preserve">
2 l/ha 360g a.i.
</t>
    </r>
    <r>
      <rPr>
        <i/>
        <sz val="10"/>
        <color theme="1"/>
        <rFont val="Calibri"/>
        <family val="2"/>
        <scheme val="minor"/>
      </rPr>
      <t>High/v high density BG</t>
    </r>
    <r>
      <rPr>
        <sz val="10"/>
        <color theme="1"/>
        <rFont val="Calibri"/>
        <family val="2"/>
        <charset val="2"/>
        <scheme val="minor"/>
      </rPr>
      <t xml:space="preserve">
3 l/ha 360g a.i.</t>
    </r>
  </si>
  <si>
    <t>No stale seedbed</t>
  </si>
  <si>
    <r>
      <rPr>
        <b/>
        <sz val="10"/>
        <color theme="1"/>
        <rFont val="Calibri"/>
        <family val="2"/>
        <scheme val="minor"/>
      </rPr>
      <t>5th October</t>
    </r>
    <r>
      <rPr>
        <sz val="10"/>
        <color theme="1"/>
        <rFont val="Calibri"/>
        <family val="2"/>
        <scheme val="minor"/>
      </rPr>
      <t xml:space="preserve"> (1st week October) 
</t>
    </r>
    <r>
      <rPr>
        <b/>
        <sz val="10"/>
        <color theme="1"/>
        <rFont val="Calibri"/>
        <family val="2"/>
        <scheme val="minor"/>
      </rPr>
      <t>Direct drill</t>
    </r>
    <r>
      <rPr>
        <sz val="10"/>
        <color theme="1"/>
        <rFont val="Calibri"/>
        <family val="2"/>
        <scheme val="minor"/>
      </rPr>
      <t xml:space="preserve"> (machine: </t>
    </r>
    <r>
      <rPr>
        <i/>
        <sz val="10"/>
        <color theme="1"/>
        <rFont val="Calibri"/>
        <family val="2"/>
        <scheme val="minor"/>
      </rPr>
      <t>DSSAT</t>
    </r>
    <r>
      <rPr>
        <sz val="10"/>
        <color theme="1"/>
        <rFont val="Calibri"/>
        <family val="2"/>
        <scheme val="minor"/>
      </rPr>
      <t xml:space="preserve">, TI031 Drill, no-till; </t>
    </r>
    <r>
      <rPr>
        <i/>
        <sz val="10"/>
        <color theme="1"/>
        <rFont val="Calibri"/>
        <family val="2"/>
        <scheme val="minor"/>
      </rPr>
      <t>CFT</t>
    </r>
    <r>
      <rPr>
        <sz val="10"/>
        <color theme="1"/>
        <rFont val="Calibri"/>
        <family val="2"/>
        <scheme val="minor"/>
      </rPr>
      <t xml:space="preserve">, grain drill-notill)
</t>
    </r>
    <r>
      <rPr>
        <b/>
        <sz val="10"/>
        <color theme="1"/>
        <rFont val="Calibri"/>
        <family val="2"/>
        <scheme val="minor"/>
      </rPr>
      <t>Seed rate:</t>
    </r>
    <r>
      <rPr>
        <sz val="10"/>
        <color theme="1"/>
        <rFont val="Calibri"/>
        <family val="2"/>
        <scheme val="minor"/>
      </rPr>
      <t xml:space="preserve">
</t>
    </r>
    <r>
      <rPr>
        <i/>
        <sz val="10"/>
        <color theme="1"/>
        <rFont val="Calibri"/>
        <family val="2"/>
        <scheme val="minor"/>
      </rPr>
      <t>Low/medium density BG</t>
    </r>
    <r>
      <rPr>
        <sz val="10"/>
        <color theme="1"/>
        <rFont val="Calibri"/>
        <family val="2"/>
        <scheme val="minor"/>
      </rPr>
      <t xml:space="preserve">
167 kg/ha at drilling (= 371 plants/m2 at TGW = 45g / 1000 seeds); row spacing 12.5 cm; depth 3cm
</t>
    </r>
    <r>
      <rPr>
        <i/>
        <sz val="10"/>
        <color theme="1"/>
        <rFont val="Calibri"/>
        <family val="2"/>
        <scheme val="minor"/>
      </rPr>
      <t>High/v high density BG</t>
    </r>
    <r>
      <rPr>
        <sz val="10"/>
        <color theme="1"/>
        <rFont val="Calibri"/>
        <family val="2"/>
        <scheme val="minor"/>
      </rPr>
      <t xml:space="preserve">
200 kg/ha at drilling (= 444 plants/m2 at TGW = 45g / 1000 seeds); row spacing 12.5 cm; depth 3cm</t>
    </r>
  </si>
  <si>
    <r>
      <t xml:space="preserve">mid Aug - mid Sep
Drill (at same time as subsoil) as soon as ww is harvested
Drilling window </t>
    </r>
    <r>
      <rPr>
        <b/>
        <sz val="10"/>
        <color theme="1"/>
        <rFont val="Calibri"/>
        <family val="2"/>
        <scheme val="minor"/>
      </rPr>
      <t>16th August - 11th Sep</t>
    </r>
    <r>
      <rPr>
        <sz val="10"/>
        <color theme="1"/>
        <rFont val="Calibri"/>
        <family val="2"/>
        <scheme val="minor"/>
      </rPr>
      <t xml:space="preserve">
Seeding unit on back of subsoiler.
Rate = 3.2 kg/ha (40 seeds/m</t>
    </r>
    <r>
      <rPr>
        <vertAlign val="superscript"/>
        <sz val="10"/>
        <color theme="1"/>
        <rFont val="Calibri"/>
        <family val="2"/>
        <scheme val="minor"/>
      </rPr>
      <t>2</t>
    </r>
    <r>
      <rPr>
        <sz val="10"/>
        <color theme="1"/>
        <rFont val="Calibri"/>
        <family val="2"/>
        <scheme val="minor"/>
      </rPr>
      <t>)
Planting depth = 1.5 cm
Row spacing = 24 cm (aiming for established plant population of 35 plants/m</t>
    </r>
    <r>
      <rPr>
        <vertAlign val="superscript"/>
        <sz val="10"/>
        <color theme="1"/>
        <rFont val="Calibri"/>
        <family val="2"/>
        <scheme val="minor"/>
      </rPr>
      <t>2</t>
    </r>
    <r>
      <rPr>
        <sz val="10"/>
        <color theme="1"/>
        <rFont val="Calibri"/>
        <family val="2"/>
        <scheme val="minor"/>
      </rPr>
      <t>)
Then Cambridge rolls</t>
    </r>
  </si>
  <si>
    <t>Tillage</t>
  </si>
  <si>
    <r>
      <t>1. Shallow disc &amp; roll (immediately after harvest) to induce germination of stale seedbed.
2. Direct drill ww once black-grass killed off (</t>
    </r>
    <r>
      <rPr>
        <i/>
        <sz val="10"/>
        <color theme="1"/>
        <rFont val="Calibri"/>
        <family val="2"/>
        <scheme val="minor"/>
      </rPr>
      <t>DSSAT</t>
    </r>
    <r>
      <rPr>
        <sz val="10"/>
        <color theme="1"/>
        <rFont val="Calibri"/>
        <family val="2"/>
        <charset val="2"/>
        <scheme val="minor"/>
      </rPr>
      <t xml:space="preserve">, TI031 Drill, no-till; </t>
    </r>
    <r>
      <rPr>
        <i/>
        <sz val="10"/>
        <color theme="1"/>
        <rFont val="Calibri"/>
        <family val="2"/>
        <scheme val="minor"/>
      </rPr>
      <t>CFT</t>
    </r>
    <r>
      <rPr>
        <sz val="10"/>
        <color theme="1"/>
        <rFont val="Calibri"/>
        <family val="2"/>
        <charset val="2"/>
        <scheme val="minor"/>
      </rPr>
      <t>, grain drill-notill).
3. Roll after drilling (</t>
    </r>
    <r>
      <rPr>
        <i/>
        <sz val="10"/>
        <color theme="1"/>
        <rFont val="Calibri"/>
        <family val="2"/>
        <scheme val="minor"/>
      </rPr>
      <t>CFT,</t>
    </r>
    <r>
      <rPr>
        <sz val="10"/>
        <color theme="1"/>
        <rFont val="Calibri"/>
        <family val="2"/>
        <charset val="2"/>
        <scheme val="minor"/>
      </rPr>
      <t xml:space="preserve"> roller packer; </t>
    </r>
    <r>
      <rPr>
        <i/>
        <sz val="10"/>
        <color theme="1"/>
        <rFont val="Calibri"/>
        <family val="2"/>
        <scheme val="minor"/>
      </rPr>
      <t>DSSAT,</t>
    </r>
    <r>
      <rPr>
        <sz val="10"/>
        <color theme="1"/>
        <rFont val="Calibri"/>
        <family val="2"/>
        <scheme val="minor"/>
      </rPr>
      <t xml:space="preserve"> Roller packer</t>
    </r>
    <r>
      <rPr>
        <sz val="10"/>
        <color theme="1"/>
        <rFont val="Calibri"/>
        <family val="2"/>
        <charset val="2"/>
        <scheme val="minor"/>
      </rPr>
      <t xml:space="preserve">).
</t>
    </r>
  </si>
  <si>
    <r>
      <t>1. Moldboard plough immediately after harvest to bury BG seeds.
2. Leave a week, then disc and roll to induce germination of any seeds brought to the surface.
3. Direct drill ww once black-grass killed off  (</t>
    </r>
    <r>
      <rPr>
        <i/>
        <sz val="10"/>
        <color theme="1"/>
        <rFont val="Calibri"/>
        <family val="2"/>
        <scheme val="minor"/>
      </rPr>
      <t>DSSAT</t>
    </r>
    <r>
      <rPr>
        <sz val="10"/>
        <color theme="1"/>
        <rFont val="Calibri"/>
        <family val="2"/>
        <scheme val="minor"/>
      </rPr>
      <t xml:space="preserve">, TI031 Drill, no-till; </t>
    </r>
    <r>
      <rPr>
        <i/>
        <sz val="10"/>
        <color theme="1"/>
        <rFont val="Calibri"/>
        <family val="2"/>
        <scheme val="minor"/>
      </rPr>
      <t>CFT</t>
    </r>
    <r>
      <rPr>
        <sz val="10"/>
        <color theme="1"/>
        <rFont val="Calibri"/>
        <family val="2"/>
        <scheme val="minor"/>
      </rPr>
      <t>, grain drill-notill).
4. Roll after drilling (</t>
    </r>
    <r>
      <rPr>
        <i/>
        <sz val="10"/>
        <color theme="1"/>
        <rFont val="Calibri"/>
        <family val="2"/>
        <scheme val="minor"/>
      </rPr>
      <t>DSSAT</t>
    </r>
    <r>
      <rPr>
        <sz val="10"/>
        <color theme="1"/>
        <rFont val="Calibri"/>
        <family val="2"/>
        <scheme val="minor"/>
      </rPr>
      <t xml:space="preserve">, Roller packer; </t>
    </r>
    <r>
      <rPr>
        <i/>
        <sz val="10"/>
        <color theme="1"/>
        <rFont val="Calibri"/>
        <family val="2"/>
        <scheme val="minor"/>
      </rPr>
      <t>CFT</t>
    </r>
    <r>
      <rPr>
        <sz val="10"/>
        <color theme="1"/>
        <rFont val="Calibri"/>
        <family val="2"/>
        <scheme val="minor"/>
      </rPr>
      <t>, roller packer).</t>
    </r>
  </si>
  <si>
    <r>
      <t>1. Subsoil and drill in same operation (</t>
    </r>
    <r>
      <rPr>
        <i/>
        <sz val="10"/>
        <color theme="1"/>
        <rFont val="Calibri"/>
        <family val="2"/>
      </rPr>
      <t>DSSAT</t>
    </r>
    <r>
      <rPr>
        <sz val="10"/>
        <color theme="1"/>
        <rFont val="Calibri"/>
        <family val="2"/>
      </rPr>
      <t xml:space="preserve">, TI002 Subsoiler; </t>
    </r>
    <r>
      <rPr>
        <i/>
        <sz val="10"/>
        <color theme="1"/>
        <rFont val="Calibri"/>
        <family val="2"/>
      </rPr>
      <t>CFT</t>
    </r>
    <r>
      <rPr>
        <sz val="10"/>
        <color theme="1"/>
        <rFont val="Calibri"/>
        <family val="2"/>
      </rPr>
      <t>, subsoiler).
2. Cambridge rolls after drilling (CFT, roller packer; DSSAT, Roller packer).</t>
    </r>
  </si>
  <si>
    <t>Fertiliser N</t>
  </si>
  <si>
    <r>
      <rPr>
        <i/>
        <sz val="10"/>
        <color theme="1"/>
        <rFont val="Calibri"/>
        <family val="2"/>
        <scheme val="minor"/>
      </rPr>
      <t>Heavy soils</t>
    </r>
    <r>
      <rPr>
        <sz val="10"/>
        <color theme="1"/>
        <rFont val="Calibri"/>
        <family val="2"/>
        <charset val="2"/>
        <scheme val="minor"/>
      </rPr>
      <t xml:space="preserve">
40kg/ha end Feb (growth stage GS30), 
100kg 1st week April, 
100kg 3rd week April 
</t>
    </r>
    <r>
      <rPr>
        <i/>
        <sz val="10"/>
        <color theme="1"/>
        <rFont val="Calibri"/>
        <family val="2"/>
        <scheme val="minor"/>
      </rPr>
      <t>Medium soils</t>
    </r>
    <r>
      <rPr>
        <sz val="10"/>
        <color theme="1"/>
        <rFont val="Calibri"/>
        <family val="2"/>
        <charset val="2"/>
        <scheme val="minor"/>
      </rPr>
      <t xml:space="preserve">
40kg/ha end Feb (growth stage GS30), 
80kg 1st week April, 
80kg 3rd week April 
</t>
    </r>
    <r>
      <rPr>
        <i/>
        <sz val="10"/>
        <color theme="1"/>
        <rFont val="Calibri"/>
        <family val="2"/>
        <scheme val="minor"/>
      </rPr>
      <t>Light soils</t>
    </r>
    <r>
      <rPr>
        <sz val="10"/>
        <color theme="1"/>
        <rFont val="Calibri"/>
        <family val="2"/>
        <charset val="2"/>
        <scheme val="minor"/>
      </rPr>
      <t xml:space="preserve">
40kg/ha end Feb (growth stage GS30), 
75kg 1st week April, 
75kg 3rd week April 
</t>
    </r>
    <r>
      <rPr>
        <sz val="10"/>
        <color rgb="FFFF0000"/>
        <rFont val="Calibri"/>
        <family val="2"/>
        <scheme val="minor"/>
      </rPr>
      <t>(avg total value from BGRI dataset is 200kg N/ha)</t>
    </r>
  </si>
  <si>
    <t xml:space="preserve">30 kg/ha at drilling (either to the seedbed of top dressed, i.e. method for these = broadcast)
95 kg/ha early March (broadcast)
95 kg/ha early April (broadcast)
</t>
  </si>
  <si>
    <t>Straw</t>
  </si>
  <si>
    <t>straw chopped and spread</t>
  </si>
  <si>
    <t>straw chopped and spread (it'll be incorporated by the subsequent moldboard plough operation)</t>
  </si>
  <si>
    <t>Selective herbicides</t>
  </si>
  <si>
    <r>
      <rPr>
        <u/>
        <sz val="10"/>
        <color theme="1"/>
        <rFont val="Calibri"/>
        <family val="2"/>
        <scheme val="minor"/>
      </rPr>
      <t>Oct</t>
    </r>
    <r>
      <rPr>
        <sz val="10"/>
        <color theme="1"/>
        <rFont val="Calibri"/>
        <family val="2"/>
        <scheme val="minor"/>
      </rPr>
      <t xml:space="preserve"> </t>
    </r>
    <r>
      <rPr>
        <i/>
        <sz val="10"/>
        <color theme="1"/>
        <rFont val="Calibri"/>
        <family val="2"/>
        <scheme val="minor"/>
      </rPr>
      <t xml:space="preserve">
Pre-em</t>
    </r>
    <r>
      <rPr>
        <sz val="10"/>
        <color theme="1"/>
        <rFont val="Calibri"/>
        <family val="2"/>
        <scheme val="minor"/>
      </rPr>
      <t xml:space="preserve"> (within 48hrs of drilling)
Tank mix -
Crystal </t>
    </r>
    <r>
      <rPr>
        <b/>
        <sz val="10"/>
        <color theme="1"/>
        <rFont val="Calibri"/>
        <family val="2"/>
        <scheme val="minor"/>
      </rPr>
      <t xml:space="preserve">4 l/ha </t>
    </r>
    <r>
      <rPr>
        <sz val="10"/>
        <color theme="1"/>
        <rFont val="Calibri"/>
        <family val="2"/>
        <scheme val="minor"/>
      </rPr>
      <t xml:space="preserve">(360 g/l a.i.) (this is flufenacet and pendimathalin) </t>
    </r>
    <r>
      <rPr>
        <sz val="10"/>
        <color rgb="FF009900"/>
        <rFont val="Calibri"/>
        <family val="2"/>
        <scheme val="minor"/>
      </rPr>
      <t xml:space="preserve"> (respective MOAs: Flufenacet = Inhibition of VLCFA (inhibition of cell division), HRAC K3. Pendimethalin = inhibits microtubule assembly, HRAC group K1)</t>
    </r>
    <r>
      <rPr>
        <sz val="10"/>
        <color theme="1"/>
        <rFont val="Calibri"/>
        <family val="2"/>
        <scheme val="minor"/>
      </rPr>
      <t xml:space="preserve"> +
DFF (Liberator)</t>
    </r>
    <r>
      <rPr>
        <b/>
        <sz val="10"/>
        <color theme="1"/>
        <rFont val="Calibri"/>
        <family val="2"/>
        <scheme val="minor"/>
      </rPr>
      <t xml:space="preserve"> 0.6 l/ha</t>
    </r>
    <r>
      <rPr>
        <sz val="10"/>
        <color theme="1"/>
        <rFont val="Calibri"/>
        <family val="2"/>
        <scheme val="minor"/>
      </rPr>
      <t xml:space="preserve"> (500 g/l a.i.) </t>
    </r>
    <r>
      <rPr>
        <sz val="10"/>
        <color rgb="FF009900"/>
        <rFont val="Calibri"/>
        <family val="2"/>
        <scheme val="minor"/>
      </rPr>
      <t>(MOA: Bleachers - inhibitors of carotene biosynthesis (PDS). HRAC group F1)</t>
    </r>
    <r>
      <rPr>
        <i/>
        <sz val="10"/>
        <rFont val="Calibri"/>
        <family val="2"/>
        <scheme val="minor"/>
      </rPr>
      <t xml:space="preserve">
Post-em</t>
    </r>
    <r>
      <rPr>
        <sz val="10"/>
        <rFont val="Calibri"/>
        <family val="2"/>
        <scheme val="minor"/>
      </rPr>
      <t xml:space="preserve">
Atlantis </t>
    </r>
    <r>
      <rPr>
        <b/>
        <sz val="10"/>
        <rFont val="Calibri"/>
        <family val="2"/>
        <scheme val="minor"/>
      </rPr>
      <t xml:space="preserve">0.4 l/ha </t>
    </r>
    <r>
      <rPr>
        <sz val="10"/>
        <rFont val="Calibri"/>
        <family val="2"/>
        <scheme val="minor"/>
      </rPr>
      <t xml:space="preserve">(36 g/kg a.i.)
</t>
    </r>
    <r>
      <rPr>
        <u/>
        <sz val="10"/>
        <color theme="1"/>
        <rFont val="Calibri"/>
        <family val="2"/>
        <scheme val="minor"/>
      </rPr>
      <t xml:space="preserve">
March</t>
    </r>
    <r>
      <rPr>
        <sz val="10"/>
        <color theme="1"/>
        <rFont val="Calibri"/>
        <family val="2"/>
        <scheme val="minor"/>
      </rPr>
      <t xml:space="preserve"> 
Tank mix -
Atlantis </t>
    </r>
    <r>
      <rPr>
        <b/>
        <sz val="10"/>
        <color theme="1"/>
        <rFont val="Calibri"/>
        <family val="2"/>
        <scheme val="minor"/>
      </rPr>
      <t>0.4 l/ha</t>
    </r>
    <r>
      <rPr>
        <sz val="10"/>
        <color theme="1"/>
        <rFont val="Calibri"/>
        <family val="2"/>
        <scheme val="minor"/>
      </rPr>
      <t xml:space="preserve"> (36 g/l a.i.) </t>
    </r>
    <r>
      <rPr>
        <sz val="10"/>
        <color rgb="FF009900"/>
        <rFont val="Calibri"/>
        <family val="2"/>
        <scheme val="minor"/>
      </rPr>
      <t xml:space="preserve">(MOA: ALS inhibitor) </t>
    </r>
    <r>
      <rPr>
        <sz val="10"/>
        <rFont val="Calibri"/>
        <family val="2"/>
        <scheme val="minor"/>
      </rPr>
      <t xml:space="preserve">+ 
Pendimathalin </t>
    </r>
    <r>
      <rPr>
        <b/>
        <sz val="10"/>
        <rFont val="Calibri"/>
        <family val="2"/>
        <scheme val="minor"/>
      </rPr>
      <t>3 l/ha</t>
    </r>
    <r>
      <rPr>
        <sz val="10"/>
        <rFont val="Calibri"/>
        <family val="2"/>
        <scheme val="minor"/>
      </rPr>
      <t xml:space="preserve"> (400 g/l a.i.)</t>
    </r>
    <r>
      <rPr>
        <sz val="10"/>
        <color theme="1"/>
        <rFont val="Calibri"/>
        <family val="2"/>
        <scheme val="minor"/>
      </rPr>
      <t xml:space="preserve"> </t>
    </r>
    <r>
      <rPr>
        <sz val="10"/>
        <color rgb="FF009900"/>
        <rFont val="Calibri"/>
        <family val="2"/>
        <scheme val="minor"/>
      </rPr>
      <t>(MOA: inhibits microtubule assembly. HRAC group K1)</t>
    </r>
  </si>
  <si>
    <r>
      <rPr>
        <u/>
        <sz val="10"/>
        <color theme="1"/>
        <rFont val="Calibri"/>
        <family val="2"/>
        <scheme val="minor"/>
      </rPr>
      <t xml:space="preserve">2nd week Oct (8th Oct):
</t>
    </r>
    <r>
      <rPr>
        <sz val="10"/>
        <color theme="1"/>
        <rFont val="Calibri"/>
        <family val="2"/>
        <scheme val="minor"/>
      </rPr>
      <t xml:space="preserve">Propaquizafop </t>
    </r>
    <r>
      <rPr>
        <b/>
        <sz val="10"/>
        <color theme="1"/>
        <rFont val="Calibri"/>
        <family val="2"/>
        <scheme val="minor"/>
      </rPr>
      <t>1.5 l/ha</t>
    </r>
    <r>
      <rPr>
        <sz val="10"/>
        <color theme="1"/>
        <rFont val="Calibri"/>
        <family val="2"/>
        <scheme val="minor"/>
      </rPr>
      <t xml:space="preserve"> e.g. Adama Falcon, 100g/l a.i. </t>
    </r>
    <r>
      <rPr>
        <sz val="10"/>
        <color rgb="FF009900"/>
        <rFont val="Calibri"/>
        <family val="2"/>
        <scheme val="minor"/>
      </rPr>
      <t xml:space="preserve">(MOA: ACCase inhibitor)
</t>
    </r>
    <r>
      <rPr>
        <sz val="10"/>
        <rFont val="Calibri"/>
        <family val="2"/>
        <scheme val="minor"/>
      </rPr>
      <t>max rate = 1.5 l/ha</t>
    </r>
    <r>
      <rPr>
        <sz val="10"/>
        <color theme="1"/>
        <rFont val="Calibri"/>
        <family val="2"/>
        <scheme val="minor"/>
      </rPr>
      <t xml:space="preserve">
</t>
    </r>
    <r>
      <rPr>
        <u/>
        <sz val="10"/>
        <color theme="1"/>
        <rFont val="Calibri"/>
        <family val="2"/>
        <scheme val="minor"/>
      </rPr>
      <t>November (7th):</t>
    </r>
    <r>
      <rPr>
        <sz val="10"/>
        <color theme="1"/>
        <rFont val="Calibri"/>
        <family val="2"/>
        <scheme val="minor"/>
      </rPr>
      <t xml:space="preserve"> 
Propyzamide </t>
    </r>
    <r>
      <rPr>
        <b/>
        <sz val="10"/>
        <color theme="1"/>
        <rFont val="Calibri"/>
        <family val="2"/>
        <scheme val="minor"/>
      </rPr>
      <t>1.7 l/ha</t>
    </r>
    <r>
      <rPr>
        <sz val="10"/>
        <color theme="1"/>
        <rFont val="Calibri"/>
        <family val="2"/>
        <scheme val="minor"/>
      </rPr>
      <t xml:space="preserve"> (e.g. Kerb Flo 500, 500g/l a.i.) max rate = 1.7 l/ha
</t>
    </r>
    <r>
      <rPr>
        <sz val="10"/>
        <color rgb="FF009900"/>
        <rFont val="Calibri"/>
        <family val="2"/>
        <scheme val="minor"/>
      </rPr>
      <t>(MOA: inhibit microtubule assembly)</t>
    </r>
    <r>
      <rPr>
        <sz val="10"/>
        <color theme="1"/>
        <rFont val="Calibri"/>
        <family val="2"/>
        <scheme val="minor"/>
      </rPr>
      <t xml:space="preserve">
</t>
    </r>
  </si>
  <si>
    <r>
      <rPr>
        <u/>
        <sz val="10"/>
        <color theme="1"/>
        <rFont val="Calibri"/>
        <family val="2"/>
        <scheme val="minor"/>
      </rPr>
      <t>Oct</t>
    </r>
    <r>
      <rPr>
        <sz val="10"/>
        <color theme="1"/>
        <rFont val="Calibri"/>
        <family val="2"/>
        <scheme val="minor"/>
      </rPr>
      <t xml:space="preserve"> </t>
    </r>
    <r>
      <rPr>
        <i/>
        <sz val="10"/>
        <color theme="1"/>
        <rFont val="Calibri"/>
        <family val="2"/>
        <scheme val="minor"/>
      </rPr>
      <t xml:space="preserve">
Pre-em</t>
    </r>
    <r>
      <rPr>
        <sz val="10"/>
        <color theme="1"/>
        <rFont val="Calibri"/>
        <family val="2"/>
        <scheme val="minor"/>
      </rPr>
      <t xml:space="preserve"> (within 48hrs of drilling)
Tank mix -
Crystal </t>
    </r>
    <r>
      <rPr>
        <b/>
        <sz val="10"/>
        <color theme="1"/>
        <rFont val="Calibri"/>
        <family val="2"/>
        <scheme val="minor"/>
      </rPr>
      <t xml:space="preserve">4 l/ha </t>
    </r>
    <r>
      <rPr>
        <sz val="10"/>
        <color theme="1"/>
        <rFont val="Calibri"/>
        <family val="2"/>
        <scheme val="minor"/>
      </rPr>
      <t xml:space="preserve">(360 g/l a.i.) (this is flufenacet and pendimathalin) </t>
    </r>
    <r>
      <rPr>
        <sz val="10"/>
        <color rgb="FF009900"/>
        <rFont val="Calibri"/>
        <family val="2"/>
        <scheme val="minor"/>
      </rPr>
      <t>(respective MOAs: Flufenacet = Inhibition of VLCFA (inhibition of cell division), HRAC K3. Pendimethalin = inhibits microtubule assembly, HRAC group K1)</t>
    </r>
    <r>
      <rPr>
        <sz val="10"/>
        <color theme="1"/>
        <rFont val="Calibri"/>
        <family val="2"/>
        <scheme val="minor"/>
      </rPr>
      <t xml:space="preserve"> +
DFF (Liberator)</t>
    </r>
    <r>
      <rPr>
        <b/>
        <sz val="10"/>
        <color theme="1"/>
        <rFont val="Calibri"/>
        <family val="2"/>
        <scheme val="minor"/>
      </rPr>
      <t xml:space="preserve"> 0.6 l/ha</t>
    </r>
    <r>
      <rPr>
        <sz val="10"/>
        <color theme="1"/>
        <rFont val="Calibri"/>
        <family val="2"/>
        <scheme val="minor"/>
      </rPr>
      <t xml:space="preserve"> (500 g/l a.i.) </t>
    </r>
    <r>
      <rPr>
        <sz val="10"/>
        <color rgb="FF009900"/>
        <rFont val="Calibri"/>
        <family val="2"/>
        <scheme val="minor"/>
      </rPr>
      <t>(MOA: Bleachers - inhibitors of carotene biosynthesis (PDS). HRAC group F1)</t>
    </r>
    <r>
      <rPr>
        <i/>
        <sz val="10"/>
        <rFont val="Calibri"/>
        <family val="2"/>
        <scheme val="minor"/>
      </rPr>
      <t xml:space="preserve">
Post-em</t>
    </r>
    <r>
      <rPr>
        <sz val="10"/>
        <rFont val="Calibri"/>
        <family val="2"/>
        <scheme val="minor"/>
      </rPr>
      <t xml:space="preserve">
Atlantis </t>
    </r>
    <r>
      <rPr>
        <b/>
        <sz val="10"/>
        <rFont val="Calibri"/>
        <family val="2"/>
        <scheme val="minor"/>
      </rPr>
      <t xml:space="preserve">0.4 l/ha </t>
    </r>
    <r>
      <rPr>
        <sz val="10"/>
        <rFont val="Calibri"/>
        <family val="2"/>
        <scheme val="minor"/>
      </rPr>
      <t xml:space="preserve">(36 g/kg a.i.)
</t>
    </r>
    <r>
      <rPr>
        <u/>
        <sz val="10"/>
        <color theme="1"/>
        <rFont val="Calibri"/>
        <family val="2"/>
        <scheme val="minor"/>
      </rPr>
      <t xml:space="preserve">
March</t>
    </r>
    <r>
      <rPr>
        <sz val="10"/>
        <color theme="1"/>
        <rFont val="Calibri"/>
        <family val="2"/>
        <scheme val="minor"/>
      </rPr>
      <t xml:space="preserve"> 
Tank mix -
Atlantis </t>
    </r>
    <r>
      <rPr>
        <b/>
        <sz val="10"/>
        <color theme="1"/>
        <rFont val="Calibri"/>
        <family val="2"/>
        <scheme val="minor"/>
      </rPr>
      <t>0.4 l/ha</t>
    </r>
    <r>
      <rPr>
        <sz val="10"/>
        <color theme="1"/>
        <rFont val="Calibri"/>
        <family val="2"/>
        <scheme val="minor"/>
      </rPr>
      <t xml:space="preserve"> (36 g/l a.i.) </t>
    </r>
    <r>
      <rPr>
        <sz val="10"/>
        <color rgb="FF009900"/>
        <rFont val="Calibri"/>
        <family val="2"/>
        <scheme val="minor"/>
      </rPr>
      <t xml:space="preserve">(MOA: ALS inhibitor) </t>
    </r>
    <r>
      <rPr>
        <sz val="10"/>
        <rFont val="Calibri"/>
        <family val="2"/>
        <scheme val="minor"/>
      </rPr>
      <t xml:space="preserve">+ 
Pendimathalin </t>
    </r>
    <r>
      <rPr>
        <b/>
        <sz val="10"/>
        <rFont val="Calibri"/>
        <family val="2"/>
        <scheme val="minor"/>
      </rPr>
      <t>3 l/ha</t>
    </r>
    <r>
      <rPr>
        <sz val="10"/>
        <rFont val="Calibri"/>
        <family val="2"/>
        <scheme val="minor"/>
      </rPr>
      <t xml:space="preserve"> (400 g/l a.i.)</t>
    </r>
    <r>
      <rPr>
        <sz val="10"/>
        <color theme="1"/>
        <rFont val="Calibri"/>
        <family val="2"/>
        <scheme val="minor"/>
      </rPr>
      <t xml:space="preserve"> </t>
    </r>
    <r>
      <rPr>
        <sz val="10"/>
        <color rgb="FF009900"/>
        <rFont val="Calibri"/>
        <family val="2"/>
        <scheme val="minor"/>
      </rPr>
      <t>(MOA: inhibits microtubule assembly. HRAC group K1)</t>
    </r>
  </si>
  <si>
    <t>Glyphosate</t>
  </si>
  <si>
    <r>
      <rPr>
        <u/>
        <sz val="10"/>
        <color theme="1"/>
        <rFont val="Calibri"/>
        <family val="2"/>
        <scheme val="minor"/>
      </rPr>
      <t xml:space="preserve">September
</t>
    </r>
    <r>
      <rPr>
        <sz val="10"/>
        <color theme="1"/>
        <rFont val="Calibri"/>
        <family val="2"/>
        <scheme val="minor"/>
      </rPr>
      <t xml:space="preserve">To kill off stale seedbed
</t>
    </r>
    <r>
      <rPr>
        <i/>
        <sz val="10"/>
        <color theme="1"/>
        <rFont val="Calibri"/>
        <family val="2"/>
        <scheme val="minor"/>
      </rPr>
      <t>Low/medium density BG</t>
    </r>
    <r>
      <rPr>
        <sz val="10"/>
        <color theme="1"/>
        <rFont val="Calibri"/>
        <family val="2"/>
        <scheme val="minor"/>
      </rPr>
      <t xml:space="preserve">
</t>
    </r>
    <r>
      <rPr>
        <b/>
        <sz val="10"/>
        <color theme="1"/>
        <rFont val="Calibri"/>
        <family val="2"/>
        <scheme val="minor"/>
      </rPr>
      <t>2 l/ha</t>
    </r>
    <r>
      <rPr>
        <sz val="10"/>
        <color theme="1"/>
        <rFont val="Calibri"/>
        <family val="2"/>
        <scheme val="minor"/>
      </rPr>
      <t xml:space="preserve"> (360 g/l a.i.)
</t>
    </r>
    <r>
      <rPr>
        <i/>
        <sz val="10"/>
        <color theme="1"/>
        <rFont val="Calibri"/>
        <family val="2"/>
        <scheme val="minor"/>
      </rPr>
      <t>High/v high density BG</t>
    </r>
    <r>
      <rPr>
        <sz val="10"/>
        <color theme="1"/>
        <rFont val="Calibri"/>
        <family val="2"/>
        <scheme val="minor"/>
      </rPr>
      <t xml:space="preserve">
</t>
    </r>
    <r>
      <rPr>
        <b/>
        <sz val="10"/>
        <color theme="1"/>
        <rFont val="Calibri"/>
        <family val="2"/>
        <scheme val="minor"/>
      </rPr>
      <t>3 l/ha</t>
    </r>
    <r>
      <rPr>
        <sz val="10"/>
        <color theme="1"/>
        <rFont val="Calibri"/>
        <family val="2"/>
        <scheme val="minor"/>
      </rPr>
      <t xml:space="preserve"> (360 g/l a.i.)</t>
    </r>
  </si>
  <si>
    <r>
      <t xml:space="preserve">Glyphosate 360, </t>
    </r>
    <r>
      <rPr>
        <b/>
        <sz val="10"/>
        <color theme="1"/>
        <rFont val="Calibri"/>
        <family val="2"/>
        <scheme val="minor"/>
      </rPr>
      <t>2 l/ha</t>
    </r>
    <r>
      <rPr>
        <sz val="10"/>
        <color theme="1"/>
        <rFont val="Calibri"/>
        <family val="2"/>
        <scheme val="minor"/>
      </rPr>
      <t xml:space="preserve"> pre-drill</t>
    </r>
  </si>
  <si>
    <t>Jump to:</t>
  </si>
  <si>
    <t>Yield data</t>
  </si>
  <si>
    <t>Pesticide data</t>
  </si>
  <si>
    <t>Management details for Business as Usual</t>
  </si>
  <si>
    <t>Crop rotation</t>
  </si>
  <si>
    <t>BG density</t>
  </si>
  <si>
    <t>soil type</t>
  </si>
  <si>
    <t>year</t>
  </si>
  <si>
    <t>low</t>
  </si>
  <si>
    <t>high</t>
  </si>
  <si>
    <t>Notes &amp; data sources</t>
  </si>
  <si>
    <t>rate (l/ha)</t>
  </si>
  <si>
    <t>a.i. (g/l)</t>
  </si>
  <si>
    <t>a.i. (g/ha)</t>
  </si>
  <si>
    <t>Seed rates (kg/ha)</t>
  </si>
  <si>
    <t>Fertiliser: N (kg/ha)</t>
  </si>
  <si>
    <t>Herbicide rate calculations for CFT, ww</t>
  </si>
  <si>
    <t>ww</t>
  </si>
  <si>
    <t>BGRI farmer advice and dataset</t>
  </si>
  <si>
    <t>RB209 &amp; BGRI farmer advice</t>
  </si>
  <si>
    <t>Application 1. glyphosate</t>
  </si>
  <si>
    <t>wosr</t>
  </si>
  <si>
    <t>ABC, p32</t>
  </si>
  <si>
    <t>Application 2. glyphosate</t>
  </si>
  <si>
    <r>
      <t xml:space="preserve">Application 3. </t>
    </r>
    <r>
      <rPr>
        <i/>
        <sz val="11"/>
        <color theme="9" tint="-0.499984740745262"/>
        <rFont val="Calibri"/>
        <family val="2"/>
        <scheme val="minor"/>
      </rPr>
      <t>Tank mix</t>
    </r>
  </si>
  <si>
    <t>Fertiliser: P (kg/ha)</t>
  </si>
  <si>
    <t>Crystal</t>
  </si>
  <si>
    <t>October</t>
  </si>
  <si>
    <t>BGRI dataset: ww avg drill date is 5th Oct, basically all in 1st week Oct all soils all densities.</t>
  </si>
  <si>
    <t>ABC, p12</t>
  </si>
  <si>
    <t>Liberator</t>
  </si>
  <si>
    <t>August</t>
  </si>
  <si>
    <t>Application 4. Atlantis</t>
  </si>
  <si>
    <r>
      <t xml:space="preserve">Application 5. </t>
    </r>
    <r>
      <rPr>
        <i/>
        <sz val="11"/>
        <color theme="9" tint="-0.499984740745262"/>
        <rFont val="Calibri"/>
        <family val="2"/>
        <scheme val="minor"/>
      </rPr>
      <t>Tank mix</t>
    </r>
  </si>
  <si>
    <t>Fertiliser: K (kg/ha)</t>
  </si>
  <si>
    <t>Atlantis</t>
  </si>
  <si>
    <t>plough in years 2 &amp; 5 (unless on heavy land)</t>
  </si>
  <si>
    <t xml:space="preserve">BGRI database, agronomists, </t>
  </si>
  <si>
    <t>Pendimethalin</t>
  </si>
  <si>
    <t>Sarah Cook (ADAS)</t>
  </si>
  <si>
    <t>Total a.i. (g/ha)</t>
  </si>
  <si>
    <t>Thus number of applications in ww for CFT:</t>
  </si>
  <si>
    <t>Herbicides targeting Black-grass (l/ha)</t>
  </si>
  <si>
    <t>BGRI database, agronomists</t>
  </si>
  <si>
    <t>BGRI database</t>
  </si>
  <si>
    <t>Herbicide rate calculations for CFT, wosr</t>
  </si>
  <si>
    <t>Application 1. Propaquizafop</t>
  </si>
  <si>
    <t>Glyphosate (l/ha)</t>
  </si>
  <si>
    <t>Application 2. Propyzamide</t>
  </si>
  <si>
    <t>Thus number of applications in wOSR for CFT:</t>
  </si>
  <si>
    <t>Total number of spraying operations</t>
  </si>
  <si>
    <t>References</t>
  </si>
  <si>
    <t>RB209 Fertiliser Manual, DEFRA UK</t>
  </si>
  <si>
    <t>ABC 2019</t>
  </si>
  <si>
    <t>Yield and Pesticide info from BGRI data</t>
  </si>
  <si>
    <t>Yield</t>
  </si>
  <si>
    <t>Fungicide</t>
  </si>
  <si>
    <t>Herbicide</t>
  </si>
  <si>
    <t>Insecticide</t>
  </si>
  <si>
    <t>GrowthRegulator</t>
  </si>
  <si>
    <t>Crop</t>
  </si>
  <si>
    <t>AvgYld
(BGRI data)</t>
  </si>
  <si>
    <t>Avg yield
(t/ha)
(Nix 2019)</t>
  </si>
  <si>
    <t>Area</t>
  </si>
  <si>
    <t>Weight</t>
  </si>
  <si>
    <t>Total
(kg/ha)</t>
  </si>
  <si>
    <t>Total-BG</t>
  </si>
  <si>
    <t>Grand Total 
(kg/ha)</t>
  </si>
  <si>
    <t>winter barley (assumes feed barley)</t>
  </si>
  <si>
    <t>spring barley (assumes malting barley)</t>
  </si>
  <si>
    <t>Management details for Northern regions</t>
  </si>
  <si>
    <t>High Density - High Resistance - Heavy Soil</t>
  </si>
  <si>
    <t>setaside</t>
  </si>
  <si>
    <t>springbarley</t>
  </si>
  <si>
    <t>Farmer Focus Strategies</t>
  </si>
  <si>
    <t>NA</t>
  </si>
  <si>
    <t>winterbarley</t>
  </si>
  <si>
    <t>Low Density - High Resistance - Heavy Soil</t>
  </si>
  <si>
    <t>springbeans</t>
  </si>
  <si>
    <t>driedpeas</t>
  </si>
  <si>
    <t>Drilling Month</t>
  </si>
  <si>
    <t>-</t>
  </si>
  <si>
    <t>March</t>
  </si>
  <si>
    <t>September</t>
  </si>
  <si>
    <t>Low Density - Low Resistance - Heavy Soil</t>
  </si>
  <si>
    <t>lightcultivation</t>
  </si>
  <si>
    <t>directdrilling</t>
  </si>
  <si>
    <t>High Density - High Resistance - Light Soil</t>
  </si>
  <si>
    <t>Low Density - High Resistance - Light Soil</t>
  </si>
  <si>
    <t>Low Density - Low Resistance - Light Soil</t>
  </si>
  <si>
    <t>[Input Variable Not Coded Yet]</t>
  </si>
  <si>
    <t>Management details for High Density High Resistance farms</t>
  </si>
  <si>
    <t>Crop Rotations</t>
  </si>
  <si>
    <t>Different Variables</t>
  </si>
  <si>
    <t>Heavy (medium)</t>
  </si>
  <si>
    <t>springlinseed</t>
  </si>
  <si>
    <t>springoats</t>
  </si>
  <si>
    <t>[Begin rotations again]</t>
  </si>
  <si>
    <t>sugarbeet</t>
  </si>
  <si>
    <t>inversion</t>
  </si>
  <si>
    <t>High Density High Resistance</t>
  </si>
  <si>
    <t>Low Density High Resistance</t>
  </si>
  <si>
    <t>Low Density Low Resistance</t>
  </si>
  <si>
    <t>Fertiliser Rate (kg[N]/ha)</t>
  </si>
  <si>
    <t>Tillage operations by farm (heavy soil)</t>
  </si>
  <si>
    <t>Tillage operations by farm (light soil)</t>
  </si>
  <si>
    <t>Crop rotations heavy soils</t>
  </si>
  <si>
    <t>winterwheat</t>
  </si>
  <si>
    <t>springwheat</t>
  </si>
  <si>
    <t>winterbeans</t>
  </si>
  <si>
    <t>warepotatoes</t>
  </si>
  <si>
    <t>sosr</t>
  </si>
  <si>
    <t>winterlinseed</t>
  </si>
  <si>
    <t>Is it late?</t>
  </si>
  <si>
    <t>January</t>
  </si>
  <si>
    <t>February</t>
  </si>
  <si>
    <t>April</t>
  </si>
  <si>
    <t>May</t>
  </si>
  <si>
    <t>June</t>
  </si>
  <si>
    <t>July</t>
  </si>
  <si>
    <t>November</t>
  </si>
  <si>
    <t>December</t>
  </si>
  <si>
    <t>no</t>
  </si>
  <si>
    <t>late</t>
  </si>
  <si>
    <t>later</t>
  </si>
  <si>
    <t>latest</t>
  </si>
  <si>
    <t>minimumtillage</t>
  </si>
  <si>
    <t>ploughing</t>
  </si>
  <si>
    <t>subsoiling</t>
  </si>
  <si>
    <t>maize</t>
  </si>
  <si>
    <t>oats</t>
  </si>
  <si>
    <r>
      <rPr>
        <b/>
        <sz val="11"/>
        <color theme="1"/>
        <rFont val="Verdana"/>
        <family val="2"/>
      </rPr>
      <t>№</t>
    </r>
    <r>
      <rPr>
        <b/>
        <sz val="11"/>
        <color theme="1"/>
        <rFont val="Calibri"/>
        <family val="2"/>
      </rPr>
      <t xml:space="preserve"> </t>
    </r>
    <r>
      <rPr>
        <b/>
        <sz val="11"/>
        <color theme="1"/>
        <rFont val="Calibri"/>
        <family val="2"/>
        <scheme val="minor"/>
      </rPr>
      <t>Fertiliser sprayings</t>
    </r>
  </si>
  <si>
    <t>disc, roller packer, grain drill, roller packer</t>
  </si>
  <si>
    <t>minimum tillage, roller packer</t>
  </si>
  <si>
    <t>subsoil, roller packer</t>
  </si>
  <si>
    <t>fieldname</t>
  </si>
  <si>
    <t>scenario</t>
  </si>
  <si>
    <t>rotation</t>
  </si>
  <si>
    <t>fieldID</t>
  </si>
  <si>
    <t>product</t>
  </si>
  <si>
    <t>production_area</t>
  </si>
  <si>
    <t>finished_product_from_production_area</t>
  </si>
  <si>
    <t>climate</t>
  </si>
  <si>
    <t>avg_annual_temp</t>
  </si>
  <si>
    <t>croptype</t>
  </si>
  <si>
    <t>soiltexture</t>
  </si>
  <si>
    <t>SOM</t>
  </si>
  <si>
    <t>soilmoisture</t>
  </si>
  <si>
    <t>soildrainage</t>
  </si>
  <si>
    <t>pHvalue</t>
  </si>
  <si>
    <t>pH</t>
  </si>
  <si>
    <t>fertiliser1</t>
  </si>
  <si>
    <t>applicationrate</t>
  </si>
  <si>
    <t>fertiliser_spraydays</t>
  </si>
  <si>
    <t>pesticide_applicns</t>
  </si>
  <si>
    <t>tillage_changes</t>
  </si>
  <si>
    <t>tillage_changes_time</t>
  </si>
  <si>
    <t>tillage_changes_pc</t>
  </si>
  <si>
    <t>residue_management</t>
  </si>
  <si>
    <t>residue_incorporation</t>
  </si>
  <si>
    <t>chisel_plough</t>
  </si>
  <si>
    <t>disc_gang</t>
  </si>
  <si>
    <t>disc_harrow</t>
  </si>
  <si>
    <t xml:space="preserve">field_cultivator/ridger </t>
  </si>
  <si>
    <t>grain_drill</t>
  </si>
  <si>
    <t>grain_drill-notill</t>
  </si>
  <si>
    <t>moldboard_plough</t>
  </si>
  <si>
    <t>roller_harrow</t>
  </si>
  <si>
    <t>roller_packer</t>
  </si>
  <si>
    <t>rotary_hoe_bed tiller</t>
  </si>
  <si>
    <t>subsoiler</t>
  </si>
  <si>
    <t>tine_harrow</t>
  </si>
  <si>
    <t>spraydays_BGgly</t>
  </si>
  <si>
    <t>N.heavy.H-Den.H-Res</t>
  </si>
  <si>
    <t>temperate</t>
  </si>
  <si>
    <t>moist</t>
  </si>
  <si>
    <t>good</t>
  </si>
  <si>
    <t>Ammonium nitrate - 35% N</t>
  </si>
  <si>
    <t>Left on field; Incorporated or mulch</t>
  </si>
  <si>
    <t>N.heavy.L-Den.H-Res</t>
  </si>
  <si>
    <t>N.heavy.L-Den.L-Res</t>
  </si>
  <si>
    <t>N.medium.H-Den.H-Res</t>
  </si>
  <si>
    <t>N.medium.L-Den.H-Res</t>
  </si>
  <si>
    <t>N.medium.L-Den.L-Res</t>
  </si>
  <si>
    <t>N.light.H-Den.H-Res</t>
  </si>
  <si>
    <t>N.light.L-Den.H-Res</t>
  </si>
  <si>
    <t>N.light.L-Den.L-Res</t>
  </si>
  <si>
    <t>BAU</t>
  </si>
  <si>
    <t>Winter wheat</t>
  </si>
  <si>
    <t xml:space="preserve">No </t>
  </si>
  <si>
    <t>no change</t>
  </si>
  <si>
    <t>Oilseed Rape</t>
  </si>
  <si>
    <t>Reduced to Conventional</t>
  </si>
  <si>
    <t>started incorporating</t>
  </si>
  <si>
    <t>Conventional to Reduced</t>
  </si>
  <si>
    <t>stopped incorporating</t>
  </si>
  <si>
    <t>farm_no</t>
  </si>
  <si>
    <t>farm_id</t>
  </si>
  <si>
    <t>soil</t>
  </si>
  <si>
    <t>rotlength</t>
  </si>
  <si>
    <t>crop1</t>
  </si>
  <si>
    <t>crop2</t>
  </si>
  <si>
    <t>crop3</t>
  </si>
  <si>
    <t>crop4</t>
  </si>
  <si>
    <t>crop5</t>
  </si>
  <si>
    <t>crop6</t>
  </si>
  <si>
    <t>tillage1</t>
  </si>
  <si>
    <t>tillage2</t>
  </si>
  <si>
    <t>tillage3</t>
  </si>
  <si>
    <t>tillage4</t>
  </si>
  <si>
    <t>tillage5</t>
  </si>
  <si>
    <t>tillage6</t>
  </si>
  <si>
    <t>seedrate1</t>
  </si>
  <si>
    <t>seedrate2</t>
  </si>
  <si>
    <t>seedrate3</t>
  </si>
  <si>
    <t>seedrate4</t>
  </si>
  <si>
    <t>seedrate5</t>
  </si>
  <si>
    <t>seedrate6</t>
  </si>
  <si>
    <t>delsow1</t>
  </si>
  <si>
    <t>delsow2</t>
  </si>
  <si>
    <t>delsow3</t>
  </si>
  <si>
    <t>delsow4</t>
  </si>
  <si>
    <t>delsow5</t>
  </si>
  <si>
    <t>delsow6</t>
  </si>
  <si>
    <t>Nfert1</t>
  </si>
  <si>
    <t>Nfert2</t>
  </si>
  <si>
    <t>Nfert3</t>
  </si>
  <si>
    <t>Nfert4</t>
  </si>
  <si>
    <t>Nfert5</t>
  </si>
  <si>
    <t>Nfert6</t>
  </si>
  <si>
    <t>Pfert1</t>
  </si>
  <si>
    <t>Pfert2</t>
  </si>
  <si>
    <t>Pfert3</t>
  </si>
  <si>
    <t>Pfert4</t>
  </si>
  <si>
    <t>Pfert5</t>
  </si>
  <si>
    <t>Pfert6</t>
  </si>
  <si>
    <t>Kfert1</t>
  </si>
  <si>
    <t>Kfert2</t>
  </si>
  <si>
    <t>Kfert3</t>
  </si>
  <si>
    <t>Kfert4</t>
  </si>
  <si>
    <t>Kfert5</t>
  </si>
  <si>
    <t>Kfert6</t>
  </si>
  <si>
    <t>bgherbdose1</t>
  </si>
  <si>
    <t>bgherbdose2</t>
  </si>
  <si>
    <t>bgherbdose3</t>
  </si>
  <si>
    <t>bgherbdose4</t>
  </si>
  <si>
    <t>bgherbdose5</t>
  </si>
  <si>
    <t>bgherbdose6</t>
  </si>
  <si>
    <t>glydose1</t>
  </si>
  <si>
    <t>glydose2</t>
  </si>
  <si>
    <t>glydose3</t>
  </si>
  <si>
    <t>glydose4</t>
  </si>
  <si>
    <t>glydose5</t>
  </si>
  <si>
    <t>glydose6</t>
  </si>
  <si>
    <t>nspray1</t>
  </si>
  <si>
    <t>nspray2</t>
  </si>
  <si>
    <t>nspray3</t>
  </si>
  <si>
    <t>nspray4</t>
  </si>
  <si>
    <t>nspray5</t>
  </si>
  <si>
    <t>nspray6</t>
  </si>
  <si>
    <t>subsidy</t>
  </si>
  <si>
    <t>blackgrass1</t>
  </si>
  <si>
    <t>blackgrass2</t>
  </si>
  <si>
    <t>blackgrass3</t>
  </si>
  <si>
    <t>blackgrass4</t>
  </si>
  <si>
    <t>blackgrass5</t>
  </si>
  <si>
    <t>blackgrass6</t>
  </si>
  <si>
    <t>cropprice1</t>
  </si>
  <si>
    <t>cropprice2</t>
  </si>
  <si>
    <t>cropprice3</t>
  </si>
  <si>
    <t>cropprice4</t>
  </si>
  <si>
    <t>cropprice5</t>
  </si>
  <si>
    <t>cropprice6</t>
  </si>
  <si>
    <t>cropyield1</t>
  </si>
  <si>
    <t>cropyield2</t>
  </si>
  <si>
    <t>cropyield3</t>
  </si>
  <si>
    <t>cropyield4</t>
  </si>
  <si>
    <t>cropyield5</t>
  </si>
  <si>
    <t>cropyield6</t>
  </si>
  <si>
    <t>yieldoption</t>
  </si>
  <si>
    <t>Nprice</t>
  </si>
  <si>
    <t>Pprice</t>
  </si>
  <si>
    <t>Kprice</t>
  </si>
  <si>
    <t>seedprice1</t>
  </si>
  <si>
    <t>seedprice2</t>
  </si>
  <si>
    <t>seedprice3</t>
  </si>
  <si>
    <t>seedprice4</t>
  </si>
  <si>
    <t>seedprice5</t>
  </si>
  <si>
    <t>seedprice6</t>
  </si>
  <si>
    <t>herbprice1</t>
  </si>
  <si>
    <t>herbprice2</t>
  </si>
  <si>
    <t>herbprice3</t>
  </si>
  <si>
    <t>herbprice4</t>
  </si>
  <si>
    <t>herbprice5</t>
  </si>
  <si>
    <t>herbprice6</t>
  </si>
  <si>
    <t>glyprice1</t>
  </si>
  <si>
    <t>glyprice2</t>
  </si>
  <si>
    <t>glyprice3</t>
  </si>
  <si>
    <t>glyprice4</t>
  </si>
  <si>
    <t>glyprice5</t>
  </si>
  <si>
    <t>glyprice6</t>
  </si>
  <si>
    <t>machsize1</t>
  </si>
  <si>
    <t>machsize2</t>
  </si>
  <si>
    <t>machsize3</t>
  </si>
  <si>
    <t>machsize4</t>
  </si>
  <si>
    <t>machsize5</t>
  </si>
  <si>
    <t>fuelprice</t>
  </si>
  <si>
    <t>labourwage</t>
  </si>
  <si>
    <t>N.heavy.H-Dsty.H-Res</t>
  </si>
  <si>
    <t>yes</t>
  </si>
  <si>
    <t>estimate</t>
  </si>
  <si>
    <t>N.heavy.L-Dsty.H-Res</t>
  </si>
  <si>
    <t>N.heavy.L-Dsty.L-Res</t>
  </si>
  <si>
    <t>N.medium.H-Dsty.H-Res</t>
  </si>
  <si>
    <t>N.medium.L-Dsty.H-Res</t>
  </si>
  <si>
    <t>N.medium.L-Dsty.L-Res</t>
  </si>
  <si>
    <t>N.light.H-Dsty.H-Res</t>
  </si>
  <si>
    <t>N.light.L-Dsty.H-Res</t>
  </si>
  <si>
    <t>N.light.L-Dsty.L-Res</t>
  </si>
  <si>
    <t>C.heavy.H-Dsty.H-Res</t>
  </si>
  <si>
    <t>C.heavy.L-Dsty.H-Res</t>
  </si>
  <si>
    <t>C.heavy.L-Dsty.L-Res</t>
  </si>
  <si>
    <t>C.medium.H-Dsty.H-Res</t>
  </si>
  <si>
    <t>C.medium.L-Dsty.H-Res</t>
  </si>
  <si>
    <t>C.medium.L-Dsty.L-Res</t>
  </si>
  <si>
    <t>C.light.H-Dsty.H-Res</t>
  </si>
  <si>
    <t>C.light.L-Dsty.H-Res</t>
  </si>
  <si>
    <t>C.light.L-Dsty.L-Res</t>
  </si>
  <si>
    <t>E.heavy.H-Dsty.H-Res</t>
  </si>
  <si>
    <t>E.heavy.L-Dsty.H-Res</t>
  </si>
  <si>
    <t>E.heavy.L-Dsty.L-Res</t>
  </si>
  <si>
    <t>E.medium.H-Dsty.H-Res</t>
  </si>
  <si>
    <t>E.medium.L-Dsty.H-Res</t>
  </si>
  <si>
    <t>E.medium.L-Dsty.L-Res</t>
  </si>
  <si>
    <t>E.light.H-Dsty.H-Res</t>
  </si>
  <si>
    <t>E.light.L-Dsty.H-Res</t>
  </si>
  <si>
    <t>E.light.L-Dsty.L-Res</t>
  </si>
  <si>
    <t>Available CFT crop types</t>
  </si>
  <si>
    <t>Conversion</t>
  </si>
  <si>
    <t>[Select]</t>
  </si>
  <si>
    <t>Gross classification</t>
  </si>
  <si>
    <t>Bouwman equivalent</t>
  </si>
  <si>
    <t>ECOMOD Crop types</t>
  </si>
  <si>
    <t>CFT Equivalent</t>
  </si>
  <si>
    <t>Avg yield (t/ha)</t>
  </si>
  <si>
    <t>Alfalfa</t>
  </si>
  <si>
    <t>Other crop</t>
  </si>
  <si>
    <t>Apple</t>
  </si>
  <si>
    <t>Tree Crop</t>
  </si>
  <si>
    <t>Spring wheat</t>
  </si>
  <si>
    <t>Barley</t>
  </si>
  <si>
    <t>Grain</t>
  </si>
  <si>
    <t>Clover</t>
  </si>
  <si>
    <t>N-fixing forage</t>
  </si>
  <si>
    <t>Legume</t>
  </si>
  <si>
    <t>Coffee</t>
  </si>
  <si>
    <t>Dry Bean</t>
  </si>
  <si>
    <t>Cotton</t>
  </si>
  <si>
    <t>Other</t>
  </si>
  <si>
    <t>Beans &amp; pulses</t>
  </si>
  <si>
    <t>Potato</t>
  </si>
  <si>
    <t>Grass-clover mix</t>
  </si>
  <si>
    <t>Grass-clover</t>
  </si>
  <si>
    <t>Maize</t>
  </si>
  <si>
    <t>Millet</t>
  </si>
  <si>
    <t>Other root crops</t>
  </si>
  <si>
    <t>Oats</t>
  </si>
  <si>
    <t>Other grain</t>
  </si>
  <si>
    <t>Peanut</t>
  </si>
  <si>
    <t>Perennial grass</t>
  </si>
  <si>
    <t>Grass</t>
  </si>
  <si>
    <t>Other legume</t>
  </si>
  <si>
    <t>Tuber</t>
  </si>
  <si>
    <t>Rice</t>
  </si>
  <si>
    <t>Wetland rice</t>
  </si>
  <si>
    <t>Rye</t>
  </si>
  <si>
    <t>Sorghum</t>
  </si>
  <si>
    <t>Soyabean</t>
  </si>
  <si>
    <t>Consecutive cropping penalties (reduction from 1 which is no penalty)</t>
  </si>
  <si>
    <t>Tea</t>
  </si>
  <si>
    <t>year 1</t>
  </si>
  <si>
    <t>year 2</t>
  </si>
  <si>
    <t>year 3</t>
  </si>
  <si>
    <t>year 4</t>
  </si>
  <si>
    <t>year 5</t>
  </si>
  <si>
    <t>year 6</t>
  </si>
  <si>
    <t>Tomato</t>
  </si>
  <si>
    <t>Bush crop</t>
  </si>
  <si>
    <t>Vegetable</t>
  </si>
  <si>
    <t>Other N-fixing forage</t>
  </si>
  <si>
    <t>Other Non-N-fixing forage</t>
  </si>
  <si>
    <t>Non-N-fixing forage</t>
  </si>
  <si>
    <t>Root crop</t>
  </si>
  <si>
    <t>Other tuber crop</t>
  </si>
  <si>
    <t>Winterwheat</t>
  </si>
  <si>
    <t>WinterBARLEY</t>
  </si>
  <si>
    <t>SpringBARLEY</t>
  </si>
  <si>
    <t>SpringBEANS</t>
  </si>
  <si>
    <t>SUGARBEET</t>
  </si>
  <si>
    <t>springLINSEED</t>
  </si>
  <si>
    <t>PEAS</t>
  </si>
  <si>
    <t>FALLOW</t>
  </si>
  <si>
    <t>MAIZE</t>
  </si>
  <si>
    <t>OATS</t>
  </si>
  <si>
    <t>High Density High Resistance [EAST]</t>
  </si>
  <si>
    <t>Low Density High Resistance [EAST] Y1</t>
  </si>
  <si>
    <t>Low Density Low Resistance [EAST]</t>
  </si>
  <si>
    <t>High Density High Resistance [North]</t>
  </si>
  <si>
    <t>Low Density High Resistance [NORTH]</t>
  </si>
  <si>
    <t>Low Density Low Resistance [NORTH] Y1</t>
  </si>
  <si>
    <t>High Density High Resistance [CENTRAL] Y1</t>
  </si>
  <si>
    <t>Low Density High Resistance [CENTRAL]</t>
  </si>
  <si>
    <t>Low Density Low Resistance [CENTRAL] Y1</t>
  </si>
  <si>
    <t>High Density High Resistance [CENTRAL]</t>
  </si>
  <si>
    <t>Low Density High Resistance [EAST]</t>
  </si>
  <si>
    <t>Low Density Low Resistance [NORTH]</t>
  </si>
  <si>
    <t>Low Density Low Resistance [CENTRAL]</t>
  </si>
  <si>
    <t>High Density High Resistance [NORTH]</t>
  </si>
  <si>
    <t>Herbicide rate calculations</t>
  </si>
  <si>
    <t>Sultan</t>
  </si>
  <si>
    <t>Springbok</t>
  </si>
  <si>
    <t>Laser</t>
  </si>
  <si>
    <t>Centurion</t>
  </si>
  <si>
    <t>Centurion Max</t>
  </si>
  <si>
    <t>Kerb Flo</t>
  </si>
  <si>
    <t>Avadex</t>
  </si>
  <si>
    <t>Nirvana</t>
  </si>
  <si>
    <t>Stomp</t>
  </si>
  <si>
    <t>Kerb</t>
  </si>
  <si>
    <t>Betanal MaxxPro</t>
  </si>
  <si>
    <t>Hurricane</t>
  </si>
  <si>
    <t>Defy</t>
  </si>
  <si>
    <t>Afalon</t>
  </si>
  <si>
    <t>Crawler</t>
  </si>
  <si>
    <t>Goltix</t>
  </si>
  <si>
    <t>Stomp Aqua</t>
  </si>
  <si>
    <t>Flufenacet</t>
  </si>
  <si>
    <t>Total</t>
  </si>
  <si>
    <t>Doses</t>
  </si>
  <si>
    <t>Low Density High Resistance [EAST] Y6</t>
  </si>
  <si>
    <t>Low Density Low Resistance [NORTH] Y4</t>
  </si>
  <si>
    <t>High Density High Resistance [CENTRAL] Y4</t>
  </si>
  <si>
    <t>Low Density Low Resistance [Central] Y4</t>
  </si>
  <si>
    <t>Continuous Cropping</t>
  </si>
  <si>
    <t>Rotations</t>
  </si>
  <si>
    <t>Yield Penalty (%)</t>
  </si>
  <si>
    <t>Crop Sequence</t>
  </si>
  <si>
    <t>Remarks</t>
  </si>
  <si>
    <t>Winter wheat following a barley crop</t>
  </si>
  <si>
    <t>Winter wheat following set-aside</t>
  </si>
  <si>
    <t>Spring wheat following a barley crop</t>
  </si>
  <si>
    <t>Winter barley</t>
  </si>
  <si>
    <t>Spring wheat following set-aside</t>
  </si>
  <si>
    <t>Spring barley</t>
  </si>
  <si>
    <t>Winter barley following a wheat crop</t>
  </si>
  <si>
    <t>Winter beans</t>
  </si>
  <si>
    <t>Winter barley following set-aside</t>
  </si>
  <si>
    <t>Spring beans</t>
  </si>
  <si>
    <t>Spring barley following a wheat crop</t>
  </si>
  <si>
    <t>Dried peas</t>
  </si>
  <si>
    <t>Spring barley following set-aside</t>
  </si>
  <si>
    <r>
      <rPr>
        <b/>
        <sz val="9"/>
        <color theme="9" tint="-0.499984740745262"/>
        <rFont val="Calibri"/>
        <family val="2"/>
        <scheme val="minor"/>
      </rPr>
      <t>Note:</t>
    </r>
    <r>
      <rPr>
        <sz val="9"/>
        <color theme="9" tint="-0.499984740745262"/>
        <rFont val="Calibri"/>
        <family val="2"/>
        <scheme val="minor"/>
      </rPr>
      <t xml:space="preserve"> Due to lack of data on years beyond 5 years, yield penalties beyond 5 years were assumed to be equal to yield penalties in year 5. For ware potatoes, winter and spring oilseed rape, winter and spring linseed and sugar beet, successive or continuous cropping is not allowed or encouraged due possibility of disease build-up. In these cases, 100% penalty is applied (see adjacent table).</t>
    </r>
  </si>
  <si>
    <t>Winter beans following a brassica crop 
(e.g. oilseed rape)</t>
  </si>
  <si>
    <t>NA or 100</t>
  </si>
  <si>
    <t>Such sequences are not allowed or encouraged</t>
  </si>
  <si>
    <t>Winter wheat following a brassica crop 
(e.g. oilseed rape)</t>
  </si>
  <si>
    <t>Winter wheat following sugar beet</t>
  </si>
  <si>
    <t>Spring beans following a brassica crop 
(e.g. oilseed rape)</t>
  </si>
  <si>
    <t>Spring wheat following sugar beet</t>
  </si>
  <si>
    <t>Ware potatoes following sugar beet</t>
  </si>
  <si>
    <t>Winter oilseed rape following a beans crop</t>
  </si>
  <si>
    <t>Winter oilseed rape following sugar beet</t>
  </si>
  <si>
    <t>Winter oilseed rape following a linseed crop</t>
  </si>
  <si>
    <t>Spring oilseed rape following a beans crop</t>
  </si>
  <si>
    <t>Spring oilseed rape following sugar beet</t>
  </si>
  <si>
    <t>Winter linseed following a beans crop</t>
  </si>
  <si>
    <t>Winter linseed following sugar beet</t>
  </si>
  <si>
    <t>Spring linseed following a beans crop</t>
  </si>
  <si>
    <t>Spring linseed following sugar beet</t>
  </si>
  <si>
    <t>Dried peas following a brassica crop 
(e.g. oilseed rape)</t>
  </si>
  <si>
    <t>Sugar beet following a brassica crop 
(e.g. oilseed rape)</t>
  </si>
  <si>
    <t>Sugar beet following a potato crop</t>
  </si>
  <si>
    <t>Crop Data</t>
  </si>
  <si>
    <t>This data has been presented to be used in a situation where the user is running the model for multiple fields but is missing some crop data.</t>
  </si>
  <si>
    <t>The data for herbicide and glyphosate rates are randomly selected from farm data collected in the BGRI project. The rates may vary and thus the data presented serve as a guide only.</t>
  </si>
  <si>
    <t xml:space="preserve">The prices for herbicide and glyphosate are average prices obtained from BGRI farm data. </t>
  </si>
  <si>
    <t>For the cereal crops, secondary yields are assumed and represent the straw from harvested cereals.</t>
  </si>
  <si>
    <t>Input/Output</t>
  </si>
  <si>
    <t>Unit</t>
  </si>
  <si>
    <t>WWHT</t>
  </si>
  <si>
    <t>SWHT</t>
  </si>
  <si>
    <t>WPOT</t>
  </si>
  <si>
    <t>SBEE</t>
  </si>
  <si>
    <t>SETA</t>
  </si>
  <si>
    <t>WLIN</t>
  </si>
  <si>
    <t>SLIN</t>
  </si>
  <si>
    <t>DPEA</t>
  </si>
  <si>
    <t>INPUTS</t>
  </si>
  <si>
    <t>N Fertiliser</t>
  </si>
  <si>
    <t>kg [N]/ha</t>
  </si>
  <si>
    <t>kg [P]/ha</t>
  </si>
  <si>
    <t>kg [K]/ha</t>
  </si>
  <si>
    <t>N Fertiliser Price</t>
  </si>
  <si>
    <t>£/kg</t>
  </si>
  <si>
    <t>P Fertiliser Price</t>
  </si>
  <si>
    <t>K Fertiliser Price</t>
  </si>
  <si>
    <t>Seed Rate</t>
  </si>
  <si>
    <t>kg/ha</t>
  </si>
  <si>
    <t>BG herb</t>
  </si>
  <si>
    <t>l/ha</t>
  </si>
  <si>
    <t>Herb Price</t>
  </si>
  <si>
    <t>£/l</t>
  </si>
  <si>
    <t>Glyphosate Price</t>
  </si>
  <si>
    <t>Sugarbeet Transport</t>
  </si>
  <si>
    <t>£/t</t>
  </si>
  <si>
    <t>--</t>
  </si>
  <si>
    <t>Sundry Cost</t>
  </si>
  <si>
    <t>£/ha</t>
  </si>
  <si>
    <t>OUTPUTS</t>
  </si>
  <si>
    <t>t/ha</t>
  </si>
  <si>
    <t>Primary Yield Price</t>
  </si>
  <si>
    <t>Secondary Yield</t>
  </si>
  <si>
    <t>Secondary Yield Price</t>
  </si>
  <si>
    <t>Subsidy</t>
  </si>
  <si>
    <t>Soil Index</t>
  </si>
  <si>
    <t>Farm- or Field-specific Data</t>
  </si>
  <si>
    <t xml:space="preserve">Soil </t>
  </si>
  <si>
    <t>Index</t>
  </si>
  <si>
    <t>Variable</t>
  </si>
  <si>
    <t>Value(s)</t>
  </si>
  <si>
    <t>Light soil</t>
  </si>
  <si>
    <r>
      <t>sand (S)</t>
    </r>
    <r>
      <rPr>
        <vertAlign val="superscript"/>
        <sz val="11"/>
        <color theme="1"/>
        <rFont val="Cambria"/>
        <family val="1"/>
      </rPr>
      <t>†</t>
    </r>
  </si>
  <si>
    <t>*</t>
  </si>
  <si>
    <t>loamy sand (LS)</t>
  </si>
  <si>
    <t>Fuel price</t>
  </si>
  <si>
    <t>sandy loam (SL), silt (SI), sandy silt loam (SSIL), silt loam (SIL)</t>
  </si>
  <si>
    <t>Labour wage</t>
  </si>
  <si>
    <t>£/h</t>
  </si>
  <si>
    <t>Medium soil</t>
  </si>
  <si>
    <t>sandy clay loam (SCL)</t>
  </si>
  <si>
    <t>loam (L), clay loam (CL)</t>
  </si>
  <si>
    <t>1.5*</t>
  </si>
  <si>
    <t>silty clay loam (SICL)</t>
  </si>
  <si>
    <r>
      <rPr>
        <b/>
        <sz val="10"/>
        <color theme="9" tint="-0.499984740745262"/>
        <rFont val="Calibri"/>
        <family val="2"/>
      </rPr>
      <t>* NB</t>
    </r>
    <r>
      <rPr>
        <sz val="10"/>
        <color theme="9" tint="-0.499984740745262"/>
        <rFont val="Calibri"/>
        <family val="2"/>
      </rPr>
      <t xml:space="preserve"> it may be necessary to format the soil index as text of the input is a .csv file so that the two decimal places are retained.</t>
    </r>
  </si>
  <si>
    <t>Heavy soil</t>
  </si>
  <si>
    <t>sandy clay (SC)</t>
  </si>
  <si>
    <t>silty clay (SIC)</t>
  </si>
  <si>
    <t>clay (C )</t>
  </si>
  <si>
    <t>* peat given a value of 1.5</t>
  </si>
  <si>
    <r>
      <rPr>
        <vertAlign val="superscript"/>
        <sz val="11"/>
        <color theme="9" tint="-0.499984740745262"/>
        <rFont val="Calibri"/>
        <family val="2"/>
      </rPr>
      <t>†</t>
    </r>
    <r>
      <rPr>
        <sz val="11"/>
        <color theme="9" tint="-0.499984740745262"/>
        <rFont val="Calibri"/>
        <family val="2"/>
      </rPr>
      <t xml:space="preserve"> letters in brackets are soil texture abbreviations used by the DSSAT Crop System Model.</t>
    </r>
  </si>
  <si>
    <t>spraydays_Bggly</t>
  </si>
  <si>
    <t>1_big.orchard</t>
  </si>
  <si>
    <t>1_big.orchard_2016</t>
  </si>
  <si>
    <t>Fine</t>
  </si>
  <si>
    <t>7.3 &lt; pH &lt;= 8.5</t>
  </si>
  <si>
    <t>10</t>
  </si>
  <si>
    <t>2</t>
  </si>
  <si>
    <t>1</t>
  </si>
  <si>
    <t>1_big.orchard_2017</t>
  </si>
  <si>
    <t>No</t>
  </si>
  <si>
    <t>1_big.orchard_2018</t>
  </si>
  <si>
    <t>6</t>
  </si>
  <si>
    <t>0</t>
  </si>
  <si>
    <t>1_big.orchard_2019</t>
  </si>
  <si>
    <t>1_big.orchard_2020</t>
  </si>
  <si>
    <t>1_big.orchard_2021</t>
  </si>
  <si>
    <t>1_mawland.smiths</t>
  </si>
  <si>
    <t>1_mawland.smiths_2016</t>
  </si>
  <si>
    <t>poor</t>
  </si>
  <si>
    <t>5.5 &lt; pH &lt;= 7.3</t>
  </si>
  <si>
    <t>1_mawland.smiths_2017</t>
  </si>
  <si>
    <t>1_mawland.smiths_2018</t>
  </si>
  <si>
    <t>1_mawland.smiths_2019</t>
  </si>
  <si>
    <t>1_mawland.smiths_2020</t>
  </si>
  <si>
    <t>1_mawland.smiths_2021</t>
  </si>
  <si>
    <t>2_jollys</t>
  </si>
  <si>
    <t>2_jollys_2016</t>
  </si>
  <si>
    <t>Medium</t>
  </si>
  <si>
    <t>2_jollys_2017</t>
  </si>
  <si>
    <t>2_jollys_2018</t>
  </si>
  <si>
    <t>2_jollys_2019</t>
  </si>
  <si>
    <t>2_jollys_2020</t>
  </si>
  <si>
    <t>2_jollys_2021</t>
  </si>
  <si>
    <t>1_lower.norrels.garden</t>
  </si>
  <si>
    <t>1_lower.norrels.garden_2016</t>
  </si>
  <si>
    <t>1_lower.norrels.garden_2017</t>
  </si>
  <si>
    <t>1_lower.norrels.garden_2018</t>
  </si>
  <si>
    <t>1_lower.norrels.garden_2019</t>
  </si>
  <si>
    <t>1_lower.norrels.garden_2020</t>
  </si>
  <si>
    <t>1_lower.norrels.garden_2021</t>
  </si>
  <si>
    <t>2_barn.field</t>
  </si>
  <si>
    <t>2_barn.field_2016</t>
  </si>
  <si>
    <t>2_barn.field_2017</t>
  </si>
  <si>
    <t>2_barn.field_2018</t>
  </si>
  <si>
    <t>2_barn.field_2019</t>
  </si>
  <si>
    <t>2_barn.field_2020</t>
  </si>
  <si>
    <t>2_barn.field_2021</t>
  </si>
  <si>
    <t>1_hermitage</t>
  </si>
  <si>
    <t>1_hermitage_2016</t>
  </si>
  <si>
    <t>1_hermitage_2017</t>
  </si>
  <si>
    <t>1_hermitage_2018</t>
  </si>
  <si>
    <t>1_hermitage_2019</t>
  </si>
  <si>
    <t>1_hermitage_2020</t>
  </si>
  <si>
    <t>1_hermitage_2021</t>
  </si>
  <si>
    <t>2_court</t>
  </si>
  <si>
    <t>2_court_2016</t>
  </si>
  <si>
    <t>2_court_2017</t>
  </si>
  <si>
    <t>2_court_2018</t>
  </si>
  <si>
    <t>2_court_2019</t>
  </si>
  <si>
    <t>2_court_2020</t>
  </si>
  <si>
    <t>2_court_2021</t>
  </si>
  <si>
    <t>cumfrey</t>
  </si>
  <si>
    <t>cumfrey_2016</t>
  </si>
  <si>
    <t>Coarse</t>
  </si>
  <si>
    <t>cumfrey_2017</t>
  </si>
  <si>
    <t>cumfrey_2018</t>
  </si>
  <si>
    <t>cumfrey_2019</t>
  </si>
  <si>
    <t>cumfrey_2020</t>
  </si>
  <si>
    <t>cumfrey_2021</t>
  </si>
  <si>
    <t>2_clattercote.meadow</t>
  </si>
  <si>
    <t>2_clattercote.meadow_2016</t>
  </si>
  <si>
    <t>2_clattercote.meadow_2017</t>
  </si>
  <si>
    <t>2_clattercote.meadow_2018</t>
  </si>
  <si>
    <t>2_clattercote.meadow_2019</t>
  </si>
  <si>
    <t>2_clattercote.meadow_2020</t>
  </si>
  <si>
    <t>2_clattercote.meadow_2021</t>
  </si>
  <si>
    <t>1_m15</t>
  </si>
  <si>
    <t>1_m15_2016</t>
  </si>
  <si>
    <t>1_m15_2017</t>
  </si>
  <si>
    <t>1_m15_2018</t>
  </si>
  <si>
    <t>1_m15_2019</t>
  </si>
  <si>
    <t>1_m15_2020</t>
  </si>
  <si>
    <t>1_m15_2021</t>
  </si>
  <si>
    <t>2_40</t>
  </si>
  <si>
    <t>2_40_2016</t>
  </si>
  <si>
    <t>2_40_2017</t>
  </si>
  <si>
    <t>2_40_2018</t>
  </si>
  <si>
    <t>2_40_2019</t>
  </si>
  <si>
    <t>2_40_2020</t>
  </si>
  <si>
    <t>2_40_2021</t>
  </si>
  <si>
    <t>1_fence.field</t>
  </si>
  <si>
    <t>1_fence.field_2016</t>
  </si>
  <si>
    <t>1_fence.field_2017</t>
  </si>
  <si>
    <t>1_fence.field_2018</t>
  </si>
  <si>
    <t>1_fence.field_2019</t>
  </si>
  <si>
    <t>1_fence.field_2020</t>
  </si>
  <si>
    <t>1_fence.field_2021</t>
  </si>
  <si>
    <t>middle.diff.align</t>
  </si>
  <si>
    <t>middle.diff.align_2016</t>
  </si>
  <si>
    <t>middle.diff.align_2017</t>
  </si>
  <si>
    <t>middle.diff.align_2018</t>
  </si>
  <si>
    <t>middle.diff.align_2019</t>
  </si>
  <si>
    <t>middle.diff.align_2020</t>
  </si>
  <si>
    <t>middle.diff.align_2021</t>
  </si>
  <si>
    <t>2_mushroom.field</t>
  </si>
  <si>
    <t>2_mushroom.field_2016</t>
  </si>
  <si>
    <t>2_mushroom.field_2017</t>
  </si>
  <si>
    <t>2_mushroom.field_2018</t>
  </si>
  <si>
    <t>2_mushroom.field_2019</t>
  </si>
  <si>
    <t>2_mushroom.field_2020</t>
  </si>
  <si>
    <t>2_mushroom.field_2021</t>
  </si>
  <si>
    <t>grimoldbys</t>
  </si>
  <si>
    <t>grimoldbys_2016</t>
  </si>
  <si>
    <t>grimoldbys_2017</t>
  </si>
  <si>
    <t>grimoldbys_2018</t>
  </si>
  <si>
    <t>grimoldbys_2019</t>
  </si>
  <si>
    <t>grimoldbys_2020</t>
  </si>
  <si>
    <t>grimoldbys_2021</t>
  </si>
  <si>
    <t>2_glebe24</t>
  </si>
  <si>
    <t>2_glebe24_2016</t>
  </si>
  <si>
    <t>2_glebe24_2017</t>
  </si>
  <si>
    <t>2_glebe24_2018</t>
  </si>
  <si>
    <t>2_glebe24_2019</t>
  </si>
  <si>
    <t>2_glebe24_2020</t>
  </si>
  <si>
    <t>2_glebe24_2021</t>
  </si>
  <si>
    <t>2_bushmeadow</t>
  </si>
  <si>
    <t>2_bushmeadow_2016</t>
  </si>
  <si>
    <t>2_bushmeadow_2017</t>
  </si>
  <si>
    <t>2_bushmeadow_2018</t>
  </si>
  <si>
    <t>2_bushmeadow_2019</t>
  </si>
  <si>
    <t>2_bushmeadow_2020</t>
  </si>
  <si>
    <t>2_bushmeadow_2021</t>
  </si>
  <si>
    <t>1_bridge_leggott</t>
  </si>
  <si>
    <t>1_bridge_leggott_2016</t>
  </si>
  <si>
    <t>1_bridge_leggott_2017</t>
  </si>
  <si>
    <t>1_bridge_leggott_2018</t>
  </si>
  <si>
    <t>1_bridge_leggott_2019</t>
  </si>
  <si>
    <t>1_bridge_leggott_2020</t>
  </si>
  <si>
    <t>1_bridge_leggott_2021</t>
  </si>
  <si>
    <t>1_front.field</t>
  </si>
  <si>
    <t>1_front.field_2016</t>
  </si>
  <si>
    <t>1_front.field_2017</t>
  </si>
  <si>
    <t>1_front.field_2018</t>
  </si>
  <si>
    <t>1_front.field_2019</t>
  </si>
  <si>
    <t>1_front.field_2020</t>
  </si>
  <si>
    <t>1_front.field_2021</t>
  </si>
  <si>
    <t>1_back.of.hovels</t>
  </si>
  <si>
    <t>1_back.of.hovels_2016</t>
  </si>
  <si>
    <t>1_back.of.hovels_2017</t>
  </si>
  <si>
    <t>1_back.of.hovels_2018</t>
  </si>
  <si>
    <t>1_back.of.hovels_2019</t>
  </si>
  <si>
    <t>1_back.of.hovels_2020</t>
  </si>
  <si>
    <t>1_back.of.hovels_2021</t>
  </si>
  <si>
    <t>2_sids.and.the.linings</t>
  </si>
  <si>
    <t>2_sids.and.the.linings_2016</t>
  </si>
  <si>
    <t>2_sids.and.the.linings_2017</t>
  </si>
  <si>
    <t>2_sids.and.the.linings_2018</t>
  </si>
  <si>
    <t>2_sids.and.the.linings_2019</t>
  </si>
  <si>
    <t>2_sids.and.the.linings_2020</t>
  </si>
  <si>
    <t>2_sids.and.the.linings_2021</t>
  </si>
  <si>
    <t>1_dottoms</t>
  </si>
  <si>
    <t>1_dottoms_2016</t>
  </si>
  <si>
    <t>1_dottoms_2017</t>
  </si>
  <si>
    <t>1_dottoms_2018</t>
  </si>
  <si>
    <t>1_dottoms_2019</t>
  </si>
  <si>
    <t>1_dottoms_2020</t>
  </si>
  <si>
    <t>1_dottoms_2021</t>
  </si>
  <si>
    <t>2_begbrokeA44</t>
  </si>
  <si>
    <t>2_begbrokeA44_2016</t>
  </si>
  <si>
    <t>2_begbrokeA44_2017</t>
  </si>
  <si>
    <t>2_begbrokeA44_2018</t>
  </si>
  <si>
    <t>2_begbrokeA44_2019</t>
  </si>
  <si>
    <t>2_begbrokeA44_2020</t>
  </si>
  <si>
    <t>2_begbrokeA44_2021</t>
  </si>
  <si>
    <t>2_emmas</t>
  </si>
  <si>
    <t>2_emmas_2016</t>
  </si>
  <si>
    <t>2_emmas_2017</t>
  </si>
  <si>
    <t>2_emmas_2018</t>
  </si>
  <si>
    <t>2_emmas_2019</t>
  </si>
  <si>
    <t>2_emmas_2020</t>
  </si>
  <si>
    <t>2_emmas_2021</t>
  </si>
  <si>
    <t>1_garden</t>
  </si>
  <si>
    <t>1_garden_2016</t>
  </si>
  <si>
    <t>1_garden_2017</t>
  </si>
  <si>
    <t>1_garden_2018</t>
  </si>
  <si>
    <t>1_garden_2019</t>
  </si>
  <si>
    <t>1_garden_2020</t>
  </si>
  <si>
    <t>1_garden_2021</t>
  </si>
  <si>
    <t>2_hill.field</t>
  </si>
  <si>
    <t>2_hill.field_2016</t>
  </si>
  <si>
    <t>2_hill.field_2017</t>
  </si>
  <si>
    <t>2_hill.field_2018</t>
  </si>
  <si>
    <t>2_hill.field_2019</t>
  </si>
  <si>
    <t>2_hill.field_2020</t>
  </si>
  <si>
    <t>2_hill.field_2021</t>
  </si>
  <si>
    <t>1_angels.piece</t>
  </si>
  <si>
    <t>1_angels.piece_2016</t>
  </si>
  <si>
    <t>1_angels.piece_2017</t>
  </si>
  <si>
    <t>1_angels.piece_2018</t>
  </si>
  <si>
    <t>1_angels.piece_2019</t>
  </si>
  <si>
    <t>1_angels.piece_2020</t>
  </si>
  <si>
    <t>1_angels.piece_2021</t>
  </si>
  <si>
    <t>big.boxhedge</t>
  </si>
  <si>
    <t>big.boxhedge_2016</t>
  </si>
  <si>
    <t>big.boxhedge_2017</t>
  </si>
  <si>
    <t>big.boxhedge_2018</t>
  </si>
  <si>
    <t>big.boxhedge_2019</t>
  </si>
  <si>
    <t>big.boxhedge_2020</t>
  </si>
  <si>
    <t>big.boxhedge_2021</t>
  </si>
  <si>
    <t>1_60</t>
  </si>
  <si>
    <t>1_60_2016</t>
  </si>
  <si>
    <t>1_60_2017</t>
  </si>
  <si>
    <t>1_60_2018</t>
  </si>
  <si>
    <t>1_60_2019</t>
  </si>
  <si>
    <t>1_60_2020</t>
  </si>
  <si>
    <t>1_60_2021</t>
  </si>
  <si>
    <t>1_wells.rd</t>
  </si>
  <si>
    <t>1_wells.rd_2016</t>
  </si>
  <si>
    <t>1_wells.rd_2017</t>
  </si>
  <si>
    <t>1_wells.rd_2018</t>
  </si>
  <si>
    <t>1_wells.rd_2019</t>
  </si>
  <si>
    <t>1_wells.rd_2020</t>
  </si>
  <si>
    <t>1_wells.rd_2021</t>
  </si>
  <si>
    <t>1_carters</t>
  </si>
  <si>
    <t>1_carters_2016</t>
  </si>
  <si>
    <t>1_carters_2017</t>
  </si>
  <si>
    <t>1_carters_2018</t>
  </si>
  <si>
    <t>1_carters_2019</t>
  </si>
  <si>
    <t>1_carters_2020</t>
  </si>
  <si>
    <t>1_carters_2021</t>
  </si>
  <si>
    <t>1_newton.grange.23</t>
  </si>
  <si>
    <t>1_newton.grange.23_2016</t>
  </si>
  <si>
    <t>1_newton.grange.23_2017</t>
  </si>
  <si>
    <t>1_newton.grange.23_2018</t>
  </si>
  <si>
    <t>1_newton.grange.23_2019</t>
  </si>
  <si>
    <t>1_newton.grange.23_2020</t>
  </si>
  <si>
    <t>1_newton.grange.23_2021</t>
  </si>
  <si>
    <t>2_banbury.road</t>
  </si>
  <si>
    <t>2_banbury.road_2016</t>
  </si>
  <si>
    <t>2_banbury.road_2017</t>
  </si>
  <si>
    <t>2_banbury.road_2018</t>
  </si>
  <si>
    <t>2_banbury.road_2019</t>
  </si>
  <si>
    <t>2_banbury.road_2020</t>
  </si>
  <si>
    <t>2_banbury.road_2021</t>
  </si>
  <si>
    <t>1_#3</t>
  </si>
  <si>
    <t>1_#3_2016</t>
  </si>
  <si>
    <t>1_#3_2017</t>
  </si>
  <si>
    <t>1_#3_2018</t>
  </si>
  <si>
    <t>1_#3_2019</t>
  </si>
  <si>
    <t>1_#3_2020</t>
  </si>
  <si>
    <t>1_#3_2021</t>
  </si>
  <si>
    <t>woolfits</t>
  </si>
  <si>
    <t>woolfits_2016</t>
  </si>
  <si>
    <t>woolfits_2017</t>
  </si>
  <si>
    <t>woolfits_2018</t>
  </si>
  <si>
    <t>woolfits_2019</t>
  </si>
  <si>
    <t>woolfits_2020</t>
  </si>
  <si>
    <t>woolfits_2021</t>
  </si>
  <si>
    <t>1_joans.drove</t>
  </si>
  <si>
    <t>1_joans.drove_2016</t>
  </si>
  <si>
    <t>1_joans.drove_2017</t>
  </si>
  <si>
    <t>1_joans.drove_2018</t>
  </si>
  <si>
    <t>1_joans.drove_2019</t>
  </si>
  <si>
    <t>1_joans.drove_2020</t>
  </si>
  <si>
    <t>1_joans.drove_2021</t>
  </si>
  <si>
    <t>2_mecks.cendre</t>
  </si>
  <si>
    <t>2_mecks.cendre_2016</t>
  </si>
  <si>
    <t>2_mecks.cendre_2017</t>
  </si>
  <si>
    <t>2_mecks.cendre_2018</t>
  </si>
  <si>
    <t>2_mecks.cendre_2019</t>
  </si>
  <si>
    <t>2_mecks.cendre_2020</t>
  </si>
  <si>
    <t>2_mecks.cendre_2021</t>
  </si>
  <si>
    <t>picks</t>
  </si>
  <si>
    <t>picks_2016</t>
  </si>
  <si>
    <t>picks_2017</t>
  </si>
  <si>
    <t>picks_2018</t>
  </si>
  <si>
    <t>picks_2019</t>
  </si>
  <si>
    <t>picks_2020</t>
  </si>
  <si>
    <t>picks_2021</t>
  </si>
  <si>
    <t>1_barn.ground</t>
  </si>
  <si>
    <t>1_barn.ground_2016</t>
  </si>
  <si>
    <t>1_barn.ground_2017</t>
  </si>
  <si>
    <t>1_barn.ground_2018</t>
  </si>
  <si>
    <t>1_barn.ground_2019</t>
  </si>
  <si>
    <t>1_barn.ground_2020</t>
  </si>
  <si>
    <t>1_barn.ground_2021</t>
  </si>
  <si>
    <t>2_c8</t>
  </si>
  <si>
    <t>2_c8_2016</t>
  </si>
  <si>
    <t>2_c8_2017</t>
  </si>
  <si>
    <t>2_c8_2018</t>
  </si>
  <si>
    <t>2_c8_2019</t>
  </si>
  <si>
    <t>2_c8_2020</t>
  </si>
  <si>
    <t>2_c8_2021</t>
  </si>
  <si>
    <t>1_big.meadow</t>
  </si>
  <si>
    <t>1_big.meadow_2016</t>
  </si>
  <si>
    <t>1_big.meadow_2017</t>
  </si>
  <si>
    <t>1_big.meadow_2018</t>
  </si>
  <si>
    <t>1_big.meadow_2019</t>
  </si>
  <si>
    <t>1_big.meadow_2020</t>
  </si>
  <si>
    <t>1_big.meadow_2021</t>
  </si>
  <si>
    <t>2_new.bridge</t>
  </si>
  <si>
    <t>2_new.bridge_2016</t>
  </si>
  <si>
    <t>2_new.bridge_2017</t>
  </si>
  <si>
    <t>2_new.bridge_2018</t>
  </si>
  <si>
    <t>2_new.bridge_2019</t>
  </si>
  <si>
    <t>2_new.bridge_2020</t>
  </si>
  <si>
    <t>2_new.bridge_2021</t>
  </si>
  <si>
    <t>pink.cottage.close</t>
  </si>
  <si>
    <t>pink.cottage.close_2016</t>
  </si>
  <si>
    <t>pink.cottage.close_2017</t>
  </si>
  <si>
    <t>pink.cottage.close_2018</t>
  </si>
  <si>
    <t>pink.cottage.close_2019</t>
  </si>
  <si>
    <t>pink.cottage.close_2020</t>
  </si>
  <si>
    <t>pink.cottage.close_2021</t>
  </si>
  <si>
    <t>stones</t>
  </si>
  <si>
    <t>stones_2016</t>
  </si>
  <si>
    <t>stones_2017</t>
  </si>
  <si>
    <t>stones_2018</t>
  </si>
  <si>
    <t>stones_2019</t>
  </si>
  <si>
    <t>stones_2020</t>
  </si>
  <si>
    <t>stones_2021</t>
  </si>
  <si>
    <t>1_back.field</t>
  </si>
  <si>
    <t>1_back.field_2016</t>
  </si>
  <si>
    <t>1_back.field_2017</t>
  </si>
  <si>
    <t>1_back.field_2018</t>
  </si>
  <si>
    <t>1_back.field_2019</t>
  </si>
  <si>
    <t>1_back.field_2020</t>
  </si>
  <si>
    <t>1_back.field_2021</t>
  </si>
  <si>
    <t>common.green.end</t>
  </si>
  <si>
    <t>common.green.end_2016</t>
  </si>
  <si>
    <t>common.green.end_2017</t>
  </si>
  <si>
    <t>common.green.end_2018</t>
  </si>
  <si>
    <t>common.green.end_2019</t>
  </si>
  <si>
    <t>common.green.end_2020</t>
  </si>
  <si>
    <t>common.green.end_2021</t>
  </si>
  <si>
    <t>2_Field.1</t>
  </si>
  <si>
    <t>2_Field.1_2016</t>
  </si>
  <si>
    <t>2_Field.1_2017</t>
  </si>
  <si>
    <t>2_Field.1_2018</t>
  </si>
  <si>
    <t>2_Field.1_2019</t>
  </si>
  <si>
    <t>2_Field.1_2020</t>
  </si>
  <si>
    <t>2_Field.1_2021</t>
  </si>
  <si>
    <t>1_top_cliffe</t>
  </si>
  <si>
    <t>1_top_cliffe_2016</t>
  </si>
  <si>
    <t>1_top_cliffe_2017</t>
  </si>
  <si>
    <t>1_top_cliffe_2018</t>
  </si>
  <si>
    <t>1_top_cliffe_2019</t>
  </si>
  <si>
    <t>1_top_cliffe_2020</t>
  </si>
  <si>
    <t>1_top_cliffe_2021</t>
  </si>
  <si>
    <t>45acre</t>
  </si>
  <si>
    <t>45acre_2016</t>
  </si>
  <si>
    <t>45acre_2017</t>
  </si>
  <si>
    <t>45acre_2018</t>
  </si>
  <si>
    <t>45acre_2019</t>
  </si>
  <si>
    <t>45acre_2020</t>
  </si>
  <si>
    <t>45acre_2021</t>
  </si>
  <si>
    <t>1_eds</t>
  </si>
  <si>
    <t>1_eds_2016</t>
  </si>
  <si>
    <t>1_eds_2017</t>
  </si>
  <si>
    <t>1_eds_2018</t>
  </si>
  <si>
    <t>1_eds_2019</t>
  </si>
  <si>
    <t>1_eds_2020</t>
  </si>
  <si>
    <t>1_eds_2021</t>
  </si>
  <si>
    <t>1_hallmoor.5</t>
  </si>
  <si>
    <t>1_hallmoor.5_2016</t>
  </si>
  <si>
    <t>1_hallmoor.5_2017</t>
  </si>
  <si>
    <t>1_hallmoor.5_2018</t>
  </si>
  <si>
    <t>1_hallmoor.5_2019</t>
  </si>
  <si>
    <t>1_hallmoor.5_2020</t>
  </si>
  <si>
    <t>1_hallmoor.5_2021</t>
  </si>
  <si>
    <t>clay.hill</t>
  </si>
  <si>
    <t>clay.hill_2016</t>
  </si>
  <si>
    <t>clay.hill_2017</t>
  </si>
  <si>
    <t>clay.hill_2018</t>
  </si>
  <si>
    <t>clay.hill_2019</t>
  </si>
  <si>
    <t>clay.hill_2020</t>
  </si>
  <si>
    <t>clay.hill_2021</t>
  </si>
  <si>
    <t>slade</t>
  </si>
  <si>
    <t>slade_2016</t>
  </si>
  <si>
    <t>slade_2017</t>
  </si>
  <si>
    <t>slade_2018</t>
  </si>
  <si>
    <t>slade_2019</t>
  </si>
  <si>
    <t>slade_2020</t>
  </si>
  <si>
    <t>slade_2021</t>
  </si>
  <si>
    <t>2_orchard.field</t>
  </si>
  <si>
    <t>2_orchard.field_2016</t>
  </si>
  <si>
    <t>2_orchard.field_2017</t>
  </si>
  <si>
    <t>2_orchard.field_2018</t>
  </si>
  <si>
    <t>2_orchard.field_2019</t>
  </si>
  <si>
    <t>2_orchard.field_2020</t>
  </si>
  <si>
    <t>2_orchard.field_2021</t>
  </si>
  <si>
    <t>1_16.acre</t>
  </si>
  <si>
    <t>1_16.acre_2016</t>
  </si>
  <si>
    <t>1_16.acre_2017</t>
  </si>
  <si>
    <t>1_16.acre_2018</t>
  </si>
  <si>
    <t>1_16.acre_2019</t>
  </si>
  <si>
    <t>1_16.acre_2020</t>
  </si>
  <si>
    <t>1_16.acre_2021</t>
  </si>
  <si>
    <t>2_44.acre.the.bottoms</t>
  </si>
  <si>
    <t>2_44.acre.the.bottoms_2016</t>
  </si>
  <si>
    <t>2_44.acre.the.bottoms_2017</t>
  </si>
  <si>
    <t>2_44.acre.the.bottoms_2018</t>
  </si>
  <si>
    <t>2_44.acre.the.bottoms_2019</t>
  </si>
  <si>
    <t>2_44.acre.the.bottoms_2020</t>
  </si>
  <si>
    <t>2_44.acre.the.bottoms_2021</t>
  </si>
  <si>
    <t>2_chapmans</t>
  </si>
  <si>
    <t>2_chapmans_2016</t>
  </si>
  <si>
    <t>2_chapmans_2017</t>
  </si>
  <si>
    <t>2_chapmans_2018</t>
  </si>
  <si>
    <t>2_chapmans_2019</t>
  </si>
  <si>
    <t>2_chapmans_2020</t>
  </si>
  <si>
    <t>2_chapmans_2021</t>
  </si>
  <si>
    <t>2_chivers.bottom.right</t>
  </si>
  <si>
    <t>2_chivers.bottom.right_2016</t>
  </si>
  <si>
    <t>2_chivers.bottom.right_2017</t>
  </si>
  <si>
    <t>2_chivers.bottom.right_2018</t>
  </si>
  <si>
    <t>2_chivers.bottom.right_2019</t>
  </si>
  <si>
    <t>2_chivers.bottom.right_2020</t>
  </si>
  <si>
    <t>2_chivers.bottom.right_2021</t>
  </si>
  <si>
    <t>1_gym</t>
  </si>
  <si>
    <t>1_gym_2016</t>
  </si>
  <si>
    <t>1_gym_2017</t>
  </si>
  <si>
    <t>1_gym_2018</t>
  </si>
  <si>
    <t>1_gym_2019</t>
  </si>
  <si>
    <t>1_gym_2020</t>
  </si>
  <si>
    <t>1_gym_2021</t>
  </si>
  <si>
    <t>bilses.hill</t>
  </si>
  <si>
    <t>bilses.hill_2016</t>
  </si>
  <si>
    <t>bilses.hill_2017</t>
  </si>
  <si>
    <t>bilses.hill_2018</t>
  </si>
  <si>
    <t>bilses.hill_2019</t>
  </si>
  <si>
    <t>bilses.hill_2020</t>
  </si>
  <si>
    <t>bilses.hill_2021</t>
  </si>
  <si>
    <t>maizys.laze</t>
  </si>
  <si>
    <t>maizys.laze_2016</t>
  </si>
  <si>
    <t>maizys.laze_2017</t>
  </si>
  <si>
    <t>maizys.laze_2018</t>
  </si>
  <si>
    <t>maizys.laze_2019</t>
  </si>
  <si>
    <t>maizys.laze_2020</t>
  </si>
  <si>
    <t>maizys.laze_2021</t>
  </si>
  <si>
    <t>1_corner13acre</t>
  </si>
  <si>
    <t>1_corner13acre_2016</t>
  </si>
  <si>
    <t>1_corner13acre_2017</t>
  </si>
  <si>
    <t>1_corner13acre_2018</t>
  </si>
  <si>
    <t>1_corner13acre_2019</t>
  </si>
  <si>
    <t>1_corner13acre_2020</t>
  </si>
  <si>
    <t>1_corner13acre_2021</t>
  </si>
  <si>
    <t>2_north</t>
  </si>
  <si>
    <t>2_north_2016</t>
  </si>
  <si>
    <t>2_north_2017</t>
  </si>
  <si>
    <t>2_north_2018</t>
  </si>
  <si>
    <t>2_north_2019</t>
  </si>
  <si>
    <t>2_north_2020</t>
  </si>
  <si>
    <t>2_north_2021</t>
  </si>
  <si>
    <t>1_field3</t>
  </si>
  <si>
    <t>1_field3_2016</t>
  </si>
  <si>
    <t>1_field3_2017</t>
  </si>
  <si>
    <t>1_field3_2018</t>
  </si>
  <si>
    <t>1_field3_2019</t>
  </si>
  <si>
    <t>1_field3_2020</t>
  </si>
  <si>
    <t>1_field3_2021</t>
  </si>
  <si>
    <t>2_field5</t>
  </si>
  <si>
    <t>2_field5_2016</t>
  </si>
  <si>
    <t>2_field5_2017</t>
  </si>
  <si>
    <t>2_field5_2018</t>
  </si>
  <si>
    <t>2_field5_2019</t>
  </si>
  <si>
    <t>2_field5_2020</t>
  </si>
  <si>
    <t>2_field5_2021</t>
  </si>
  <si>
    <t>1_sandyground</t>
  </si>
  <si>
    <t>1_sandyground_2016</t>
  </si>
  <si>
    <t>1_sandyground_2017</t>
  </si>
  <si>
    <t>1_sandyground_2018</t>
  </si>
  <si>
    <t>1_sandyground_2019</t>
  </si>
  <si>
    <t>1_sandyground_2020</t>
  </si>
  <si>
    <t>1_sandyground_2021</t>
  </si>
  <si>
    <t>2_sedgefen</t>
  </si>
  <si>
    <t>2_sedgefen_2016</t>
  </si>
  <si>
    <t>2_sedgefen_2017</t>
  </si>
  <si>
    <t>2_sedgefen_2018</t>
  </si>
  <si>
    <t>2_sedgefen_2019</t>
  </si>
  <si>
    <t>2_sedgefen_2020</t>
  </si>
  <si>
    <t>2_sedgefen_2021</t>
  </si>
  <si>
    <t>1_glebe.30</t>
  </si>
  <si>
    <t>1_glebe.30_2016</t>
  </si>
  <si>
    <t>1_glebe.30_2017</t>
  </si>
  <si>
    <t>1_glebe.30_2018</t>
  </si>
  <si>
    <t>1_glebe.30_2019</t>
  </si>
  <si>
    <t>1_glebe.30_2020</t>
  </si>
  <si>
    <t>1_glebe.30_2021</t>
  </si>
  <si>
    <t>stable</t>
  </si>
  <si>
    <t>stable_2016</t>
  </si>
  <si>
    <t>stable_2017</t>
  </si>
  <si>
    <t>stable_2018</t>
  </si>
  <si>
    <t>stable_2019</t>
  </si>
  <si>
    <t>stable_2020</t>
  </si>
  <si>
    <t>stable_2021</t>
  </si>
  <si>
    <t>1_20.acre.railway</t>
  </si>
  <si>
    <t>1_20.acre.railway_2016</t>
  </si>
  <si>
    <t>1_20.acre.railway_2017</t>
  </si>
  <si>
    <t>1_20.acre.railway_2018</t>
  </si>
  <si>
    <t>1_20.acre.railway_2019</t>
  </si>
  <si>
    <t>1_20.acre.railway_2020</t>
  </si>
  <si>
    <t>1_20.acre.railway_2021</t>
  </si>
  <si>
    <t>2_17.acre.middle</t>
  </si>
  <si>
    <t>2_17.acre.middle_2016</t>
  </si>
  <si>
    <t>2_17.acre.middle_2017</t>
  </si>
  <si>
    <t>2_17.acre.middle_2018</t>
  </si>
  <si>
    <t>2_17.acre.middle_2019</t>
  </si>
  <si>
    <t>2_17.acre.middle_2020</t>
  </si>
  <si>
    <t>2_17.acre.middle_2021</t>
  </si>
  <si>
    <t>1_threadgold</t>
  </si>
  <si>
    <t>1_threadgold_2016</t>
  </si>
  <si>
    <t>1_threadgold_2017</t>
  </si>
  <si>
    <t>1_threadgold_2018</t>
  </si>
  <si>
    <t>1_threadgold_2019</t>
  </si>
  <si>
    <t>1_threadgold_2020</t>
  </si>
  <si>
    <t>1_threadgold_2021</t>
  </si>
  <si>
    <t>2_front.field</t>
  </si>
  <si>
    <t>2_front.field_2016</t>
  </si>
  <si>
    <t>2_front.field_2017</t>
  </si>
  <si>
    <t>2_front.field_2018</t>
  </si>
  <si>
    <t>2_front.field_2019</t>
  </si>
  <si>
    <t>2_front.field_2020</t>
  </si>
  <si>
    <t>2_front.field_2021</t>
  </si>
  <si>
    <t>2_fifty.acre</t>
  </si>
  <si>
    <t>2_fifty.acre_2016</t>
  </si>
  <si>
    <t>2_fifty.acre_2017</t>
  </si>
  <si>
    <t>2_fifty.acre_2018</t>
  </si>
  <si>
    <t>2_fifty.acre_2019</t>
  </si>
  <si>
    <t>2_fifty.acre_2020</t>
  </si>
  <si>
    <t>2_fifty.acre_2021</t>
  </si>
  <si>
    <t>2_#2</t>
  </si>
  <si>
    <t>2_#2_2016</t>
  </si>
  <si>
    <t>2_#2_2017</t>
  </si>
  <si>
    <t>2_#2_2018</t>
  </si>
  <si>
    <t>2_#2_2019</t>
  </si>
  <si>
    <t>2_#2_2020</t>
  </si>
  <si>
    <t>2_#2_2021</t>
  </si>
  <si>
    <t>rookery.bottom</t>
  </si>
  <si>
    <t>rookery.bottom_2016</t>
  </si>
  <si>
    <t>rookery.bottom_2017</t>
  </si>
  <si>
    <t>rookery.bottom_2018</t>
  </si>
  <si>
    <t>rookery.bottom_2019</t>
  </si>
  <si>
    <t>rookery.bottom_2020</t>
  </si>
  <si>
    <t>rookery.bottom_2021</t>
  </si>
  <si>
    <t>rookery.one.and.two</t>
  </si>
  <si>
    <t>rookery.one.and.two_2016</t>
  </si>
  <si>
    <t>rookery.one.and.two_2017</t>
  </si>
  <si>
    <t>rookery.one.and.two_2018</t>
  </si>
  <si>
    <t>rookery.one.and.two_2019</t>
  </si>
  <si>
    <t>rookery.one.and.two_2020</t>
  </si>
  <si>
    <t>rookery.one.and.two_2021</t>
  </si>
  <si>
    <t>2_rosses</t>
  </si>
  <si>
    <t>2_rosses_2016</t>
  </si>
  <si>
    <t>2_rosses_2017</t>
  </si>
  <si>
    <t>2_rosses_2018</t>
  </si>
  <si>
    <t>2_rosses_2019</t>
  </si>
  <si>
    <t>2_rosses_2020</t>
  </si>
  <si>
    <t>2_rosses_2021</t>
  </si>
  <si>
    <t>1_shooters.bank</t>
  </si>
  <si>
    <t>1_shooters.bank_2016</t>
  </si>
  <si>
    <t>1_shooters.bank_2017</t>
  </si>
  <si>
    <t>1_shooters.bank_2018</t>
  </si>
  <si>
    <t>1_shooters.bank_2019</t>
  </si>
  <si>
    <t>1_shooters.bank_2020</t>
  </si>
  <si>
    <t>1_shooters.bank_2021</t>
  </si>
  <si>
    <t>1_glebe22</t>
  </si>
  <si>
    <t>1_glebe22_2016</t>
  </si>
  <si>
    <t>1_glebe22_2017</t>
  </si>
  <si>
    <t>1_glebe22_2018</t>
  </si>
  <si>
    <t>1_glebe22_2019</t>
  </si>
  <si>
    <t>1_glebe22_2020</t>
  </si>
  <si>
    <t>1_glebe22_2021</t>
  </si>
  <si>
    <t>big.gomish</t>
  </si>
  <si>
    <t>big.gomish_2016</t>
  </si>
  <si>
    <t>big.gomish_2017</t>
  </si>
  <si>
    <t>big.gomish_2018</t>
  </si>
  <si>
    <t>big.gomish_2019</t>
  </si>
  <si>
    <t>big.gomish_2020</t>
  </si>
  <si>
    <t>big.gomish_2021</t>
  </si>
  <si>
    <t>1_Field.2</t>
  </si>
  <si>
    <t>1_Field.2_2016</t>
  </si>
  <si>
    <t>1_Field.2_2017</t>
  </si>
  <si>
    <t>1_Field.2_2018</t>
  </si>
  <si>
    <t>1_Field.2_2019</t>
  </si>
  <si>
    <t>1_Field.2_2020</t>
  </si>
  <si>
    <t>1_Field.2_2021</t>
  </si>
  <si>
    <t>1_long7acre</t>
  </si>
  <si>
    <t>1_long7acre_2016</t>
  </si>
  <si>
    <t>1_long7acre_2017</t>
  </si>
  <si>
    <t>1_long7acre_2018</t>
  </si>
  <si>
    <t>1_long7acre_2019</t>
  </si>
  <si>
    <t>1_long7acre_2020</t>
  </si>
  <si>
    <t>1_long7acre_2021</t>
  </si>
  <si>
    <t>1_capps</t>
  </si>
  <si>
    <t>1_capps_2016</t>
  </si>
  <si>
    <t>1_capps_2017</t>
  </si>
  <si>
    <t>1_capps_2018</t>
  </si>
  <si>
    <t>1_capps_2019</t>
  </si>
  <si>
    <t>1_capps_2020</t>
  </si>
  <si>
    <t>1_capps_2021</t>
  </si>
  <si>
    <t>2_horsewoods.top</t>
  </si>
  <si>
    <t>2_horsewoods.top_2016</t>
  </si>
  <si>
    <t>2_horsewoods.top_2017</t>
  </si>
  <si>
    <t>2_horsewoods.top_2018</t>
  </si>
  <si>
    <t>2_horsewoods.top_2019</t>
  </si>
  <si>
    <t>2_horsewoods.top_2020</t>
  </si>
  <si>
    <t>2_horsewoods.top_2021</t>
  </si>
  <si>
    <t>corridor</t>
  </si>
  <si>
    <t>corridor_2016</t>
  </si>
  <si>
    <t>corridor_2017</t>
  </si>
  <si>
    <t>corridor_2018</t>
  </si>
  <si>
    <t>corridor_2019</t>
  </si>
  <si>
    <t>corridor_2020</t>
  </si>
  <si>
    <t>corridor_2021</t>
  </si>
  <si>
    <t>little.great.close</t>
  </si>
  <si>
    <t>little.great.close_2016</t>
  </si>
  <si>
    <t>little.great.close_2017</t>
  </si>
  <si>
    <t>little.great.close_2018</t>
  </si>
  <si>
    <t>little.great.close_2019</t>
  </si>
  <si>
    <t>little.great.close_2020</t>
  </si>
  <si>
    <t>little.great.close_2021</t>
  </si>
  <si>
    <t>middle.lodge</t>
  </si>
  <si>
    <t>middle.lodge_2016</t>
  </si>
  <si>
    <t>middle.lodge_2017</t>
  </si>
  <si>
    <t>middle.lodge_2018</t>
  </si>
  <si>
    <t>middle.lodge_2019</t>
  </si>
  <si>
    <t>middle.lodge_2020</t>
  </si>
  <si>
    <t>middle.lodge_2021</t>
  </si>
  <si>
    <t>2_buckleys</t>
  </si>
  <si>
    <t>2_buckleys_2016</t>
  </si>
  <si>
    <t>2_buckleys_2017</t>
  </si>
  <si>
    <t>2_buckleys_2018</t>
  </si>
  <si>
    <t>2_buckleys_2019</t>
  </si>
  <si>
    <t>2_buckleys_2020</t>
  </si>
  <si>
    <t>2_buckleys_2021</t>
  </si>
  <si>
    <t>1_chivers.top.left</t>
  </si>
  <si>
    <t>1_chivers.top.left_2016</t>
  </si>
  <si>
    <t>1_chivers.top.left_2017</t>
  </si>
  <si>
    <t>1_chivers.top.left_2018</t>
  </si>
  <si>
    <t>1_chivers.top.left_2019</t>
  </si>
  <si>
    <t>1_chivers.top.left_2020</t>
  </si>
  <si>
    <t>1_chivers.top.left_2021</t>
  </si>
  <si>
    <t>1_stokewell.ground</t>
  </si>
  <si>
    <t>1_stokewell.ground_2016</t>
  </si>
  <si>
    <t>1_stokewell.ground_2017</t>
  </si>
  <si>
    <t>1_stokewell.ground_2018</t>
  </si>
  <si>
    <t>1_stokewell.ground_2019</t>
  </si>
  <si>
    <t>1_stokewell.ground_2020</t>
  </si>
  <si>
    <t>1_stokewell.ground_2021</t>
  </si>
  <si>
    <t>2_cow.rd</t>
  </si>
  <si>
    <t>2_cow.rd_2016</t>
  </si>
  <si>
    <t>2_cow.rd_2017</t>
  </si>
  <si>
    <t>2_cow.rd_2018</t>
  </si>
  <si>
    <t>2_cow.rd_2019</t>
  </si>
  <si>
    <t>2_cow.rd_2020</t>
  </si>
  <si>
    <t>2_cow.rd_2021</t>
  </si>
  <si>
    <t>2_back.of.beans</t>
  </si>
  <si>
    <t>2_back.of.beans_2016</t>
  </si>
  <si>
    <t>2_back.of.beans_2017</t>
  </si>
  <si>
    <t>2_back.of.beans_2018</t>
  </si>
  <si>
    <t>2_back.of.beans_2019</t>
  </si>
  <si>
    <t>2_back.of.beans_2020</t>
  </si>
  <si>
    <t>2_back.of.beans_2021</t>
  </si>
  <si>
    <t>gilberts</t>
  </si>
  <si>
    <t>gilberts_2016</t>
  </si>
  <si>
    <t>gilberts_2017</t>
  </si>
  <si>
    <t>gilberts_2018</t>
  </si>
  <si>
    <t>gilberts_2019</t>
  </si>
  <si>
    <t>gilberts_2020</t>
  </si>
  <si>
    <t>gilberts_2021</t>
  </si>
  <si>
    <t>mowing.ground</t>
  </si>
  <si>
    <t>mowing.ground_2016</t>
  </si>
  <si>
    <t>mowing.ground_2017</t>
  </si>
  <si>
    <t>mowing.ground_2018</t>
  </si>
  <si>
    <t>mowing.ground_2019</t>
  </si>
  <si>
    <t>mowing.ground_2020</t>
  </si>
  <si>
    <t>mowing.ground_2021</t>
  </si>
  <si>
    <t>2_top.end.mill.lane</t>
  </si>
  <si>
    <t>2_top.end.mill.lane_2016</t>
  </si>
  <si>
    <t>2_top.end.mill.lane_2017</t>
  </si>
  <si>
    <t>2_top.end.mill.lane_2018</t>
  </si>
  <si>
    <t>2_top.end.mill.lane_2019</t>
  </si>
  <si>
    <t>2_top.end.mill.lane_2020</t>
  </si>
  <si>
    <t>2_top.end.mill.lane_2021</t>
  </si>
  <si>
    <t>1_lark</t>
  </si>
  <si>
    <t>1_lark_2016</t>
  </si>
  <si>
    <t>1_lark_2017</t>
  </si>
  <si>
    <t>1_lark_2018</t>
  </si>
  <si>
    <t>1_lark_2019</t>
  </si>
  <si>
    <t>1_lark_2020</t>
  </si>
  <si>
    <t>1_lark_2021</t>
  </si>
  <si>
    <t>2_pudding</t>
  </si>
  <si>
    <t>2_pudding_2016</t>
  </si>
  <si>
    <t>2_pudding_2017</t>
  </si>
  <si>
    <t>2_pudding_2018</t>
  </si>
  <si>
    <t>2_pudding_2019</t>
  </si>
  <si>
    <t>2_pudding_2020</t>
  </si>
  <si>
    <t>2_pudding_2021</t>
  </si>
  <si>
    <t>denmans.close</t>
  </si>
  <si>
    <t>denmans.close_2016</t>
  </si>
  <si>
    <t>denmans.close_2017</t>
  </si>
  <si>
    <t>denmans.close_2018</t>
  </si>
  <si>
    <t>denmans.close_2019</t>
  </si>
  <si>
    <t>denmans.close_2020</t>
  </si>
  <si>
    <t>denmans.close_2021</t>
  </si>
  <si>
    <t>1_bridge</t>
  </si>
  <si>
    <t>1_bridge_2016</t>
  </si>
  <si>
    <t>1_bridge_2017</t>
  </si>
  <si>
    <t>1_bridge_2018</t>
  </si>
  <si>
    <t>1_bridge_2019</t>
  </si>
  <si>
    <t>1_bridge_2020</t>
  </si>
  <si>
    <t>1_bridge_2021</t>
  </si>
  <si>
    <t>2_behind.the.cotts</t>
  </si>
  <si>
    <t>2_behind.the.cotts_2016</t>
  </si>
  <si>
    <t>2_behind.the.cotts_2017</t>
  </si>
  <si>
    <t>2_behind.the.cotts_2018</t>
  </si>
  <si>
    <t>2_behind.the.cotts_2019</t>
  </si>
  <si>
    <t>2_behind.the.cotts_2020</t>
  </si>
  <si>
    <t>2_behind.the.cotts_2021</t>
  </si>
  <si>
    <t>2_thors_manor_3</t>
  </si>
  <si>
    <t>2_thors_manor_3_2016</t>
  </si>
  <si>
    <t>2_thors_manor_3_2017</t>
  </si>
  <si>
    <t>2_thors_manor_3_2018</t>
  </si>
  <si>
    <t>2_thors_manor_3_2019</t>
  </si>
  <si>
    <t>2_thors_manor_3_2020</t>
  </si>
  <si>
    <t>2_thors_manor_3_2021</t>
  </si>
  <si>
    <t>1_opposite.cottage</t>
  </si>
  <si>
    <t>1_opposite.cottage_2016</t>
  </si>
  <si>
    <t>1_opposite.cottage_2017</t>
  </si>
  <si>
    <t>1_opposite.cottage_2018</t>
  </si>
  <si>
    <t>1_opposite.cottage_2019</t>
  </si>
  <si>
    <t>1_opposite.cottage_2020</t>
  </si>
  <si>
    <t>1_opposite.cottage_2021</t>
  </si>
  <si>
    <t>2_bridge.ground</t>
  </si>
  <si>
    <t>2_bridge.ground_2016</t>
  </si>
  <si>
    <t>2_bridge.ground_2017</t>
  </si>
  <si>
    <t>2_bridge.ground_2018</t>
  </si>
  <si>
    <t>2_bridge.ground_2019</t>
  </si>
  <si>
    <t>2_bridge.ground_2020</t>
  </si>
  <si>
    <t>2_bridge.ground_2021</t>
  </si>
  <si>
    <t>2_newton.grange.bottom</t>
  </si>
  <si>
    <t>2_newton.grange.bottom_2016</t>
  </si>
  <si>
    <t>2_newton.grange.bottom_2017</t>
  </si>
  <si>
    <t>2_newton.grange.bottom_2018</t>
  </si>
  <si>
    <t>2_newton.grange.bottom_2019</t>
  </si>
  <si>
    <t>2_newton.grange.bottom_2020</t>
  </si>
  <si>
    <t>2_newton.grange.bottom_2021</t>
  </si>
  <si>
    <t>arable</t>
  </si>
  <si>
    <t>arable_2016</t>
  </si>
  <si>
    <t>arable_2017</t>
  </si>
  <si>
    <t>arable_2018</t>
  </si>
  <si>
    <t>arable_2019</t>
  </si>
  <si>
    <t>arable_2020</t>
  </si>
  <si>
    <t>arable_2021</t>
  </si>
  <si>
    <t>1_jollies</t>
  </si>
  <si>
    <t>1_jollies_2016</t>
  </si>
  <si>
    <t>1_jollies_2017</t>
  </si>
  <si>
    <t>1_jollies_2018</t>
  </si>
  <si>
    <t>1_jollies_2019</t>
  </si>
  <si>
    <t>1_jollies_2020</t>
  </si>
  <si>
    <t>1_jollies_2021</t>
  </si>
  <si>
    <t>2_treasures</t>
  </si>
  <si>
    <t>2_treasures_2016</t>
  </si>
  <si>
    <t>2_treasures_2017</t>
  </si>
  <si>
    <t>2_treasures_2018</t>
  </si>
  <si>
    <t>2_treasures_2019</t>
  </si>
  <si>
    <t>2_treasures_2020</t>
  </si>
  <si>
    <t>2_treasures_2021</t>
  </si>
  <si>
    <t>1_24.acre</t>
  </si>
  <si>
    <t>1_24.acre_2016</t>
  </si>
  <si>
    <t>1_24.acre_2017</t>
  </si>
  <si>
    <t>1_24.acre_2018</t>
  </si>
  <si>
    <t>1_24.acre_2019</t>
  </si>
  <si>
    <t>1_24.acre_2020</t>
  </si>
  <si>
    <t>1_24.acre_2021</t>
  </si>
  <si>
    <t>2_45acre.nr.duffields</t>
  </si>
  <si>
    <t>2_45acre.nr.duffields_2016</t>
  </si>
  <si>
    <t>2_45acre.nr.duffields_2017</t>
  </si>
  <si>
    <t>2_45acre.nr.duffields_2018</t>
  </si>
  <si>
    <t>2_45acre.nr.duffields_2019</t>
  </si>
  <si>
    <t>2_45acre.nr.duffields_2020</t>
  </si>
  <si>
    <t>2_45acre.nr.duffields_2021</t>
  </si>
  <si>
    <t>2_15ac.greenoak</t>
  </si>
  <si>
    <t>2_15ac.greenoak_2016</t>
  </si>
  <si>
    <t>2_15ac.greenoak_2017</t>
  </si>
  <si>
    <t>2_15ac.greenoak_2018</t>
  </si>
  <si>
    <t>2_15ac.greenoak_2019</t>
  </si>
  <si>
    <t>2_15ac.greenoak_2020</t>
  </si>
  <si>
    <t>2_15ac.greenoak_2021</t>
  </si>
  <si>
    <t>Crops (ECOMOD)</t>
  </si>
  <si>
    <t>Tillage Practices (ECOMOD)</t>
  </si>
  <si>
    <t>Tillage changes (CFT)</t>
  </si>
  <si>
    <t>Crop residue management (CFT)</t>
  </si>
  <si>
    <t>Residue management changes (CFT)</t>
  </si>
  <si>
    <t>Crops/Activities</t>
  </si>
  <si>
    <t>Label 1: 
Model input label</t>
  </si>
  <si>
    <t>Label 2: 
Model output label</t>
  </si>
  <si>
    <t>Tillage/ Sowing Practices</t>
  </si>
  <si>
    <t>Label</t>
  </si>
  <si>
    <t>Tillage practice changes</t>
  </si>
  <si>
    <t>Method</t>
  </si>
  <si>
    <t>Residue incorporation</t>
  </si>
  <si>
    <t xml:space="preserve">Winter wheat </t>
  </si>
  <si>
    <t>Plough</t>
  </si>
  <si>
    <t>Removed; left untreated in heaps or pits</t>
  </si>
  <si>
    <t>Inversion</t>
  </si>
  <si>
    <t xml:space="preserve">Removed; non-Forced Aeration Compost </t>
  </si>
  <si>
    <t>Non-inversion</t>
  </si>
  <si>
    <t>noninversion</t>
  </si>
  <si>
    <t>Conventional to No-till</t>
  </si>
  <si>
    <t xml:space="preserve">Removed; Forced Aeration Compost </t>
  </si>
  <si>
    <t>Light cultivation</t>
  </si>
  <si>
    <t>Sub-soiling</t>
  </si>
  <si>
    <t>Reduced to No-till</t>
  </si>
  <si>
    <t>Burned</t>
  </si>
  <si>
    <t>Minimum tillage</t>
  </si>
  <si>
    <t>No-till to Conventional</t>
  </si>
  <si>
    <t>Exported off farm</t>
  </si>
  <si>
    <t>Ware potato</t>
  </si>
  <si>
    <t>Direct drill</t>
  </si>
  <si>
    <t>No-till to Reduced</t>
  </si>
  <si>
    <t>Winter oilseed rape</t>
  </si>
  <si>
    <t>Spring oilseed rape</t>
  </si>
  <si>
    <t>Sugar beet</t>
  </si>
  <si>
    <t>Winter linseed</t>
  </si>
  <si>
    <t>Spring linseed</t>
  </si>
  <si>
    <t>Set-aside</t>
  </si>
  <si>
    <t>Total number of spraying operations, CFT</t>
  </si>
  <si>
    <r>
      <t>Fertiliser Rate</t>
    </r>
    <r>
      <rPr>
        <sz val="11"/>
        <color theme="1"/>
        <rFont val="Calibri"/>
        <family val="2"/>
        <scheme val="minor"/>
      </rPr>
      <t xml:space="preserve"> (kg[N]/ha)</t>
    </r>
  </si>
  <si>
    <r>
      <t xml:space="preserve">Glyphosate </t>
    </r>
    <r>
      <rPr>
        <sz val="11"/>
        <color theme="1"/>
        <rFont val="Calibri"/>
        <family val="2"/>
        <scheme val="minor"/>
      </rPr>
      <t>(l/ha)</t>
    </r>
  </si>
  <si>
    <r>
      <t xml:space="preserve">Crop rotation </t>
    </r>
    <r>
      <rPr>
        <i/>
        <sz val="11"/>
        <color theme="1"/>
        <rFont val="Calibri"/>
        <family val="2"/>
        <scheme val="minor"/>
      </rPr>
      <t>(heavy soils)</t>
    </r>
  </si>
  <si>
    <r>
      <t xml:space="preserve">Crop rotation </t>
    </r>
    <r>
      <rPr>
        <i/>
        <sz val="11"/>
        <color theme="1"/>
        <rFont val="Calibri"/>
        <family val="2"/>
        <scheme val="minor"/>
      </rPr>
      <t>(light soils)</t>
    </r>
  </si>
  <si>
    <r>
      <t xml:space="preserve">Seed rate </t>
    </r>
    <r>
      <rPr>
        <sz val="11"/>
        <color theme="1"/>
        <rFont val="Calibri"/>
        <family val="2"/>
        <scheme val="minor"/>
      </rPr>
      <t>(kg/ha)</t>
    </r>
  </si>
  <si>
    <t>Drill
Month</t>
  </si>
  <si>
    <r>
      <t>Tillage operations</t>
    </r>
    <r>
      <rPr>
        <i/>
        <sz val="11"/>
        <color theme="1"/>
        <rFont val="Calibri"/>
        <family val="2"/>
        <scheme val="minor"/>
      </rPr>
      <t xml:space="preserve"> (heavy soils)</t>
    </r>
  </si>
  <si>
    <r>
      <t xml:space="preserve">Tillage operations
</t>
    </r>
    <r>
      <rPr>
        <i/>
        <sz val="11"/>
        <color theme="1"/>
        <rFont val="Calibri"/>
        <family val="2"/>
        <scheme val="minor"/>
      </rPr>
      <t>(light soils)</t>
    </r>
  </si>
  <si>
    <t>seed rate</t>
  </si>
  <si>
    <t>drill month</t>
  </si>
  <si>
    <t>glyphosate dose</t>
  </si>
  <si>
    <t>BG herb dose</t>
  </si>
  <si>
    <t># spray ops</t>
  </si>
  <si>
    <t># spray ops CFT</t>
  </si>
  <si>
    <t>N fert rate</t>
  </si>
  <si>
    <t>delsow</t>
  </si>
  <si>
    <t>tillage intensity</t>
  </si>
  <si>
    <t>till ops (light soil)</t>
  </si>
  <si>
    <t>till ops (heavy soil)</t>
  </si>
  <si>
    <t># Nitrogen fert spray ops</t>
  </si>
  <si>
    <t>NB there is no winter barley in this rotation.</t>
  </si>
  <si>
    <t>Initial conditions</t>
  </si>
  <si>
    <t>Assumptions</t>
  </si>
  <si>
    <t>Tillage:</t>
  </si>
  <si>
    <t>For stale seedbeds we assume black-grass germination is induced with a shallow disc and roll.</t>
  </si>
  <si>
    <t>For subsoiled oilseed rape we assume that the drill is on the subsoiler (for direct drilled/min till management, see below).</t>
  </si>
  <si>
    <t>For min till management (i.e. direct-drilled crops) we assume 1 pass with a grain drill (no-till) and a roll after drilling.</t>
  </si>
  <si>
    <t>Conversions</t>
  </si>
  <si>
    <t>generic terminology</t>
  </si>
  <si>
    <t>CFT terminology</t>
  </si>
  <si>
    <t>DSSAT terminology</t>
  </si>
  <si>
    <t>ECOMOD terminology</t>
  </si>
  <si>
    <t>drill</t>
  </si>
  <si>
    <t>grain drill</t>
  </si>
  <si>
    <t>TI025    Drill, double-disk</t>
  </si>
  <si>
    <t>drill (no-till)</t>
  </si>
  <si>
    <t>grain drill-notill</t>
  </si>
  <si>
    <t>TI031    Drill, no-till</t>
  </si>
  <si>
    <t>rolls</t>
  </si>
  <si>
    <t>roller packer</t>
  </si>
  <si>
    <t>TI024    Roller packer</t>
  </si>
  <si>
    <t>field cultivator post-inversion plough</t>
  </si>
  <si>
    <t>roller harrow</t>
  </si>
  <si>
    <t>TI039    Roller harrow, cultipacker</t>
  </si>
  <si>
    <t>disc</t>
  </si>
  <si>
    <t>disc harrow</t>
  </si>
  <si>
    <t>TI010    Disk, double disk</t>
  </si>
  <si>
    <t>TI002    Subsoiler</t>
  </si>
  <si>
    <t>inversion plough</t>
  </si>
  <si>
    <t>moldboard plough</t>
  </si>
  <si>
    <t>TI003    Moldboard plow 20 cm</t>
  </si>
  <si>
    <t>potential date range for an operation to occur</t>
  </si>
  <si>
    <t>optimal date range for an operation</t>
  </si>
  <si>
    <t>Crops</t>
  </si>
  <si>
    <t>For inversion tillage we assume 1 pass with a moldboard plough, 1 pass with a roller harrow or power harrow, 1 pass with a drill, 1 roll.</t>
  </si>
  <si>
    <t>row_crop_planter</t>
  </si>
  <si>
    <t>SOM_integer</t>
  </si>
  <si>
    <t>HD-HR.E.h</t>
  </si>
  <si>
    <t>VD-HR.E.h</t>
  </si>
  <si>
    <t>HD-HR.E.m</t>
  </si>
  <si>
    <t>VD-HR.E.m</t>
  </si>
  <si>
    <t>LD-HR.E.h</t>
  </si>
  <si>
    <t>MD-HR.E.h</t>
  </si>
  <si>
    <t>LD-HR.E.m</t>
  </si>
  <si>
    <t>MD-HR.E.m</t>
  </si>
  <si>
    <t>LD-LR.E.h</t>
  </si>
  <si>
    <t>MD-LR.E.h</t>
  </si>
  <si>
    <t>LD-LR.E.m</t>
  </si>
  <si>
    <t>MD-LR.E.m</t>
  </si>
  <si>
    <t>FF_13.1</t>
  </si>
  <si>
    <t>FF_13.2</t>
  </si>
  <si>
    <t>FF_13.3</t>
  </si>
  <si>
    <t>FF_13.4</t>
  </si>
  <si>
    <t>HD-HR.E.l</t>
  </si>
  <si>
    <t>VD-HR.E.l</t>
  </si>
  <si>
    <t>LD-HR.E.l</t>
  </si>
  <si>
    <t>MD-HR.E.l</t>
  </si>
  <si>
    <t>LD-LR.E.l</t>
  </si>
  <si>
    <t>FF_14.1</t>
  </si>
  <si>
    <t>MD-LR.E.l</t>
  </si>
  <si>
    <t>FF_14.2</t>
  </si>
  <si>
    <t>HD-HR.N.h</t>
  </si>
  <si>
    <t>VD-HR.N.h</t>
  </si>
  <si>
    <t>LD-HR.N.h</t>
  </si>
  <si>
    <t>MD-HR.N.h</t>
  </si>
  <si>
    <t>MD-LR.N.l</t>
  </si>
  <si>
    <t>MD-HR.C.h</t>
  </si>
  <si>
    <t>MD-LR.C.l</t>
  </si>
  <si>
    <t>LD-LR.N.h</t>
  </si>
  <si>
    <t>MD-LR.N.h</t>
  </si>
  <si>
    <t>FF_15.1</t>
  </si>
  <si>
    <t>FF_15.2</t>
  </si>
  <si>
    <t>HD-HR.N.m</t>
  </si>
  <si>
    <t>VD-HR.N.m</t>
  </si>
  <si>
    <t>LD-HR.N.m</t>
  </si>
  <si>
    <t>MD-HR.N.m</t>
  </si>
  <si>
    <t>LD-LR.N.m</t>
  </si>
  <si>
    <t>MD-LR.N.m</t>
  </si>
  <si>
    <t>FF_15.3</t>
  </si>
  <si>
    <t>FF_15.4</t>
  </si>
  <si>
    <t>HD-HR.N.l</t>
  </si>
  <si>
    <t>VD-HR.N.l</t>
  </si>
  <si>
    <t>LD-HR.N.l</t>
  </si>
  <si>
    <t>MD-HR.N.l</t>
  </si>
  <si>
    <t>FF_10.1</t>
  </si>
  <si>
    <t>FF_10.2</t>
  </si>
  <si>
    <t>LD-LR.N.l</t>
  </si>
  <si>
    <t>FF_16.1</t>
  </si>
  <si>
    <t>FF_16.2</t>
  </si>
  <si>
    <t>HD-HR.C.h</t>
  </si>
  <si>
    <t>VD-HR.C.h</t>
  </si>
  <si>
    <t>LD-HR.C.h</t>
  </si>
  <si>
    <t>FF_11.1</t>
  </si>
  <si>
    <t>FF_11.2</t>
  </si>
  <si>
    <t>LD-LR.C.h</t>
  </si>
  <si>
    <t>MD-LR.C.h</t>
  </si>
  <si>
    <t>FF_17.1</t>
  </si>
  <si>
    <t>FF_17.2</t>
  </si>
  <si>
    <t>HD-HR.C.m</t>
  </si>
  <si>
    <t>VD-HR.C.m</t>
  </si>
  <si>
    <t>LD-HR.C.m</t>
  </si>
  <si>
    <t>MD-HR.C.m</t>
  </si>
  <si>
    <t>FF_11.3</t>
  </si>
  <si>
    <t>FF_11.4</t>
  </si>
  <si>
    <t>LD-LR.C.m</t>
  </si>
  <si>
    <t>MD-LR.C.m</t>
  </si>
  <si>
    <t>FF_17.3</t>
  </si>
  <si>
    <t>FF_17.4</t>
  </si>
  <si>
    <t>HD-HR.C.l</t>
  </si>
  <si>
    <t>VD-HR.C.l</t>
  </si>
  <si>
    <t>LD-HR.C.l</t>
  </si>
  <si>
    <t>MD-HR.C.l</t>
  </si>
  <si>
    <t>FF_12.1</t>
  </si>
  <si>
    <t>FF_12.2</t>
  </si>
  <si>
    <t>LD-LR.C.l</t>
  </si>
  <si>
    <t>FF_18.1</t>
  </si>
  <si>
    <t>FF_18.2</t>
  </si>
  <si>
    <t>lookup_ref</t>
  </si>
  <si>
    <t>Tillage - High Density High Resistance</t>
  </si>
  <si>
    <t>Tillage - Low Density High Resistance</t>
  </si>
  <si>
    <t>Tillage - Low Density Low Resistance</t>
  </si>
  <si>
    <t>3</t>
  </si>
  <si>
    <t>4</t>
  </si>
  <si>
    <t>5</t>
  </si>
  <si>
    <t>P Fertiliser - ABC</t>
  </si>
  <si>
    <t>P Fertiliser - Nix</t>
  </si>
  <si>
    <t>P Fertiliser - RB209</t>
  </si>
  <si>
    <t>Which P fertiliser to use?</t>
  </si>
  <si>
    <t>Which K fertiliser to use?</t>
  </si>
  <si>
    <t>K Fertiliser - Nix</t>
  </si>
  <si>
    <t>K Fertiliser - RB209</t>
  </si>
  <si>
    <t>K Fertiliser - ABC</t>
  </si>
  <si>
    <t>actual</t>
  </si>
  <si>
    <t>Primary Yield - ABC</t>
  </si>
  <si>
    <t>Primary Yield - Nix high</t>
  </si>
  <si>
    <t>Primary Yield - Nix avg</t>
  </si>
  <si>
    <t>Primary Yield - orig</t>
  </si>
  <si>
    <t>Which yield option to use?</t>
  </si>
  <si>
    <t>Which yield source to use?</t>
  </si>
  <si>
    <t>Seed Price - ABC 2019 (88thEd)</t>
  </si>
  <si>
    <t>generic</t>
  </si>
  <si>
    <t>GREEN FONT MEANS IT'S CHECKED AND CORRECT (AV, 27/09/2021)</t>
  </si>
  <si>
    <t>We assume that year -1 had an inversion tillage operation - we can't assume this for FF as we didn't tell the farmers this.</t>
  </si>
  <si>
    <t>FF_01.1</t>
  </si>
  <si>
    <t>FF_01.2</t>
  </si>
  <si>
    <t>FF_01.3</t>
  </si>
  <si>
    <t>FF_01.4</t>
  </si>
  <si>
    <t>FF_02.1</t>
  </si>
  <si>
    <t>FF_02.2</t>
  </si>
  <si>
    <t>FF_03.1</t>
  </si>
  <si>
    <t>FF_03.2</t>
  </si>
  <si>
    <t>FF_03.3</t>
  </si>
  <si>
    <t>FF_03.4</t>
  </si>
  <si>
    <t>FF_04.1</t>
  </si>
  <si>
    <t>FF_04.2</t>
  </si>
  <si>
    <t>FF_05.1</t>
  </si>
  <si>
    <t>FF_05.2</t>
  </si>
  <si>
    <t>FF_05.3</t>
  </si>
  <si>
    <t>FF_05.4</t>
  </si>
  <si>
    <t>FF_06.1</t>
  </si>
  <si>
    <t>FF_06.2</t>
  </si>
  <si>
    <t>FF_07.1</t>
  </si>
  <si>
    <t>FF_07.2</t>
  </si>
  <si>
    <t>FF_07.3</t>
  </si>
  <si>
    <t>FF_07.4</t>
  </si>
  <si>
    <t>FF_08.1</t>
  </si>
  <si>
    <t>FF_08.2</t>
  </si>
  <si>
    <t>FF_09.1</t>
  </si>
  <si>
    <t>FF_09.2</t>
  </si>
  <si>
    <t>FF_09.3</t>
  </si>
  <si>
    <t>FF_09.4</t>
  </si>
  <si>
    <t>kg/ha herbicide rate (e.g. for Avadex XL, Atlantis and Crawler) is directly translated into l/ha</t>
  </si>
  <si>
    <t>Where fertiliser rate is not specified by the farmers, we used the amount given for SNS = 1 in RB209 (2021).</t>
  </si>
  <si>
    <r>
      <rPr>
        <b/>
        <sz val="11"/>
        <color theme="1"/>
        <rFont val="Verdana"/>
        <family val="2"/>
      </rPr>
      <t>№</t>
    </r>
    <r>
      <rPr>
        <b/>
        <sz val="11"/>
        <color theme="1"/>
        <rFont val="Calibri"/>
        <family val="2"/>
      </rPr>
      <t xml:space="preserve"> </t>
    </r>
    <r>
      <rPr>
        <b/>
        <sz val="11"/>
        <color theme="1"/>
        <rFont val="Calibri"/>
        <family val="2"/>
        <scheme val="minor"/>
      </rPr>
      <t>Fertiliser sprayings, CFT</t>
    </r>
  </si>
  <si>
    <t>Chemicals:</t>
  </si>
  <si>
    <t>Crops:</t>
  </si>
  <si>
    <t>Where farmers specified maize, use spring OSR as a proxy. Use values for spring oilseed rape throughout, don't use any maize values as it's too different a crop in terms of costs.</t>
  </si>
  <si>
    <t>Where farmers specified spring oats, ECOMOD will automatically run spring barley. Set up the input file with the values for oats. Then run the yield as 'actual' and specify average oats yield.</t>
  </si>
  <si>
    <t>Run  1</t>
  </si>
  <si>
    <t>Run 2</t>
  </si>
  <si>
    <t>Input data for 'Farmer Focus' (aka Mitigation) scenario</t>
  </si>
  <si>
    <t>disc, roller packer, disc, disc, grain drill, roller packer</t>
  </si>
  <si>
    <t>disc, roller packer, disc, disc, disc, grain drill, roller packer</t>
  </si>
  <si>
    <t>disc, roller packer, disc, disc, disc, plough, roller harrow, grain drill, roller packer</t>
  </si>
  <si>
    <t>disc, disc, row crop planter</t>
  </si>
  <si>
    <t>plough, roller harrow, disc, roller packer, grain drill-no till</t>
  </si>
  <si>
    <t>HD-DR tillage checked</t>
  </si>
  <si>
    <t xml:space="preserve">field_cultivator_ridger </t>
  </si>
  <si>
    <t>grain_drill_notill</t>
  </si>
  <si>
    <t>rotary_hoe_bed_tiller</t>
  </si>
  <si>
    <t>disc, roller packer, disc</t>
  </si>
  <si>
    <t>disc, roller packer, disc, minimum tillage, roller packer</t>
  </si>
  <si>
    <r>
      <t xml:space="preserve">CFT management changes: in sheet '3. Sequestration', the management changes are </t>
    </r>
    <r>
      <rPr>
        <b/>
        <sz val="10"/>
        <color theme="1"/>
        <rFont val="Calibri"/>
        <family val="2"/>
        <scheme val="minor"/>
      </rPr>
      <t>not for annual fluctuations</t>
    </r>
    <r>
      <rPr>
        <sz val="10"/>
        <color theme="1"/>
        <rFont val="Calibri"/>
        <family val="2"/>
        <scheme val="minor"/>
      </rPr>
      <t xml:space="preserve"> but generally in last 20 years, e.g. conversion from conventional(always) to no-till(always) would be represented by "Conventional to No-till". Use judgement to choose best approximation (including reduced till).</t>
    </r>
  </si>
  <si>
    <t>NOTES:</t>
  </si>
  <si>
    <r>
      <t xml:space="preserve">In the Cool Farm Tool, pesticide application input values refer to the </t>
    </r>
    <r>
      <rPr>
        <u/>
        <sz val="10"/>
        <color theme="1"/>
        <rFont val="Calibri"/>
        <family val="2"/>
        <scheme val="minor"/>
      </rPr>
      <t>number of pesticides applied</t>
    </r>
    <r>
      <rPr>
        <sz val="10"/>
        <color theme="1"/>
        <rFont val="Calibri"/>
        <family val="2"/>
        <scheme val="minor"/>
      </rPr>
      <t>. Each dose of pesticide counts as one application.</t>
    </r>
  </si>
  <si>
    <t>For each application of pesticide entered by the user, the CFT assumes a dose of 0.5kg of active ingredient per ha (this is in order to derive an average factor of 20.5 kg CO2e/ha per product application).</t>
  </si>
  <si>
    <t xml:space="preserve">The doses of herbicide in our dataset are not all 0.5kg a.i. per application. </t>
  </si>
  <si>
    <t>Therefore it may be necessary to adjust the pesticide application values so that they are in fact the number of 0.5kg doses required to make up the actual dose applied.</t>
  </si>
  <si>
    <t>disc, roller packer, disc, disc, minimum tillage, roller packer</t>
  </si>
  <si>
    <t>disc, subsoil, roller packer, disc, minimum tillage, roller packer</t>
  </si>
  <si>
    <t>disc, subsoil, disc, minimum tillage</t>
  </si>
  <si>
    <t>disc, disc, minimum tillage</t>
  </si>
  <si>
    <t>disc, disc, disc, minimum tillage</t>
  </si>
  <si>
    <t>plough, roller harrow, disc, roller packer, minimum tillage, roller packer</t>
  </si>
  <si>
    <t>disc, roller packer, disc, grain drill, roller packer</t>
  </si>
  <si>
    <t>disc, roller packer, disc, plough, roller harrow, grain drill, roller packer</t>
  </si>
  <si>
    <t>disc, roller packer, disc, disc, disc, minimum tillage, roller packer</t>
  </si>
  <si>
    <t>disc, subsoil, roller packer, disc, disc, minimum tillage, roller packer</t>
  </si>
  <si>
    <t>disc, roller packer, plough, roller harrow, minimum tillage, roller packer</t>
  </si>
  <si>
    <t>applicationmethod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</si>
</sst>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E+00"/>
  </numFmts>
  <fonts count="100" x14ac:knownFonts="1">
    <font>
      <sz val="11"/>
      <color theme="1"/>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0"/>
      <color theme="1"/>
      <name val="Calibri"/>
      <family val="2"/>
      <scheme val="minor"/>
    </font>
    <font>
      <sz val="8"/>
      <color theme="1"/>
      <name val="Calibri"/>
      <family val="2"/>
      <scheme val="minor"/>
    </font>
    <font>
      <sz val="9"/>
      <color theme="1"/>
      <name val="Calibri"/>
      <family val="2"/>
      <scheme val="minor"/>
    </font>
    <font>
      <sz val="8"/>
      <name val="Calibri"/>
      <family val="2"/>
      <scheme val="minor"/>
    </font>
    <font>
      <sz val="9"/>
      <color rgb="FF0000FF"/>
      <name val="Calibri"/>
      <family val="2"/>
      <scheme val="minor"/>
    </font>
    <font>
      <sz val="10"/>
      <color indexed="81"/>
      <name val="Calibri"/>
      <family val="2"/>
      <scheme val="minor"/>
    </font>
    <font>
      <b/>
      <sz val="10"/>
      <color indexed="81"/>
      <name val="Calibri"/>
      <family val="2"/>
      <scheme val="minor"/>
    </font>
    <font>
      <i/>
      <sz val="11"/>
      <color theme="1"/>
      <name val="Calibri Light"/>
      <family val="2"/>
      <scheme val="major"/>
    </font>
    <font>
      <sz val="12"/>
      <color theme="1"/>
      <name val="Calibri Light"/>
      <family val="2"/>
      <scheme val="major"/>
    </font>
    <font>
      <b/>
      <sz val="12"/>
      <color theme="1"/>
      <name val="Calibri"/>
      <family val="2"/>
      <scheme val="minor"/>
    </font>
    <font>
      <sz val="10"/>
      <color theme="0" tint="-0.499984740745262"/>
      <name val="Calibri"/>
      <family val="2"/>
      <scheme val="minor"/>
    </font>
    <font>
      <sz val="11"/>
      <color theme="0" tint="-0.499984740745262"/>
      <name val="Calibri"/>
      <family val="2"/>
      <scheme val="minor"/>
    </font>
    <font>
      <b/>
      <sz val="11"/>
      <color theme="0" tint="-0.499984740745262"/>
      <name val="Calibri"/>
      <family val="2"/>
      <scheme val="minor"/>
    </font>
    <font>
      <b/>
      <sz val="10"/>
      <color theme="1"/>
      <name val="Calibri"/>
      <family val="2"/>
      <scheme val="minor"/>
    </font>
    <font>
      <u/>
      <sz val="10"/>
      <color theme="1"/>
      <name val="Calibri"/>
      <family val="2"/>
      <scheme val="minor"/>
    </font>
    <font>
      <sz val="12"/>
      <color theme="1"/>
      <name val="Calibri"/>
      <family val="2"/>
      <scheme val="minor"/>
    </font>
    <font>
      <b/>
      <sz val="10"/>
      <color rgb="FF000000"/>
      <name val="Tahoma"/>
      <family val="2"/>
    </font>
    <font>
      <sz val="10"/>
      <color rgb="FF000000"/>
      <name val="Tahoma"/>
      <family val="2"/>
    </font>
    <font>
      <b/>
      <sz val="12"/>
      <color theme="9" tint="-0.499984740745262"/>
      <name val="Calibri"/>
      <family val="2"/>
    </font>
    <font>
      <sz val="11"/>
      <color theme="1"/>
      <name val="Calibri"/>
      <family val="2"/>
    </font>
    <font>
      <b/>
      <u/>
      <sz val="11"/>
      <color rgb="FF0432FF"/>
      <name val="Calibri"/>
      <family val="2"/>
    </font>
    <font>
      <b/>
      <sz val="11"/>
      <color theme="0"/>
      <name val="Calibri"/>
      <family val="2"/>
    </font>
    <font>
      <sz val="11"/>
      <name val="Calibri"/>
      <family val="2"/>
    </font>
    <font>
      <b/>
      <sz val="10"/>
      <color indexed="81"/>
      <name val="Calibri"/>
      <family val="2"/>
    </font>
    <font>
      <sz val="10"/>
      <color indexed="81"/>
      <name val="Calibri"/>
      <family val="2"/>
    </font>
    <font>
      <b/>
      <u/>
      <sz val="12"/>
      <color theme="9" tint="-0.499984740745262"/>
      <name val="Calibri"/>
      <family val="2"/>
    </font>
    <font>
      <sz val="12"/>
      <color theme="9" tint="-0.499984740745262"/>
      <name val="Calibri"/>
      <family val="2"/>
    </font>
    <font>
      <b/>
      <sz val="11"/>
      <color rgb="FF0432FF"/>
      <name val="Calibri"/>
      <family val="2"/>
    </font>
    <font>
      <b/>
      <sz val="11"/>
      <color theme="9" tint="-0.499984740745262"/>
      <name val="Calibri"/>
      <family val="2"/>
      <scheme val="minor"/>
    </font>
    <font>
      <sz val="11"/>
      <color theme="9" tint="-0.499984740745262"/>
      <name val="Calibri"/>
      <family val="2"/>
      <scheme val="minor"/>
    </font>
    <font>
      <sz val="12"/>
      <color theme="9" tint="-0.499984740745262"/>
      <name val="Calibri Light"/>
      <family val="2"/>
      <scheme val="major"/>
    </font>
    <font>
      <sz val="11"/>
      <color theme="2" tint="-0.249977111117893"/>
      <name val="Calibri"/>
      <family val="2"/>
      <scheme val="minor"/>
    </font>
    <font>
      <sz val="10"/>
      <color theme="2" tint="-0.249977111117893"/>
      <name val="Calibri"/>
      <family val="2"/>
      <scheme val="minor"/>
    </font>
    <font>
      <u/>
      <sz val="11"/>
      <color theme="10"/>
      <name val="Calibri"/>
      <family val="2"/>
      <scheme val="minor"/>
    </font>
    <font>
      <b/>
      <sz val="12"/>
      <color theme="9" tint="-0.499984740745262"/>
      <name val="Calibri"/>
      <family val="2"/>
      <scheme val="minor"/>
    </font>
    <font>
      <sz val="12"/>
      <color theme="9" tint="-0.499984740745262"/>
      <name val="Calibri"/>
      <family val="2"/>
      <scheme val="minor"/>
    </font>
    <font>
      <i/>
      <sz val="11"/>
      <color theme="9" tint="-0.499984740745262"/>
      <name val="Calibri Light"/>
      <family val="2"/>
      <scheme val="major"/>
    </font>
    <font>
      <sz val="10"/>
      <color theme="9" tint="-0.499984740745262"/>
      <name val="Calibri"/>
      <family val="2"/>
      <scheme val="minor"/>
    </font>
    <font>
      <sz val="14"/>
      <color theme="0"/>
      <name val="Calibri Light"/>
      <family val="2"/>
      <scheme val="major"/>
    </font>
    <font>
      <i/>
      <sz val="11"/>
      <color theme="9" tint="-0.499984740745262"/>
      <name val="Calibri"/>
      <family val="2"/>
      <scheme val="minor"/>
    </font>
    <font>
      <b/>
      <sz val="11"/>
      <color theme="8" tint="-0.499984740745262"/>
      <name val="Calibri"/>
      <family val="2"/>
      <scheme val="minor"/>
    </font>
    <font>
      <sz val="10"/>
      <color rgb="FFFF0000"/>
      <name val="Calibri"/>
      <family val="2"/>
      <scheme val="minor"/>
    </font>
    <font>
      <sz val="10"/>
      <color theme="1"/>
      <name val="Calibri"/>
      <family val="2"/>
      <charset val="2"/>
      <scheme val="minor"/>
    </font>
    <font>
      <i/>
      <sz val="10"/>
      <color theme="1"/>
      <name val="Calibri"/>
      <family val="2"/>
      <scheme val="minor"/>
    </font>
    <font>
      <vertAlign val="superscript"/>
      <sz val="10"/>
      <color theme="1"/>
      <name val="Calibri"/>
      <family val="2"/>
      <scheme val="minor"/>
    </font>
    <font>
      <sz val="10"/>
      <name val="Calibri"/>
      <family val="2"/>
      <scheme val="minor"/>
    </font>
    <font>
      <sz val="10"/>
      <color theme="1"/>
      <name val="Calibri"/>
      <family val="2"/>
    </font>
    <font>
      <sz val="10"/>
      <color rgb="FF009900"/>
      <name val="Calibri"/>
      <family val="2"/>
      <scheme val="minor"/>
    </font>
    <font>
      <b/>
      <u/>
      <sz val="9"/>
      <color indexed="81"/>
      <name val="Tahoma"/>
      <family val="2"/>
    </font>
    <font>
      <u/>
      <sz val="9"/>
      <color indexed="81"/>
      <name val="Tahoma"/>
      <family val="2"/>
    </font>
    <font>
      <i/>
      <sz val="9"/>
      <color indexed="81"/>
      <name val="Tahoma"/>
      <family val="2"/>
    </font>
    <font>
      <i/>
      <sz val="10"/>
      <name val="Calibri"/>
      <family val="2"/>
      <scheme val="minor"/>
    </font>
    <font>
      <sz val="9"/>
      <color theme="0" tint="-0.499984740745262"/>
      <name val="Calibri"/>
      <family val="2"/>
      <scheme val="minor"/>
    </font>
    <font>
      <b/>
      <sz val="10"/>
      <color rgb="FFFF0000"/>
      <name val="Calibri"/>
      <family val="2"/>
      <scheme val="minor"/>
    </font>
    <font>
      <b/>
      <sz val="10"/>
      <name val="Calibri"/>
      <family val="2"/>
      <scheme val="minor"/>
    </font>
    <font>
      <i/>
      <sz val="10"/>
      <color theme="1"/>
      <name val="Calibri"/>
      <family val="2"/>
    </font>
    <font>
      <b/>
      <i/>
      <sz val="12"/>
      <color theme="9" tint="-0.499984740745262"/>
      <name val="Calibri"/>
      <family val="2"/>
      <scheme val="minor"/>
    </font>
    <font>
      <b/>
      <sz val="11"/>
      <name val="Calibri"/>
      <family val="2"/>
    </font>
    <font>
      <sz val="11"/>
      <name val="Calibri"/>
      <family val="2"/>
      <scheme val="minor"/>
    </font>
    <font>
      <sz val="11"/>
      <color theme="9" tint="-0.499984740745262"/>
      <name val="Calibri"/>
      <family val="2"/>
    </font>
    <font>
      <sz val="11"/>
      <color theme="9" tint="0.79998168889431442"/>
      <name val="Calibri"/>
      <family val="2"/>
    </font>
    <font>
      <i/>
      <sz val="10"/>
      <color indexed="81"/>
      <name val="Calibri"/>
      <family val="2"/>
    </font>
    <font>
      <sz val="10"/>
      <color indexed="81"/>
      <name val="Courier New"/>
      <family val="3"/>
    </font>
    <font>
      <sz val="12"/>
      <color theme="1"/>
      <name val="Calibri"/>
      <family val="2"/>
    </font>
    <font>
      <vertAlign val="superscript"/>
      <sz val="11"/>
      <color theme="1"/>
      <name val="Cambria"/>
      <family val="1"/>
    </font>
    <font>
      <sz val="10"/>
      <color theme="9" tint="-0.499984740745262"/>
      <name val="Calibri"/>
      <family val="2"/>
    </font>
    <font>
      <b/>
      <sz val="10"/>
      <color theme="9" tint="-0.499984740745262"/>
      <name val="Calibri"/>
      <family val="2"/>
    </font>
    <font>
      <vertAlign val="superscript"/>
      <sz val="11"/>
      <color theme="9" tint="-0.499984740745262"/>
      <name val="Calibri"/>
      <family val="2"/>
    </font>
    <font>
      <b/>
      <sz val="12"/>
      <color theme="9" tint="-0.499984740745262"/>
      <name val="Calibri Light"/>
      <family val="2"/>
      <scheme val="major"/>
    </font>
    <font>
      <b/>
      <sz val="11"/>
      <name val="Calibri"/>
      <family val="2"/>
      <scheme val="minor"/>
    </font>
    <font>
      <sz val="11"/>
      <color theme="0"/>
      <name val="Calibri"/>
      <family val="2"/>
    </font>
    <font>
      <sz val="9"/>
      <color theme="9" tint="-0.499984740745262"/>
      <name val="Calibri"/>
      <family val="2"/>
      <scheme val="minor"/>
    </font>
    <font>
      <b/>
      <sz val="9"/>
      <color theme="9" tint="-0.499984740745262"/>
      <name val="Calibri"/>
      <family val="2"/>
      <scheme val="minor"/>
    </font>
    <font>
      <b/>
      <sz val="11"/>
      <color theme="1"/>
      <name val="Verdana"/>
      <family val="2"/>
    </font>
    <font>
      <b/>
      <sz val="11"/>
      <color theme="1"/>
      <name val="Calibri"/>
      <family val="2"/>
    </font>
    <font>
      <sz val="11"/>
      <color rgb="FFFF0000"/>
      <name val="Calibri"/>
      <family val="2"/>
      <scheme val="minor"/>
    </font>
    <font>
      <i/>
      <sz val="11"/>
      <color theme="1"/>
      <name val="Calibri"/>
      <family val="2"/>
      <scheme val="minor"/>
    </font>
    <font>
      <u/>
      <sz val="9"/>
      <color theme="10"/>
      <name val="Calibri"/>
      <family val="2"/>
      <scheme val="minor"/>
    </font>
    <font>
      <sz val="12"/>
      <color theme="9" tint="-0.499984740745262"/>
      <name val="Abadi Extra Light"/>
      <family val="2"/>
    </font>
    <font>
      <sz val="12"/>
      <color theme="1"/>
      <name val="Abadi Extra Light"/>
      <family val="2"/>
    </font>
    <font>
      <sz val="11"/>
      <color rgb="FFFF6600"/>
      <name val="Calibri"/>
      <family val="2"/>
      <scheme val="minor"/>
    </font>
    <font>
      <sz val="11"/>
      <color rgb="FF00B050"/>
      <name val="Calibri"/>
      <family val="2"/>
      <scheme val="minor"/>
    </font>
    <font>
      <sz val="12"/>
      <color theme="0"/>
      <name val="Calibri Light"/>
      <family val="2"/>
      <scheme val="major"/>
    </font>
    <font>
      <sz val="12"/>
      <color theme="0"/>
      <name val="Abadi Extra Light"/>
      <family val="2"/>
    </font>
    <font>
      <sz val="12"/>
      <color theme="0"/>
      <name val="Calibri"/>
      <family val="2"/>
      <scheme val="minor"/>
    </font>
    <font>
      <i/>
      <sz val="12"/>
      <color theme="0"/>
      <name val="Abadi Extra Light"/>
      <family val="2"/>
    </font>
    <font>
      <sz val="11"/>
      <color theme="0"/>
      <name val="Abadi Extra Light"/>
      <family val="2"/>
    </font>
    <font>
      <i/>
      <sz val="11"/>
      <color theme="0"/>
      <name val="Abadi Extra Light"/>
      <family val="2"/>
    </font>
    <font>
      <i/>
      <sz val="12"/>
      <name val="Abadi Extra Light"/>
      <family val="2"/>
    </font>
    <font>
      <sz val="11"/>
      <color rgb="FFC13000"/>
      <name val="Calibri"/>
      <family val="2"/>
      <scheme val="minor"/>
    </font>
    <font>
      <sz val="11"/>
      <color rgb="FFE18E0C"/>
      <name val="Calibri"/>
      <family val="2"/>
      <scheme val="minor"/>
    </font>
    <font>
      <sz val="11"/>
      <color theme="0" tint="-0.499984740745262"/>
      <name val="Calibri"/>
      <family val="2"/>
    </font>
    <font>
      <sz val="11"/>
      <color rgb="FF009900"/>
      <name val="Calibri"/>
      <family val="2"/>
      <scheme val="minor"/>
    </font>
    <font>
      <i/>
      <sz val="12"/>
      <color theme="0"/>
      <name val="Calibri Light"/>
      <family val="2"/>
      <scheme val="major"/>
    </font>
    <font>
      <sz val="13"/>
      <color rgb="FF000000"/>
      <name val="Tahoma"/>
      <family val="2"/>
    </font>
  </fonts>
  <fills count="28">
    <fill>
      <patternFill patternType="none"/>
    </fill>
    <fill>
      <patternFill patternType="gray125"/>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499984740745262"/>
        <bgColor indexed="64"/>
      </patternFill>
    </fill>
    <fill>
      <patternFill patternType="solid">
        <fgColor theme="7" tint="-0.499984740745262"/>
        <bgColor indexed="64"/>
      </patternFill>
    </fill>
    <fill>
      <patternFill patternType="solid">
        <fgColor theme="3" tint="-0.49998474074526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rgb="FFFFC000"/>
        <bgColor indexed="64"/>
      </patternFill>
    </fill>
    <fill>
      <patternFill patternType="solid">
        <fgColor theme="9" tint="-0.249977111117893"/>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8" tint="-0.499984740745262"/>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9" tint="-0.499984740745262"/>
        <bgColor indexed="64"/>
      </patternFill>
    </fill>
    <fill>
      <patternFill patternType="solid">
        <fgColor rgb="FFFF0000"/>
        <bgColor indexed="64"/>
      </patternFill>
    </fill>
    <fill>
      <patternFill patternType="solid">
        <fgColor rgb="FFFF6600"/>
        <bgColor indexed="64"/>
      </patternFill>
    </fill>
    <fill>
      <patternFill patternType="solid">
        <fgColor rgb="FF00CC00"/>
        <bgColor indexed="64"/>
      </patternFill>
    </fill>
    <fill>
      <patternFill patternType="solid">
        <fgColor theme="0" tint="-0.14999847407452621"/>
        <bgColor indexed="64"/>
      </patternFill>
    </fill>
    <fill>
      <patternFill patternType="solid">
        <fgColor theme="5" tint="0.39997558519241921"/>
        <bgColor indexed="64"/>
      </patternFill>
    </fill>
  </fills>
  <borders count="79">
    <border>
      <left/>
      <right/>
      <top/>
      <bottom/>
      <diagonal/>
    </border>
    <border>
      <left style="thick">
        <color theme="4" tint="-0.24994659260841701"/>
      </left>
      <right style="thick">
        <color theme="4" tint="-0.24994659260841701"/>
      </right>
      <top style="thick">
        <color theme="4" tint="-0.24994659260841701"/>
      </top>
      <bottom style="thick">
        <color theme="4" tint="-0.24994659260841701"/>
      </bottom>
      <diagonal/>
    </border>
    <border>
      <left style="thick">
        <color theme="4" tint="-0.24994659260841701"/>
      </left>
      <right style="thick">
        <color theme="4" tint="-0.24994659260841701"/>
      </right>
      <top/>
      <bottom/>
      <diagonal/>
    </border>
    <border>
      <left style="thick">
        <color theme="9" tint="-0.24994659260841701"/>
      </left>
      <right style="thick">
        <color theme="9" tint="-0.24994659260841701"/>
      </right>
      <top style="thick">
        <color theme="9" tint="-0.24994659260841701"/>
      </top>
      <bottom style="thick">
        <color theme="9" tint="-0.24994659260841701"/>
      </bottom>
      <diagonal/>
    </border>
    <border>
      <left style="thick">
        <color theme="9" tint="-0.24994659260841701"/>
      </left>
      <right style="thick">
        <color theme="9" tint="-0.24994659260841701"/>
      </right>
      <top/>
      <bottom/>
      <diagonal/>
    </border>
    <border>
      <left style="thick">
        <color theme="7" tint="-0.24994659260841701"/>
      </left>
      <right style="thick">
        <color theme="7" tint="-0.24994659260841701"/>
      </right>
      <top style="thick">
        <color theme="7" tint="-0.24994659260841701"/>
      </top>
      <bottom style="thick">
        <color theme="7" tint="-0.24994659260841701"/>
      </bottom>
      <diagonal/>
    </border>
    <border>
      <left style="thick">
        <color theme="7" tint="-0.24994659260841701"/>
      </left>
      <right style="thick">
        <color theme="7" tint="-0.24994659260841701"/>
      </right>
      <top/>
      <bottom/>
      <diagonal/>
    </border>
    <border>
      <left style="thick">
        <color auto="1"/>
      </left>
      <right/>
      <top style="thick">
        <color auto="1"/>
      </top>
      <bottom/>
      <diagonal/>
    </border>
    <border>
      <left style="thick">
        <color theme="4" tint="-0.24994659260841701"/>
      </left>
      <right style="thick">
        <color theme="4" tint="-0.24994659260841701"/>
      </right>
      <top style="thick">
        <color auto="1"/>
      </top>
      <bottom/>
      <diagonal/>
    </border>
    <border>
      <left style="thick">
        <color theme="9" tint="-0.24994659260841701"/>
      </left>
      <right style="thick">
        <color theme="9" tint="-0.24994659260841701"/>
      </right>
      <top style="thick">
        <color auto="1"/>
      </top>
      <bottom/>
      <diagonal/>
    </border>
    <border>
      <left style="thick">
        <color theme="7" tint="-0.24994659260841701"/>
      </left>
      <right style="thick">
        <color theme="7" tint="-0.24994659260841701"/>
      </right>
      <top style="thick">
        <color auto="1"/>
      </top>
      <bottom/>
      <diagonal/>
    </border>
    <border>
      <left style="thick">
        <color auto="1"/>
      </left>
      <right/>
      <top/>
      <bottom style="thick">
        <color auto="1"/>
      </bottom>
      <diagonal/>
    </border>
    <border>
      <left style="thick">
        <color theme="4" tint="-0.24994659260841701"/>
      </left>
      <right style="thick">
        <color theme="4" tint="-0.24994659260841701"/>
      </right>
      <top/>
      <bottom style="thick">
        <color auto="1"/>
      </bottom>
      <diagonal/>
    </border>
    <border>
      <left style="thick">
        <color theme="9" tint="-0.24994659260841701"/>
      </left>
      <right style="thick">
        <color theme="9" tint="-0.24994659260841701"/>
      </right>
      <top/>
      <bottom style="thick">
        <color auto="1"/>
      </bottom>
      <diagonal/>
    </border>
    <border>
      <left style="thick">
        <color theme="7" tint="-0.24994659260841701"/>
      </left>
      <right style="thick">
        <color theme="7" tint="-0.24994659260841701"/>
      </right>
      <top/>
      <bottom style="thick">
        <color auto="1"/>
      </bottom>
      <diagonal/>
    </border>
    <border>
      <left style="thick">
        <color theme="5" tint="-0.24994659260841701"/>
      </left>
      <right/>
      <top style="thick">
        <color theme="5" tint="-0.24994659260841701"/>
      </top>
      <bottom/>
      <diagonal/>
    </border>
    <border>
      <left style="thick">
        <color theme="4" tint="-0.24994659260841701"/>
      </left>
      <right style="thick">
        <color theme="4" tint="-0.24994659260841701"/>
      </right>
      <top style="thick">
        <color theme="5" tint="-0.24994659260841701"/>
      </top>
      <bottom/>
      <diagonal/>
    </border>
    <border>
      <left style="thick">
        <color theme="9" tint="-0.24994659260841701"/>
      </left>
      <right style="thick">
        <color theme="9" tint="-0.24994659260841701"/>
      </right>
      <top style="thick">
        <color theme="5" tint="-0.24994659260841701"/>
      </top>
      <bottom/>
      <diagonal/>
    </border>
    <border>
      <left style="thick">
        <color theme="7" tint="-0.24994659260841701"/>
      </left>
      <right style="thick">
        <color theme="7" tint="-0.24994659260841701"/>
      </right>
      <top style="thick">
        <color theme="5" tint="-0.24994659260841701"/>
      </top>
      <bottom/>
      <diagonal/>
    </border>
    <border>
      <left style="thick">
        <color theme="5" tint="-0.24994659260841701"/>
      </left>
      <right/>
      <top/>
      <bottom style="thick">
        <color theme="5" tint="-0.24994659260841701"/>
      </bottom>
      <diagonal/>
    </border>
    <border>
      <left style="thick">
        <color theme="4" tint="-0.24994659260841701"/>
      </left>
      <right style="thick">
        <color theme="4" tint="-0.24994659260841701"/>
      </right>
      <top/>
      <bottom style="thick">
        <color theme="5" tint="-0.24994659260841701"/>
      </bottom>
      <diagonal/>
    </border>
    <border>
      <left style="thick">
        <color theme="9" tint="-0.24994659260841701"/>
      </left>
      <right style="thick">
        <color theme="9" tint="-0.24994659260841701"/>
      </right>
      <top/>
      <bottom style="thick">
        <color theme="5" tint="-0.24994659260841701"/>
      </bottom>
      <diagonal/>
    </border>
    <border>
      <left style="thick">
        <color theme="7" tint="-0.24994659260841701"/>
      </left>
      <right style="thick">
        <color theme="7" tint="-0.24994659260841701"/>
      </right>
      <top/>
      <bottom style="thick">
        <color theme="5" tint="-0.24994659260841701"/>
      </bottom>
      <diagonal/>
    </border>
    <border>
      <left style="thick">
        <color theme="7" tint="-0.499984740745262"/>
      </left>
      <right/>
      <top style="thick">
        <color theme="7" tint="-0.499984740745262"/>
      </top>
      <bottom/>
      <diagonal/>
    </border>
    <border>
      <left style="thick">
        <color theme="4" tint="-0.24994659260841701"/>
      </left>
      <right style="thick">
        <color theme="4" tint="-0.24994659260841701"/>
      </right>
      <top style="thick">
        <color theme="7" tint="-0.499984740745262"/>
      </top>
      <bottom/>
      <diagonal/>
    </border>
    <border>
      <left style="thick">
        <color theme="9" tint="-0.24994659260841701"/>
      </left>
      <right style="thick">
        <color theme="9" tint="-0.24994659260841701"/>
      </right>
      <top style="thick">
        <color theme="7" tint="-0.499984740745262"/>
      </top>
      <bottom/>
      <diagonal/>
    </border>
    <border>
      <left style="thick">
        <color theme="7" tint="-0.24994659260841701"/>
      </left>
      <right style="thick">
        <color theme="7" tint="-0.24994659260841701"/>
      </right>
      <top style="thick">
        <color theme="7" tint="-0.499984740745262"/>
      </top>
      <bottom/>
      <diagonal/>
    </border>
    <border>
      <left style="thick">
        <color theme="7" tint="-0.499984740745262"/>
      </left>
      <right/>
      <top/>
      <bottom style="thick">
        <color theme="7" tint="-0.499984740745262"/>
      </bottom>
      <diagonal/>
    </border>
    <border>
      <left style="thick">
        <color theme="4" tint="-0.24994659260841701"/>
      </left>
      <right style="thick">
        <color theme="4" tint="-0.24994659260841701"/>
      </right>
      <top/>
      <bottom style="thick">
        <color theme="7" tint="-0.499984740745262"/>
      </bottom>
      <diagonal/>
    </border>
    <border>
      <left style="thick">
        <color theme="9" tint="-0.24994659260841701"/>
      </left>
      <right style="thick">
        <color theme="9" tint="-0.24994659260841701"/>
      </right>
      <top/>
      <bottom style="thick">
        <color theme="7" tint="-0.499984740745262"/>
      </bottom>
      <diagonal/>
    </border>
    <border>
      <left style="thick">
        <color theme="7" tint="-0.24994659260841701"/>
      </left>
      <right style="thick">
        <color theme="7" tint="-0.24994659260841701"/>
      </right>
      <top/>
      <bottom style="thick">
        <color theme="7" tint="-0.499984740745262"/>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ck">
        <color auto="1"/>
      </left>
      <right/>
      <top/>
      <bottom/>
      <diagonal/>
    </border>
    <border>
      <left style="thick">
        <color theme="5" tint="-0.24994659260841701"/>
      </left>
      <right/>
      <top/>
      <bottom/>
      <diagonal/>
    </border>
    <border>
      <left style="thick">
        <color theme="7" tint="-0.499984740745262"/>
      </left>
      <right/>
      <top/>
      <bottom/>
      <diagonal/>
    </border>
    <border>
      <left/>
      <right style="medium">
        <color theme="0"/>
      </right>
      <top/>
      <bottom/>
      <diagonal/>
    </border>
    <border>
      <left style="medium">
        <color theme="0"/>
      </left>
      <right/>
      <top/>
      <bottom/>
      <diagonal/>
    </border>
    <border>
      <left/>
      <right/>
      <top/>
      <bottom style="thick">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ck">
        <color theme="0"/>
      </right>
      <top/>
      <bottom style="thick">
        <color theme="0"/>
      </bottom>
      <diagonal/>
    </border>
    <border>
      <left/>
      <right style="thick">
        <color theme="0"/>
      </right>
      <top/>
      <bottom style="thin">
        <color theme="0"/>
      </bottom>
      <diagonal/>
    </border>
    <border>
      <left/>
      <right/>
      <top/>
      <bottom style="thin">
        <color theme="0"/>
      </bottom>
      <diagonal/>
    </border>
    <border>
      <left/>
      <right style="thick">
        <color theme="0"/>
      </right>
      <top style="thin">
        <color theme="0"/>
      </top>
      <bottom style="thin">
        <color theme="0"/>
      </bottom>
      <diagonal/>
    </border>
    <border>
      <left/>
      <right/>
      <top style="thin">
        <color theme="0"/>
      </top>
      <bottom style="thin">
        <color theme="0"/>
      </bottom>
      <diagonal/>
    </border>
    <border>
      <left/>
      <right/>
      <top style="thin">
        <color indexed="64"/>
      </top>
      <bottom style="thin">
        <color indexed="64"/>
      </bottom>
      <diagonal/>
    </border>
    <border>
      <left/>
      <right style="medium">
        <color theme="0" tint="-0.499984740745262"/>
      </right>
      <top/>
      <bottom style="medium">
        <color theme="0"/>
      </bottom>
      <diagonal/>
    </border>
    <border>
      <left style="medium">
        <color theme="0" tint="-0.499984740745262"/>
      </left>
      <right/>
      <top/>
      <bottom style="medium">
        <color theme="0"/>
      </bottom>
      <diagonal/>
    </border>
    <border>
      <left/>
      <right/>
      <top/>
      <bottom style="medium">
        <color theme="0"/>
      </bottom>
      <diagonal/>
    </border>
    <border>
      <left/>
      <right style="medium">
        <color theme="0" tint="-0.499984740745262"/>
      </right>
      <top style="medium">
        <color theme="0"/>
      </top>
      <bottom style="medium">
        <color theme="0"/>
      </bottom>
      <diagonal/>
    </border>
    <border>
      <left/>
      <right/>
      <top style="medium">
        <color theme="0"/>
      </top>
      <bottom style="medium">
        <color theme="0"/>
      </bottom>
      <diagonal/>
    </border>
    <border>
      <left style="medium">
        <color theme="0" tint="-0.499984740745262"/>
      </left>
      <right/>
      <top style="medium">
        <color theme="0"/>
      </top>
      <bottom style="medium">
        <color theme="0"/>
      </bottom>
      <diagonal/>
    </border>
    <border diagonalUp="1" diagonalDown="1">
      <left/>
      <right/>
      <top/>
      <bottom/>
      <diagonal style="thin">
        <color auto="1"/>
      </diagonal>
    </border>
    <border>
      <left style="medium">
        <color indexed="64"/>
      </left>
      <right/>
      <top/>
      <bottom style="thick">
        <color theme="0"/>
      </bottom>
      <diagonal/>
    </border>
    <border>
      <left/>
      <right style="medium">
        <color indexed="64"/>
      </right>
      <top/>
      <bottom style="thick">
        <color theme="0"/>
      </bottom>
      <diagonal/>
    </border>
    <border diagonalUp="1" diagonalDown="1">
      <left style="medium">
        <color indexed="64"/>
      </left>
      <right/>
      <top/>
      <bottom style="thick">
        <color theme="0"/>
      </bottom>
      <diagonal style="thin">
        <color auto="1"/>
      </diagonal>
    </border>
    <border diagonalUp="1" diagonalDown="1">
      <left/>
      <right style="medium">
        <color indexed="64"/>
      </right>
      <top/>
      <bottom style="thick">
        <color theme="0"/>
      </bottom>
      <diagonal style="thin">
        <color auto="1"/>
      </diagonal>
    </border>
    <border diagonalUp="1" diagonalDown="1">
      <left style="medium">
        <color indexed="64"/>
      </left>
      <right/>
      <top/>
      <bottom/>
      <diagonal style="thin">
        <color auto="1"/>
      </diagonal>
    </border>
    <border diagonalUp="1" diagonalDown="1">
      <left/>
      <right style="medium">
        <color indexed="64"/>
      </right>
      <top/>
      <bottom/>
      <diagonal style="thin">
        <color auto="1"/>
      </diagonal>
    </border>
    <border diagonalUp="1" diagonalDown="1">
      <left style="medium">
        <color indexed="64"/>
      </left>
      <right/>
      <top/>
      <bottom style="medium">
        <color indexed="64"/>
      </bottom>
      <diagonal style="thin">
        <color auto="1"/>
      </diagonal>
    </border>
    <border>
      <left style="medium">
        <color indexed="64"/>
      </left>
      <right style="medium">
        <color theme="0"/>
      </right>
      <top/>
      <bottom/>
      <diagonal/>
    </border>
    <border diagonalUp="1" diagonalDown="1">
      <left/>
      <right/>
      <top/>
      <bottom style="medium">
        <color indexed="64"/>
      </bottom>
      <diagonal style="thin">
        <color auto="1"/>
      </diagonal>
    </border>
    <border>
      <left/>
      <right style="thick">
        <color theme="0"/>
      </right>
      <top/>
      <bottom/>
      <diagonal/>
    </border>
    <border>
      <left style="thick">
        <color theme="0"/>
      </left>
      <right/>
      <top/>
      <bottom style="thin">
        <color theme="0"/>
      </bottom>
      <diagonal/>
    </border>
    <border>
      <left style="thick">
        <color theme="0"/>
      </left>
      <right/>
      <top style="thin">
        <color theme="0"/>
      </top>
      <bottom style="thin">
        <color theme="0"/>
      </bottom>
      <diagonal/>
    </border>
    <border>
      <left style="thick">
        <color theme="0"/>
      </left>
      <right/>
      <top style="thin">
        <color theme="0"/>
      </top>
      <bottom style="thick">
        <color theme="0"/>
      </bottom>
      <diagonal/>
    </border>
    <border>
      <left/>
      <right/>
      <top style="thin">
        <color theme="0"/>
      </top>
      <bottom style="thick">
        <color theme="0"/>
      </bottom>
      <diagonal/>
    </border>
    <border>
      <left/>
      <right style="thick">
        <color theme="0"/>
      </right>
      <top style="thick">
        <color theme="0"/>
      </top>
      <bottom/>
      <diagonal/>
    </border>
    <border>
      <left style="thin">
        <color indexed="64"/>
      </left>
      <right style="thin">
        <color indexed="64"/>
      </right>
      <top/>
      <bottom style="thin">
        <color indexed="64"/>
      </bottom>
      <diagonal/>
    </border>
    <border>
      <left/>
      <right/>
      <top style="thick">
        <color theme="0"/>
      </top>
      <bottom style="thin">
        <color theme="0"/>
      </bottom>
      <diagonal/>
    </border>
    <border>
      <left/>
      <right/>
      <top style="thin">
        <color theme="0"/>
      </top>
      <bottom/>
      <diagonal/>
    </border>
  </borders>
  <cellStyleXfs count="3">
    <xf numFmtId="0" fontId="0" fillId="0" borderId="0"/>
    <xf numFmtId="0" fontId="38" fillId="0" borderId="0" applyNumberFormat="0" applyFill="0" applyBorder="0" applyAlignment="0" applyProtection="0"/>
    <xf numFmtId="0" fontId="20" fillId="0" borderId="0"/>
  </cellStyleXfs>
  <cellXfs count="445">
    <xf numFmtId="0" fontId="0" fillId="0" borderId="0" xfId="0"/>
    <xf numFmtId="0" fontId="1" fillId="0" borderId="0" xfId="0" applyFont="1"/>
    <xf numFmtId="0" fontId="1" fillId="0" borderId="0" xfId="0" applyFont="1" applyAlignment="1">
      <alignment vertical="center"/>
    </xf>
    <xf numFmtId="0" fontId="5" fillId="0" borderId="0" xfId="0" applyFont="1" applyAlignment="1">
      <alignment horizontal="center"/>
    </xf>
    <xf numFmtId="0" fontId="6" fillId="10" borderId="0" xfId="0" applyFont="1" applyFill="1"/>
    <xf numFmtId="0" fontId="7" fillId="10" borderId="0" xfId="0" applyFont="1" applyFill="1"/>
    <xf numFmtId="0" fontId="9" fillId="10" borderId="32" xfId="0" applyFont="1" applyFill="1" applyBorder="1"/>
    <xf numFmtId="0" fontId="9" fillId="0" borderId="32" xfId="0" applyFont="1" applyBorder="1"/>
    <xf numFmtId="0" fontId="9" fillId="11" borderId="32" xfId="0" applyFont="1" applyFill="1" applyBorder="1"/>
    <xf numFmtId="0" fontId="9" fillId="10" borderId="33" xfId="0" applyFont="1" applyFill="1" applyBorder="1"/>
    <xf numFmtId="0" fontId="9" fillId="0" borderId="33" xfId="0" applyFont="1" applyBorder="1"/>
    <xf numFmtId="0" fontId="6" fillId="10" borderId="33" xfId="0" applyFont="1" applyFill="1" applyBorder="1"/>
    <xf numFmtId="0" fontId="6" fillId="12" borderId="33" xfId="0" applyFont="1" applyFill="1" applyBorder="1"/>
    <xf numFmtId="0" fontId="6" fillId="13" borderId="33" xfId="0" applyFont="1" applyFill="1" applyBorder="1"/>
    <xf numFmtId="0" fontId="6" fillId="9" borderId="33" xfId="0" applyFont="1" applyFill="1" applyBorder="1"/>
    <xf numFmtId="0" fontId="6" fillId="14" borderId="33" xfId="0" applyFont="1" applyFill="1" applyBorder="1"/>
    <xf numFmtId="0" fontId="6" fillId="0" borderId="33" xfId="0" applyFont="1" applyBorder="1"/>
    <xf numFmtId="0" fontId="8" fillId="13" borderId="33" xfId="0" applyFont="1" applyFill="1" applyBorder="1" applyAlignment="1">
      <alignment horizontal="center"/>
    </xf>
    <xf numFmtId="0" fontId="8" fillId="10" borderId="33" xfId="0" applyFont="1" applyFill="1" applyBorder="1"/>
    <xf numFmtId="0" fontId="5" fillId="0" borderId="0" xfId="0" applyFont="1"/>
    <xf numFmtId="2" fontId="0" fillId="0" borderId="0" xfId="0" applyNumberFormat="1"/>
    <xf numFmtId="0" fontId="0" fillId="16" borderId="0" xfId="0" applyFill="1"/>
    <xf numFmtId="0" fontId="1" fillId="16" borderId="0" xfId="0" applyFont="1" applyFill="1"/>
    <xf numFmtId="0" fontId="0" fillId="16" borderId="0" xfId="0" applyFill="1" applyAlignment="1">
      <alignment horizontal="center"/>
    </xf>
    <xf numFmtId="0" fontId="12" fillId="16" borderId="0" xfId="0" applyFont="1" applyFill="1"/>
    <xf numFmtId="0" fontId="0" fillId="0" borderId="0" xfId="0" applyAlignment="1">
      <alignment horizontal="right"/>
    </xf>
    <xf numFmtId="0" fontId="14" fillId="16" borderId="0" xfId="0" applyFont="1" applyFill="1" applyAlignment="1">
      <alignment horizontal="center"/>
    </xf>
    <xf numFmtId="0" fontId="0" fillId="16" borderId="0" xfId="0" applyFill="1" applyAlignment="1">
      <alignment horizontal="left"/>
    </xf>
    <xf numFmtId="0" fontId="15" fillId="0" borderId="0" xfId="0" applyFont="1" applyAlignment="1">
      <alignment horizontal="center"/>
    </xf>
    <xf numFmtId="0" fontId="16" fillId="0" borderId="0" xfId="0" applyFont="1"/>
    <xf numFmtId="0" fontId="16" fillId="16" borderId="0" xfId="0" applyFont="1" applyFill="1"/>
    <xf numFmtId="0" fontId="16" fillId="16" borderId="0" xfId="0" applyFont="1" applyFill="1" applyAlignment="1">
      <alignment horizontal="left"/>
    </xf>
    <xf numFmtId="0" fontId="5" fillId="16" borderId="0" xfId="0" applyFont="1" applyFill="1"/>
    <xf numFmtId="0" fontId="7" fillId="16" borderId="0" xfId="0" applyFont="1" applyFill="1"/>
    <xf numFmtId="0" fontId="17" fillId="16" borderId="0" xfId="0" applyFont="1" applyFill="1" applyAlignment="1">
      <alignment horizontal="left"/>
    </xf>
    <xf numFmtId="0" fontId="0" fillId="16" borderId="0" xfId="0" applyFill="1" applyAlignment="1">
      <alignment horizontal="right"/>
    </xf>
    <xf numFmtId="0" fontId="1" fillId="0" borderId="31" xfId="0" applyFont="1" applyBorder="1" applyAlignment="1">
      <alignment horizontal="center"/>
    </xf>
    <xf numFmtId="0" fontId="5" fillId="0" borderId="31" xfId="0" applyFont="1" applyBorder="1"/>
    <xf numFmtId="0" fontId="0" fillId="0" borderId="31" xfId="0" applyBorder="1"/>
    <xf numFmtId="0" fontId="0" fillId="2" borderId="0" xfId="0" applyFill="1"/>
    <xf numFmtId="0" fontId="0" fillId="0" borderId="43" xfId="0" applyBorder="1"/>
    <xf numFmtId="0" fontId="0" fillId="0" borderId="44" xfId="0" applyBorder="1"/>
    <xf numFmtId="0" fontId="0" fillId="0" borderId="45" xfId="0" applyBorder="1"/>
    <xf numFmtId="0" fontId="0" fillId="0" borderId="46" xfId="0" applyBorder="1" applyAlignment="1">
      <alignment horizontal="center"/>
    </xf>
    <xf numFmtId="0" fontId="0" fillId="0" borderId="46" xfId="0" applyBorder="1"/>
    <xf numFmtId="0" fontId="0" fillId="0" borderId="46" xfId="0" applyBorder="1" applyAlignment="1">
      <alignment horizontal="left" vertical="top"/>
    </xf>
    <xf numFmtId="0" fontId="0" fillId="0" borderId="47" xfId="0" applyBorder="1"/>
    <xf numFmtId="49" fontId="0" fillId="0" borderId="0" xfId="0" applyNumberFormat="1"/>
    <xf numFmtId="2" fontId="0" fillId="16" borderId="0" xfId="0" applyNumberFormat="1" applyFill="1" applyAlignment="1">
      <alignment horizontal="center"/>
    </xf>
    <xf numFmtId="1" fontId="0" fillId="16" borderId="0" xfId="0" applyNumberFormat="1" applyFill="1" applyAlignment="1">
      <alignment horizontal="center"/>
    </xf>
    <xf numFmtId="164" fontId="0" fillId="16" borderId="0" xfId="0" applyNumberFormat="1" applyFill="1" applyAlignment="1">
      <alignment horizontal="center"/>
    </xf>
    <xf numFmtId="0" fontId="23" fillId="0" borderId="0" xfId="0" applyFont="1"/>
    <xf numFmtId="0" fontId="24" fillId="0" borderId="0" xfId="0" applyFont="1"/>
    <xf numFmtId="0" fontId="25" fillId="0" borderId="0" xfId="0" applyFont="1"/>
    <xf numFmtId="0" fontId="26" fillId="15" borderId="48" xfId="0" applyFont="1" applyFill="1" applyBorder="1"/>
    <xf numFmtId="0" fontId="26" fillId="15" borderId="39" xfId="0" applyFont="1" applyFill="1" applyBorder="1"/>
    <xf numFmtId="0" fontId="24" fillId="15" borderId="39" xfId="0" applyFont="1" applyFill="1" applyBorder="1"/>
    <xf numFmtId="0" fontId="24" fillId="17" borderId="49" xfId="0" applyFont="1" applyFill="1" applyBorder="1"/>
    <xf numFmtId="0" fontId="24" fillId="17" borderId="50" xfId="0" applyFont="1" applyFill="1" applyBorder="1"/>
    <xf numFmtId="0" fontId="27" fillId="17" borderId="51" xfId="0" applyFont="1" applyFill="1" applyBorder="1" applyAlignment="1">
      <alignment wrapText="1"/>
    </xf>
    <xf numFmtId="0" fontId="24" fillId="17" borderId="52" xfId="0" applyFont="1" applyFill="1" applyBorder="1"/>
    <xf numFmtId="0" fontId="24" fillId="17" borderId="51" xfId="0" applyFont="1" applyFill="1" applyBorder="1"/>
    <xf numFmtId="0" fontId="30" fillId="0" borderId="0" xfId="0" applyFont="1"/>
    <xf numFmtId="0" fontId="31" fillId="0" borderId="0" xfId="0" applyFont="1"/>
    <xf numFmtId="0" fontId="32" fillId="0" borderId="0" xfId="0" applyFont="1"/>
    <xf numFmtId="0" fontId="26" fillId="15" borderId="39" xfId="0" applyFont="1" applyFill="1" applyBorder="1" applyAlignment="1">
      <alignment wrapText="1"/>
    </xf>
    <xf numFmtId="1" fontId="24" fillId="17" borderId="50" xfId="0" applyNumberFormat="1" applyFont="1" applyFill="1" applyBorder="1" applyAlignment="1">
      <alignment horizontal="left"/>
    </xf>
    <xf numFmtId="1" fontId="24" fillId="17" borderId="52" xfId="0" applyNumberFormat="1" applyFont="1" applyFill="1" applyBorder="1" applyAlignment="1">
      <alignment horizontal="left"/>
    </xf>
    <xf numFmtId="0" fontId="33" fillId="16" borderId="0" xfId="0" applyFont="1" applyFill="1"/>
    <xf numFmtId="0" fontId="34" fillId="0" borderId="0" xfId="0" applyFont="1"/>
    <xf numFmtId="0" fontId="34" fillId="16" borderId="0" xfId="0" applyFont="1" applyFill="1"/>
    <xf numFmtId="0" fontId="20" fillId="0" borderId="0" xfId="0" applyFont="1"/>
    <xf numFmtId="0" fontId="13" fillId="0" borderId="0" xfId="0" applyFont="1"/>
    <xf numFmtId="3" fontId="0" fillId="16" borderId="0" xfId="0" applyNumberFormat="1" applyFill="1"/>
    <xf numFmtId="4" fontId="0" fillId="16" borderId="0" xfId="0" applyNumberFormat="1" applyFill="1"/>
    <xf numFmtId="0" fontId="0" fillId="0" borderId="0" xfId="0" applyAlignment="1">
      <alignment vertical="center"/>
    </xf>
    <xf numFmtId="3" fontId="0" fillId="17" borderId="0" xfId="0" applyNumberFormat="1" applyFill="1"/>
    <xf numFmtId="0" fontId="0" fillId="17" borderId="0" xfId="0" applyFill="1"/>
    <xf numFmtId="0" fontId="5" fillId="17" borderId="0" xfId="0" applyFont="1" applyFill="1"/>
    <xf numFmtId="3" fontId="36" fillId="17" borderId="0" xfId="0" applyNumberFormat="1" applyFont="1" applyFill="1"/>
    <xf numFmtId="0" fontId="36" fillId="17" borderId="0" xfId="0" applyFont="1" applyFill="1"/>
    <xf numFmtId="0" fontId="37" fillId="17" borderId="0" xfId="0" applyFont="1" applyFill="1"/>
    <xf numFmtId="3" fontId="36" fillId="16" borderId="0" xfId="0" applyNumberFormat="1" applyFont="1" applyFill="1"/>
    <xf numFmtId="4" fontId="36" fillId="16" borderId="0" xfId="0" applyNumberFormat="1" applyFont="1" applyFill="1"/>
    <xf numFmtId="0" fontId="36" fillId="16" borderId="0" xfId="0" applyFont="1" applyFill="1"/>
    <xf numFmtId="0" fontId="41" fillId="16" borderId="0" xfId="0" applyFont="1" applyFill="1" applyAlignment="1">
      <alignment horizontal="right"/>
    </xf>
    <xf numFmtId="0" fontId="34" fillId="16" borderId="37" xfId="0" applyFont="1" applyFill="1" applyBorder="1" applyAlignment="1">
      <alignment horizontal="right"/>
    </xf>
    <xf numFmtId="0" fontId="34" fillId="16" borderId="0" xfId="0" applyFont="1" applyFill="1" applyAlignment="1">
      <alignment horizontal="right"/>
    </xf>
    <xf numFmtId="0" fontId="42" fillId="16" borderId="31" xfId="0" applyFont="1" applyFill="1" applyBorder="1"/>
    <xf numFmtId="0" fontId="42" fillId="16" borderId="31" xfId="0" applyFont="1" applyFill="1" applyBorder="1" applyAlignment="1">
      <alignment wrapText="1"/>
    </xf>
    <xf numFmtId="0" fontId="42" fillId="17" borderId="31" xfId="0" applyFont="1" applyFill="1" applyBorder="1"/>
    <xf numFmtId="0" fontId="42" fillId="17" borderId="31" xfId="0" applyFont="1" applyFill="1" applyBorder="1" applyAlignment="1">
      <alignment wrapText="1"/>
    </xf>
    <xf numFmtId="0" fontId="42" fillId="16" borderId="0" xfId="0" applyFont="1" applyFill="1"/>
    <xf numFmtId="0" fontId="42" fillId="0" borderId="0" xfId="0" applyFont="1" applyAlignment="1">
      <alignment wrapText="1"/>
    </xf>
    <xf numFmtId="0" fontId="36" fillId="0" borderId="0" xfId="0" applyFont="1"/>
    <xf numFmtId="0" fontId="43" fillId="15" borderId="0" xfId="0" applyFont="1" applyFill="1" applyAlignment="1">
      <alignment horizontal="center" vertical="center"/>
    </xf>
    <xf numFmtId="0" fontId="40" fillId="16" borderId="0" xfId="0" applyFont="1" applyFill="1"/>
    <xf numFmtId="0" fontId="40" fillId="16" borderId="39" xfId="0" applyFont="1" applyFill="1" applyBorder="1"/>
    <xf numFmtId="0" fontId="39" fillId="16" borderId="0" xfId="0" applyFont="1" applyFill="1"/>
    <xf numFmtId="0" fontId="40" fillId="16" borderId="0" xfId="0" applyFont="1" applyFill="1" applyAlignment="1">
      <alignment horizontal="center"/>
    </xf>
    <xf numFmtId="0" fontId="0" fillId="16" borderId="53" xfId="0" applyFill="1" applyBorder="1"/>
    <xf numFmtId="1" fontId="1" fillId="16" borderId="0" xfId="0" applyNumberFormat="1" applyFont="1" applyFill="1"/>
    <xf numFmtId="1" fontId="0" fillId="0" borderId="0" xfId="0" applyNumberFormat="1"/>
    <xf numFmtId="0" fontId="0" fillId="18" borderId="0" xfId="0" applyFill="1"/>
    <xf numFmtId="49" fontId="0" fillId="18" borderId="0" xfId="0" applyNumberFormat="1" applyFill="1"/>
    <xf numFmtId="0" fontId="45" fillId="0" borderId="0" xfId="0" applyFont="1"/>
    <xf numFmtId="0" fontId="26" fillId="19" borderId="48" xfId="0" applyFont="1" applyFill="1" applyBorder="1"/>
    <xf numFmtId="0" fontId="24" fillId="20" borderId="49" xfId="0" applyFont="1" applyFill="1" applyBorder="1"/>
    <xf numFmtId="0" fontId="27" fillId="20" borderId="51" xfId="0" applyFont="1" applyFill="1" applyBorder="1" applyAlignment="1">
      <alignment wrapText="1"/>
    </xf>
    <xf numFmtId="0" fontId="24" fillId="20" borderId="51" xfId="0" applyFont="1" applyFill="1" applyBorder="1"/>
    <xf numFmtId="0" fontId="24" fillId="0" borderId="51" xfId="0" applyFont="1" applyBorder="1"/>
    <xf numFmtId="0" fontId="27" fillId="0" borderId="51" xfId="0" applyFont="1" applyBorder="1" applyAlignment="1">
      <alignment wrapText="1"/>
    </xf>
    <xf numFmtId="0" fontId="43" fillId="15" borderId="0" xfId="0" applyFont="1" applyFill="1" applyAlignment="1">
      <alignment vertical="center"/>
    </xf>
    <xf numFmtId="0" fontId="18" fillId="8" borderId="57" xfId="0" applyFont="1" applyFill="1" applyBorder="1" applyAlignment="1">
      <alignment vertical="top"/>
    </xf>
    <xf numFmtId="0" fontId="5" fillId="8" borderId="58" xfId="0" applyFont="1" applyFill="1" applyBorder="1" applyAlignment="1">
      <alignment vertical="top" wrapText="1"/>
    </xf>
    <xf numFmtId="0" fontId="51" fillId="8" borderId="58" xfId="0" applyFont="1" applyFill="1" applyBorder="1" applyAlignment="1">
      <alignment horizontal="left" vertical="top" wrapText="1"/>
    </xf>
    <xf numFmtId="0" fontId="18" fillId="8" borderId="57" xfId="0" applyFont="1" applyFill="1" applyBorder="1" applyAlignment="1">
      <alignment vertical="top" wrapText="1"/>
    </xf>
    <xf numFmtId="0" fontId="5" fillId="8" borderId="59" xfId="0" applyFont="1" applyFill="1" applyBorder="1" applyAlignment="1">
      <alignment vertical="top" wrapText="1"/>
    </xf>
    <xf numFmtId="0" fontId="5" fillId="8" borderId="58" xfId="0" applyFont="1" applyFill="1" applyBorder="1" applyAlignment="1">
      <alignment horizontal="left" vertical="top" wrapText="1"/>
    </xf>
    <xf numFmtId="0" fontId="47" fillId="8" borderId="59" xfId="0" quotePrefix="1" applyFont="1" applyFill="1" applyBorder="1" applyAlignment="1">
      <alignment vertical="top" wrapText="1"/>
    </xf>
    <xf numFmtId="0" fontId="5" fillId="8" borderId="59" xfId="0" quotePrefix="1" applyFont="1" applyFill="1" applyBorder="1" applyAlignment="1">
      <alignment vertical="top" wrapText="1"/>
    </xf>
    <xf numFmtId="0" fontId="47" fillId="8" borderId="58" xfId="0" quotePrefix="1" applyFont="1" applyFill="1" applyBorder="1" applyAlignment="1">
      <alignment vertical="top" wrapText="1"/>
    </xf>
    <xf numFmtId="0" fontId="5" fillId="8" borderId="58" xfId="0" applyFont="1" applyFill="1" applyBorder="1" applyAlignment="1">
      <alignment vertical="top"/>
    </xf>
    <xf numFmtId="0" fontId="5" fillId="0" borderId="0" xfId="0" applyFont="1" applyAlignment="1">
      <alignment vertical="top"/>
    </xf>
    <xf numFmtId="0" fontId="5" fillId="8" borderId="54" xfId="0" applyFont="1" applyFill="1" applyBorder="1" applyAlignment="1">
      <alignment vertical="top"/>
    </xf>
    <xf numFmtId="0" fontId="18" fillId="18" borderId="55" xfId="0" applyFont="1" applyFill="1" applyBorder="1" applyAlignment="1">
      <alignment vertical="top"/>
    </xf>
    <xf numFmtId="0" fontId="18" fillId="18" borderId="56" xfId="0" applyFont="1" applyFill="1" applyBorder="1" applyAlignment="1">
      <alignment vertical="top"/>
    </xf>
    <xf numFmtId="0" fontId="5" fillId="21" borderId="58" xfId="0" applyFont="1" applyFill="1" applyBorder="1" applyAlignment="1">
      <alignment vertical="top"/>
    </xf>
    <xf numFmtId="0" fontId="5" fillId="9" borderId="58" xfId="0" applyFont="1" applyFill="1" applyBorder="1" applyAlignment="1">
      <alignment vertical="top"/>
    </xf>
    <xf numFmtId="0" fontId="5" fillId="8" borderId="58" xfId="0" quotePrefix="1" applyFont="1" applyFill="1" applyBorder="1" applyAlignment="1">
      <alignment vertical="top" wrapText="1"/>
    </xf>
    <xf numFmtId="0" fontId="5" fillId="8" borderId="0" xfId="0" applyFont="1" applyFill="1" applyAlignment="1">
      <alignment vertical="top" wrapText="1"/>
    </xf>
    <xf numFmtId="0" fontId="5" fillId="8" borderId="0" xfId="0" applyFont="1" applyFill="1" applyAlignment="1">
      <alignment vertical="top"/>
    </xf>
    <xf numFmtId="0" fontId="0" fillId="15" borderId="0" xfId="0" applyFill="1" applyAlignment="1">
      <alignment vertical="center"/>
    </xf>
    <xf numFmtId="0" fontId="38" fillId="0" borderId="0" xfId="1"/>
    <xf numFmtId="0" fontId="42" fillId="16" borderId="31" xfId="0" applyFont="1" applyFill="1" applyBorder="1" applyAlignment="1">
      <alignment horizontal="center" wrapText="1"/>
    </xf>
    <xf numFmtId="2" fontId="5" fillId="16" borderId="0" xfId="0" applyNumberFormat="1" applyFont="1" applyFill="1" applyAlignment="1">
      <alignment horizontal="center"/>
    </xf>
    <xf numFmtId="0" fontId="34" fillId="16" borderId="31" xfId="0" applyFont="1" applyFill="1" applyBorder="1" applyAlignment="1">
      <alignment horizontal="center" wrapText="1"/>
    </xf>
    <xf numFmtId="0" fontId="61" fillId="16" borderId="0" xfId="0" applyFont="1" applyFill="1" applyAlignment="1">
      <alignment horizontal="right"/>
    </xf>
    <xf numFmtId="0" fontId="61" fillId="16" borderId="0" xfId="0" applyFont="1" applyFill="1"/>
    <xf numFmtId="0" fontId="35" fillId="16" borderId="0" xfId="0" applyFont="1" applyFill="1"/>
    <xf numFmtId="0" fontId="35" fillId="17" borderId="0" xfId="0" applyFont="1" applyFill="1"/>
    <xf numFmtId="0" fontId="35" fillId="0" borderId="0" xfId="0" applyFont="1"/>
    <xf numFmtId="0" fontId="35" fillId="17" borderId="0" xfId="0" applyFont="1" applyFill="1" applyAlignment="1">
      <alignment horizontal="left"/>
    </xf>
    <xf numFmtId="0" fontId="35" fillId="17" borderId="0" xfId="0" applyFont="1" applyFill="1" applyAlignment="1">
      <alignment horizontal="center"/>
    </xf>
    <xf numFmtId="0" fontId="35" fillId="16" borderId="0" xfId="0" applyFont="1" applyFill="1" applyAlignment="1">
      <alignment horizontal="left"/>
    </xf>
    <xf numFmtId="0" fontId="43" fillId="0" borderId="0" xfId="0" applyFont="1" applyAlignment="1">
      <alignment horizontal="center" vertical="center"/>
    </xf>
    <xf numFmtId="1" fontId="5" fillId="18" borderId="0" xfId="0" applyNumberFormat="1" applyFont="1" applyFill="1"/>
    <xf numFmtId="0" fontId="26" fillId="19" borderId="39" xfId="0" applyFont="1" applyFill="1" applyBorder="1"/>
    <xf numFmtId="0" fontId="24" fillId="20" borderId="50" xfId="0" applyFont="1" applyFill="1" applyBorder="1"/>
    <xf numFmtId="0" fontId="27" fillId="20" borderId="52" xfId="0" applyFont="1" applyFill="1" applyBorder="1" applyAlignment="1">
      <alignment wrapText="1"/>
    </xf>
    <xf numFmtId="0" fontId="24" fillId="20" borderId="52" xfId="0" applyFont="1" applyFill="1" applyBorder="1"/>
    <xf numFmtId="0" fontId="27" fillId="0" borderId="0" xfId="0" applyFont="1" applyAlignment="1">
      <alignment wrapText="1"/>
    </xf>
    <xf numFmtId="0" fontId="62" fillId="0" borderId="0" xfId="0" applyFont="1"/>
    <xf numFmtId="0" fontId="27" fillId="0" borderId="0" xfId="0" applyFont="1"/>
    <xf numFmtId="0" fontId="63" fillId="0" borderId="0" xfId="0" applyFont="1"/>
    <xf numFmtId="0" fontId="0" fillId="18" borderId="0" xfId="0" applyFill="1" applyAlignment="1">
      <alignment wrapText="1"/>
    </xf>
    <xf numFmtId="0" fontId="33" fillId="16" borderId="37" xfId="0" applyFont="1" applyFill="1" applyBorder="1" applyAlignment="1">
      <alignment horizontal="right"/>
    </xf>
    <xf numFmtId="0" fontId="0" fillId="16" borderId="60" xfId="0" applyFill="1" applyBorder="1"/>
    <xf numFmtId="0" fontId="61" fillId="16" borderId="40" xfId="0" applyFont="1" applyFill="1" applyBorder="1"/>
    <xf numFmtId="0" fontId="0" fillId="16" borderId="42" xfId="0" applyFill="1" applyBorder="1"/>
    <xf numFmtId="0" fontId="39" fillId="16" borderId="44" xfId="0" applyFont="1" applyFill="1" applyBorder="1"/>
    <xf numFmtId="0" fontId="40" fillId="16" borderId="61" xfId="0" applyFont="1" applyFill="1" applyBorder="1"/>
    <xf numFmtId="0" fontId="40" fillId="16" borderId="62" xfId="0" applyFont="1" applyFill="1" applyBorder="1"/>
    <xf numFmtId="0" fontId="0" fillId="16" borderId="43" xfId="0" applyFill="1" applyBorder="1" applyAlignment="1">
      <alignment horizontal="left"/>
    </xf>
    <xf numFmtId="0" fontId="0" fillId="16" borderId="44" xfId="0" applyFill="1" applyBorder="1"/>
    <xf numFmtId="0" fontId="0" fillId="16" borderId="43" xfId="0" applyFill="1" applyBorder="1"/>
    <xf numFmtId="0" fontId="40" fillId="16" borderId="63" xfId="0" applyFont="1" applyFill="1" applyBorder="1"/>
    <xf numFmtId="0" fontId="40" fillId="16" borderId="64" xfId="0" applyFont="1" applyFill="1" applyBorder="1"/>
    <xf numFmtId="0" fontId="0" fillId="16" borderId="65" xfId="0" applyFill="1" applyBorder="1" applyAlignment="1">
      <alignment horizontal="left"/>
    </xf>
    <xf numFmtId="0" fontId="0" fillId="16" borderId="66" xfId="0" applyFill="1" applyBorder="1"/>
    <xf numFmtId="0" fontId="0" fillId="16" borderId="67" xfId="0" applyFill="1" applyBorder="1" applyAlignment="1">
      <alignment horizontal="left"/>
    </xf>
    <xf numFmtId="0" fontId="16" fillId="16" borderId="0" xfId="0" applyFont="1" applyFill="1" applyAlignment="1">
      <alignment vertical="center"/>
    </xf>
    <xf numFmtId="0" fontId="61" fillId="16" borderId="40" xfId="0" applyFont="1" applyFill="1" applyBorder="1" applyAlignment="1">
      <alignment horizontal="right"/>
    </xf>
    <xf numFmtId="0" fontId="0" fillId="16" borderId="41" xfId="0" applyFill="1" applyBorder="1" applyAlignment="1">
      <alignment horizontal="center"/>
    </xf>
    <xf numFmtId="0" fontId="16" fillId="16" borderId="42" xfId="0" applyFont="1" applyFill="1" applyBorder="1"/>
    <xf numFmtId="0" fontId="34" fillId="16" borderId="68" xfId="0" applyFont="1" applyFill="1" applyBorder="1" applyAlignment="1">
      <alignment horizontal="right"/>
    </xf>
    <xf numFmtId="0" fontId="16" fillId="16" borderId="44" xfId="0" applyFont="1" applyFill="1" applyBorder="1" applyAlignment="1">
      <alignment vertical="center"/>
    </xf>
    <xf numFmtId="0" fontId="34" fillId="16" borderId="43" xfId="0" applyFont="1" applyFill="1" applyBorder="1" applyAlignment="1">
      <alignment horizontal="right"/>
    </xf>
    <xf numFmtId="0" fontId="34" fillId="16" borderId="45" xfId="0" applyFont="1" applyFill="1" applyBorder="1" applyAlignment="1">
      <alignment horizontal="right"/>
    </xf>
    <xf numFmtId="1" fontId="0" fillId="16" borderId="46" xfId="0" applyNumberFormat="1" applyFill="1" applyBorder="1" applyAlignment="1">
      <alignment horizontal="center"/>
    </xf>
    <xf numFmtId="0" fontId="16" fillId="16" borderId="47" xfId="0" applyFont="1" applyFill="1" applyBorder="1" applyAlignment="1">
      <alignment vertical="center"/>
    </xf>
    <xf numFmtId="0" fontId="0" fillId="16" borderId="41" xfId="0" applyFill="1" applyBorder="1" applyAlignment="1">
      <alignment horizontal="left"/>
    </xf>
    <xf numFmtId="2" fontId="0" fillId="16" borderId="46" xfId="0" applyNumberFormat="1" applyFill="1" applyBorder="1" applyAlignment="1">
      <alignment horizontal="center"/>
    </xf>
    <xf numFmtId="0" fontId="0" fillId="16" borderId="69" xfId="0" applyFill="1" applyBorder="1"/>
    <xf numFmtId="0" fontId="0" fillId="16" borderId="41" xfId="0" applyFill="1" applyBorder="1"/>
    <xf numFmtId="0" fontId="24" fillId="22" borderId="0" xfId="0" applyFont="1" applyFill="1"/>
    <xf numFmtId="0" fontId="64" fillId="0" borderId="0" xfId="0" applyFont="1"/>
    <xf numFmtId="0" fontId="65" fillId="0" borderId="0" xfId="0" applyFont="1"/>
    <xf numFmtId="0" fontId="26" fillId="22" borderId="0" xfId="0" applyFont="1" applyFill="1" applyAlignment="1">
      <alignment vertical="center"/>
    </xf>
    <xf numFmtId="0" fontId="26" fillId="0" borderId="0" xfId="0" applyFont="1" applyAlignment="1">
      <alignment vertical="center"/>
    </xf>
    <xf numFmtId="0" fontId="26" fillId="15" borderId="39" xfId="0" applyFont="1" applyFill="1" applyBorder="1" applyAlignment="1">
      <alignment vertical="center"/>
    </xf>
    <xf numFmtId="0" fontId="26" fillId="15" borderId="39" xfId="0" applyFont="1" applyFill="1" applyBorder="1" applyAlignment="1">
      <alignment horizontal="right" vertical="center"/>
    </xf>
    <xf numFmtId="0" fontId="24" fillId="17" borderId="71" xfId="0" applyFont="1" applyFill="1" applyBorder="1"/>
    <xf numFmtId="0" fontId="24" fillId="17" borderId="72" xfId="0" applyFont="1" applyFill="1" applyBorder="1"/>
    <xf numFmtId="0" fontId="27" fillId="17" borderId="72" xfId="0" applyFont="1" applyFill="1" applyBorder="1" applyAlignment="1">
      <alignment wrapText="1"/>
    </xf>
    <xf numFmtId="0" fontId="24" fillId="17" borderId="73" xfId="0" applyFont="1" applyFill="1" applyBorder="1"/>
    <xf numFmtId="0" fontId="24" fillId="17" borderId="74" xfId="0" applyFont="1" applyFill="1" applyBorder="1"/>
    <xf numFmtId="3" fontId="24" fillId="0" borderId="0" xfId="0" applyNumberFormat="1" applyFont="1"/>
    <xf numFmtId="0" fontId="0" fillId="22" borderId="0" xfId="0" applyFill="1"/>
    <xf numFmtId="0" fontId="68" fillId="0" borderId="0" xfId="0" applyFont="1"/>
    <xf numFmtId="0" fontId="26" fillId="15" borderId="39" xfId="0" applyFont="1" applyFill="1" applyBorder="1" applyAlignment="1">
      <alignment horizontal="right"/>
    </xf>
    <xf numFmtId="0" fontId="26" fillId="15" borderId="0" xfId="0" applyFont="1" applyFill="1"/>
    <xf numFmtId="0" fontId="26" fillId="15" borderId="0" xfId="0" applyFont="1" applyFill="1" applyAlignment="1">
      <alignment horizontal="right"/>
    </xf>
    <xf numFmtId="0" fontId="24" fillId="17" borderId="0" xfId="0" applyFont="1" applyFill="1"/>
    <xf numFmtId="0" fontId="24" fillId="17" borderId="0" xfId="0" applyFont="1" applyFill="1" applyAlignment="1">
      <alignment horizontal="right"/>
    </xf>
    <xf numFmtId="0" fontId="24" fillId="17" borderId="52" xfId="0" applyFont="1" applyFill="1" applyBorder="1" applyAlignment="1">
      <alignment horizontal="right"/>
    </xf>
    <xf numFmtId="0" fontId="0" fillId="0" borderId="0" xfId="0" applyAlignment="1">
      <alignment horizontal="left"/>
    </xf>
    <xf numFmtId="0" fontId="16" fillId="16" borderId="0" xfId="0" applyFont="1" applyFill="1" applyAlignment="1">
      <alignment horizontal="left" vertical="top" wrapText="1"/>
    </xf>
    <xf numFmtId="0" fontId="24" fillId="16" borderId="0" xfId="0" applyFont="1" applyFill="1"/>
    <xf numFmtId="0" fontId="35" fillId="16" borderId="39" xfId="0" applyFont="1" applyFill="1" applyBorder="1" applyAlignment="1">
      <alignment horizontal="right"/>
    </xf>
    <xf numFmtId="0" fontId="0" fillId="0" borderId="0" xfId="0" applyAlignment="1">
      <alignment horizontal="center"/>
    </xf>
    <xf numFmtId="0" fontId="1" fillId="0" borderId="0" xfId="0" applyFont="1" applyAlignment="1">
      <alignment horizontal="right"/>
    </xf>
    <xf numFmtId="0" fontId="1" fillId="0" borderId="0" xfId="0" applyFont="1" applyAlignment="1">
      <alignment horizontal="left"/>
    </xf>
    <xf numFmtId="0" fontId="0" fillId="0" borderId="32" xfId="0" applyBorder="1" applyAlignment="1">
      <alignment horizontal="left"/>
    </xf>
    <xf numFmtId="0" fontId="0" fillId="0" borderId="76" xfId="0" applyBorder="1" applyAlignment="1">
      <alignment horizontal="left"/>
    </xf>
    <xf numFmtId="0" fontId="24" fillId="22" borderId="0" xfId="2" applyFont="1" applyFill="1"/>
    <xf numFmtId="0" fontId="24" fillId="0" borderId="0" xfId="2" applyFont="1"/>
    <xf numFmtId="0" fontId="23" fillId="0" borderId="0" xfId="2" applyFont="1"/>
    <xf numFmtId="0" fontId="64" fillId="0" borderId="0" xfId="2" applyFont="1"/>
    <xf numFmtId="0" fontId="20" fillId="22" borderId="0" xfId="2" applyFill="1"/>
    <xf numFmtId="0" fontId="20" fillId="0" borderId="0" xfId="2"/>
    <xf numFmtId="0" fontId="26" fillId="15" borderId="39" xfId="2" applyFont="1" applyFill="1" applyBorder="1" applyAlignment="1">
      <alignment horizontal="left" vertical="center" wrapText="1"/>
    </xf>
    <xf numFmtId="0" fontId="75" fillId="15" borderId="39" xfId="2" applyFont="1" applyFill="1" applyBorder="1" applyAlignment="1">
      <alignment horizontal="justify" vertical="center" wrapText="1"/>
    </xf>
    <xf numFmtId="0" fontId="24" fillId="17" borderId="77" xfId="2" applyFont="1" applyFill="1" applyBorder="1" applyAlignment="1">
      <alignment horizontal="justify" vertical="center" wrapText="1"/>
    </xf>
    <xf numFmtId="0" fontId="24" fillId="17" borderId="52" xfId="2" applyFont="1" applyFill="1" applyBorder="1" applyAlignment="1">
      <alignment horizontal="justify" vertical="center" wrapText="1"/>
    </xf>
    <xf numFmtId="0" fontId="76" fillId="0" borderId="0" xfId="2" applyFont="1" applyAlignment="1">
      <alignment vertical="top" wrapText="1"/>
    </xf>
    <xf numFmtId="0" fontId="0" fillId="0" borderId="0" xfId="0" quotePrefix="1"/>
    <xf numFmtId="2" fontId="0" fillId="0" borderId="0" xfId="0" quotePrefix="1" applyNumberFormat="1" applyAlignment="1">
      <alignment wrapText="1"/>
    </xf>
    <xf numFmtId="0" fontId="35" fillId="16" borderId="39" xfId="0" applyFont="1" applyFill="1" applyBorder="1" applyAlignment="1">
      <alignment horizontal="center"/>
    </xf>
    <xf numFmtId="0" fontId="35" fillId="16" borderId="0" xfId="0" applyFont="1" applyFill="1" applyAlignment="1">
      <alignment horizontal="center"/>
    </xf>
    <xf numFmtId="0" fontId="16" fillId="16" borderId="0" xfId="0" applyFont="1" applyFill="1" applyAlignment="1">
      <alignment horizontal="left" vertical="center"/>
    </xf>
    <xf numFmtId="0" fontId="1" fillId="0" borderId="0" xfId="0" applyFont="1" applyAlignment="1">
      <alignment horizontal="center"/>
    </xf>
    <xf numFmtId="0" fontId="26" fillId="15" borderId="39" xfId="2" applyFont="1" applyFill="1" applyBorder="1" applyAlignment="1">
      <alignment horizontal="justify" vertical="center" wrapText="1"/>
    </xf>
    <xf numFmtId="11" fontId="63" fillId="0" borderId="0" xfId="0" applyNumberFormat="1" applyFont="1"/>
    <xf numFmtId="0" fontId="63" fillId="0" borderId="0" xfId="0" applyFont="1" applyAlignment="1">
      <alignment horizontal="right"/>
    </xf>
    <xf numFmtId="2" fontId="63" fillId="0" borderId="0" xfId="0" applyNumberFormat="1" applyFont="1"/>
    <xf numFmtId="165" fontId="63" fillId="0" borderId="0" xfId="0" applyNumberFormat="1" applyFont="1"/>
    <xf numFmtId="0" fontId="63" fillId="0" borderId="0" xfId="0" quotePrefix="1" applyFont="1"/>
    <xf numFmtId="0" fontId="63" fillId="9" borderId="0" xfId="0" applyFont="1" applyFill="1"/>
    <xf numFmtId="0" fontId="0" fillId="9" borderId="0" xfId="0" applyFill="1" applyAlignment="1">
      <alignment horizontal="center"/>
    </xf>
    <xf numFmtId="0" fontId="0" fillId="0" borderId="0" xfId="0" applyAlignment="1">
      <alignment wrapText="1"/>
    </xf>
    <xf numFmtId="0" fontId="1" fillId="26" borderId="0" xfId="0" applyFont="1" applyFill="1" applyAlignment="1">
      <alignment horizontal="right" vertical="center" wrapText="1"/>
    </xf>
    <xf numFmtId="0" fontId="1" fillId="26" borderId="0" xfId="0" applyFont="1" applyFill="1" applyAlignment="1">
      <alignment horizontal="center" vertical="center"/>
    </xf>
    <xf numFmtId="0" fontId="1" fillId="26" borderId="0" xfId="0" applyFont="1" applyFill="1" applyAlignment="1">
      <alignment horizontal="right" vertical="center"/>
    </xf>
    <xf numFmtId="0" fontId="7" fillId="0" borderId="0" xfId="0" applyFont="1"/>
    <xf numFmtId="0" fontId="82" fillId="0" borderId="0" xfId="1" applyFont="1"/>
    <xf numFmtId="0" fontId="80" fillId="9" borderId="0" xfId="0" applyFont="1" applyFill="1" applyAlignment="1">
      <alignment horizontal="center"/>
    </xf>
    <xf numFmtId="0" fontId="27" fillId="17" borderId="52" xfId="0" applyFont="1" applyFill="1" applyBorder="1"/>
    <xf numFmtId="2" fontId="63" fillId="17" borderId="52" xfId="0" applyNumberFormat="1" applyFont="1" applyFill="1" applyBorder="1"/>
    <xf numFmtId="1" fontId="27" fillId="17" borderId="52" xfId="0" applyNumberFormat="1" applyFont="1" applyFill="1" applyBorder="1"/>
    <xf numFmtId="0" fontId="27" fillId="17" borderId="50" xfId="0" applyFont="1" applyFill="1" applyBorder="1"/>
    <xf numFmtId="2" fontId="27" fillId="17" borderId="52" xfId="0" applyNumberFormat="1" applyFont="1" applyFill="1" applyBorder="1"/>
    <xf numFmtId="0" fontId="27" fillId="17" borderId="52" xfId="0" quotePrefix="1" applyFont="1" applyFill="1" applyBorder="1" applyAlignment="1">
      <alignment horizontal="right"/>
    </xf>
    <xf numFmtId="1" fontId="27" fillId="17" borderId="74" xfId="0" applyNumberFormat="1" applyFont="1" applyFill="1" applyBorder="1"/>
    <xf numFmtId="0" fontId="27" fillId="17" borderId="74" xfId="0" applyFont="1" applyFill="1" applyBorder="1"/>
    <xf numFmtId="2" fontId="27" fillId="17" borderId="50" xfId="0" applyNumberFormat="1" applyFont="1" applyFill="1" applyBorder="1"/>
    <xf numFmtId="1" fontId="63" fillId="17" borderId="52" xfId="0" applyNumberFormat="1" applyFont="1" applyFill="1" applyBorder="1"/>
    <xf numFmtId="0" fontId="0" fillId="9" borderId="0" xfId="0" applyFill="1"/>
    <xf numFmtId="0" fontId="1" fillId="27" borderId="0" xfId="0" applyFont="1" applyFill="1"/>
    <xf numFmtId="0" fontId="0" fillId="27" borderId="0" xfId="0" applyFill="1"/>
    <xf numFmtId="0" fontId="61" fillId="27" borderId="0" xfId="0" applyFont="1" applyFill="1" applyAlignment="1">
      <alignment horizontal="right"/>
    </xf>
    <xf numFmtId="0" fontId="40" fillId="27" borderId="0" xfId="0" applyFont="1" applyFill="1" applyAlignment="1">
      <alignment horizontal="center"/>
    </xf>
    <xf numFmtId="0" fontId="34" fillId="27" borderId="0" xfId="0" applyFont="1" applyFill="1"/>
    <xf numFmtId="0" fontId="80" fillId="0" borderId="0" xfId="0" applyFont="1"/>
    <xf numFmtId="2" fontId="0" fillId="0" borderId="0" xfId="0" applyNumberFormat="1" applyAlignment="1">
      <alignment horizontal="center"/>
    </xf>
    <xf numFmtId="0" fontId="35" fillId="16" borderId="0" xfId="0" applyFont="1" applyFill="1" applyAlignment="1">
      <alignment horizontal="right"/>
    </xf>
    <xf numFmtId="0" fontId="83" fillId="16" borderId="0" xfId="0" applyFont="1" applyFill="1"/>
    <xf numFmtId="0" fontId="20" fillId="16" borderId="0" xfId="0" applyFont="1" applyFill="1"/>
    <xf numFmtId="17" fontId="83" fillId="16" borderId="0" xfId="0" quotePrefix="1" applyNumberFormat="1" applyFont="1" applyFill="1"/>
    <xf numFmtId="0" fontId="35" fillId="0" borderId="0" xfId="0" applyFont="1" applyAlignment="1">
      <alignment horizontal="right"/>
    </xf>
    <xf numFmtId="17" fontId="84" fillId="0" borderId="0" xfId="0" applyNumberFormat="1" applyFont="1"/>
    <xf numFmtId="0" fontId="35" fillId="2" borderId="0" xfId="0" applyFont="1" applyFill="1" applyAlignment="1">
      <alignment horizontal="right"/>
    </xf>
    <xf numFmtId="0" fontId="83" fillId="2" borderId="0" xfId="0" applyFont="1" applyFill="1"/>
    <xf numFmtId="0" fontId="20" fillId="2" borderId="0" xfId="0" applyFont="1" applyFill="1"/>
    <xf numFmtId="0" fontId="20" fillId="0" borderId="0" xfId="0" applyFont="1" applyAlignment="1">
      <alignment horizontal="right"/>
    </xf>
    <xf numFmtId="0" fontId="84" fillId="0" borderId="0" xfId="0" applyFont="1"/>
    <xf numFmtId="0" fontId="13" fillId="0" borderId="0" xfId="0" applyFont="1" applyAlignment="1">
      <alignment horizontal="right"/>
    </xf>
    <xf numFmtId="0" fontId="1" fillId="4" borderId="1" xfId="0" applyFont="1" applyFill="1" applyBorder="1"/>
    <xf numFmtId="0" fontId="1" fillId="2" borderId="3" xfId="0" applyFont="1" applyFill="1" applyBorder="1"/>
    <xf numFmtId="0" fontId="1" fillId="3" borderId="5" xfId="0" applyFont="1" applyFill="1" applyBorder="1"/>
    <xf numFmtId="0" fontId="2" fillId="0" borderId="0" xfId="0" applyFont="1"/>
    <xf numFmtId="0" fontId="80" fillId="0" borderId="8" xfId="0" applyFont="1" applyBorder="1" applyAlignment="1">
      <alignment horizontal="left"/>
    </xf>
    <xf numFmtId="0" fontId="63" fillId="0" borderId="0" xfId="0" applyFont="1" applyAlignment="1">
      <alignment horizontal="left"/>
    </xf>
    <xf numFmtId="0" fontId="80" fillId="0" borderId="9" xfId="0" applyFont="1" applyBorder="1" applyAlignment="1">
      <alignment horizontal="left"/>
    </xf>
    <xf numFmtId="0" fontId="80" fillId="0" borderId="10" xfId="0" applyFont="1" applyBorder="1" applyAlignment="1">
      <alignment horizontal="left"/>
    </xf>
    <xf numFmtId="0" fontId="85" fillId="0" borderId="2" xfId="0" applyFont="1" applyBorder="1" applyAlignment="1">
      <alignment horizontal="left"/>
    </xf>
    <xf numFmtId="0" fontId="85" fillId="0" borderId="4" xfId="0" applyFont="1" applyBorder="1" applyAlignment="1">
      <alignment horizontal="left"/>
    </xf>
    <xf numFmtId="0" fontId="85" fillId="0" borderId="6" xfId="0" applyFont="1" applyBorder="1" applyAlignment="1">
      <alignment horizontal="left"/>
    </xf>
    <xf numFmtId="0" fontId="86" fillId="0" borderId="12" xfId="0" applyFont="1" applyBorder="1" applyAlignment="1">
      <alignment horizontal="left"/>
    </xf>
    <xf numFmtId="0" fontId="86" fillId="0" borderId="13" xfId="0" applyFont="1" applyBorder="1" applyAlignment="1">
      <alignment horizontal="left"/>
    </xf>
    <xf numFmtId="0" fontId="86" fillId="0" borderId="14" xfId="0" applyFont="1" applyBorder="1" applyAlignment="1">
      <alignment horizontal="left"/>
    </xf>
    <xf numFmtId="0" fontId="80" fillId="0" borderId="16" xfId="0" applyFont="1" applyBorder="1" applyAlignment="1">
      <alignment horizontal="left"/>
    </xf>
    <xf numFmtId="0" fontId="80" fillId="0" borderId="17" xfId="0" applyFont="1" applyBorder="1" applyAlignment="1">
      <alignment horizontal="left"/>
    </xf>
    <xf numFmtId="0" fontId="80" fillId="0" borderId="18" xfId="0" applyFont="1" applyBorder="1" applyAlignment="1">
      <alignment horizontal="left"/>
    </xf>
    <xf numFmtId="0" fontId="86" fillId="0" borderId="20" xfId="0" applyFont="1" applyBorder="1" applyAlignment="1">
      <alignment horizontal="left"/>
    </xf>
    <xf numFmtId="0" fontId="86" fillId="0" borderId="21" xfId="0" applyFont="1" applyBorder="1" applyAlignment="1">
      <alignment horizontal="left"/>
    </xf>
    <xf numFmtId="0" fontId="86" fillId="0" borderId="22" xfId="0" applyFont="1" applyBorder="1" applyAlignment="1">
      <alignment horizontal="left"/>
    </xf>
    <xf numFmtId="0" fontId="80" fillId="0" borderId="24" xfId="0" applyFont="1" applyBorder="1" applyAlignment="1">
      <alignment horizontal="left"/>
    </xf>
    <xf numFmtId="0" fontId="80" fillId="0" borderId="25" xfId="0" applyFont="1" applyBorder="1" applyAlignment="1">
      <alignment horizontal="left"/>
    </xf>
    <xf numFmtId="0" fontId="80" fillId="0" borderId="26" xfId="0" applyFont="1" applyBorder="1" applyAlignment="1">
      <alignment horizontal="left"/>
    </xf>
    <xf numFmtId="0" fontId="86" fillId="0" borderId="28" xfId="0" applyFont="1" applyBorder="1" applyAlignment="1">
      <alignment horizontal="left"/>
    </xf>
    <xf numFmtId="0" fontId="86" fillId="0" borderId="29" xfId="0" applyFont="1" applyBorder="1" applyAlignment="1">
      <alignment horizontal="left"/>
    </xf>
    <xf numFmtId="0" fontId="86" fillId="0" borderId="30" xfId="0" applyFont="1" applyBorder="1" applyAlignment="1">
      <alignment horizontal="left"/>
    </xf>
    <xf numFmtId="0" fontId="2" fillId="0" borderId="0" xfId="0" applyFont="1" applyAlignment="1">
      <alignment vertical="center"/>
    </xf>
    <xf numFmtId="0" fontId="0" fillId="0" borderId="0" xfId="0" applyAlignment="1">
      <alignment horizontal="left" vertical="top"/>
    </xf>
    <xf numFmtId="0" fontId="88" fillId="15" borderId="0" xfId="0" applyFont="1" applyFill="1"/>
    <xf numFmtId="0" fontId="89" fillId="15" borderId="0" xfId="0" applyFont="1" applyFill="1"/>
    <xf numFmtId="0" fontId="2" fillId="15" borderId="0" xfId="0" applyFont="1" applyFill="1"/>
    <xf numFmtId="0" fontId="88" fillId="15" borderId="0" xfId="0" applyFont="1" applyFill="1" applyAlignment="1">
      <alignment vertical="top"/>
    </xf>
    <xf numFmtId="0" fontId="89" fillId="15" borderId="0" xfId="0" applyFont="1" applyFill="1" applyAlignment="1">
      <alignment vertical="top"/>
    </xf>
    <xf numFmtId="0" fontId="2" fillId="15" borderId="0" xfId="0" applyFont="1" applyFill="1" applyAlignment="1">
      <alignment vertical="top"/>
    </xf>
    <xf numFmtId="0" fontId="0" fillId="15" borderId="0" xfId="0" applyFill="1"/>
    <xf numFmtId="0" fontId="89" fillId="15" borderId="0" xfId="0" applyFont="1" applyFill="1" applyAlignment="1">
      <alignment horizontal="right"/>
    </xf>
    <xf numFmtId="0" fontId="87" fillId="22" borderId="0" xfId="0" applyFont="1" applyFill="1" applyAlignment="1">
      <alignment horizontal="right"/>
    </xf>
    <xf numFmtId="0" fontId="2" fillId="22" borderId="0" xfId="0" applyFont="1" applyFill="1"/>
    <xf numFmtId="0" fontId="91" fillId="22" borderId="0" xfId="0" applyFont="1" applyFill="1"/>
    <xf numFmtId="0" fontId="90" fillId="22" borderId="0" xfId="0" applyFont="1" applyFill="1" applyAlignment="1">
      <alignment horizontal="right" vertical="top"/>
    </xf>
    <xf numFmtId="0" fontId="91" fillId="22" borderId="50" xfId="0" applyFont="1" applyFill="1" applyBorder="1"/>
    <xf numFmtId="0" fontId="91" fillId="22" borderId="50" xfId="0" applyFont="1" applyFill="1" applyBorder="1" applyAlignment="1">
      <alignment horizontal="left"/>
    </xf>
    <xf numFmtId="0" fontId="91" fillId="22" borderId="50" xfId="0" applyFont="1" applyFill="1" applyBorder="1" applyAlignment="1">
      <alignment horizontal="right"/>
    </xf>
    <xf numFmtId="0" fontId="92" fillId="22" borderId="50" xfId="0" applyFont="1" applyFill="1" applyBorder="1"/>
    <xf numFmtId="0" fontId="89" fillId="22" borderId="0" xfId="0" applyFont="1" applyFill="1"/>
    <xf numFmtId="0" fontId="91" fillId="22" borderId="0" xfId="0" applyFont="1" applyFill="1" applyAlignment="1">
      <alignment horizontal="left"/>
    </xf>
    <xf numFmtId="0" fontId="91" fillId="22" borderId="0" xfId="0" applyFont="1" applyFill="1" applyAlignment="1">
      <alignment horizontal="right"/>
    </xf>
    <xf numFmtId="0" fontId="1" fillId="0" borderId="46" xfId="0" applyFont="1" applyBorder="1"/>
    <xf numFmtId="0" fontId="93" fillId="0" borderId="0" xfId="0" applyFont="1" applyAlignment="1">
      <alignment horizontal="right" vertical="top"/>
    </xf>
    <xf numFmtId="0" fontId="0" fillId="13" borderId="0" xfId="0" applyFill="1"/>
    <xf numFmtId="0" fontId="5" fillId="0" borderId="0" xfId="0" applyFont="1" applyAlignment="1">
      <alignment horizontal="left"/>
    </xf>
    <xf numFmtId="0" fontId="18" fillId="9" borderId="0" xfId="0" applyFont="1" applyFill="1"/>
    <xf numFmtId="0" fontId="74" fillId="0" borderId="0" xfId="0" applyFont="1"/>
    <xf numFmtId="0" fontId="94" fillId="0" borderId="0" xfId="0" applyFont="1"/>
    <xf numFmtId="0" fontId="94" fillId="0" borderId="0" xfId="0" applyFont="1" applyAlignment="1">
      <alignment horizontal="center"/>
    </xf>
    <xf numFmtId="0" fontId="95" fillId="0" borderId="0" xfId="0" applyFont="1" applyAlignment="1">
      <alignment horizontal="center"/>
    </xf>
    <xf numFmtId="0" fontId="95" fillId="0" borderId="0" xfId="0" applyFont="1"/>
    <xf numFmtId="0" fontId="86" fillId="0" borderId="0" xfId="0" applyFont="1"/>
    <xf numFmtId="0" fontId="86" fillId="0" borderId="0" xfId="0" applyFont="1" applyAlignment="1">
      <alignment horizontal="center"/>
    </xf>
    <xf numFmtId="0" fontId="0" fillId="0" borderId="0" xfId="0" applyAlignment="1">
      <alignment horizontal="center" wrapText="1"/>
    </xf>
    <xf numFmtId="1" fontId="5" fillId="0" borderId="0" xfId="0" applyNumberFormat="1" applyFont="1" applyAlignment="1">
      <alignment wrapText="1"/>
    </xf>
    <xf numFmtId="2" fontId="0" fillId="0" borderId="0" xfId="0" applyNumberFormat="1" applyAlignment="1">
      <alignment wrapText="1"/>
    </xf>
    <xf numFmtId="49" fontId="0" fillId="0" borderId="0" xfId="0" applyNumberFormat="1" applyAlignment="1">
      <alignment wrapText="1"/>
    </xf>
    <xf numFmtId="0" fontId="1" fillId="0" borderId="0" xfId="0" applyFont="1" applyAlignment="1">
      <alignment horizontal="right" wrapText="1"/>
    </xf>
    <xf numFmtId="0" fontId="0" fillId="0" borderId="0" xfId="0" applyAlignment="1">
      <alignment horizontal="center" vertical="center"/>
    </xf>
    <xf numFmtId="0" fontId="0" fillId="0" borderId="0" xfId="0" applyAlignment="1">
      <alignment horizontal="right" vertical="center"/>
    </xf>
    <xf numFmtId="0" fontId="74" fillId="0" borderId="0" xfId="0" applyFont="1" applyAlignment="1">
      <alignment horizontal="right"/>
    </xf>
    <xf numFmtId="0" fontId="63" fillId="9" borderId="0" xfId="0" applyFont="1" applyFill="1" applyAlignment="1">
      <alignment horizontal="right"/>
    </xf>
    <xf numFmtId="0" fontId="80" fillId="0" borderId="0" xfId="0" applyFont="1" applyAlignment="1">
      <alignment horizontal="right"/>
    </xf>
    <xf numFmtId="0" fontId="64" fillId="0" borderId="0" xfId="0" applyFont="1" applyAlignment="1">
      <alignment wrapText="1"/>
    </xf>
    <xf numFmtId="0" fontId="64" fillId="0" borderId="0" xfId="0" applyFont="1" applyAlignment="1">
      <alignment horizontal="center"/>
    </xf>
    <xf numFmtId="0" fontId="96" fillId="17" borderId="72" xfId="0" applyFont="1" applyFill="1" applyBorder="1"/>
    <xf numFmtId="0" fontId="96" fillId="17" borderId="52" xfId="0" applyFont="1" applyFill="1" applyBorder="1"/>
    <xf numFmtId="0" fontId="96" fillId="22" borderId="0" xfId="0" applyFont="1" applyFill="1"/>
    <xf numFmtId="0" fontId="96" fillId="0" borderId="0" xfId="0" applyFont="1"/>
    <xf numFmtId="0" fontId="16" fillId="0" borderId="0" xfId="0" applyFont="1" applyAlignment="1">
      <alignment horizontal="right"/>
    </xf>
    <xf numFmtId="0" fontId="24" fillId="9" borderId="0" xfId="0" applyFont="1" applyFill="1"/>
    <xf numFmtId="0" fontId="0" fillId="9" borderId="0" xfId="0" applyFill="1" applyAlignment="1">
      <alignment horizontal="right"/>
    </xf>
    <xf numFmtId="4" fontId="74" fillId="0" borderId="0" xfId="0" applyNumberFormat="1" applyFont="1"/>
    <xf numFmtId="4" fontId="63" fillId="0" borderId="0" xfId="0" applyNumberFormat="1" applyFont="1"/>
    <xf numFmtId="4" fontId="63" fillId="9" borderId="0" xfId="0" applyNumberFormat="1" applyFont="1" applyFill="1"/>
    <xf numFmtId="0" fontId="96" fillId="17" borderId="71" xfId="0" applyFont="1" applyFill="1" applyBorder="1"/>
    <xf numFmtId="0" fontId="96" fillId="17" borderId="50" xfId="0" applyFont="1" applyFill="1" applyBorder="1"/>
    <xf numFmtId="2" fontId="96" fillId="17" borderId="50" xfId="0" applyNumberFormat="1" applyFont="1" applyFill="1" applyBorder="1"/>
    <xf numFmtId="0" fontId="26" fillId="15" borderId="39" xfId="0" applyFont="1" applyFill="1" applyBorder="1" applyAlignment="1">
      <alignment horizontal="center" vertical="center"/>
    </xf>
    <xf numFmtId="0" fontId="24" fillId="22" borderId="0" xfId="0" applyFont="1" applyFill="1" applyAlignment="1">
      <alignment horizontal="center"/>
    </xf>
    <xf numFmtId="0" fontId="24" fillId="0" borderId="0" xfId="0" applyFont="1" applyAlignment="1">
      <alignment horizontal="center"/>
    </xf>
    <xf numFmtId="0" fontId="24" fillId="17" borderId="50" xfId="0" applyFont="1" applyFill="1" applyBorder="1" applyAlignment="1">
      <alignment horizontal="center"/>
    </xf>
    <xf numFmtId="0" fontId="24" fillId="17" borderId="52" xfId="0" applyFont="1" applyFill="1" applyBorder="1" applyAlignment="1">
      <alignment horizontal="center"/>
    </xf>
    <xf numFmtId="0" fontId="96" fillId="17" borderId="52" xfId="0" applyFont="1" applyFill="1" applyBorder="1" applyAlignment="1">
      <alignment horizontal="center"/>
    </xf>
    <xf numFmtId="2" fontId="27" fillId="17" borderId="52" xfId="0" applyNumberFormat="1" applyFont="1" applyFill="1" applyBorder="1" applyAlignment="1">
      <alignment horizontal="center"/>
    </xf>
    <xf numFmtId="0" fontId="27" fillId="17" borderId="52" xfId="0" applyFont="1" applyFill="1" applyBorder="1" applyAlignment="1">
      <alignment horizontal="center"/>
    </xf>
    <xf numFmtId="0" fontId="24" fillId="17" borderId="74" xfId="0" applyFont="1" applyFill="1" applyBorder="1" applyAlignment="1">
      <alignment horizontal="center"/>
    </xf>
    <xf numFmtId="0" fontId="96" fillId="17" borderId="50" xfId="0" applyFont="1" applyFill="1" applyBorder="1" applyAlignment="1">
      <alignment horizontal="center"/>
    </xf>
    <xf numFmtId="0" fontId="24" fillId="17" borderId="0" xfId="0" applyFont="1" applyFill="1" applyAlignment="1">
      <alignment horizontal="center"/>
    </xf>
    <xf numFmtId="1" fontId="63" fillId="17" borderId="52" xfId="0" applyNumberFormat="1" applyFont="1" applyFill="1" applyBorder="1" applyAlignment="1">
      <alignment horizontal="center"/>
    </xf>
    <xf numFmtId="0" fontId="97" fillId="0" borderId="0" xfId="0" applyFont="1" applyAlignment="1">
      <alignment horizontal="center"/>
    </xf>
    <xf numFmtId="0" fontId="97" fillId="9" borderId="0" xfId="0" applyFont="1" applyFill="1"/>
    <xf numFmtId="0" fontId="97" fillId="0" borderId="0" xfId="0" applyFont="1" applyAlignment="1">
      <alignment horizontal="right"/>
    </xf>
    <xf numFmtId="0" fontId="97" fillId="9" borderId="0" xfId="0" applyFont="1" applyFill="1" applyAlignment="1">
      <alignment horizontal="center"/>
    </xf>
    <xf numFmtId="0" fontId="0" fillId="0" borderId="0" xfId="0" applyAlignment="1">
      <alignment horizontal="center" vertical="center" wrapText="1"/>
    </xf>
    <xf numFmtId="0" fontId="97" fillId="9" borderId="0" xfId="0" applyFont="1" applyFill="1" applyAlignment="1">
      <alignment horizontal="right"/>
    </xf>
    <xf numFmtId="0" fontId="89" fillId="15" borderId="0" xfId="0" applyFont="1" applyFill="1" applyAlignment="1">
      <alignment horizontal="right" vertical="top"/>
    </xf>
    <xf numFmtId="0" fontId="98" fillId="15" borderId="0" xfId="0" applyFont="1" applyFill="1" applyAlignment="1">
      <alignment horizontal="right" vertical="top"/>
    </xf>
    <xf numFmtId="0" fontId="87" fillId="15" borderId="0" xfId="0" applyFont="1" applyFill="1" applyAlignment="1">
      <alignment horizontal="right"/>
    </xf>
    <xf numFmtId="0" fontId="98" fillId="15" borderId="0" xfId="0" applyFont="1" applyFill="1" applyAlignment="1">
      <alignment horizontal="right"/>
    </xf>
    <xf numFmtId="0" fontId="87" fillId="15" borderId="0" xfId="0" applyFont="1" applyFill="1"/>
    <xf numFmtId="0" fontId="87" fillId="15" borderId="0" xfId="0" applyFont="1" applyFill="1" applyAlignment="1">
      <alignment vertical="top"/>
    </xf>
    <xf numFmtId="1" fontId="63" fillId="0" borderId="0" xfId="0" applyNumberFormat="1" applyFont="1"/>
    <xf numFmtId="49" fontId="63" fillId="0" borderId="0" xfId="0" applyNumberFormat="1" applyFont="1" applyAlignment="1">
      <alignment horizontal="left"/>
    </xf>
    <xf numFmtId="0" fontId="63" fillId="9" borderId="0" xfId="0" applyFont="1" applyFill="1" applyAlignment="1">
      <alignment horizontal="left"/>
    </xf>
    <xf numFmtId="0" fontId="74" fillId="0" borderId="0" xfId="0" applyFont="1" applyAlignment="1">
      <alignment horizontal="left"/>
    </xf>
    <xf numFmtId="1" fontId="63" fillId="0" borderId="0" xfId="0" applyNumberFormat="1" applyFont="1" applyAlignment="1">
      <alignment horizontal="right"/>
    </xf>
    <xf numFmtId="1" fontId="63" fillId="9" borderId="0" xfId="0" applyNumberFormat="1" applyFont="1" applyFill="1" applyAlignment="1">
      <alignment horizontal="right"/>
    </xf>
    <xf numFmtId="164" fontId="63" fillId="0" borderId="0" xfId="0" applyNumberFormat="1" applyFont="1" applyAlignment="1">
      <alignment horizontal="right"/>
    </xf>
    <xf numFmtId="164" fontId="63" fillId="9" borderId="0" xfId="0" applyNumberFormat="1" applyFont="1" applyFill="1" applyAlignment="1">
      <alignment horizontal="right"/>
    </xf>
    <xf numFmtId="2" fontId="63" fillId="0" borderId="0" xfId="0" applyNumberFormat="1" applyFont="1" applyAlignment="1">
      <alignment horizontal="right"/>
    </xf>
    <xf numFmtId="1" fontId="0" fillId="0" borderId="0" xfId="0" applyNumberFormat="1" applyAlignment="1">
      <alignment horizontal="right"/>
    </xf>
    <xf numFmtId="0" fontId="0" fillId="0" borderId="0" xfId="0" quotePrefix="1" applyAlignment="1">
      <alignment horizontal="center"/>
    </xf>
    <xf numFmtId="0" fontId="63" fillId="0" borderId="0" xfId="0" applyFont="1" applyAlignment="1">
      <alignment horizontal="center"/>
    </xf>
    <xf numFmtId="0" fontId="5" fillId="0" borderId="0" xfId="0" applyFont="1" applyAlignment="1">
      <alignment horizontal="left" vertical="center" wrapText="1"/>
    </xf>
    <xf numFmtId="0" fontId="87" fillId="15" borderId="0" xfId="0" applyFont="1" applyFill="1" applyAlignment="1">
      <alignment horizontal="left" vertical="top" wrapText="1"/>
    </xf>
    <xf numFmtId="0" fontId="83" fillId="2" borderId="0" xfId="0" applyFont="1" applyFill="1" applyAlignment="1">
      <alignment horizontal="left" vertical="center" wrapText="1"/>
    </xf>
    <xf numFmtId="0" fontId="1" fillId="8" borderId="0" xfId="0" applyFont="1" applyFill="1" applyAlignment="1">
      <alignment horizontal="center" vertical="center" textRotation="90"/>
    </xf>
    <xf numFmtId="0" fontId="1" fillId="8" borderId="0" xfId="0" applyFont="1" applyFill="1" applyAlignment="1">
      <alignment horizontal="center"/>
    </xf>
    <xf numFmtId="0" fontId="2" fillId="7" borderId="7" xfId="0" applyFont="1" applyFill="1" applyBorder="1" applyAlignment="1">
      <alignment horizontal="center" vertical="center"/>
    </xf>
    <xf numFmtId="0" fontId="2" fillId="7" borderId="34" xfId="0" applyFont="1" applyFill="1" applyBorder="1" applyAlignment="1">
      <alignment horizontal="center" vertical="center"/>
    </xf>
    <xf numFmtId="0" fontId="2" fillId="7" borderId="11" xfId="0" applyFont="1" applyFill="1" applyBorder="1" applyAlignment="1">
      <alignment horizontal="center" vertical="center"/>
    </xf>
    <xf numFmtId="0" fontId="2" fillId="5" borderId="15" xfId="0" applyFont="1" applyFill="1" applyBorder="1" applyAlignment="1">
      <alignment horizontal="center" vertical="center"/>
    </xf>
    <xf numFmtId="0" fontId="2" fillId="5" borderId="35" xfId="0" applyFont="1" applyFill="1" applyBorder="1" applyAlignment="1">
      <alignment horizontal="center" vertical="center"/>
    </xf>
    <xf numFmtId="0" fontId="2" fillId="5" borderId="19" xfId="0" applyFont="1" applyFill="1" applyBorder="1" applyAlignment="1">
      <alignment horizontal="center" vertical="center"/>
    </xf>
    <xf numFmtId="0" fontId="2" fillId="6" borderId="23" xfId="0" applyFont="1" applyFill="1" applyBorder="1" applyAlignment="1">
      <alignment horizontal="center" vertical="center"/>
    </xf>
    <xf numFmtId="0" fontId="2" fillId="6" borderId="36" xfId="0" applyFont="1" applyFill="1" applyBorder="1" applyAlignment="1">
      <alignment horizontal="center" vertical="center"/>
    </xf>
    <xf numFmtId="0" fontId="2" fillId="6" borderId="27" xfId="0" applyFont="1" applyFill="1" applyBorder="1" applyAlignment="1">
      <alignment horizontal="center" vertical="center"/>
    </xf>
    <xf numFmtId="0" fontId="1" fillId="23" borderId="0" xfId="0" applyFont="1" applyFill="1" applyAlignment="1">
      <alignment horizontal="center"/>
    </xf>
    <xf numFmtId="0" fontId="1" fillId="24" borderId="0" xfId="0" applyFont="1" applyFill="1" applyAlignment="1">
      <alignment horizontal="center"/>
    </xf>
    <xf numFmtId="0" fontId="1" fillId="25" borderId="0" xfId="0" applyFont="1" applyFill="1" applyAlignment="1">
      <alignment horizontal="center"/>
    </xf>
    <xf numFmtId="0" fontId="0" fillId="9" borderId="0" xfId="0" applyFill="1" applyAlignment="1">
      <alignment horizontal="center"/>
    </xf>
    <xf numFmtId="0" fontId="1" fillId="0" borderId="0" xfId="0" applyFont="1" applyAlignment="1">
      <alignment horizontal="center"/>
    </xf>
    <xf numFmtId="0" fontId="26" fillId="2" borderId="70" xfId="0" applyFont="1" applyFill="1" applyBorder="1" applyAlignment="1">
      <alignment horizontal="center" vertical="center" textRotation="90"/>
    </xf>
    <xf numFmtId="0" fontId="26" fillId="2" borderId="48" xfId="0" applyFont="1" applyFill="1" applyBorder="1" applyAlignment="1">
      <alignment horizontal="center" vertical="center" textRotation="90"/>
    </xf>
    <xf numFmtId="0" fontId="26" fillId="2" borderId="75" xfId="0" applyFont="1" applyFill="1" applyBorder="1" applyAlignment="1">
      <alignment horizontal="center" vertical="center" textRotation="90"/>
    </xf>
    <xf numFmtId="0" fontId="26" fillId="2" borderId="49" xfId="0" applyFont="1" applyFill="1" applyBorder="1" applyAlignment="1">
      <alignment horizontal="center" vertical="center" textRotation="90"/>
    </xf>
    <xf numFmtId="0" fontId="64" fillId="0" borderId="0" xfId="0" applyFont="1" applyAlignment="1">
      <alignment horizontal="left" wrapText="1"/>
    </xf>
    <xf numFmtId="0" fontId="5" fillId="0" borderId="0" xfId="0" applyFont="1" applyAlignment="1">
      <alignment horizontal="center"/>
    </xf>
    <xf numFmtId="0" fontId="6" fillId="10" borderId="31" xfId="0" applyFont="1" applyFill="1" applyBorder="1" applyAlignment="1">
      <alignment horizontal="center"/>
    </xf>
    <xf numFmtId="0" fontId="8" fillId="10" borderId="31" xfId="0" applyFont="1" applyFill="1" applyBorder="1" applyAlignment="1">
      <alignment horizontal="center"/>
    </xf>
    <xf numFmtId="0" fontId="5" fillId="9" borderId="0" xfId="0" applyFont="1" applyFill="1" applyAlignment="1">
      <alignment horizontal="left" wrapText="1"/>
    </xf>
    <xf numFmtId="0" fontId="43" fillId="15" borderId="0" xfId="0" applyFont="1" applyFill="1" applyAlignment="1">
      <alignment horizontal="left" vertical="center"/>
    </xf>
    <xf numFmtId="0" fontId="16" fillId="16" borderId="0" xfId="0" applyFont="1" applyFill="1" applyAlignment="1">
      <alignment horizontal="left" vertical="top" wrapText="1"/>
    </xf>
    <xf numFmtId="0" fontId="16" fillId="16" borderId="0" xfId="0" applyFont="1" applyFill="1" applyAlignment="1">
      <alignment horizontal="left" vertical="center"/>
    </xf>
    <xf numFmtId="0" fontId="35" fillId="16" borderId="39" xfId="0" applyFont="1" applyFill="1" applyBorder="1" applyAlignment="1">
      <alignment horizontal="center"/>
    </xf>
    <xf numFmtId="0" fontId="35" fillId="16" borderId="0" xfId="0" applyFont="1" applyFill="1" applyAlignment="1">
      <alignment horizontal="center"/>
    </xf>
    <xf numFmtId="0" fontId="0" fillId="16" borderId="38" xfId="0" applyFill="1" applyBorder="1" applyAlignment="1">
      <alignment horizontal="left" vertical="top" wrapText="1"/>
    </xf>
    <xf numFmtId="0" fontId="0" fillId="16" borderId="0" xfId="0" applyFill="1" applyAlignment="1">
      <alignment horizontal="left" vertical="top" wrapText="1"/>
    </xf>
    <xf numFmtId="0" fontId="1" fillId="16" borderId="0" xfId="0" applyFont="1" applyFill="1" applyAlignment="1">
      <alignment horizontal="center"/>
    </xf>
    <xf numFmtId="0" fontId="73" fillId="16" borderId="0" xfId="0" applyFont="1" applyFill="1" applyAlignment="1">
      <alignment horizontal="center"/>
    </xf>
    <xf numFmtId="0" fontId="1" fillId="9" borderId="0" xfId="0" applyFont="1" applyFill="1" applyAlignment="1">
      <alignment horizontal="center"/>
    </xf>
    <xf numFmtId="0" fontId="1" fillId="27" borderId="0" xfId="0" applyFont="1" applyFill="1" applyAlignment="1">
      <alignment horizontal="center"/>
    </xf>
    <xf numFmtId="0" fontId="0" fillId="0" borderId="0" xfId="0" applyAlignment="1">
      <alignment horizontal="center"/>
    </xf>
    <xf numFmtId="0" fontId="26" fillId="15" borderId="0" xfId="2" applyFont="1" applyFill="1" applyAlignment="1">
      <alignment horizontal="justify" vertical="center" wrapText="1"/>
    </xf>
    <xf numFmtId="0" fontId="26" fillId="15" borderId="39" xfId="2" applyFont="1" applyFill="1" applyBorder="1" applyAlignment="1">
      <alignment horizontal="justify" vertical="center" wrapText="1"/>
    </xf>
    <xf numFmtId="0" fontId="26" fillId="15" borderId="39" xfId="2" applyFont="1" applyFill="1" applyBorder="1" applyAlignment="1">
      <alignment horizontal="center" vertical="center" wrapText="1"/>
    </xf>
    <xf numFmtId="0" fontId="76" fillId="0" borderId="78" xfId="2" applyFont="1" applyBorder="1" applyAlignment="1">
      <alignment horizontal="left" vertical="top" wrapText="1"/>
    </xf>
    <xf numFmtId="0" fontId="76" fillId="0" borderId="0" xfId="2" applyFont="1" applyAlignment="1">
      <alignment horizontal="left" vertical="top" wrapText="1"/>
    </xf>
    <xf numFmtId="0" fontId="24" fillId="17" borderId="50" xfId="0" applyFont="1" applyFill="1" applyBorder="1" applyAlignment="1">
      <alignment horizontal="left" vertical="center"/>
    </xf>
    <xf numFmtId="0" fontId="24" fillId="17" borderId="52" xfId="0" applyFont="1" applyFill="1" applyBorder="1" applyAlignment="1">
      <alignment horizontal="left" vertical="center"/>
    </xf>
    <xf numFmtId="0" fontId="70" fillId="0" borderId="0" xfId="0" applyFont="1" applyAlignment="1">
      <alignment horizontal="left" wrapText="1"/>
    </xf>
  </cellXfs>
  <cellStyles count="3">
    <cellStyle name="Hyperlink" xfId="1" builtinId="8"/>
    <cellStyle name="Normal" xfId="0" builtinId="0"/>
    <cellStyle name="Normal 2" xfId="2" xr:uid="{C845E826-EE90-4B2E-BBB3-7D818C5B9E63}"/>
  </cellStyles>
  <dxfs count="0"/>
  <tableStyles count="0" defaultTableStyle="TableStyleMedium2" defaultPivotStyle="PivotStyleLight16"/>
  <colors>
    <mruColors>
      <color rgb="FF009900"/>
      <color rgb="FF00B050"/>
      <color rgb="FFC13000"/>
      <color rgb="FFE18E0C"/>
      <color rgb="FF00CC00"/>
      <color rgb="FFFF6600"/>
      <color rgb="FF00CC99"/>
      <color rgb="FFCCECFF"/>
      <color rgb="FF33CC33"/>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xdr:from>
      <xdr:col>4</xdr:col>
      <xdr:colOff>40233</xdr:colOff>
      <xdr:row>13</xdr:row>
      <xdr:rowOff>146304</xdr:rowOff>
    </xdr:from>
    <xdr:to>
      <xdr:col>4</xdr:col>
      <xdr:colOff>310895</xdr:colOff>
      <xdr:row>15</xdr:row>
      <xdr:rowOff>43891</xdr:rowOff>
    </xdr:to>
    <xdr:sp macro="" textlink="">
      <xdr:nvSpPr>
        <xdr:cNvPr id="2" name="Arrow: Right 1">
          <a:extLst>
            <a:ext uri="{FF2B5EF4-FFF2-40B4-BE49-F238E27FC236}">
              <a16:creationId xmlns:a16="http://schemas.microsoft.com/office/drawing/2014/main" id="{42879099-5C58-4931-906E-F197D4C9EE15}"/>
            </a:ext>
          </a:extLst>
        </xdr:cNvPr>
        <xdr:cNvSpPr/>
      </xdr:nvSpPr>
      <xdr:spPr>
        <a:xfrm>
          <a:off x="1364284" y="2472538"/>
          <a:ext cx="270662" cy="87782"/>
        </a:xfrm>
        <a:prstGeom prst="rightArrow">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17</xdr:row>
      <xdr:rowOff>153621</xdr:rowOff>
    </xdr:from>
    <xdr:to>
      <xdr:col>4</xdr:col>
      <xdr:colOff>310895</xdr:colOff>
      <xdr:row>19</xdr:row>
      <xdr:rowOff>51207</xdr:rowOff>
    </xdr:to>
    <xdr:sp macro="" textlink="">
      <xdr:nvSpPr>
        <xdr:cNvPr id="3" name="Arrow: Right 2">
          <a:extLst>
            <a:ext uri="{FF2B5EF4-FFF2-40B4-BE49-F238E27FC236}">
              <a16:creationId xmlns:a16="http://schemas.microsoft.com/office/drawing/2014/main" id="{F05DCCE0-1401-4C50-B7A9-852D16E2EC44}"/>
            </a:ext>
          </a:extLst>
        </xdr:cNvPr>
        <xdr:cNvSpPr/>
      </xdr:nvSpPr>
      <xdr:spPr>
        <a:xfrm>
          <a:off x="1364284" y="3057755"/>
          <a:ext cx="270662" cy="87782"/>
        </a:xfrm>
        <a:prstGeom prst="rightArrow">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21</xdr:row>
      <xdr:rowOff>146304</xdr:rowOff>
    </xdr:from>
    <xdr:to>
      <xdr:col>4</xdr:col>
      <xdr:colOff>310895</xdr:colOff>
      <xdr:row>23</xdr:row>
      <xdr:rowOff>43891</xdr:rowOff>
    </xdr:to>
    <xdr:sp macro="" textlink="">
      <xdr:nvSpPr>
        <xdr:cNvPr id="4" name="Arrow: Right 3">
          <a:extLst>
            <a:ext uri="{FF2B5EF4-FFF2-40B4-BE49-F238E27FC236}">
              <a16:creationId xmlns:a16="http://schemas.microsoft.com/office/drawing/2014/main" id="{B5071EC8-6838-4954-97B3-7CC7A3C8DC20}"/>
            </a:ext>
          </a:extLst>
        </xdr:cNvPr>
        <xdr:cNvSpPr/>
      </xdr:nvSpPr>
      <xdr:spPr>
        <a:xfrm>
          <a:off x="1364284" y="3628339"/>
          <a:ext cx="270662" cy="87782"/>
        </a:xfrm>
        <a:prstGeom prst="rightArrow">
          <a:avLst/>
        </a:prstGeom>
        <a:solidFill>
          <a:schemeClr val="accent4">
            <a:lumMod val="50000"/>
          </a:schemeClr>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347471</xdr:colOff>
      <xdr:row>12</xdr:row>
      <xdr:rowOff>53034</xdr:rowOff>
    </xdr:from>
    <xdr:to>
      <xdr:col>5</xdr:col>
      <xdr:colOff>435253</xdr:colOff>
      <xdr:row>12</xdr:row>
      <xdr:rowOff>323696</xdr:rowOff>
    </xdr:to>
    <xdr:sp macro="" textlink="">
      <xdr:nvSpPr>
        <xdr:cNvPr id="5" name="Arrow: Right 4">
          <a:extLst>
            <a:ext uri="{FF2B5EF4-FFF2-40B4-BE49-F238E27FC236}">
              <a16:creationId xmlns:a16="http://schemas.microsoft.com/office/drawing/2014/main" id="{A9DF9A89-6D6E-4C55-B6DF-8CBF1B1D65CC}"/>
            </a:ext>
          </a:extLst>
        </xdr:cNvPr>
        <xdr:cNvSpPr/>
      </xdr:nvSpPr>
      <xdr:spPr>
        <a:xfrm rot="5400000">
          <a:off x="1953157" y="2178100"/>
          <a:ext cx="270662" cy="87782"/>
        </a:xfrm>
        <a:prstGeom prst="rightArrow">
          <a:avLst/>
        </a:prstGeom>
        <a:solidFill>
          <a:schemeClr val="accent1">
            <a:lumMod val="40000"/>
            <a:lumOff val="60000"/>
          </a:schemeClr>
        </a:solidFill>
        <a:ln>
          <a:solidFill>
            <a:schemeClr val="accent5">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343812</xdr:colOff>
      <xdr:row>12</xdr:row>
      <xdr:rowOff>53034</xdr:rowOff>
    </xdr:from>
    <xdr:to>
      <xdr:col>7</xdr:col>
      <xdr:colOff>431594</xdr:colOff>
      <xdr:row>12</xdr:row>
      <xdr:rowOff>323696</xdr:rowOff>
    </xdr:to>
    <xdr:sp macro="" textlink="">
      <xdr:nvSpPr>
        <xdr:cNvPr id="6" name="Arrow: Right 5">
          <a:extLst>
            <a:ext uri="{FF2B5EF4-FFF2-40B4-BE49-F238E27FC236}">
              <a16:creationId xmlns:a16="http://schemas.microsoft.com/office/drawing/2014/main" id="{8A36EFAF-4409-4C59-B941-3665B7B1FE4A}"/>
            </a:ext>
          </a:extLst>
        </xdr:cNvPr>
        <xdr:cNvSpPr/>
      </xdr:nvSpPr>
      <xdr:spPr>
        <a:xfrm rot="5400000">
          <a:off x="2900474" y="2178100"/>
          <a:ext cx="270662" cy="87782"/>
        </a:xfrm>
        <a:prstGeom prst="rightArrow">
          <a:avLst/>
        </a:prstGeom>
        <a:solidFill>
          <a:schemeClr val="accent6">
            <a:lumMod val="60000"/>
            <a:lumOff val="40000"/>
          </a:schemeClr>
        </a:solidFill>
        <a:ln>
          <a:solidFill>
            <a:schemeClr val="accent6">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329183</xdr:colOff>
      <xdr:row>12</xdr:row>
      <xdr:rowOff>53034</xdr:rowOff>
    </xdr:from>
    <xdr:to>
      <xdr:col>9</xdr:col>
      <xdr:colOff>416965</xdr:colOff>
      <xdr:row>12</xdr:row>
      <xdr:rowOff>323696</xdr:rowOff>
    </xdr:to>
    <xdr:sp macro="" textlink="">
      <xdr:nvSpPr>
        <xdr:cNvPr id="7" name="Arrow: Right 6">
          <a:extLst>
            <a:ext uri="{FF2B5EF4-FFF2-40B4-BE49-F238E27FC236}">
              <a16:creationId xmlns:a16="http://schemas.microsoft.com/office/drawing/2014/main" id="{DD15207F-5CE4-4F80-983F-E617A2CFA27C}"/>
            </a:ext>
          </a:extLst>
        </xdr:cNvPr>
        <xdr:cNvSpPr/>
      </xdr:nvSpPr>
      <xdr:spPr>
        <a:xfrm rot="5400000">
          <a:off x="3836821" y="2178100"/>
          <a:ext cx="270662" cy="87782"/>
        </a:xfrm>
        <a:prstGeom prst="rightArrow">
          <a:avLst/>
        </a:prstGeom>
        <a:solidFill>
          <a:schemeClr val="accent4">
            <a:lumMod val="40000"/>
            <a:lumOff val="60000"/>
          </a:schemeClr>
        </a:solidFill>
        <a:ln>
          <a:solidFill>
            <a:schemeClr val="accent4">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13</xdr:row>
      <xdr:rowOff>146304</xdr:rowOff>
    </xdr:from>
    <xdr:to>
      <xdr:col>4</xdr:col>
      <xdr:colOff>310895</xdr:colOff>
      <xdr:row>15</xdr:row>
      <xdr:rowOff>43891</xdr:rowOff>
    </xdr:to>
    <xdr:sp macro="" textlink="">
      <xdr:nvSpPr>
        <xdr:cNvPr id="9" name="Arrow: Right 8">
          <a:extLst>
            <a:ext uri="{FF2B5EF4-FFF2-40B4-BE49-F238E27FC236}">
              <a16:creationId xmlns:a16="http://schemas.microsoft.com/office/drawing/2014/main" id="{D58CBB0C-EAC7-4173-B713-DC1B23F58385}"/>
            </a:ext>
          </a:extLst>
        </xdr:cNvPr>
        <xdr:cNvSpPr/>
      </xdr:nvSpPr>
      <xdr:spPr>
        <a:xfrm>
          <a:off x="2359151" y="2699309"/>
          <a:ext cx="270662" cy="314553"/>
        </a:xfrm>
        <a:prstGeom prst="rightArrow">
          <a:avLst/>
        </a:prstGeom>
        <a:solidFill>
          <a:schemeClr val="tx2">
            <a:lumMod val="50000"/>
          </a:scheme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17</xdr:row>
      <xdr:rowOff>153621</xdr:rowOff>
    </xdr:from>
    <xdr:to>
      <xdr:col>4</xdr:col>
      <xdr:colOff>310895</xdr:colOff>
      <xdr:row>19</xdr:row>
      <xdr:rowOff>51207</xdr:rowOff>
    </xdr:to>
    <xdr:sp macro="" textlink="">
      <xdr:nvSpPr>
        <xdr:cNvPr id="10" name="Arrow: Right 9">
          <a:extLst>
            <a:ext uri="{FF2B5EF4-FFF2-40B4-BE49-F238E27FC236}">
              <a16:creationId xmlns:a16="http://schemas.microsoft.com/office/drawing/2014/main" id="{643A00DF-374F-4A13-8F87-1CD81FFEB151}"/>
            </a:ext>
          </a:extLst>
        </xdr:cNvPr>
        <xdr:cNvSpPr/>
      </xdr:nvSpPr>
      <xdr:spPr>
        <a:xfrm>
          <a:off x="2359151" y="3555189"/>
          <a:ext cx="270662" cy="314552"/>
        </a:xfrm>
        <a:prstGeom prst="rightArrow">
          <a:avLst/>
        </a:prstGeom>
        <a:solidFill>
          <a:schemeClr val="accent2">
            <a:lumMod val="5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40233</xdr:colOff>
      <xdr:row>21</xdr:row>
      <xdr:rowOff>146304</xdr:rowOff>
    </xdr:from>
    <xdr:to>
      <xdr:col>4</xdr:col>
      <xdr:colOff>310895</xdr:colOff>
      <xdr:row>23</xdr:row>
      <xdr:rowOff>43891</xdr:rowOff>
    </xdr:to>
    <xdr:sp macro="" textlink="">
      <xdr:nvSpPr>
        <xdr:cNvPr id="11" name="Arrow: Right 10">
          <a:extLst>
            <a:ext uri="{FF2B5EF4-FFF2-40B4-BE49-F238E27FC236}">
              <a16:creationId xmlns:a16="http://schemas.microsoft.com/office/drawing/2014/main" id="{B3CD8F4A-A0AF-4A79-BF8D-713FF01F0B93}"/>
            </a:ext>
          </a:extLst>
        </xdr:cNvPr>
        <xdr:cNvSpPr/>
      </xdr:nvSpPr>
      <xdr:spPr>
        <a:xfrm>
          <a:off x="2359151" y="4396435"/>
          <a:ext cx="270662" cy="314554"/>
        </a:xfrm>
        <a:prstGeom prst="rightArrow">
          <a:avLst/>
        </a:prstGeom>
        <a:solidFill>
          <a:schemeClr val="accent4">
            <a:lumMod val="50000"/>
          </a:schemeClr>
        </a:solidFill>
        <a:ln>
          <a:solidFill>
            <a:schemeClr val="accent4">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347471</xdr:colOff>
      <xdr:row>12</xdr:row>
      <xdr:rowOff>53034</xdr:rowOff>
    </xdr:from>
    <xdr:to>
      <xdr:col>5</xdr:col>
      <xdr:colOff>435253</xdr:colOff>
      <xdr:row>12</xdr:row>
      <xdr:rowOff>323696</xdr:rowOff>
    </xdr:to>
    <xdr:sp macro="" textlink="">
      <xdr:nvSpPr>
        <xdr:cNvPr id="12" name="Arrow: Right 11">
          <a:extLst>
            <a:ext uri="{FF2B5EF4-FFF2-40B4-BE49-F238E27FC236}">
              <a16:creationId xmlns:a16="http://schemas.microsoft.com/office/drawing/2014/main" id="{D103EF08-E166-4003-8FA6-47994D3B61CF}"/>
            </a:ext>
          </a:extLst>
        </xdr:cNvPr>
        <xdr:cNvSpPr/>
      </xdr:nvSpPr>
      <xdr:spPr>
        <a:xfrm rot="5400000">
          <a:off x="2948025" y="2324404"/>
          <a:ext cx="270662" cy="87782"/>
        </a:xfrm>
        <a:prstGeom prst="rightArrow">
          <a:avLst/>
        </a:prstGeom>
        <a:solidFill>
          <a:schemeClr val="accent1">
            <a:lumMod val="40000"/>
            <a:lumOff val="60000"/>
          </a:schemeClr>
        </a:solidFill>
        <a:ln>
          <a:solidFill>
            <a:schemeClr val="accent5">
              <a:lumMod val="50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343812</xdr:colOff>
      <xdr:row>12</xdr:row>
      <xdr:rowOff>53034</xdr:rowOff>
    </xdr:from>
    <xdr:to>
      <xdr:col>7</xdr:col>
      <xdr:colOff>431594</xdr:colOff>
      <xdr:row>12</xdr:row>
      <xdr:rowOff>323696</xdr:rowOff>
    </xdr:to>
    <xdr:sp macro="" textlink="">
      <xdr:nvSpPr>
        <xdr:cNvPr id="13" name="Arrow: Right 12">
          <a:extLst>
            <a:ext uri="{FF2B5EF4-FFF2-40B4-BE49-F238E27FC236}">
              <a16:creationId xmlns:a16="http://schemas.microsoft.com/office/drawing/2014/main" id="{7C6C11BA-A887-4594-A902-55DA9E30CEDB}"/>
            </a:ext>
          </a:extLst>
        </xdr:cNvPr>
        <xdr:cNvSpPr/>
      </xdr:nvSpPr>
      <xdr:spPr>
        <a:xfrm rot="5400000">
          <a:off x="3895342" y="2324404"/>
          <a:ext cx="270662" cy="87782"/>
        </a:xfrm>
        <a:prstGeom prst="rightArrow">
          <a:avLst/>
        </a:prstGeom>
        <a:solidFill>
          <a:schemeClr val="accent6">
            <a:lumMod val="60000"/>
            <a:lumOff val="40000"/>
          </a:schemeClr>
        </a:solidFill>
        <a:ln>
          <a:solidFill>
            <a:schemeClr val="accent6">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329183</xdr:colOff>
      <xdr:row>12</xdr:row>
      <xdr:rowOff>53034</xdr:rowOff>
    </xdr:from>
    <xdr:to>
      <xdr:col>9</xdr:col>
      <xdr:colOff>416965</xdr:colOff>
      <xdr:row>12</xdr:row>
      <xdr:rowOff>323696</xdr:rowOff>
    </xdr:to>
    <xdr:sp macro="" textlink="">
      <xdr:nvSpPr>
        <xdr:cNvPr id="14" name="Arrow: Right 13">
          <a:extLst>
            <a:ext uri="{FF2B5EF4-FFF2-40B4-BE49-F238E27FC236}">
              <a16:creationId xmlns:a16="http://schemas.microsoft.com/office/drawing/2014/main" id="{72D0B8A9-0013-4A3E-BE43-8BCE21D05188}"/>
            </a:ext>
          </a:extLst>
        </xdr:cNvPr>
        <xdr:cNvSpPr/>
      </xdr:nvSpPr>
      <xdr:spPr>
        <a:xfrm rot="5400000">
          <a:off x="4831689" y="2324404"/>
          <a:ext cx="270662" cy="87782"/>
        </a:xfrm>
        <a:prstGeom prst="rightArrow">
          <a:avLst/>
        </a:prstGeom>
        <a:solidFill>
          <a:schemeClr val="accent4">
            <a:lumMod val="40000"/>
            <a:lumOff val="60000"/>
          </a:schemeClr>
        </a:solidFill>
        <a:ln>
          <a:solidFill>
            <a:schemeClr val="accent4">
              <a:lumMod val="75000"/>
            </a:schemeClr>
          </a:solid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15876</xdr:colOff>
      <xdr:row>57</xdr:row>
      <xdr:rowOff>32529</xdr:rowOff>
    </xdr:from>
    <xdr:to>
      <xdr:col>3</xdr:col>
      <xdr:colOff>206376</xdr:colOff>
      <xdr:row>57</xdr:row>
      <xdr:rowOff>203979</xdr:rowOff>
    </xdr:to>
    <xdr:sp macro="" textlink="">
      <xdr:nvSpPr>
        <xdr:cNvPr id="15" name="Oval 14">
          <a:extLst>
            <a:ext uri="{FF2B5EF4-FFF2-40B4-BE49-F238E27FC236}">
              <a16:creationId xmlns:a16="http://schemas.microsoft.com/office/drawing/2014/main" id="{E01C7DDF-3668-42CA-8751-070DB05364CC}"/>
            </a:ext>
          </a:extLst>
        </xdr:cNvPr>
        <xdr:cNvSpPr/>
      </xdr:nvSpPr>
      <xdr:spPr>
        <a:xfrm>
          <a:off x="1720318" y="9725169"/>
          <a:ext cx="190500" cy="171450"/>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21</xdr:row>
      <xdr:rowOff>209550</xdr:rowOff>
    </xdr:from>
    <xdr:to>
      <xdr:col>4</xdr:col>
      <xdr:colOff>0</xdr:colOff>
      <xdr:row>23</xdr:row>
      <xdr:rowOff>28575</xdr:rowOff>
    </xdr:to>
    <xdr:sp macro="" textlink="">
      <xdr:nvSpPr>
        <xdr:cNvPr id="2" name="Oval 1">
          <a:extLst>
            <a:ext uri="{FF2B5EF4-FFF2-40B4-BE49-F238E27FC236}">
              <a16:creationId xmlns:a16="http://schemas.microsoft.com/office/drawing/2014/main" id="{815AC07A-2707-4A78-BE93-26BE895CE179}"/>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3" name="Rounded Rectangle 2">
          <a:extLst>
            <a:ext uri="{FF2B5EF4-FFF2-40B4-BE49-F238E27FC236}">
              <a16:creationId xmlns:a16="http://schemas.microsoft.com/office/drawing/2014/main" id="{907D8F3E-D8F8-4109-BF93-0504FCEF4A19}"/>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1</xdr:colOff>
      <xdr:row>19</xdr:row>
      <xdr:rowOff>0</xdr:rowOff>
    </xdr:from>
    <xdr:to>
      <xdr:col>8</xdr:col>
      <xdr:colOff>0</xdr:colOff>
      <xdr:row>20</xdr:row>
      <xdr:rowOff>21946</xdr:rowOff>
    </xdr:to>
    <xdr:sp macro="" textlink="">
      <xdr:nvSpPr>
        <xdr:cNvPr id="4" name="Oval 3">
          <a:extLst>
            <a:ext uri="{FF2B5EF4-FFF2-40B4-BE49-F238E27FC236}">
              <a16:creationId xmlns:a16="http://schemas.microsoft.com/office/drawing/2014/main" id="{E22AE34D-8B23-4E88-9FCB-AD5755D4295B}"/>
            </a:ext>
          </a:extLst>
        </xdr:cNvPr>
        <xdr:cNvSpPr/>
      </xdr:nvSpPr>
      <xdr:spPr>
        <a:xfrm>
          <a:off x="2443278" y="3474720"/>
          <a:ext cx="219455"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5" name="Oval 4">
          <a:extLst>
            <a:ext uri="{FF2B5EF4-FFF2-40B4-BE49-F238E27FC236}">
              <a16:creationId xmlns:a16="http://schemas.microsoft.com/office/drawing/2014/main" id="{6A45906E-527B-4D1A-A121-CFE03CE40C2B}"/>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6" name="Oval 5">
          <a:extLst>
            <a:ext uri="{FF2B5EF4-FFF2-40B4-BE49-F238E27FC236}">
              <a16:creationId xmlns:a16="http://schemas.microsoft.com/office/drawing/2014/main" id="{63F1FDB3-37C6-4CB5-89C9-8B2482227FA6}"/>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36</xdr:col>
      <xdr:colOff>0</xdr:colOff>
      <xdr:row>21</xdr:row>
      <xdr:rowOff>209550</xdr:rowOff>
    </xdr:from>
    <xdr:to>
      <xdr:col>37</xdr:col>
      <xdr:colOff>0</xdr:colOff>
      <xdr:row>23</xdr:row>
      <xdr:rowOff>28575</xdr:rowOff>
    </xdr:to>
    <xdr:sp macro="" textlink="">
      <xdr:nvSpPr>
        <xdr:cNvPr id="7" name="Oval 6">
          <a:extLst>
            <a:ext uri="{FF2B5EF4-FFF2-40B4-BE49-F238E27FC236}">
              <a16:creationId xmlns:a16="http://schemas.microsoft.com/office/drawing/2014/main" id="{26D308BF-504E-4F16-9558-DD2EF15AFF27}"/>
            </a:ext>
          </a:extLst>
        </xdr:cNvPr>
        <xdr:cNvSpPr/>
      </xdr:nvSpPr>
      <xdr:spPr>
        <a:xfrm>
          <a:off x="88075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0</xdr:colOff>
      <xdr:row>19</xdr:row>
      <xdr:rowOff>0</xdr:rowOff>
    </xdr:from>
    <xdr:to>
      <xdr:col>17</xdr:col>
      <xdr:colOff>0</xdr:colOff>
      <xdr:row>20</xdr:row>
      <xdr:rowOff>21946</xdr:rowOff>
    </xdr:to>
    <xdr:sp macro="" textlink="">
      <xdr:nvSpPr>
        <xdr:cNvPr id="8" name="Oval 7">
          <a:extLst>
            <a:ext uri="{FF2B5EF4-FFF2-40B4-BE49-F238E27FC236}">
              <a16:creationId xmlns:a16="http://schemas.microsoft.com/office/drawing/2014/main" id="{92975D21-C936-4458-A69B-253AE076FDD5}"/>
            </a:ext>
          </a:extLst>
        </xdr:cNvPr>
        <xdr:cNvSpPr/>
      </xdr:nvSpPr>
      <xdr:spPr>
        <a:xfrm>
          <a:off x="4418381"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31</xdr:col>
      <xdr:colOff>0</xdr:colOff>
      <xdr:row>19</xdr:row>
      <xdr:rowOff>0</xdr:rowOff>
    </xdr:from>
    <xdr:to>
      <xdr:col>32</xdr:col>
      <xdr:colOff>0</xdr:colOff>
      <xdr:row>20</xdr:row>
      <xdr:rowOff>21946</xdr:rowOff>
    </xdr:to>
    <xdr:sp macro="" textlink="">
      <xdr:nvSpPr>
        <xdr:cNvPr id="9" name="Oval 8">
          <a:extLst>
            <a:ext uri="{FF2B5EF4-FFF2-40B4-BE49-F238E27FC236}">
              <a16:creationId xmlns:a16="http://schemas.microsoft.com/office/drawing/2014/main" id="{5174057A-7F31-4805-A95B-D23A1374015A}"/>
            </a:ext>
          </a:extLst>
        </xdr:cNvPr>
        <xdr:cNvSpPr/>
      </xdr:nvSpPr>
      <xdr:spPr>
        <a:xfrm>
          <a:off x="7710221"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40</xdr:col>
      <xdr:colOff>0</xdr:colOff>
      <xdr:row>19</xdr:row>
      <xdr:rowOff>0</xdr:rowOff>
    </xdr:from>
    <xdr:to>
      <xdr:col>41</xdr:col>
      <xdr:colOff>0</xdr:colOff>
      <xdr:row>20</xdr:row>
      <xdr:rowOff>21946</xdr:rowOff>
    </xdr:to>
    <xdr:sp macro="" textlink="">
      <xdr:nvSpPr>
        <xdr:cNvPr id="10" name="Oval 9">
          <a:extLst>
            <a:ext uri="{FF2B5EF4-FFF2-40B4-BE49-F238E27FC236}">
              <a16:creationId xmlns:a16="http://schemas.microsoft.com/office/drawing/2014/main" id="{DA63956D-8C41-4DD0-8434-7BF6B37CC568}"/>
            </a:ext>
          </a:extLst>
        </xdr:cNvPr>
        <xdr:cNvSpPr/>
      </xdr:nvSpPr>
      <xdr:spPr>
        <a:xfrm>
          <a:off x="9685325" y="3474720"/>
          <a:ext cx="219456"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11" name="Rounded Rectangle 108">
          <a:extLst>
            <a:ext uri="{FF2B5EF4-FFF2-40B4-BE49-F238E27FC236}">
              <a16:creationId xmlns:a16="http://schemas.microsoft.com/office/drawing/2014/main" id="{F1FCAEF9-27CF-4DB7-B126-B2FA4EEF4A9B}"/>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12" name="Rounded Rectangle 112">
          <a:extLst>
            <a:ext uri="{FF2B5EF4-FFF2-40B4-BE49-F238E27FC236}">
              <a16:creationId xmlns:a16="http://schemas.microsoft.com/office/drawing/2014/main" id="{18F2BC3A-9466-4CAF-881A-A9BD43DAB9AD}"/>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38</xdr:col>
      <xdr:colOff>11735</xdr:colOff>
      <xdr:row>23</xdr:row>
      <xdr:rowOff>158344</xdr:rowOff>
    </xdr:from>
    <xdr:to>
      <xdr:col>38</xdr:col>
      <xdr:colOff>212141</xdr:colOff>
      <xdr:row>29</xdr:row>
      <xdr:rowOff>14630</xdr:rowOff>
    </xdr:to>
    <xdr:sp macro="" textlink="">
      <xdr:nvSpPr>
        <xdr:cNvPr id="13" name="Rounded Rectangle 113">
          <a:extLst>
            <a:ext uri="{FF2B5EF4-FFF2-40B4-BE49-F238E27FC236}">
              <a16:creationId xmlns:a16="http://schemas.microsoft.com/office/drawing/2014/main" id="{6C31BE51-04E3-46E3-A288-132CEF93FE63}"/>
            </a:ext>
          </a:extLst>
        </xdr:cNvPr>
        <xdr:cNvSpPr/>
      </xdr:nvSpPr>
      <xdr:spPr>
        <a:xfrm>
          <a:off x="92581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43</xdr:col>
      <xdr:colOff>7315</xdr:colOff>
      <xdr:row>19</xdr:row>
      <xdr:rowOff>0</xdr:rowOff>
    </xdr:from>
    <xdr:to>
      <xdr:col>43</xdr:col>
      <xdr:colOff>215036</xdr:colOff>
      <xdr:row>20</xdr:row>
      <xdr:rowOff>21946</xdr:rowOff>
    </xdr:to>
    <xdr:sp macro="" textlink="">
      <xdr:nvSpPr>
        <xdr:cNvPr id="14" name="Oval 13">
          <a:extLst>
            <a:ext uri="{FF2B5EF4-FFF2-40B4-BE49-F238E27FC236}">
              <a16:creationId xmlns:a16="http://schemas.microsoft.com/office/drawing/2014/main" id="{8D61873F-E9FD-4F44-9DB6-D405E3A344B0}"/>
            </a:ext>
          </a:extLst>
        </xdr:cNvPr>
        <xdr:cNvSpPr/>
      </xdr:nvSpPr>
      <xdr:spPr>
        <a:xfrm>
          <a:off x="10380269" y="3474720"/>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0</xdr:colOff>
      <xdr:row>19</xdr:row>
      <xdr:rowOff>0</xdr:rowOff>
    </xdr:from>
    <xdr:to>
      <xdr:col>19</xdr:col>
      <xdr:colOff>207721</xdr:colOff>
      <xdr:row>20</xdr:row>
      <xdr:rowOff>21946</xdr:rowOff>
    </xdr:to>
    <xdr:sp macro="" textlink="">
      <xdr:nvSpPr>
        <xdr:cNvPr id="15" name="Oval 14">
          <a:extLst>
            <a:ext uri="{FF2B5EF4-FFF2-40B4-BE49-F238E27FC236}">
              <a16:creationId xmlns:a16="http://schemas.microsoft.com/office/drawing/2014/main" id="{4960BFBC-A9C1-4D8D-AA1D-72B7A9FCA6FA}"/>
            </a:ext>
          </a:extLst>
        </xdr:cNvPr>
        <xdr:cNvSpPr/>
      </xdr:nvSpPr>
      <xdr:spPr>
        <a:xfrm>
          <a:off x="5076749" y="3474720"/>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23</xdr:col>
      <xdr:colOff>14630</xdr:colOff>
      <xdr:row>16</xdr:row>
      <xdr:rowOff>175565</xdr:rowOff>
    </xdr:from>
    <xdr:to>
      <xdr:col>24</xdr:col>
      <xdr:colOff>2895</xdr:colOff>
      <xdr:row>18</xdr:row>
      <xdr:rowOff>14631</xdr:rowOff>
    </xdr:to>
    <xdr:sp macro="" textlink="">
      <xdr:nvSpPr>
        <xdr:cNvPr id="16" name="Oval 15">
          <a:extLst>
            <a:ext uri="{FF2B5EF4-FFF2-40B4-BE49-F238E27FC236}">
              <a16:creationId xmlns:a16="http://schemas.microsoft.com/office/drawing/2014/main" id="{DF9B960C-4BAE-4742-8431-2E9BC54055DC}"/>
            </a:ext>
          </a:extLst>
        </xdr:cNvPr>
        <xdr:cNvSpPr/>
      </xdr:nvSpPr>
      <xdr:spPr>
        <a:xfrm>
          <a:off x="5969203" y="3101645"/>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47</xdr:col>
      <xdr:colOff>14630</xdr:colOff>
      <xdr:row>16</xdr:row>
      <xdr:rowOff>175565</xdr:rowOff>
    </xdr:from>
    <xdr:to>
      <xdr:col>48</xdr:col>
      <xdr:colOff>2895</xdr:colOff>
      <xdr:row>18</xdr:row>
      <xdr:rowOff>14631</xdr:rowOff>
    </xdr:to>
    <xdr:sp macro="" textlink="">
      <xdr:nvSpPr>
        <xdr:cNvPr id="17" name="Oval 16">
          <a:extLst>
            <a:ext uri="{FF2B5EF4-FFF2-40B4-BE49-F238E27FC236}">
              <a16:creationId xmlns:a16="http://schemas.microsoft.com/office/drawing/2014/main" id="{51BE9867-DFA3-42A7-BE6B-733538EAD82C}"/>
            </a:ext>
          </a:extLst>
        </xdr:cNvPr>
        <xdr:cNvSpPr/>
      </xdr:nvSpPr>
      <xdr:spPr>
        <a:xfrm>
          <a:off x="11265408" y="3101645"/>
          <a:ext cx="207721" cy="20482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18" name="Oval 17">
          <a:extLst>
            <a:ext uri="{FF2B5EF4-FFF2-40B4-BE49-F238E27FC236}">
              <a16:creationId xmlns:a16="http://schemas.microsoft.com/office/drawing/2014/main" id="{626665C1-4853-4715-A81B-6E6A2933BB3C}"/>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19" name="Rounded Rectangle 108">
          <a:extLst>
            <a:ext uri="{FF2B5EF4-FFF2-40B4-BE49-F238E27FC236}">
              <a16:creationId xmlns:a16="http://schemas.microsoft.com/office/drawing/2014/main" id="{59CF09F8-CD0E-403A-833E-7EEA859F6AB0}"/>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20" name="Oval 19">
          <a:extLst>
            <a:ext uri="{FF2B5EF4-FFF2-40B4-BE49-F238E27FC236}">
              <a16:creationId xmlns:a16="http://schemas.microsoft.com/office/drawing/2014/main" id="{C98138BF-8DCA-45A7-88F2-863552D06E8E}"/>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209550</xdr:rowOff>
    </xdr:from>
    <xdr:to>
      <xdr:col>4</xdr:col>
      <xdr:colOff>0</xdr:colOff>
      <xdr:row>23</xdr:row>
      <xdr:rowOff>28575</xdr:rowOff>
    </xdr:to>
    <xdr:sp macro="" textlink="">
      <xdr:nvSpPr>
        <xdr:cNvPr id="21" name="Oval 20">
          <a:extLst>
            <a:ext uri="{FF2B5EF4-FFF2-40B4-BE49-F238E27FC236}">
              <a16:creationId xmlns:a16="http://schemas.microsoft.com/office/drawing/2014/main" id="{4270EAE6-A6A9-423C-9B2C-3BD165C94801}"/>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0</xdr:colOff>
      <xdr:row>21</xdr:row>
      <xdr:rowOff>180289</xdr:rowOff>
    </xdr:from>
    <xdr:to>
      <xdr:col>4</xdr:col>
      <xdr:colOff>0</xdr:colOff>
      <xdr:row>23</xdr:row>
      <xdr:rowOff>28575</xdr:rowOff>
    </xdr:to>
    <xdr:sp macro="" textlink="">
      <xdr:nvSpPr>
        <xdr:cNvPr id="22" name="Oval 21">
          <a:extLst>
            <a:ext uri="{FF2B5EF4-FFF2-40B4-BE49-F238E27FC236}">
              <a16:creationId xmlns:a16="http://schemas.microsoft.com/office/drawing/2014/main" id="{1CB54102-0C51-4E36-949D-1FBE42D3D058}"/>
            </a:ext>
          </a:extLst>
        </xdr:cNvPr>
        <xdr:cNvSpPr/>
      </xdr:nvSpPr>
      <xdr:spPr>
        <a:xfrm>
          <a:off x="1565453"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11735</xdr:colOff>
      <xdr:row>23</xdr:row>
      <xdr:rowOff>158344</xdr:rowOff>
    </xdr:from>
    <xdr:to>
      <xdr:col>5</xdr:col>
      <xdr:colOff>212141</xdr:colOff>
      <xdr:row>29</xdr:row>
      <xdr:rowOff>14630</xdr:rowOff>
    </xdr:to>
    <xdr:sp macro="" textlink="">
      <xdr:nvSpPr>
        <xdr:cNvPr id="23" name="Rounded Rectangle 2">
          <a:extLst>
            <a:ext uri="{FF2B5EF4-FFF2-40B4-BE49-F238E27FC236}">
              <a16:creationId xmlns:a16="http://schemas.microsoft.com/office/drawing/2014/main" id="{98A60D02-36CB-41D7-8EB8-C130F8A8C744}"/>
            </a:ext>
          </a:extLst>
        </xdr:cNvPr>
        <xdr:cNvSpPr/>
      </xdr:nvSpPr>
      <xdr:spPr>
        <a:xfrm>
          <a:off x="2016100"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4" name="Oval 23">
          <a:extLst>
            <a:ext uri="{FF2B5EF4-FFF2-40B4-BE49-F238E27FC236}">
              <a16:creationId xmlns:a16="http://schemas.microsoft.com/office/drawing/2014/main" id="{38B1BA7B-C49D-48DC-B501-5F8AF86FFA3C}"/>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11735</xdr:colOff>
      <xdr:row>23</xdr:row>
      <xdr:rowOff>158344</xdr:rowOff>
    </xdr:from>
    <xdr:to>
      <xdr:col>13</xdr:col>
      <xdr:colOff>212141</xdr:colOff>
      <xdr:row>29</xdr:row>
      <xdr:rowOff>14630</xdr:rowOff>
    </xdr:to>
    <xdr:sp macro="" textlink="">
      <xdr:nvSpPr>
        <xdr:cNvPr id="25" name="Rounded Rectangle 108">
          <a:extLst>
            <a:ext uri="{FF2B5EF4-FFF2-40B4-BE49-F238E27FC236}">
              <a16:creationId xmlns:a16="http://schemas.microsoft.com/office/drawing/2014/main" id="{8E1D9DDF-EA08-4002-831A-44990FE2809A}"/>
            </a:ext>
          </a:extLst>
        </xdr:cNvPr>
        <xdr:cNvSpPr/>
      </xdr:nvSpPr>
      <xdr:spPr>
        <a:xfrm>
          <a:off x="37717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6" name="Oval 25">
          <a:extLst>
            <a:ext uri="{FF2B5EF4-FFF2-40B4-BE49-F238E27FC236}">
              <a16:creationId xmlns:a16="http://schemas.microsoft.com/office/drawing/2014/main" id="{E1E5A910-4387-45F9-9D4A-089F5F22A558}"/>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7" name="Oval 26">
          <a:extLst>
            <a:ext uri="{FF2B5EF4-FFF2-40B4-BE49-F238E27FC236}">
              <a16:creationId xmlns:a16="http://schemas.microsoft.com/office/drawing/2014/main" id="{34ACC97A-EC80-42FB-95A8-245714E2B7F3}"/>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0</xdr:colOff>
      <xdr:row>21</xdr:row>
      <xdr:rowOff>209550</xdr:rowOff>
    </xdr:from>
    <xdr:to>
      <xdr:col>12</xdr:col>
      <xdr:colOff>0</xdr:colOff>
      <xdr:row>23</xdr:row>
      <xdr:rowOff>28575</xdr:rowOff>
    </xdr:to>
    <xdr:sp macro="" textlink="">
      <xdr:nvSpPr>
        <xdr:cNvPr id="28" name="Oval 27">
          <a:extLst>
            <a:ext uri="{FF2B5EF4-FFF2-40B4-BE49-F238E27FC236}">
              <a16:creationId xmlns:a16="http://schemas.microsoft.com/office/drawing/2014/main" id="{EE653960-D387-4EF3-B64D-78188EE6D2E1}"/>
            </a:ext>
          </a:extLst>
        </xdr:cNvPr>
        <xdr:cNvSpPr/>
      </xdr:nvSpPr>
      <xdr:spPr>
        <a:xfrm>
          <a:off x="33211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11735</xdr:colOff>
      <xdr:row>23</xdr:row>
      <xdr:rowOff>158344</xdr:rowOff>
    </xdr:from>
    <xdr:to>
      <xdr:col>13</xdr:col>
      <xdr:colOff>212141</xdr:colOff>
      <xdr:row>29</xdr:row>
      <xdr:rowOff>14630</xdr:rowOff>
    </xdr:to>
    <xdr:sp macro="" textlink="">
      <xdr:nvSpPr>
        <xdr:cNvPr id="29" name="Rounded Rectangle 2">
          <a:extLst>
            <a:ext uri="{FF2B5EF4-FFF2-40B4-BE49-F238E27FC236}">
              <a16:creationId xmlns:a16="http://schemas.microsoft.com/office/drawing/2014/main" id="{84EB0088-D99F-4E90-853E-CA8231F240F4}"/>
            </a:ext>
          </a:extLst>
        </xdr:cNvPr>
        <xdr:cNvSpPr/>
      </xdr:nvSpPr>
      <xdr:spPr>
        <a:xfrm>
          <a:off x="37717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0" name="Oval 29">
          <a:extLst>
            <a:ext uri="{FF2B5EF4-FFF2-40B4-BE49-F238E27FC236}">
              <a16:creationId xmlns:a16="http://schemas.microsoft.com/office/drawing/2014/main" id="{D9E32C12-2467-4AB0-BA48-BF1E8C71FC03}"/>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31" name="Rounded Rectangle 108">
          <a:extLst>
            <a:ext uri="{FF2B5EF4-FFF2-40B4-BE49-F238E27FC236}">
              <a16:creationId xmlns:a16="http://schemas.microsoft.com/office/drawing/2014/main" id="{E8E5EED0-A6A8-42D7-9B83-D6F1B9240F71}"/>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2" name="Oval 31">
          <a:extLst>
            <a:ext uri="{FF2B5EF4-FFF2-40B4-BE49-F238E27FC236}">
              <a16:creationId xmlns:a16="http://schemas.microsoft.com/office/drawing/2014/main" id="{8F644274-281A-4C86-BD50-4F844A6B6769}"/>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3" name="Oval 32">
          <a:extLst>
            <a:ext uri="{FF2B5EF4-FFF2-40B4-BE49-F238E27FC236}">
              <a16:creationId xmlns:a16="http://schemas.microsoft.com/office/drawing/2014/main" id="{0E244C18-5A64-4AC8-AB5B-8C1F8B08B84B}"/>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27</xdr:col>
      <xdr:colOff>0</xdr:colOff>
      <xdr:row>21</xdr:row>
      <xdr:rowOff>209550</xdr:rowOff>
    </xdr:from>
    <xdr:to>
      <xdr:col>28</xdr:col>
      <xdr:colOff>0</xdr:colOff>
      <xdr:row>23</xdr:row>
      <xdr:rowOff>28575</xdr:rowOff>
    </xdr:to>
    <xdr:sp macro="" textlink="">
      <xdr:nvSpPr>
        <xdr:cNvPr id="34" name="Oval 33">
          <a:extLst>
            <a:ext uri="{FF2B5EF4-FFF2-40B4-BE49-F238E27FC236}">
              <a16:creationId xmlns:a16="http://schemas.microsoft.com/office/drawing/2014/main" id="{18A6A541-DA83-475A-BF11-775838E2954C}"/>
            </a:ext>
          </a:extLst>
        </xdr:cNvPr>
        <xdr:cNvSpPr/>
      </xdr:nvSpPr>
      <xdr:spPr>
        <a:xfrm>
          <a:off x="683239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29</xdr:col>
      <xdr:colOff>11735</xdr:colOff>
      <xdr:row>23</xdr:row>
      <xdr:rowOff>158344</xdr:rowOff>
    </xdr:from>
    <xdr:to>
      <xdr:col>29</xdr:col>
      <xdr:colOff>212141</xdr:colOff>
      <xdr:row>29</xdr:row>
      <xdr:rowOff>14630</xdr:rowOff>
    </xdr:to>
    <xdr:sp macro="" textlink="">
      <xdr:nvSpPr>
        <xdr:cNvPr id="35" name="Rounded Rectangle 2">
          <a:extLst>
            <a:ext uri="{FF2B5EF4-FFF2-40B4-BE49-F238E27FC236}">
              <a16:creationId xmlns:a16="http://schemas.microsoft.com/office/drawing/2014/main" id="{15F1D884-DAE8-4A9D-A595-E7ED7403DB8C}"/>
            </a:ext>
          </a:extLst>
        </xdr:cNvPr>
        <xdr:cNvSpPr/>
      </xdr:nvSpPr>
      <xdr:spPr>
        <a:xfrm>
          <a:off x="728304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36</xdr:col>
      <xdr:colOff>0</xdr:colOff>
      <xdr:row>21</xdr:row>
      <xdr:rowOff>209550</xdr:rowOff>
    </xdr:from>
    <xdr:to>
      <xdr:col>37</xdr:col>
      <xdr:colOff>0</xdr:colOff>
      <xdr:row>23</xdr:row>
      <xdr:rowOff>28575</xdr:rowOff>
    </xdr:to>
    <xdr:sp macro="" textlink="">
      <xdr:nvSpPr>
        <xdr:cNvPr id="36" name="Oval 35">
          <a:extLst>
            <a:ext uri="{FF2B5EF4-FFF2-40B4-BE49-F238E27FC236}">
              <a16:creationId xmlns:a16="http://schemas.microsoft.com/office/drawing/2014/main" id="{9DEF8BF7-491D-4E90-B928-D9DF03098CF6}"/>
            </a:ext>
          </a:extLst>
        </xdr:cNvPr>
        <xdr:cNvSpPr/>
      </xdr:nvSpPr>
      <xdr:spPr>
        <a:xfrm>
          <a:off x="8807501"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38</xdr:col>
      <xdr:colOff>11735</xdr:colOff>
      <xdr:row>23</xdr:row>
      <xdr:rowOff>158344</xdr:rowOff>
    </xdr:from>
    <xdr:to>
      <xdr:col>38</xdr:col>
      <xdr:colOff>212141</xdr:colOff>
      <xdr:row>29</xdr:row>
      <xdr:rowOff>14630</xdr:rowOff>
    </xdr:to>
    <xdr:sp macro="" textlink="">
      <xdr:nvSpPr>
        <xdr:cNvPr id="37" name="Rounded Rectangle 2">
          <a:extLst>
            <a:ext uri="{FF2B5EF4-FFF2-40B4-BE49-F238E27FC236}">
              <a16:creationId xmlns:a16="http://schemas.microsoft.com/office/drawing/2014/main" id="{CEC89046-C980-4C05-91C5-66CA60A4C8E8}"/>
            </a:ext>
          </a:extLst>
        </xdr:cNvPr>
        <xdr:cNvSpPr/>
      </xdr:nvSpPr>
      <xdr:spPr>
        <a:xfrm>
          <a:off x="9258148"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38" name="Oval 37">
          <a:extLst>
            <a:ext uri="{FF2B5EF4-FFF2-40B4-BE49-F238E27FC236}">
              <a16:creationId xmlns:a16="http://schemas.microsoft.com/office/drawing/2014/main" id="{5B77CE44-8907-49B6-B355-34D359C7AAA6}"/>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39" name="Rounded Rectangle 113">
          <a:extLst>
            <a:ext uri="{FF2B5EF4-FFF2-40B4-BE49-F238E27FC236}">
              <a16:creationId xmlns:a16="http://schemas.microsoft.com/office/drawing/2014/main" id="{266E19DA-D61F-4005-B162-1F717B36D65C}"/>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0</xdr:colOff>
      <xdr:row>21</xdr:row>
      <xdr:rowOff>209550</xdr:rowOff>
    </xdr:from>
    <xdr:to>
      <xdr:col>13</xdr:col>
      <xdr:colOff>0</xdr:colOff>
      <xdr:row>23</xdr:row>
      <xdr:rowOff>28575</xdr:rowOff>
    </xdr:to>
    <xdr:sp macro="" textlink="">
      <xdr:nvSpPr>
        <xdr:cNvPr id="40" name="Oval 39">
          <a:extLst>
            <a:ext uri="{FF2B5EF4-FFF2-40B4-BE49-F238E27FC236}">
              <a16:creationId xmlns:a16="http://schemas.microsoft.com/office/drawing/2014/main" id="{62BDBC57-1DE7-4F2C-81D0-C42792C70BFD}"/>
            </a:ext>
          </a:extLst>
        </xdr:cNvPr>
        <xdr:cNvSpPr/>
      </xdr:nvSpPr>
      <xdr:spPr>
        <a:xfrm>
          <a:off x="3540557" y="4020769"/>
          <a:ext cx="219456" cy="214046"/>
        </a:xfrm>
        <a:prstGeom prst="ellipse">
          <a:avLst/>
        </a:prstGeom>
        <a:noFill/>
        <a:ln w="2857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11735</xdr:colOff>
      <xdr:row>23</xdr:row>
      <xdr:rowOff>158344</xdr:rowOff>
    </xdr:from>
    <xdr:to>
      <xdr:col>14</xdr:col>
      <xdr:colOff>212141</xdr:colOff>
      <xdr:row>29</xdr:row>
      <xdr:rowOff>14630</xdr:rowOff>
    </xdr:to>
    <xdr:sp macro="" textlink="">
      <xdr:nvSpPr>
        <xdr:cNvPr id="41" name="Rounded Rectangle 2">
          <a:extLst>
            <a:ext uri="{FF2B5EF4-FFF2-40B4-BE49-F238E27FC236}">
              <a16:creationId xmlns:a16="http://schemas.microsoft.com/office/drawing/2014/main" id="{7E2BF105-D8C2-4180-A16E-64812B81D4F9}"/>
            </a:ext>
          </a:extLst>
        </xdr:cNvPr>
        <xdr:cNvSpPr/>
      </xdr:nvSpPr>
      <xdr:spPr>
        <a:xfrm>
          <a:off x="3991204" y="4364584"/>
          <a:ext cx="200406" cy="953566"/>
        </a:xfrm>
        <a:prstGeom prst="roundRect">
          <a:avLst/>
        </a:prstGeom>
        <a:noFill/>
        <a:ln w="22225">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https://naturalhistorymuseum-my.sharepoint.com/Users/varah.a/Desktop/Documents/Black%20Grass%20Resistance%20Initiative/Economics/BGRI_ECOMOD_Data_2018-19%20prices-copy%20of%20final%20version-%20unprotected%20sheets%20c%20comments%20for%20Alexa.xlsx?6D5BBFDA" TargetMode="External"/><Relationship Id="rId1" Type="http://schemas.openxmlformats.org/officeDocument/2006/relationships/externalLinkPath" Target="file:///6D5BBFDA/BGRI_ECOMOD_Data_2018-19%20prices-copy%20of%20final%20version-%20unprotected%20sheets%20c%20comments%20for%20Alex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amp; Assumptions"/>
      <sheetName val="Model Overview"/>
      <sheetName val="Model Input Variables"/>
      <sheetName val="Soil | Fuel | Labour | Subsidy"/>
      <sheetName val="Crop &amp; Tillage Labels"/>
      <sheetName val="Crop Data"/>
      <sheetName val="Default Data"/>
      <sheetName val="Machinery"/>
      <sheetName val="Operations &amp; Work Rates"/>
      <sheetName val="Yield Penalty | Black-grass"/>
      <sheetName val="Yield Penalty | Sowing Date"/>
      <sheetName val="Yield Penalty | Crop Rotations"/>
      <sheetName val="Data Sources &amp; References"/>
      <sheetName val="Soil Index &amp; Farm Data"/>
    </sheetNames>
    <sheetDataSet>
      <sheetData sheetId="0" refreshError="1"/>
      <sheetData sheetId="1" refreshError="1"/>
      <sheetData sheetId="2" refreshError="1"/>
      <sheetData sheetId="3" refreshError="1">
        <row r="5">
          <cell r="M5">
            <v>2.5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persons/person.xml><?xml version="1.0" encoding="utf-8"?>
<personList xmlns="http://schemas.microsoft.com/office/spreadsheetml/2018/threadedcomments" xmlns:x="http://schemas.openxmlformats.org/spreadsheetml/2006/main">
  <person displayName="Alexa Varah" id="{E85064DB-4318-4176-AD72-EC279C9132ED}" userId="Alexa Varah" providerId="None"/>
  <person displayName="Elliot עליות Shayle שייל" id="{A1FA58FC-A510-4239-B789-64CADB24CD4E}" userId="1f35c6741165d46c" providerId="Windows Live"/>
  <person displayName="Alexa Varah" id="{6959925E-05D0-B846-9871-1880AC76B9C6}" userId="b7bd1ce6bb76dc23" providerId="Windows Live"/>
  <person displayName="Elliot Samuel Shayle | אליוט שמואל שייל" id="{910D7A6A-1D75-4830-A13B-57872AC75804}" userId="Elliot Samuel Shayle | אליוט שמואל שייל" providerId="None"/>
  <person displayName="Alexa Varah" id="{A7464F79-F6FC-4943-BBAE-051A38267115}" userId="S::a.varah@nhm.ac.uk::322011fb-7cef-443e-acb3-612626bdc463" providerId="AD"/>
  <person displayName="Alexa Varah" id="{13276AAF-BB47-41E5-A2BE-B54A696307BC}" userId="S::Alexa.Varah@ioz.ac.uk::b36d3d10-1a8e-405b-abba-9db04978f55f"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Q43" dT="2020-04-23T08:36:34.23" personId="{13276AAF-BB47-41E5-A2BE-B54A696307BC}" id="{15F95E0A-1892-40B5-B94C-9E51E68EDF28}">
    <text>For ECOMOD, enter the deepest tillage operation carried out for a crop</text>
  </threadedComment>
  <threadedComment ref="F47" dT="2020-06-01T08:56:33.91" personId="{E85064DB-4318-4176-AD72-EC279C9132ED}" id="{D3E261AD-8395-4A73-AF4A-A53F6357BB13}">
    <text>e.g. a power harrow or a roller harrow.
Power harrows finely break up the soil, refining and evenly distributing it over the entire working width to create a perfect seed bed: they are generally used for secondary tillage after ploughing or subsoiling and can break up even the most compacted ground, often in a single pass.</text>
  </threadedComment>
</ThreadedComments>
</file>

<file path=xl/threadedComments/threadedComment2.xml><?xml version="1.0" encoding="utf-8"?>
<ThreadedComments xmlns="http://schemas.microsoft.com/office/spreadsheetml/2018/threadedcomments" xmlns:x="http://schemas.openxmlformats.org/spreadsheetml/2006/main">
  <threadedComment ref="F1" dT="2022-08-09T15:52:13.91" personId="{A7464F79-F6FC-4943-BBAE-051A38267115}" id="{CB1D172A-52C8-4A99-974A-E0FE7B4499AC}">
    <text>This is a free text box in the CFT. It's filled in to make data interpretation easier and also because this column is used by formulae in other columns in thei spreadsheet.</text>
  </threadedComment>
  <threadedComment ref="G1" dT="2020-02-14T14:33:16.43" personId="{13276AAF-BB47-41E5-A2BE-B54A696307BC}" id="{C4B8AB5B-9B3E-46DC-880D-9E973E836136}">
    <text>7.2ha is the average size of the 66 fields used in the Nat Sust analysis</text>
  </threadedComment>
  <threadedComment ref="M1" dT="2022-08-09T15:53:24.83" personId="{A7464F79-F6FC-4943-BBAE-051A38267115}" id="{CA7CB8CC-B771-421D-9D5C-900C7CD20A89}">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N1" dT="2020-02-14T14:34:14.60" personId="{13276AAF-BB47-41E5-A2BE-B54A696307BC}" id="{92C4F582-0180-4EAA-8EF4-6286F93CA968}">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P1" dT="2020-02-14T14:35:05.32" personId="{13276AAF-BB47-41E5-A2BE-B54A696307BC}" id="{51548D0F-21B0-430F-84B3-1D6D169B0C5C}">
    <text>Assumes field drains are installed and effective in fields with naturally poor drainage.</text>
  </threadedComment>
  <threadedComment ref="Q1" dT="2020-02-14T14:36:03.62" personId="{13276AAF-BB47-41E5-A2BE-B54A696307BC}" id="{7A987DA7-5D44-4585-A23C-2CC1611DE8E4}">
    <text>7 is the average pH value of the soils from the 66 fields used in the Nature Sustainability analysis</text>
  </threadedComment>
  <threadedComment ref="T1" dT="2020-04-03T10:07:24.44" personId="{910D7A6A-1D75-4830-A13B-57872AC75804}" id="{9CD24DCA-F308-4029-B059-63816EBAA9AD}">
    <text>This will need a formula</text>
  </threadedComment>
  <threadedComment ref="V1" dT="2020-01-31T10:34:09.28" personId="{13276AAF-BB47-41E5-A2BE-B54A696307BC}" id="{D14D549B-5589-40F7-B8EA-350FFD609023}">
    <text>number of operations</text>
  </threadedComment>
  <threadedComment ref="W1" dT="2020-01-29T16:20:10.70" personId="{13276AAF-BB47-41E5-A2BE-B54A696307BC}" id="{89F36B12-5D9D-4FC2-9BF1-CC99CB5F9500}">
    <text>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ext>
  </threadedComment>
  <threadedComment ref="W1" dT="2020-04-12T03:52:55.96" personId="{910D7A6A-1D75-4830-A13B-57872AC75804}" id="{AB4E2223-F02D-445B-AC12-23D7391AD435}" parentId="{89F36B12-5D9D-4FC2-9BF1-CC99CB5F9500}">
    <text>Basically, it sees an application as each 500g/ha of pesticide, rather than the exact number of times pesticide was applied (which is unlike ECOMOD)</text>
  </threadedComment>
  <threadedComment ref="Y1" dT="2020-01-31T15:06:23.11" personId="{13276AAF-BB47-41E5-A2BE-B54A696307BC}" id="{D9E13E71-962B-4BE0-AD67-2A2CCEB0FEFD}">
    <text>How long ago was this change made? (years)</text>
  </threadedComment>
  <threadedComment ref="Y1" dT="2023-06-17T17:56:48.27" personId="{A7464F79-F6FC-4943-BBAE-051A38267115}" id="{256B12A6-ACAE-404E-8CC0-049312E2DFE5}" parentId="{D9E13E71-962B-4BE0-AD67-2A2CCEB0FEFD}">
    <text>To have 1,2,3,4,5,6, use this formula:
=IF(AND(W2=W1,B2=B1),X1+1,1)</text>
  </threadedComment>
  <threadedComment ref="Z1" dT="2020-04-14T21:02:36.03" personId="{910D7A6A-1D75-4830-A13B-57872AC75804}" id="{18FC4B11-C93A-4957-AF3E-B2AA296995CB}">
    <text>What's this column for?</text>
  </threadedComment>
  <threadedComment ref="AC1" dT="2023-06-17T11:03:18.25" personId="{A7464F79-F6FC-4943-BBAE-051A38267115}" id="{DB7CDE89-8BB1-4359-A828-A8DBD8E4E9E3}">
    <text>This column is not used in the current analysis. All ploughing operations are specified as moldboard ploughing. See 'Metadata' sheet, Conversions info.</text>
  </threadedComment>
  <threadedComment ref="AD1" dT="2023-06-17T11:01:28.95" personId="{A7464F79-F6FC-4943-BBAE-051A38267115}" id="{5B95DD5E-5128-4456-AF17-C1CDC7DBCDFC}">
    <text>This column is not used in this analysis. All disc operations are assumed to be disc harrow. See 'Metadata' Conversions.</text>
  </threadedComment>
  <threadedComment ref="AE1" dT="2023-06-17T11:05:30.27" personId="{A7464F79-F6FC-4943-BBAE-051A38267115}" id="{E1A7C764-81CF-4E44-8AE3-CC6220EDFD09}">
    <text>All disc operations are specified as disc harrow. See 'Metadata' sheet, Conversions info.
The formula in these cells looks for every instance of the word 'disc' in the relevant cell of the sheet called 'Focus Data Tillage by farm'. It then returns the frequency of the word 'disc' within that cell.
So a cell containing 'disc, disc' will return 2, for example.
N.B. this formula will need changing if any operations are to go in the 'disc_gang' column.</text>
  </threadedComment>
  <threadedComment ref="AF1" dT="2023-06-17T11:07:56.48" personId="{A7464F79-F6FC-4943-BBAE-051A38267115}" id="{D4EAFF1E-6F00-4FD6-BD2D-188283A24D5E}">
    <text>This machine isn't used in this analysis, but (in case it needs to be used in other analyses) there is a formula to look up the string 'field cultivator' in the relevant cells of the sheet called 'Focus Data Tillage by farm'.</text>
  </threadedComment>
  <threadedComment ref="AG1" dT="2023-06-17T11:11:14.29" personId="{A7464F79-F6FC-4943-BBAE-051A38267115}" id="{B4367B1A-F60F-46A6-84CA-25756611F088}">
    <text>This column looks for the string 'grain drill' in the relevant cells of the sheet called 'Focus Data Tillage by farm'. If you want direct drilling, this is the column called grain_drill_no_till and you should enter 'minimum tillage' in the 'Focus Data Tillage by farm' sheet.</text>
  </threadedComment>
  <threadedComment ref="AH1" dT="2023-06-17T11:13:05.49" personId="{A7464F79-F6FC-4943-BBAE-051A38267115}" id="{787A9FE7-BC96-4B9D-B615-E04B8C75653D}">
    <text xml:space="preserve">This column looks for the string 'minimum tillage' in the relevant cells of the sheet called 'Focus Data Tillage by farm'. If you want standard drilling, this is the column called grain_drill and you should enter 'grain drill' in the 'Focus Data Tillage by farm' sheet.
</text>
  </threadedComment>
  <threadedComment ref="AI1" dT="2020-06-01T10:06:02.91" personId="{E85064DB-4318-4176-AD72-EC279C9132ED}" id="{8D7AE4CF-AEE1-4039-A613-4F20AB2DD172}">
    <text>This is used for drilling sugar beet and also oilseed rape &amp; linseed. However, OSR and linseed can also be drilled with grain drills, so we specify 'grain drill' for drilling OSR and linseed in this analysis on the assumption that farmers use existing equipment where possible.</text>
  </threadedComment>
  <threadedComment ref="AJ1" dT="2023-06-17T11:14:36.01" personId="{A7464F79-F6FC-4943-BBAE-051A38267115}" id="{A4713002-693E-426D-9095-8C66C2283A43}">
    <text>We assume all inversion plough operations are done with a moldboard plough.</text>
  </threadedComment>
  <threadedComment ref="AK1" dT="2020-06-01T09:14:41.61" personId="{E85064DB-4318-4176-AD72-EC279C9132ED}" id="{299497C2-413C-44F5-AF1C-A7CFF793C311}">
    <text>We have not differentiated between 'power harrow' and 'roller harrow' so where farmers specified a power harrow, we entered roller harrow and it'll show up in this column.</text>
  </threadedComment>
  <threadedComment ref="W17" dT="2020-05-04T22:09:19.43" personId="{910D7A6A-1D75-4830-A13B-57872AC75804}" id="{373DBAC1-B479-44C3-805B-AF3BF4BB6109}">
    <text>Teal squares are where data has been manually inputted to some extent to account for discrepancies in the formulae.</text>
  </threadedComment>
</ThreadedComments>
</file>

<file path=xl/threadedComments/threadedComment3.xml><?xml version="1.0" encoding="utf-8"?>
<ThreadedComments xmlns="http://schemas.microsoft.com/office/spreadsheetml/2018/threadedcomments" xmlns:x="http://schemas.openxmlformats.org/spreadsheetml/2006/main">
  <threadedComment ref="C9" dT="2021-10-20T11:20:47.86" personId="{A7464F79-F6FC-4943-BBAE-051A38267115}" id="{69A0A807-5358-4869-919D-19CDE89021A9}">
    <text>Farmers specified maize. Use sOSR as proxy in ECOMOD</text>
  </threadedComment>
  <threadedComment ref="B11" dT="2021-10-20T12:19:54.11" personId="{A7464F79-F6FC-4943-BBAE-051A38267115}" id="{A745A4A7-7DA5-4FCB-9DEB-AD4914968539}">
    <text>ECOMOD will run spring barley rather than spring oats - to get round this, enter spring oat values and then run ECOMOD with 'actual' rather than 'estimated' yield.</text>
  </threadedComment>
  <threadedComment ref="I12" dT="2021-10-18T14:17:42.30" personId="{A7464F79-F6FC-4943-BBAE-051A38267115}" id="{A16B04CE-E12D-48D5-814D-0BEFDFA17F0A}">
    <text>NB they said that ww was the preferred option here unless BG control hadn't worked, in which case back to spring barley. Assume BG still an issue and crop spring barley. Not recommended to follow spring barley with winter wheat so do wOSR again.</text>
  </threadedComment>
  <threadedComment ref="B13" dT="2020-10-14T14:19:25.11" personId="{A7464F79-F6FC-4943-BBAE-051A38267115}" id="{72C8F5CC-2268-4703-8E05-D824E1B18BD0}">
    <text>rotate back to year 1</text>
  </threadedComment>
  <threadedComment ref="I13" dT="2021-10-18T14:17:46.35" personId="{A7464F79-F6FC-4943-BBAE-051A38267115}" id="{41887D83-7478-44B1-A498-E69536250AFB}">
    <text>repeat first 3 years</text>
  </threadedComment>
  <threadedComment ref="M13" dT="2020-10-14T14:21:37.09" personId="{A7464F79-F6FC-4943-BBAE-051A38267115}" id="{00140E3A-2D87-4DFA-92E2-C1408DEF196A}">
    <text>rotate back to year 1</text>
  </threadedComment>
  <threadedComment ref="N13" dT="2020-10-14T14:21:51.39" personId="{A7464F79-F6FC-4943-BBAE-051A38267115}" id="{A32448B4-11DC-4199-BC37-35245A8D2765}">
    <text>rotate back to year 1</text>
  </threadedComment>
  <threadedComment ref="C17" dT="2021-10-20T11:20:47.86" personId="{A7464F79-F6FC-4943-BBAE-051A38267115}" id="{3A45B8E0-75A3-4575-A8E5-540D69A1017D}">
    <text>Farmers specified maize. Use sOSR as proxy in ECOMOD</text>
  </threadedComment>
  <threadedComment ref="B20" dT="2021-10-20T12:19:54.11" personId="{A7464F79-F6FC-4943-BBAE-051A38267115}" id="{39025CE3-6ABA-46FD-B800-7DECE9B4DF5D}">
    <text>ECOMOD will run spring barley rather than spring oats - to get round this, enter spring oat values and then run ECOMOD with 'actual' rather than 'estimated' yield.</text>
  </threadedComment>
  <threadedComment ref="I20" dT="2021-10-18T14:17:42.30" personId="{A7464F79-F6FC-4943-BBAE-051A38267115}" id="{44983C84-680C-4D08-A50D-93F1775F911D}">
    <text>repeat first 3 years</text>
  </threadedComment>
  <threadedComment ref="I21" dT="2021-10-18T14:17:46.35" personId="{A7464F79-F6FC-4943-BBAE-051A38267115}" id="{B4E626FF-14B2-4373-925D-2FD64664B937}">
    <text>repeat first 3 years</text>
  </threadedComment>
  <threadedComment ref="M21" dT="2020-10-14T14:21:37.09" personId="{A7464F79-F6FC-4943-BBAE-051A38267115}" id="{71FE6A19-D6BF-4354-BC51-A3B1C9840B70}">
    <text>rotate back to year 1</text>
  </threadedComment>
  <threadedComment ref="N21" dT="2020-10-14T14:21:51.39" personId="{A7464F79-F6FC-4943-BBAE-051A38267115}" id="{F3A7D741-93EC-4AAE-89AB-0DDD5C15ADAC}">
    <text>rotate back to year 1</text>
  </threadedComment>
  <threadedComment ref="D24" dT="2021-10-13T10:45:16.97" personId="{A7464F79-F6FC-4943-BBAE-051A38267115}" id="{D2220A41-269E-461F-A72A-7F3F686B74B4}">
    <text>NB on light soils this is 240</text>
  </threadedComment>
  <threadedComment ref="B27" dT="2020-03-26T19:45:20.98" personId="{910D7A6A-1D75-4830-A13B-57872AC75804}" id="{65170F01-2809-4773-ABCC-09C773BF3A93}">
    <text>This is actually 'Spring Oats' but no such variable is coded into ECOMOD</text>
  </threadedComment>
  <threadedComment ref="C32" dT="2021-10-20T11:14:48.95" personId="{A7464F79-F6FC-4943-BBAE-051A38267115}" id="{90566581-E8B6-46A8-A15A-842AD6856CE5}">
    <text>use sOSR as proxy for maize</text>
  </threadedComment>
  <threadedComment ref="A38" dT="2021-10-13T14:07:19.95" personId="{A7464F79-F6FC-4943-BBAE-051A38267115}" id="{F849BCB8-A029-44D8-B761-BF5E44592C11}">
    <text>farmers specified maize but use sOSR as proxy in ECOMOD. Don't try to run it as maize as the costs are too different, esp for maize destined for AD.</text>
  </threadedComment>
  <threadedComment ref="C38" dT="2021-10-13T13:34:08.69" personId="{A7464F79-F6FC-4943-BBAE-051A38267115}" id="{96A23966-EA70-47C6-BB88-7D56E881C079}">
    <text>I previously had 6.5 kg/ha here but KWS seed rate calc gives 2 units/ha</text>
  </threadedComment>
  <threadedComment ref="A39" dT="2021-10-20T10:50:45.98" personId="{A7464F79-F6FC-4943-BBAE-051A38267115}" id="{6DD7A838-4DA1-4094-9EB1-860374F78452}">
    <text>ECOMOD runs spring oats as spring barley.
For the Resistance Management analysis, set all variables with values for spring oats and then run ECOMOD with yield as 'actual' rather than estimate. Use average yield from Nix.</text>
  </threadedComment>
  <threadedComment ref="B45" dT="2021-10-14T12:01:29.85" personId="{A7464F79-F6FC-4943-BBAE-051A38267115}" id="{2868D9D9-17AA-49B1-A7BF-5B97853E78F8}">
    <text>using spring barley as a proxy for oats - farmers said oats would be drilled mid March - early April so timing is same.</text>
  </threadedComment>
  <threadedComment ref="B60" dT="2020-05-21T11:49:03.40" personId="{E85064DB-4318-4176-AD72-EC279C9132ED}" id="{7C2BB076-5092-4AA8-9027-974CF15CE5C5}">
    <text>NB the second winter wheat has an inversion plough before drilling. Change this manually in spreadsheet.</text>
  </threadedComment>
  <threadedComment ref="G60" dT="2020-05-21T11:49:03.40" personId="{E85064DB-4318-4176-AD72-EC279C9132ED}" id="{73946105-EF66-4514-8C20-682B7A7DE674}">
    <text>NB the 3rd winter wheat has an inversion plough before drilling. Change this manually in spreadsheet.</text>
  </threadedComment>
  <threadedComment ref="I60" dT="2021-10-18T09:50:51.93" personId="{A7464F79-F6FC-4943-BBAE-051A38267115}" id="{63A56384-9804-490D-BE74-FF3067AEC83B}">
    <text>Inversion plough in 1st year, light cultivation in 4th year</text>
  </threadedComment>
  <threadedComment ref="B63" dT="2020-10-14T13:15:53.41" personId="{A7464F79-F6FC-4943-BBAE-051A38267115}" id="{B8143650-5088-4BBE-A352-0336E441AC50}">
    <text>this is here in case we use it as a proxy for spring oats</text>
  </threadedComment>
  <threadedComment ref="G72" dT="2020-03-26T20:55:25.94" personId="{910D7A6A-1D75-4830-A13B-57872AC75804}" id="{1EC0E078-E09B-4106-8C5E-811C247DB620}">
    <text>Also discing (light cultivation)</text>
  </threadedComment>
  <threadedComment ref="D77" dT="2020-05-15T14:21:31.41" personId="{E85064DB-4318-4176-AD72-EC279C9132ED}" id="{BDE78F1E-C242-4B0A-A34E-7978F4519131}">
    <text>NB these values are for heavy soils</text>
  </threadedComment>
  <threadedComment ref="B78" dT="2020-05-15T14:13:53.14" personId="{E85064DB-4318-4176-AD72-EC279C9132ED}" id="{A93F341B-3B50-42D5-814E-1618A6EB0806}">
    <text>assumes that 15kg/ha Avadex XL is equivalent (in terms of cost) to 5l/ha of Avadex Factor. This from result of conversation with Hank King at Gowan Crop Protection.</text>
  </threadedComment>
  <threadedComment ref="C78" dT="2022-05-23T12:25:58.65" personId="{A7464F79-F6FC-4943-BBAE-051A38267115}" id="{FEB0C5B6-471B-4D31-B253-110EF9CBCC4A}">
    <text>assumes that 15kg/ha Avadex XL is equivalent (in terms of cost) to 5l/ha of Avadex Factor. This from result of conversation with Hank King at Gowan Crop Protection.</text>
  </threadedComment>
  <threadedComment ref="D78" dT="2022-05-23T12:26:02.65" personId="{A7464F79-F6FC-4943-BBAE-051A38267115}" id="{8445CA8C-A4ED-4B48-81F6-46961D6F70CE}">
    <text>assumes that 15kg/ha Avadex XL is equivalent (in terms of cost) to 5l/ha of Avadex Factor. This from result of conversation with Hank King at Gowan Crop Protection.</text>
  </threadedComment>
  <threadedComment ref="H78" dT="2022-05-23T12:29:08.42" personId="{A7464F79-F6FC-4943-BBAE-051A38267115}" id="{5E2029AD-AD64-4AA2-8C03-D224870A6045}">
    <text>assumes that 15kg/ha Avadex XL is equivalent (in terms of cost) to 5l/ha of Avadex Factor. This from result of conversation with Hank King at Gowan Crop Protection.</text>
  </threadedComment>
  <threadedComment ref="L78" dT="2020-03-26T21:27:28.12" personId="{910D7A6A-1D75-4830-A13B-57872AC75804}" id="{5967D7D8-6475-4A4C-B9A3-72EDCA8D7E16}">
    <text>Atlantis at 0.4 kg/ha is assumed to be 0.4L/Ha</text>
  </threadedComment>
  <threadedComment ref="M78" dT="2020-10-14T14:41:24.05" personId="{A7464F79-F6FC-4943-BBAE-051A38267115}" id="{BDD79EA5-2F2C-44E7-88ED-1CF48AC1C183}">
    <text>the second ww application is 4.4 l/ha</text>
  </threadedComment>
  <threadedComment ref="N78" dT="2020-10-14T14:41:24.05" personId="{A7464F79-F6FC-4943-BBAE-051A38267115}" id="{52C2E3F1-64C6-4727-BB7D-F72D3524DAF5}">
    <text>the second ww application is 4.4 l/ha</text>
  </threadedComment>
  <threadedComment ref="G80" dT="2022-05-23T12:26:07.55" personId="{A7464F79-F6FC-4943-BBAE-051A38267115}" id="{6EB1A7C3-80A4-4CBC-A60F-5BE92E96F0C4}">
    <text>assumes that 15kg/ha Avadex XL is equivalent (in terms of cost) to 5l/ha of Avadex Factor. This from result of conversation with Hank King at Gowan Crop Protection.</text>
  </threadedComment>
  <threadedComment ref="B81" dT="2020-03-26T19:45:20.98" personId="{910D7A6A-1D75-4830-A13B-57872AC75804}" id="{56A4C93F-DEFA-455D-9295-87090BC966E3}">
    <text>This is actually 'Spring Oats' but no such variable is coded into ECOMOD</text>
  </threadedComment>
  <threadedComment ref="D85" dT="2020-03-26T20:40:10.58" personId="{910D7A6A-1D75-4830-A13B-57872AC75804}" id="{E08A4295-84A6-4E0C-9222-E3C85265AED8}">
    <text>Assumes that the 3kg/ha of Crawler is equivalent to 3l/ha</text>
  </threadedComment>
  <threadedComment ref="I85" dT="2020-03-26T21:10:03.05" personId="{910D7A6A-1D75-4830-A13B-57872AC75804}" id="{B72C95B6-044A-4ABC-AE93-5E51C824CD75}">
    <text>Assumes Crawler 2.5 kg/ha is equivalent to 2.5L/Ha</text>
  </threadedComment>
  <threadedComment ref="A86" dT="2020-03-29T00:18:13.42" personId="{910D7A6A-1D75-4830-A13B-57872AC75804}" id="{EB63F8C1-D78B-49C5-BBDB-E6976350FA6A}">
    <text>Substitute variable for Maize</text>
  </threadedComment>
  <threadedComment ref="A86" dT="2020-03-29T00:18:32.58" personId="{910D7A6A-1D75-4830-A13B-57872AC75804}" id="{3CD49195-011C-4E95-AE1A-3FF99F9DB22B}" parentId="{EB63F8C1-D78B-49C5-BBDB-E6976350FA6A}">
    <text>But only in Northern and High D High R</text>
  </threadedComment>
  <threadedComment ref="D96" dT="2020-03-26T20:42:36.47" personId="{910D7A6A-1D75-4830-A13B-57872AC75804}" id="{8EEC14C8-E2D7-46D5-9688-1D369DA4CC23}">
    <text>9.3 for year 1, but 3.3 for year 4 (year 4 manually entered to ECOMOD)</text>
  </threadedComment>
  <threadedComment ref="B99" dT="2020-03-26T19:45:20.98" personId="{910D7A6A-1D75-4830-A13B-57872AC75804}" id="{974555A4-C35E-4D66-ACFE-7FFE969A8763}">
    <text>This is actually 'Spring Oats' but no such variable is coded into ECOMOD</text>
  </threadedComment>
  <threadedComment ref="D114" dT="2020-10-14T15:47:32.62" personId="{A7464F79-F6FC-4943-BBAE-051A38267115}" id="{D8BBECD3-2802-4720-920B-FF798BE6150D}">
    <text>1st ww = 7 sprays, 
2nd ww = 5 sprays
Change manually in input file</text>
  </threadedComment>
  <threadedComment ref="B117" dT="2020-03-26T19:45:20.98" personId="{910D7A6A-1D75-4830-A13B-57872AC75804}" id="{F8270710-25D8-4D20-961F-6B3A80527C65}">
    <text>This is actually 'Spring Oats' but no such variable is coded into ECOMOD</text>
  </threadedComment>
  <threadedComment ref="C117" dT="2024-06-20T17:56:02.98" personId="{6959925E-05D0-B846-9871-1880AC76B9C6}" id="{3289E603-18CE-7A48-A3A3-214598F0C725}">
    <text>For CFT, treat each herbicide in a tank mix as one separate herbicide.</text>
  </threadedComment>
  <threadedComment ref="C122" dT="2020-10-14T15:45:42.76" personId="{A7464F79-F6FC-4943-BBAE-051A38267115}" id="{9CF17D04-76F8-4169-8789-719CF696E2E2}">
    <text>this is here as we'll use spring osr as a proxy for maize in ECOMOD</text>
  </threadedComment>
  <threadedComment ref="D132" dT="2020-03-26T20:46:37.20" personId="{910D7A6A-1D75-4830-A13B-57872AC75804}" id="{5AF1522A-1058-4810-935F-286E4ADDEE97}">
    <text>Value changes depending on year. Earliest year given here, but other years given as relevant in the input sheet</text>
  </threadedComment>
  <threadedComment ref="D139" dT="2020-04-13T11:08:37.23" personId="{910D7A6A-1D75-4830-A13B-57872AC75804}" id="{89663A84-CA9E-4251-9345-EFE6CC0FC4DA}">
    <text>Kerb was given in kg/ha</text>
  </threadedComment>
  <threadedComment ref="G144" dT="2021-10-19T16:23:36.60" personId="{A7464F79-F6FC-4943-BBAE-051A38267115}" id="{C038F33E-40AA-40F6-A398-13057EFE8875}">
    <text>check</text>
  </threadedComment>
  <threadedComment ref="C158" dT="2021-10-19T16:11:32.09" personId="{A7464F79-F6FC-4943-BBAE-051A38267115}" id="{61F959E3-1F3E-4BFA-9AF3-7AE267E183D8}">
    <text>Farmers specified maize. Might need to run spring OSR as proxy.</text>
  </threadedComment>
  <threadedComment ref="A167" dT="2020-04-12T02:20:55.42" personId="{910D7A6A-1D75-4830-A13B-57872AC75804}" id="{B5A6307A-E7FC-4F5E-9C2E-656884255D5C}">
    <text>The Defra Manual on Nitrogen Application doesn't vary applications by region or by black grass levels. It does vary by soil type and miscellaneous other factors. This doesn't appear to be a problem so far as different soil densities have so far maintained consistent Nitrogen application levels (according to the Farmer Focus Strategies).</text>
  </threadedComment>
  <threadedComment ref="A170" dT="2020-05-29T14:32:47.02" personId="{E85064DB-4318-4176-AD72-EC279C9132ED}" id="{83D488AB-2C4B-45C7-BB78-D4F8711CBE6B}">
    <text>assume all winter barley is feed barley</text>
  </threadedComment>
  <threadedComment ref="A171" dT="2020-05-29T14:33:11.04" personId="{E85064DB-4318-4176-AD72-EC279C9132ED}" id="{7D37F277-78EE-4E37-94D5-68040394AA62}">
    <text>assume all spring barley is malting barley</text>
  </threadedComment>
  <threadedComment ref="B179" dT="2020-05-04T02:46:15.25" personId="{910D7A6A-1D75-4830-A13B-57872AC75804}" id="{F6BAF25E-3274-4EFA-B119-CFE7FC39090D}">
    <text>But only 2 on light soils</text>
  </threadedComment>
  <threadedComment ref="B183" dT="2020-05-04T02:02:29.29" personId="{910D7A6A-1D75-4830-A13B-57872AC75804}" id="{07CBCB6E-13CF-486D-8972-1478E6F7157B}">
    <text>100 and above just made the cutoff for a 2nd application</text>
  </threadedComment>
  <threadedComment ref="B186" dT="2020-06-01T09:29:05.13" personId="{E85064DB-4318-4176-AD72-EC279C9132ED}" id="{9A8548D8-9A21-4969-9B44-9A492DF9BFFD}">
    <text>'minimum tillage' here returns 'grain drill-no-till' in the CFT_input sheet.</text>
  </threadedComment>
  <threadedComment ref="C187" dT="2023-06-06T13:42:15.06" personId="{A7464F79-F6FC-4943-BBAE-051A38267115}" id="{CB06A8C7-4BC1-4367-9709-F709938422C6}">
    <text>'minimum tillage' means direct drill and results in a '1' in the 'grain_drill_no_till' column in the CFT spreadsheet.</text>
  </threadedComment>
  <threadedComment ref="L187" dT="2023-06-17T15:26:26.07" personId="{A7464F79-F6FC-4943-BBAE-051A38267115}" id="{3E609938-DEF8-4765-83A3-9EE56740C18B}">
    <text>Assume drill is on the subsoiler</text>
  </threadedComment>
  <threadedComment ref="C188" dT="2023-06-06T13:42:15.06" personId="{A7464F79-F6FC-4943-BBAE-051A38267115}" id="{E379398D-CE42-4A8D-8A79-AD7F85779C9D}">
    <text>'minimum tillage' means direct drill and results in a '1' in the 'grain_drill_no_till' column in the CFT spreadsheet.</text>
  </threadedComment>
  <threadedComment ref="M188" dT="2023-06-17T15:26:26.07" personId="{A7464F79-F6FC-4943-BBAE-051A38267115}" id="{7E8D630C-5865-4824-AB46-2D936C6A1866}">
    <text>Assume drill is on the subsoiler</text>
  </threadedComment>
  <threadedComment ref="N188" dT="2023-06-17T15:26:26.07" personId="{A7464F79-F6FC-4943-BBAE-051A38267115}" id="{34EA9FD7-B0EF-44F4-8D25-B5E246DFC4A5}">
    <text>Assume drill is on the subsoiler</text>
  </threadedComment>
  <threadedComment ref="B189" dT="2020-10-15T09:16:17.30" personId="{A7464F79-F6FC-4943-BBAE-051A38267115}" id="{BB16D252-AE8D-4DF2-B5F5-A6B842EE2D8F}">
    <text>farmers specified first disc 50mm</text>
  </threadedComment>
  <threadedComment ref="C189" dT="2023-06-06T13:42:15.06" personId="{A7464F79-F6FC-4943-BBAE-051A38267115}" id="{35AD136B-0CC4-454F-9429-1AC685278D29}">
    <text>'minimum tillage' means direct drill and results in a '1' in the 'grain_drill_no_till' column in the CFT spreadsheet.</text>
  </threadedComment>
  <threadedComment ref="B190" dT="2020-06-01T09:00:41.30" personId="{E85064DB-4318-4176-AD72-EC279C9132ED}" id="{8288803D-EF6E-46A3-AD93-DE3DCA2D2372}">
    <text>The farmers specified a power harrow here. We have not differentiated between 'power harrow' and 'roller harrow' so where farmers specified a power harrow, it will show up in the roller harrow column on the 'CFT_input' sheet.</text>
  </threadedComment>
  <threadedComment ref="L190" dT="2023-06-17T15:26:26.07" personId="{A7464F79-F6FC-4943-BBAE-051A38267115}" id="{8B5CF177-8321-4F4A-8F9A-C7C3ABE73EAB}">
    <text>Assume drill is on the subsoiler</text>
  </threadedComment>
  <threadedComment ref="B191" dT="2020-06-01T09:29:05.13" personId="{E85064DB-4318-4176-AD72-EC279C9132ED}" id="{45A88FB9-36FE-4671-9AA7-3968FAD7B23F}">
    <text>changed from 'grain drill' to 'grain drill-no-till'. At the moment this doesn't show up in the correct column in the CFT input.</text>
  </threadedComment>
  <threadedComment ref="D191" dT="2022-08-11T14:04:17.15" personId="{A7464F79-F6FC-4943-BBAE-051A38267115}" id="{0EA22BF3-5539-4F81-B979-A240F2D07FDA}">
    <text>Assume farmers use grain drill for cereals, OSR, maize, linseed, beans.</text>
  </threadedComment>
  <threadedComment ref="A193" dT="2022-08-11T15:11:01.98" personId="{A7464F79-F6FC-4943-BBAE-051A38267115}" id="{992502AC-E495-499E-9973-9300C6484F0C}">
    <text>On light soils it's advised not to use a roller straight after drilling as the soil might blow away. I've therefore not used a roller after drilling on these soils.</text>
  </threadedComment>
  <threadedComment ref="B194" dT="2022-08-11T15:12:49.27" personId="{A7464F79-F6FC-4943-BBAE-051A38267115}" id="{64FCA520-B4D1-4DCC-BC65-AB5A527B9F0C}">
    <text>no roll as light soil</text>
  </threadedComment>
  <threadedComment ref="B195" dT="2022-08-11T15:15:06.01" personId="{A7464F79-F6FC-4943-BBAE-051A38267115}" id="{5396F1D6-6D7B-4C3C-BC47-865A36673B7F}">
    <text>no roll as light soil</text>
  </threadedComment>
  <threadedComment ref="C195" dT="2023-06-06T13:42:15.06" personId="{A7464F79-F6FC-4943-BBAE-051A38267115}" id="{A7628F34-D93D-4076-B93C-1E40BA4F3BE8}">
    <text>'minimum tillage' means direct drill and results in a '1' in the 'grain_drill_no_till' column in the CFT spreadsheet.</text>
  </threadedComment>
  <threadedComment ref="L195" dT="2023-06-17T15:26:26.07" personId="{A7464F79-F6FC-4943-BBAE-051A38267115}" id="{CAB54F42-2083-4936-9823-E80F65F7C54E}">
    <text>Assume drill is on the subsoiler</text>
  </threadedComment>
  <threadedComment ref="B196" dT="2022-08-11T15:14:51.57" personId="{A7464F79-F6FC-4943-BBAE-051A38267115}" id="{0EE075AB-1A4C-4D10-81FC-2DAEA8627DCB}">
    <text>no roll as light soil</text>
  </threadedComment>
  <threadedComment ref="C196" dT="2023-06-06T13:42:15.06" personId="{A7464F79-F6FC-4943-BBAE-051A38267115}" id="{3D897C00-55A4-4EB8-BC54-8B6FBA464D80}">
    <text>'minimum tillage' means direct drill and results in a '1' in the 'grain_drill_no_till' column in the CFT spreadsheet.</text>
  </threadedComment>
  <threadedComment ref="M196" dT="2023-06-17T15:26:26.07" personId="{A7464F79-F6FC-4943-BBAE-051A38267115}" id="{43FA8C4E-3B8A-45E6-AFA4-B4FD809286CE}">
    <text>Assume drill is on the subsoiler</text>
  </threadedComment>
  <threadedComment ref="N196" dT="2023-06-17T15:26:26.07" personId="{A7464F79-F6FC-4943-BBAE-051A38267115}" id="{9CD2FEE6-509A-47C8-ABFD-1B7C8911EEA3}">
    <text>Assume drill is on the subsoiler</text>
  </threadedComment>
  <threadedComment ref="B197" dT="2020-10-15T09:13:58.31" personId="{A7464F79-F6FC-4943-BBAE-051A38267115}" id="{61ADEC51-E354-4B93-9943-C7399A558242}">
    <text>Haven't rolled as this is light soil and don't want it to blow away. Same reason why haven't rolled after drilling.
DRILL type:
ASSUME that farmers in the east grow a lot of beet and therefore have a pneumatic drill (so specify row crop planter rather than just a grain drill in CFT and DSSAT).
(NB in the CFT beet is drilled with a row crop planter)
From Farmers Weekly (https://www.fwi.co.uk/machinery/time-to-replace-ageing-beet-drills): If you’re just drilling beet, a mechanical drill is probably the best and lowest-cost option. If other seeds are also being drilled, then a pneumatic drill gives a wider choice of seeding discs, which are cheaper than cell wheels on a mechanical drill. However performance tests by British Sugar have shown that pneumatic drills are not as accurate as mechanical ones.</text>
  </threadedComment>
  <threadedComment ref="C197" dT="2023-06-06T13:42:15.06" personId="{A7464F79-F6FC-4943-BBAE-051A38267115}" id="{440769A6-543D-42E3-95DD-8911ACDB0553}">
    <text>'minimum tillage' means direct drill and results in a '1' in the 'grain_drill_no_till' column in the CFT spreadsheet.</text>
  </threadedComment>
  <threadedComment ref="B198" dT="2022-08-11T15:21:15.72" personId="{A7464F79-F6FC-4943-BBAE-051A38267115}" id="{838B6E08-30B6-4B7F-9829-CFAB1359A845}">
    <text>no roll as light soil</text>
  </threadedComment>
  <threadedComment ref="L198" dT="2023-06-17T15:26:26.07" personId="{A7464F79-F6FC-4943-BBAE-051A38267115}" id="{AB4DB4EE-4FD0-4B97-997A-5F1E6698AA2D}">
    <text>Assume drill is on the subsoiler</text>
  </threadedComment>
  <threadedComment ref="B199" dT="2022-08-11T15:22:23.06" personId="{A7464F79-F6FC-4943-BBAE-051A38267115}" id="{7A9880FB-1832-4070-966E-358FE9D258B9}">
    <text>no roll after drilling as light soil. Retain the roll to initiate 2nd stale seedbed as farmers specified this.</text>
  </threadedComment>
  <threadedComment ref="D199" dT="2022-08-11T14:04:17.15" personId="{A7464F79-F6FC-4943-BBAE-051A38267115}" id="{E9F923C8-E47F-44AB-9DFB-C70FDAA71345}">
    <text>Assume farmers use grain drill for cereals, OSR, maize, linseed, beans.</text>
  </threadedComment>
</ThreadedComments>
</file>

<file path=xl/threadedComments/threadedComment4.xml><?xml version="1.0" encoding="utf-8"?>
<ThreadedComments xmlns="http://schemas.microsoft.com/office/spreadsheetml/2018/threadedcomments" xmlns:x="http://schemas.openxmlformats.org/spreadsheetml/2006/main">
  <threadedComment ref="F4" dT="2020-03-26T20:46:37.20" personId="{910D7A6A-1D75-4830-A13B-57872AC75804}" id="{A82B86E9-B92E-4A3D-B1FB-8E43502D3354}">
    <text>Or 5, depending on the year</text>
  </threadedComment>
  <threadedComment ref="I4" dT="2020-03-26T21:07:13.82" personId="{910D7A6A-1D75-4830-A13B-57872AC75804}" id="{0A4E4ABE-BAE2-4652-912F-65C49CBD10EA}">
    <text>3 in year 6</text>
  </threadedComment>
  <threadedComment ref="D7" dT="2020-03-26T19:45:20.98" personId="{910D7A6A-1D75-4830-A13B-57872AC75804}" id="{3443ED80-4D8E-494F-B7AD-B6CCD7470E89}">
    <text>This is actually 'Spring Oats' but no such variable is coded into ECOMOD</text>
  </threadedComment>
</ThreadedComments>
</file>

<file path=xl/threadedComments/threadedComment5.xml><?xml version="1.0" encoding="utf-8"?>
<ThreadedComments xmlns="http://schemas.microsoft.com/office/spreadsheetml/2018/threadedcomments" xmlns:x="http://schemas.openxmlformats.org/spreadsheetml/2006/main">
  <threadedComment ref="R1" dT="2021-12-03T11:19:05.71" personId="{A7464F79-F6FC-4943-BBAE-051A38267115}" id="{A6FCBAC3-A085-4424-B294-BE7ED5AFB660}">
    <text>kg/ha except for sugar beet which is units per ha.</text>
  </threadedComment>
  <threadedComment ref="AV1" dT="2020-02-14T11:54:27.09" personId="{13276AAF-BB47-41E5-A2BE-B54A696307BC}" id="{62BB95E9-4E41-41C3-8139-B91D3DC30D43}">
    <text>l/ha</text>
  </threadedComment>
  <threadedComment ref="BB1" dT="2020-02-14T11:54:33.15" personId="{13276AAF-BB47-41E5-A2BE-B54A696307BC}" id="{94C971DE-A471-49AC-9EE4-80372E9153F5}">
    <text>l/ha</text>
  </threadedComment>
  <threadedComment ref="BU1" dT="2020-05-29T13:38:13.47" personId="{E85064DB-4318-4176-AD72-EC279C9132ED}" id="{F73BA41E-734E-4100-B8C5-4D31BF02654F}">
    <text>Crop price is the Primary Yield Price in £/t
 i.e. how much the farmer sells it for.</text>
  </threadedComment>
  <threadedComment ref="BV1" dT="2020-08-05T13:26:56.09" personId="{E85064DB-4318-4176-AD72-EC279C9132ED}" id="{AEE44512-9074-40B4-A605-FF4CDA09786B}">
    <text>Crop price is the Primary Yield Price in £/t
 i.e. how much the farmer sells it for.</text>
  </threadedComment>
  <threadedComment ref="BW1" dT="2020-08-05T13:26:59.25" personId="{E85064DB-4318-4176-AD72-EC279C9132ED}" id="{34DDA7E8-8E46-4E84-922D-D839AE36E929}">
    <text>Crop price is the Primary Yield Price in £/t
 i.e. how much the farmer sells it for.</text>
  </threadedComment>
  <threadedComment ref="BX1" dT="2020-08-05T13:27:02.80" personId="{E85064DB-4318-4176-AD72-EC279C9132ED}" id="{EF44E686-E5C3-4CB5-96DB-DBA69830EA7B}">
    <text>Crop price is the Primary Yield Price in £/t
 i.e. how much the farmer sells it for.</text>
  </threadedComment>
  <threadedComment ref="BY1" dT="2020-08-05T13:27:05.78" personId="{E85064DB-4318-4176-AD72-EC279C9132ED}" id="{5BD8F7DD-B130-4A52-976E-0528C5E4C067}">
    <text>Crop price is the Primary Yield Price in £/t
 i.e. how much the farmer sells it for.</text>
  </threadedComment>
  <threadedComment ref="BZ1" dT="2020-08-05T13:27:10.35" personId="{E85064DB-4318-4176-AD72-EC279C9132ED}" id="{B2959683-31F2-4A89-8C72-6B8527B2FD80}">
    <text>Crop price is the Primary Yield Price in £/t
 i.e. how much the farmer sells it for.</text>
  </threadedComment>
  <threadedComment ref="CA1" dT="2020-02-14T12:31:48.37" personId="{13276AAF-BB47-41E5-A2BE-B54A696307BC}" id="{3F9F42EC-FBAD-4902-B198-47D80642C70A}">
    <text>If column CF is 'estimate', crop yield here can be 0.</text>
  </threadedComment>
  <threadedComment ref="DC1" dT="2020-02-14T13:40:33.15" personId="{13276AAF-BB47-41E5-A2BE-B54A696307BC}" id="{2E9D15E4-C297-40E4-8A43-C20585A8AE94}">
    <text>This is tractor size.
N.B. Machine size (machsize) MUST be entered in the following order: 
1. Tractor szie (kW);
2. Roller size (m);
3. Power harrow size (m); 
4. Sprayer tank size (litres);
5. Combine harvester size (kW)</text>
  </threadedComment>
  <threadedComment ref="DD1" dT="2020-02-14T13:41:18.49" personId="{13276AAF-BB47-41E5-A2BE-B54A696307BC}" id="{6BAD25D3-BB88-47BD-8980-617A32D021ED}">
    <text>Roller size</text>
  </threadedComment>
  <threadedComment ref="DE1" dT="2020-02-14T13:41:39.62" personId="{13276AAF-BB47-41E5-A2BE-B54A696307BC}" id="{70F5CBBC-C618-45EE-A090-A51DF02DAF7E}">
    <text>Power harrow size</text>
  </threadedComment>
  <threadedComment ref="DF1" dT="2020-02-14T13:41:55.52" personId="{13276AAF-BB47-41E5-A2BE-B54A696307BC}" id="{E743674E-0F02-4A07-B38C-DC4526C8E8B4}">
    <text>Sprayer size</text>
  </threadedComment>
  <threadedComment ref="DG1" dT="2020-02-14T13:42:02.78" personId="{13276AAF-BB47-41E5-A2BE-B54A696307BC}" id="{1FAC9E6F-0F8B-4915-851D-5B875360818D}">
    <text>Combine harvester size</text>
  </threadedComment>
  <threadedComment ref="I2" dT="2020-05-22T11:32:32.37" personId="{E85064DB-4318-4176-AD72-EC279C9132ED}" id="{D3591FD0-7BBB-4438-8AFF-3D73C9BD6077}">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P2" dT="2020-05-22T11:42:26.84" personId="{E85064DB-4318-4176-AD72-EC279C9132ED}" id="{88AB29EF-291A-4A98-9226-FBA9769F1BF1}">
    <text>N.B. the lookup doesn't work for this as there's no option to distinguish between winter wheats in this rotation. Data entered manually.</text>
  </threadedComment>
  <threadedComment ref="AA2" dT="2020-10-14T11:41:38.93" personId="{A7464F79-F6FC-4943-BBAE-051A38267115}" id="{475F1DE6-28B8-4FBF-9388-E34EF3559B22}">
    <text>spring oats</text>
  </threadedComment>
  <threadedComment ref="AG2" dT="2020-05-22T11:23:52.32" personId="{E85064DB-4318-4176-AD72-EC279C9132ED}" id="{B7B1E7C9-64D7-4E65-AAAC-A6F4D515F07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M2" dT="2020-05-29T13:13:21.41" personId="{E85064DB-4318-4176-AD72-EC279C9132ED}" id="{CBFFB8E0-0206-4D04-9064-1836D18108BE}">
    <text>SPRING OATS
(RB209 says same P requirement as for spring wheat)
RB209: 
SNS 1, straw ploughed in: 80 kg[P]/ha 
SNS 1, straw removed: 85 kg[P]/ha 
Nix: 43 kg[P]/ha
ABC: 45 kg[P]/ha</text>
  </threadedComment>
  <threadedComment ref="AS2" dT="2021-10-20T11:55:28.24" personId="{A7464F79-F6FC-4943-BBAE-051A38267115}" id="{F8C25D2F-2DEB-48B6-ACD2-920BBC6689F3}">
    <text>SPRING OATS
RB209: 
SNS 1, straw ploughed in: 65 kg[K]/ha 
SNS 1, straw removed: 130 kg[K]/ha 
Nix: 31 kg[K]/ha
ABC: 30 kg[K]/ha</text>
  </threadedComment>
  <threadedComment ref="BX2" dT="2020-05-29T13:40:00.88" personId="{E85064DB-4318-4176-AD72-EC279C9132ED}" id="{89433658-E0D0-48F4-B9D1-7AA3E7060AF4}">
    <text>This is the price in Nix for spring oats (feed)</text>
  </threadedComment>
  <threadedComment ref="CD2" dT="2021-12-03T11:21:34.28" personId="{A7464F79-F6FC-4943-BBAE-051A38267115}" id="{951699D1-223E-42AD-8461-C8A29ECBFE03}">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G2" dT="2020-08-05T13:33:18.53" personId="{E85064DB-4318-4176-AD72-EC279C9132ED}" id="{BBD5402A-BC58-41F6-A0D4-C4B22270C627}">
    <text>need to run this twice, the second time with yields provided so that I can extract spring oats profits</text>
  </threadedComment>
  <threadedComment ref="CN2" dT="2021-10-20T12:11:08.10" personId="{A7464F79-F6FC-4943-BBAE-051A38267115}" id="{8304E132-BD13-4238-A198-FE520FC11B3F}">
    <text>seed price for spring oats is same as for spring barley, ABC gives £0.38/kg for spring milling oats</text>
  </threadedComment>
  <threadedComment ref="P3" dT="2020-05-22T11:42:26.84" personId="{E85064DB-4318-4176-AD72-EC279C9132ED}" id="{174E4F28-162B-4B34-A128-F82CECA22262}">
    <text>N.B. the lookup doesn't work for this as there's no option to distinguish between winter wheats in this rotation. Data entered manually.</text>
  </threadedComment>
  <threadedComment ref="AA3" dT="2020-10-14T11:41:46.75" personId="{A7464F79-F6FC-4943-BBAE-051A38267115}" id="{329BB787-B27F-405B-97B5-1911BF0BBFC8}">
    <text>spring oats</text>
  </threadedComment>
  <threadedComment ref="AG3" dT="2021-10-20T11:48:24.78" personId="{A7464F79-F6FC-4943-BBAE-051A38267115}" id="{10DEC182-9AEE-4CFD-9F16-372E3E40F108}">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4" dT="2020-05-29T13:25:41.94" personId="{E85064DB-4318-4176-AD72-EC279C9132ED}" id="{FA87D612-A2F0-418F-A246-FDDE14DE21C1}">
    <text>N.B. the lookup doesn't work for this as there's no option to distinguish between winter wheats in this rotation. Data entered manually.</text>
  </threadedComment>
  <threadedComment ref="U4" dT="2020-10-05T14:40:14.41" personId="{A7464F79-F6FC-4943-BBAE-051A38267115}" id="{058A8436-53F0-44AC-B163-D5E84F17FE44}">
    <text>this is spring oat seed rate</text>
  </threadedComment>
  <threadedComment ref="AA4" dT="2020-05-22T10:24:45.40" personId="{E85064DB-4318-4176-AD72-EC279C9132ED}" id="{B3FFB960-9FDC-4FB4-AA88-0C899684096E}">
    <text>spring oats</text>
  </threadedComment>
  <threadedComment ref="AG4" dT="2020-05-29T12:50:21.97" personId="{E85064DB-4318-4176-AD72-EC279C9132ED}" id="{14AA6988-A7A6-4EB8-B080-ED678D6769AE}">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5" dT="2020-05-22T11:42:26.84" personId="{E85064DB-4318-4176-AD72-EC279C9132ED}" id="{33F7A03B-1CC5-4E29-BE08-7C583DAE9D31}">
    <text>N.B. the lookup doesn't work for this as there's no option to distinguish between winter wheats in this rotation. Data entered manually.</text>
  </threadedComment>
  <threadedComment ref="U5" dT="2020-10-05T14:40:17.32" personId="{A7464F79-F6FC-4943-BBAE-051A38267115}" id="{2A45F7CA-A0CE-4C50-8AD5-BEF5E905F9E3}">
    <text>this is spring oat seed rate</text>
  </threadedComment>
  <threadedComment ref="AA5" dT="2020-05-22T10:24:45.40" personId="{E85064DB-4318-4176-AD72-EC279C9132ED}" id="{B056C000-F92B-46E1-8AFF-01BA67EF9EA1}">
    <text>spring oats</text>
  </threadedComment>
  <threadedComment ref="AG5" dT="2020-05-29T12:50:21.97" personId="{E85064DB-4318-4176-AD72-EC279C9132ED}" id="{FE99904E-D2D7-49D7-B41F-3356BCA85EB2}">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J6" dT="2020-05-22T11:32:32.37" personId="{E85064DB-4318-4176-AD72-EC279C9132ED}" id="{33E01CA4-B379-4B65-9C19-3136AB1389DF}">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Q6" dT="2020-05-29T13:25:41.94" personId="{E85064DB-4318-4176-AD72-EC279C9132ED}" id="{FC77CF30-A001-4813-844A-A9EEDD7DD4A4}">
    <text>N.B. the lookup doesn't work for this as there's no option to distinguish between winter wheats in this rotation. Data entered manually.</text>
  </threadedComment>
  <threadedComment ref="V6" dT="2020-10-05T13:47:09.46" personId="{A7464F79-F6FC-4943-BBAE-051A38267115}" id="{D64BC7C5-7020-4885-8868-8405CB181FBA}">
    <text>this is spring oat seed rate</text>
  </threadedComment>
  <threadedComment ref="AB6" dT="2020-05-22T10:24:45.40" personId="{E85064DB-4318-4176-AD72-EC279C9132ED}" id="{3711BE2B-BB60-4FEF-B341-C58534F1451C}">
    <text>spring oats</text>
  </threadedComment>
  <threadedComment ref="AF6" dT="2021-12-02T17:03:49.00" personId="{A7464F79-F6FC-4943-BBAE-051A38267115}" id="{BDE9D9EA-C3AB-445F-9A70-F725C4F0AF2A}">
    <text>lookup doesn't work for light soils so entered manually</text>
  </threadedComment>
  <threadedComment ref="AH6" dT="2020-05-29T12:50:21.97" personId="{E85064DB-4318-4176-AD72-EC279C9132ED}" id="{132F69BE-1E4A-4EBC-9B08-8E5541D42A0D}">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6" dT="2021-12-02T17:03:49.00" personId="{A7464F79-F6FC-4943-BBAE-051A38267115}" id="{D9980A08-1ED0-4D5D-9A0F-625900531039}">
    <text>lookup doesn't work for light soils so entered manually</text>
  </threadedComment>
  <threadedComment ref="AN6" dT="2020-05-29T13:14:35.01" personId="{E85064DB-4318-4176-AD72-EC279C9132ED}" id="{1FBD79FE-5CF1-47DA-99AD-E21FCF83AC5E}">
    <text>SPRING OATS
(RB209 says same P requirement as for spring wheat)
RB209: 
SNS 1, straw ploughed in: 80 kg[P]/ha 
SNS 1, straw removed: 85 kg[P]/ha 
Nix: 43 kg[P]/ha
ABC: 45 kg[P]/ha</text>
  </threadedComment>
  <threadedComment ref="BY6" dT="2020-05-29T13:40:09.88" personId="{E85064DB-4318-4176-AD72-EC279C9132ED}" id="{46217CB8-09E6-4F2A-9B09-EFB15CD6674A}">
    <text>This is the price in Nix for spring oats (feed)</text>
  </threadedComment>
  <threadedComment ref="CE6" dT="2020-10-05T13:50:06.35" personId="{A7464F79-F6FC-4943-BBAE-051A38267115}" id="{02B6D871-154E-45D7-B9B5-5A0B59ADB0C8}">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O6" dT="2020-10-05T14:39:09.54" personId="{A7464F79-F6FC-4943-BBAE-051A38267115}" id="{AF513611-2EB6-431B-AC5E-FF194BFC18BF}">
    <text>seed price for spring oats is same as for spring barley, ABC gives £0.38/kg for spring milling oats</text>
  </threadedComment>
  <threadedComment ref="Q7" dT="2020-05-22T11:42:26.84" personId="{E85064DB-4318-4176-AD72-EC279C9132ED}" id="{5E10A610-3787-4EB6-93F2-A09FEFDC3541}">
    <text>N.B. the lookup doesn't work for this as there's no option to distinguish between winter wheats in this rotation. Data entered manually.</text>
  </threadedComment>
  <threadedComment ref="V7" dT="2020-10-05T14:40:05.75" personId="{A7464F79-F6FC-4943-BBAE-051A38267115}" id="{E2A0337E-BDF5-4ADF-A995-FE7AE9803AD4}">
    <text>this is spring oat seed rate</text>
  </threadedComment>
  <threadedComment ref="AB7" dT="2020-05-22T10:24:45.40" personId="{E85064DB-4318-4176-AD72-EC279C9132ED}" id="{F3F9EC64-6392-4F05-BBE4-F68047167A35}">
    <text>spring oats</text>
  </threadedComment>
  <threadedComment ref="AF7" dT="2021-12-02T17:03:49.00" personId="{A7464F79-F6FC-4943-BBAE-051A38267115}" id="{EC1289DD-AAA8-46BC-91C8-0874ECFB8748}">
    <text>lookup doesn't work for light soils so entered manually</text>
  </threadedComment>
  <threadedComment ref="AH7" dT="2020-05-29T12:50:21.97" personId="{E85064DB-4318-4176-AD72-EC279C9132ED}" id="{6EA5BDCC-B10F-43DA-BCB3-95A978B583B8}">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7" dT="2021-12-02T17:03:49.00" personId="{A7464F79-F6FC-4943-BBAE-051A38267115}" id="{F0C452BE-D765-465A-B24C-EDCAB7C81C24}">
    <text>lookup doesn't work for light soils so entered manually</text>
  </threadedComment>
  <threadedComment ref="B8" dT="2020-03-19T15:52:01.75" personId="{910D7A6A-1D75-4830-A13B-57872AC75804}" id="{483EA11B-7306-4159-9B4A-1B9CC710D190}">
    <text>Aii &amp; Aii.i</text>
  </threadedComment>
  <threadedComment ref="G8" dT="2021-12-03T11:17:29.17" personId="{A7464F79-F6FC-4943-BBAE-051A38267115}" id="{D62A85F3-85A2-44FD-BC07-F99AE91E6189}">
    <text>sosr is a proxy for maize. I am not running the model twice as I did for spring oats as I don't know that all the sundry costs (processing etc) are similar for maize and sosr).</text>
  </threadedComment>
  <threadedComment ref="AE8" dT="2020-10-05T15:14:43.64" personId="{A7464F79-F6FC-4943-BBAE-051A38267115}" id="{7B8AC08B-D35B-463F-AD20-641A09C3821B}">
    <text>ECOMOD can't run maize. This is the value for maize.</text>
  </threadedComment>
  <threadedComment ref="AK8" dT="2021-10-20T12:13:06.55" personId="{A7464F79-F6FC-4943-BBAE-051A38267115}" id="{CA63AE0F-9B55-497A-BDCD-40EA30E273E6}">
    <text>value for spring oats rather than maize</text>
  </threadedComment>
  <threadedComment ref="AQ8" dT="2021-10-20T12:13:40.00" personId="{A7464F79-F6FC-4943-BBAE-051A38267115}" id="{D07172F5-6F18-42D9-B68B-366802972779}">
    <text>value for spring oats rather than maize</text>
  </threadedComment>
  <threadedComment ref="AE9" dT="2020-10-05T15:14:43.64" personId="{A7464F79-F6FC-4943-BBAE-051A38267115}" id="{073471A3-47AF-4F02-B56C-68A620C1315A}">
    <text>ECOMOD can't run maize. This is the value for maize.</text>
  </threadedComment>
  <threadedComment ref="B10" dT="2020-03-19T15:54:20.44" personId="{910D7A6A-1D75-4830-A13B-57872AC75804}" id="{5CA33D87-9E02-40E0-A897-F8DE70C10DB7}">
    <text>Aii &amp; Aii.i</text>
  </threadedComment>
  <threadedComment ref="AE10" dT="2020-10-05T15:14:43.64" personId="{A7464F79-F6FC-4943-BBAE-051A38267115}" id="{7A7DB49D-B710-4EC5-9F2C-A1BFED791FF2}">
    <text>ECOMOD can't run maize. This is the value for maize.</text>
  </threadedComment>
  <threadedComment ref="AE11" dT="2020-10-05T15:14:43.64" personId="{A7464F79-F6FC-4943-BBAE-051A38267115}" id="{33D4CEDA-C846-4C40-B469-E103B2958873}">
    <text>ECOMOD can't run maize. This is the value for maize.</text>
  </threadedComment>
  <threadedComment ref="B12" dT="2020-03-19T16:15:35.56" personId="{910D7A6A-1D75-4830-A13B-57872AC75804}" id="{D8D605C4-6BD5-46DF-A4EA-108B07E3C75B}">
    <text>N/A?</text>
  </threadedComment>
  <threadedComment ref="AE12" dT="2020-10-05T15:14:43.64" personId="{A7464F79-F6FC-4943-BBAE-051A38267115}" id="{70080455-2B05-47DC-868B-7049AC228AB8}">
    <text>ECOMOD can't run maize. This is the value for maize.</text>
  </threadedComment>
  <threadedComment ref="AG12" dT="2021-12-02T17:03:49.00" personId="{A7464F79-F6FC-4943-BBAE-051A38267115}" id="{706644E1-6646-429C-8744-501A82F9B9D7}">
    <text>lookup doesn't work for light soils so entered manually</text>
  </threadedComment>
  <threadedComment ref="AE13" dT="2020-10-05T15:14:43.64" personId="{A7464F79-F6FC-4943-BBAE-051A38267115}" id="{5AFC5AD6-A7B3-4BEC-88F3-D2C210EE5465}">
    <text>ECOMOD can't run maize. This is the value for maize.</text>
  </threadedComment>
  <threadedComment ref="AG13" dT="2021-12-02T17:03:49.00" personId="{A7464F79-F6FC-4943-BBAE-051A38267115}" id="{F4A7BEE8-A7FF-45C6-923F-7E211D8E4ABF}">
    <text>lookup doesn't work for light soils so entered manually</text>
  </threadedComment>
  <threadedComment ref="BE14" dT="2020-10-14T11:01:03.11" personId="{A7464F79-F6FC-4943-BBAE-051A38267115}" id="{9E66776C-E517-4D6D-A661-124B25BB3AE8}">
    <text>entered manually as it's different to the other ww glyphosate application in this rotation</text>
  </threadedComment>
  <threadedComment ref="BK14" dT="2020-10-14T15:58:37.52" personId="{A7464F79-F6FC-4943-BBAE-051A38267115}" id="{5D424DF0-7F94-4913-A39B-EA8AC3E6F9C6}">
    <text>entered manually</text>
  </threadedComment>
  <threadedComment ref="BE15" dT="2020-10-14T11:01:03.11" personId="{A7464F79-F6FC-4943-BBAE-051A38267115}" id="{F47CB466-082E-4AEA-AEB8-6001C944DCFF}">
    <text>entered manually as it's different to the other ww glyphosate application in this rotation</text>
  </threadedComment>
  <threadedComment ref="BK15" dT="2020-10-14T15:58:37.52" personId="{A7464F79-F6FC-4943-BBAE-051A38267115}" id="{2C163E76-239F-4DAB-A37C-1AEAAF51AF8C}">
    <text>entered manually</text>
  </threadedComment>
  <threadedComment ref="BE16" dT="2020-10-14T11:01:03.11" personId="{A7464F79-F6FC-4943-BBAE-051A38267115}" id="{D35E74D3-A675-4540-B77D-C42467251838}">
    <text>entered manually as it's different to the other ww glyphosate application in this rotation</text>
  </threadedComment>
  <threadedComment ref="BK16" dT="2020-10-14T15:58:37.52" personId="{A7464F79-F6FC-4943-BBAE-051A38267115}" id="{5E704941-B962-4661-B1BB-B4FDF9F8FB2B}">
    <text>entered manually</text>
  </threadedComment>
  <threadedComment ref="BE17" dT="2020-10-14T11:01:03.11" personId="{A7464F79-F6FC-4943-BBAE-051A38267115}" id="{DE839C69-389F-4DEF-836D-8A4C2FD480C0}">
    <text>entered manually as it's different to the other ww glyphosate application in this rotation</text>
  </threadedComment>
  <threadedComment ref="BK17" dT="2020-10-14T15:58:37.52" personId="{A7464F79-F6FC-4943-BBAE-051A38267115}" id="{44144EEB-F607-4767-9972-B3F470612ACB}">
    <text>entered manually</text>
  </threadedComment>
  <threadedComment ref="R18" dT="2021-10-13T10:49:26.59" personId="{A7464F79-F6FC-4943-BBAE-051A38267115}" id="{18D51FE1-2BF0-4F59-AEE6-BEE184FEC831}">
    <text>different seedrate for light soils</text>
  </threadedComment>
  <threadedComment ref="U18" dT="2021-10-13T10:49:26.59" personId="{A7464F79-F6FC-4943-BBAE-051A38267115}" id="{BC925F91-1748-4990-A8FB-536F1B6DE005}">
    <text>different seedrate for light soils</text>
  </threadedComment>
  <threadedComment ref="AD18" dT="2021-12-02T17:03:49.00" personId="{A7464F79-F6FC-4943-BBAE-051A38267115}" id="{46D826D3-28AE-4F2C-B265-4D5E5537FF2C}">
    <text>lookup doesn't work for light soils so entered manually</text>
  </threadedComment>
  <threadedComment ref="AG18" dT="2021-12-02T17:03:49.00" personId="{A7464F79-F6FC-4943-BBAE-051A38267115}" id="{004338AB-4FE1-4EB2-AC15-B052610EE293}">
    <text>lookup doesn't work for light soils so entered manually</text>
  </threadedComment>
  <threadedComment ref="BE18" dT="2020-10-14T11:01:03.11" personId="{A7464F79-F6FC-4943-BBAE-051A38267115}" id="{2F956A9D-00A7-40CB-BD87-5562462D1DD0}">
    <text>entered manually as it's different to the other ww glyphosate application in this rotation</text>
  </threadedComment>
  <threadedComment ref="BK18" dT="2020-10-14T15:58:37.52" personId="{A7464F79-F6FC-4943-BBAE-051A38267115}" id="{438FD055-A68A-4EEA-BF85-5DC740D9B612}">
    <text>entered manually</text>
  </threadedComment>
  <threadedComment ref="R19" dT="2021-10-13T10:49:26.59" personId="{A7464F79-F6FC-4943-BBAE-051A38267115}" id="{4C1FC8D2-D501-464F-80B6-776F17624AE0}">
    <text>different seedrate for light soils</text>
  </threadedComment>
  <threadedComment ref="U19" dT="2021-10-13T10:49:26.59" personId="{A7464F79-F6FC-4943-BBAE-051A38267115}" id="{33181749-05C5-4496-B86B-05E6AE63AA62}">
    <text>different seedrate for light soils</text>
  </threadedComment>
  <threadedComment ref="AD19" dT="2021-12-02T17:03:49.00" personId="{A7464F79-F6FC-4943-BBAE-051A38267115}" id="{E7D00E71-E027-403E-B65C-2EE451941DC3}">
    <text>lookup doesn't work for light soils so entered manually</text>
  </threadedComment>
  <threadedComment ref="AG19" dT="2021-12-02T17:03:49.00" personId="{A7464F79-F6FC-4943-BBAE-051A38267115}" id="{9DA224D1-397F-4EDB-9CE9-4497EE3D2E38}">
    <text>lookup doesn't work for light soils so entered manually</text>
  </threadedComment>
  <threadedComment ref="BE19" dT="2020-10-14T11:01:03.11" personId="{A7464F79-F6FC-4943-BBAE-051A38267115}" id="{E3E05772-57D7-4BAF-B1B9-8E3DACA2546D}">
    <text>entered manually as it's different to the other ww glyphosate application in this rotation</text>
  </threadedComment>
  <threadedComment ref="BK19" dT="2020-10-14T15:58:37.52" personId="{A7464F79-F6FC-4943-BBAE-051A38267115}" id="{8F9CD491-6100-4D1D-9EE4-740952411A89}">
    <text>entered manually</text>
  </threadedComment>
  <threadedComment ref="Q20" dT="2020-05-26T12:19:16.81" personId="{E85064DB-4318-4176-AD72-EC279C9132ED}" id="{F34452EE-EE22-4D40-B8D2-26C4AEF3FD12}">
    <text>N.B. the lookup doesn't work for this as there's no option to distinguish between winter wheats in this rotation. Data entered manually.</text>
  </threadedComment>
  <threadedComment ref="Q21" dT="2020-05-26T12:19:16.81" personId="{E85064DB-4318-4176-AD72-EC279C9132ED}" id="{F64A13D9-43B9-452B-9E73-F05B205315A2}">
    <text>N.B. the lookup doesn't work for this as there's no option to distinguish between winter wheats in this rotation. Data entered manually.</text>
  </threadedComment>
  <threadedComment ref="Q22" dT="2020-05-26T12:19:16.81" personId="{E85064DB-4318-4176-AD72-EC279C9132ED}" id="{20410E3C-FE35-4309-A772-AAC3696D09E1}">
    <text>N.B. the lookup doesn't work for this as there's no option to distinguish between winter wheats in this rotation. Data entered manually.</text>
  </threadedComment>
  <threadedComment ref="Q23" dT="2020-05-26T12:19:16.81" personId="{E85064DB-4318-4176-AD72-EC279C9132ED}" id="{82FAE12F-251C-4A49-B80C-A4B3152905F8}">
    <text>N.B. the lookup doesn't work for this as there's no option to distinguish between winter wheats in this rotation. Data entered manually.</text>
  </threadedComment>
  <threadedComment ref="Q24" dT="2020-05-26T12:19:16.81" personId="{E85064DB-4318-4176-AD72-EC279C9132ED}" id="{9AED8DC7-CD06-4BC4-85D0-AE03B7C48A07}">
    <text>N.B. the lookup doesn't work for this as there's no option to distinguish between winter wheats in this rotation. Data entered manually.</text>
  </threadedComment>
  <threadedComment ref="AD24" dT="2021-12-02T17:03:49.00" personId="{A7464F79-F6FC-4943-BBAE-051A38267115}" id="{CE8ABE44-8F3C-4E8A-B237-1CD7EF9E8462}">
    <text>lookup doesn't work for light soils so entered manually</text>
  </threadedComment>
  <threadedComment ref="AF24" dT="2021-12-02T17:03:49.00" personId="{A7464F79-F6FC-4943-BBAE-051A38267115}" id="{ABD15D10-612E-466D-B28B-C9DCF464B162}">
    <text>lookup doesn't work for light soils so entered manually</text>
  </threadedComment>
  <threadedComment ref="AI24" dT="2021-12-02T17:03:49.00" personId="{A7464F79-F6FC-4943-BBAE-051A38267115}" id="{384D3ECB-84AE-4343-AC85-2C60BDB577F2}">
    <text>lookup doesn't work for light soils so entered manually</text>
  </threadedComment>
  <threadedComment ref="Q25" dT="2020-05-26T12:19:16.81" personId="{E85064DB-4318-4176-AD72-EC279C9132ED}" id="{09DF9C55-CAB1-45D2-8034-4CF465028F71}">
    <text>N.B. the lookup doesn't work for this as there's no option to distinguish between winter wheats in this rotation. Data entered manually.</text>
  </threadedComment>
  <threadedComment ref="AD25" dT="2021-12-02T17:03:49.00" personId="{A7464F79-F6FC-4943-BBAE-051A38267115}" id="{0F61A108-98D1-4E2E-AB39-B12CF64848AC}">
    <text>lookup doesn't work for light soils so entered manually</text>
  </threadedComment>
  <threadedComment ref="AF25" dT="2021-12-02T17:03:49.00" personId="{A7464F79-F6FC-4943-BBAE-051A38267115}" id="{AB23BAC5-3E89-4606-8B76-4AEA3655F843}">
    <text>lookup doesn't work for light soils so entered manually</text>
  </threadedComment>
  <threadedComment ref="AI25" dT="2021-12-02T17:03:49.00" personId="{A7464F79-F6FC-4943-BBAE-051A38267115}" id="{F09B2BF4-BF98-4FB9-8E39-4C15CFBDA1D7}">
    <text>lookup doesn't work for light soils so entered manually</text>
  </threadedComment>
  <threadedComment ref="B26" dT="2020-03-19T15:52:59.41" personId="{910D7A6A-1D75-4830-A13B-57872AC75804}" id="{8D893DA5-ED82-4E70-82D2-5A1EF25A76C6}">
    <text>Bii</text>
  </threadedComment>
  <threadedComment ref="B28" dT="2020-03-19T15:54:47.84" personId="{910D7A6A-1D75-4830-A13B-57872AC75804}" id="{9073379A-3041-4E9D-B374-1CAAD99F763E}">
    <text>Bii</text>
  </threadedComment>
  <threadedComment ref="B30" dT="2020-03-19T16:16:24.27" personId="{910D7A6A-1D75-4830-A13B-57872AC75804}" id="{7C08CBCE-8A5A-495E-9EE4-52EEF0BC6931}">
    <text>Bii.i</text>
  </threadedComment>
  <threadedComment ref="AD30" dT="2021-12-02T17:03:49.00" personId="{A7464F79-F6FC-4943-BBAE-051A38267115}" id="{52A55B7F-9034-4E6B-87B1-1E8A51600FFE}">
    <text>lookup doesn't work for light soils so entered manually</text>
  </threadedComment>
  <threadedComment ref="AG30" dT="2021-12-02T17:03:49.00" personId="{A7464F79-F6FC-4943-BBAE-051A38267115}" id="{D6F7D777-B74D-4272-854F-2013C32331F5}">
    <text>lookup doesn't work for light soils so entered manually</text>
  </threadedComment>
  <threadedComment ref="AD31" dT="2021-12-02T17:03:49.00" personId="{A7464F79-F6FC-4943-BBAE-051A38267115}" id="{83F3A48D-67C0-4183-A3CC-30B1E7A2A024}">
    <text>lookup doesn't work for light soils so entered manually</text>
  </threadedComment>
  <threadedComment ref="AG31" dT="2021-12-02T17:03:49.00" personId="{A7464F79-F6FC-4943-BBAE-051A38267115}" id="{B095132D-0340-4685-AD89-8107E6BE9BCE}">
    <text>lookup doesn't work for light soils so entered manually</text>
  </threadedComment>
  <threadedComment ref="O32" dT="2020-10-14T13:25:50.99" personId="{A7464F79-F6FC-4943-BBAE-051A38267115}" id="{64FB6011-7071-4FD6-BF01-79BFCBC38BC9}">
    <text>N.B. the lookup doesn't work for this as there's no option to distinguish between winter wheats in this rotation. Data entered manually.</text>
  </threadedComment>
  <threadedComment ref="O33" dT="2020-10-14T13:25:50.99" personId="{A7464F79-F6FC-4943-BBAE-051A38267115}" id="{28182861-752F-4A33-880A-1BE269B7892D}">
    <text>N.B. the lookup doesn't work for this as there's no option to distinguish between winter wheats in this rotation. Data entered manually.</text>
  </threadedComment>
  <threadedComment ref="O34" dT="2020-10-14T13:25:50.99" personId="{A7464F79-F6FC-4943-BBAE-051A38267115}" id="{7A40088B-830A-48B5-AF3A-EF960F890951}">
    <text>N.B. the lookup doesn't work for this as there's no option to distinguish between winter wheats in this rotation. Data entered manually.</text>
  </threadedComment>
  <threadedComment ref="O35" dT="2020-10-14T13:25:50.99" personId="{A7464F79-F6FC-4943-BBAE-051A38267115}" id="{519B884A-007C-47FA-AD94-4C329B46394F}">
    <text>N.B. the lookup doesn't work for this as there's no option to distinguish between winter wheats in this rotation. Data entered manually.</text>
  </threadedComment>
  <threadedComment ref="O36" dT="2020-10-14T13:25:50.99" personId="{A7464F79-F6FC-4943-BBAE-051A38267115}" id="{A1EC2AD5-C51B-48B8-91A8-B4F9AC58EFE0}">
    <text>N.B. the lookup doesn't work for this as there's no option to distinguish between winter wheats in this rotation. Data entered manually.</text>
  </threadedComment>
  <threadedComment ref="AD36" dT="2021-12-02T17:03:49.00" personId="{A7464F79-F6FC-4943-BBAE-051A38267115}" id="{3D950413-8330-40A2-9E8F-6CDAF4610371}">
    <text>lookup doesn't work for light soils so entered manually</text>
  </threadedComment>
  <threadedComment ref="AG36" dT="2021-12-02T17:03:49.00" personId="{A7464F79-F6FC-4943-BBAE-051A38267115}" id="{85C69B6E-553A-463C-BCB5-991DD4BDB60E}">
    <text>lookup doesn't work for light soils so entered manually</text>
  </threadedComment>
  <threadedComment ref="O37" dT="2020-10-14T13:25:50.99" personId="{A7464F79-F6FC-4943-BBAE-051A38267115}" id="{2D48B406-C4A2-447B-840E-D188884EED95}">
    <text>N.B. the lookup doesn't work for this as there's no option to distinguish between winter wheats in this rotation. Data entered manually.</text>
  </threadedComment>
  <threadedComment ref="AD37" dT="2021-12-02T17:03:49.00" personId="{A7464F79-F6FC-4943-BBAE-051A38267115}" id="{FBF2C93B-1B82-439C-A72A-A4E8154B8012}">
    <text>lookup doesn't work for light soils so entered manually</text>
  </threadedComment>
  <threadedComment ref="AG37" dT="2021-12-02T17:03:49.00" personId="{A7464F79-F6FC-4943-BBAE-051A38267115}" id="{2E2A0129-6484-4310-A94F-7AF5E2E5905D}">
    <text>lookup doesn't work for light soils so entered manually</text>
  </threadedComment>
  <threadedComment ref="AD42" dT="2021-12-02T17:03:49.00" personId="{A7464F79-F6FC-4943-BBAE-051A38267115}" id="{27C51D1F-BA10-4325-8755-F655AE50A5D8}">
    <text>lookup doesn't work for light soils so entered manually</text>
  </threadedComment>
  <threadedComment ref="AF42" dT="2021-12-02T17:03:49.00" personId="{A7464F79-F6FC-4943-BBAE-051A38267115}" id="{0D3C15AD-48C1-46FA-9E30-C2D4B036DA28}">
    <text>lookup doesn't work for light soils so entered manually</text>
  </threadedComment>
  <threadedComment ref="AG42" dT="2021-12-02T17:03:49.00" personId="{A7464F79-F6FC-4943-BBAE-051A38267115}" id="{AD676150-60AD-435B-90C4-057C4DBD5788}">
    <text>lookup doesn't work for light soils so entered manually</text>
  </threadedComment>
  <threadedComment ref="AI42" dT="2021-12-02T17:03:49.00" personId="{A7464F79-F6FC-4943-BBAE-051A38267115}" id="{17FA6632-11DB-42A8-BC2E-823EEFFF3270}">
    <text>lookup doesn't work for light soils so entered manually</text>
  </threadedComment>
  <threadedComment ref="AD43" dT="2021-12-02T17:03:49.00" personId="{A7464F79-F6FC-4943-BBAE-051A38267115}" id="{2E95A1DE-E363-4F08-BCFD-F3BB2FFAAD8B}">
    <text>lookup doesn't work for light soils so entered manually</text>
  </threadedComment>
  <threadedComment ref="AF43" dT="2021-12-02T17:03:49.00" personId="{A7464F79-F6FC-4943-BBAE-051A38267115}" id="{FD6655B1-2F95-4D28-A8BB-98CDF64D0D56}">
    <text>lookup doesn't work for light soils so entered manually</text>
  </threadedComment>
  <threadedComment ref="AG43" dT="2021-12-02T17:03:49.00" personId="{A7464F79-F6FC-4943-BBAE-051A38267115}" id="{1628CE85-3F5D-4813-8C74-76577CF6F10D}">
    <text>lookup doesn't work for light soils so entered manually</text>
  </threadedComment>
  <threadedComment ref="AI43" dT="2021-12-02T17:03:49.00" personId="{A7464F79-F6FC-4943-BBAE-051A38267115}" id="{0B2229E0-1DE5-493E-AF7F-2C85C5531698}">
    <text>lookup doesn't work for light soils so entered manually</text>
  </threadedComment>
  <threadedComment ref="B44" dT="2020-03-19T15:53:25.99" personId="{910D7A6A-1D75-4830-A13B-57872AC75804}" id="{D1C05782-A867-4456-83EE-DBA8E420B038}">
    <text>Cii</text>
  </threadedComment>
  <threadedComment ref="AY44" dT="2020-10-14T14:42:50.69" personId="{A7464F79-F6FC-4943-BBAE-051A38267115}" id="{811F3F82-98E3-4637-B839-E45C03E1D82D}">
    <text>Data entered manually as second ww has different rate than first ww.</text>
  </threadedComment>
  <threadedComment ref="AY45" dT="2020-10-14T14:42:55.25" personId="{A7464F79-F6FC-4943-BBAE-051A38267115}" id="{69C343BC-3E93-4EE6-A786-A6A635ACA3FA}">
    <text>Data entered manually as second ww has different rate than first ww.</text>
  </threadedComment>
  <threadedComment ref="B46" dT="2020-03-19T15:55:02.54" personId="{910D7A6A-1D75-4830-A13B-57872AC75804}" id="{8E249B7D-C7E1-4042-B866-44C0E61236C4}">
    <text>Cii</text>
  </threadedComment>
  <threadedComment ref="AY46" dT="2020-10-14T14:42:50.69" personId="{A7464F79-F6FC-4943-BBAE-051A38267115}" id="{8F67AE49-E1B7-40B8-A10A-B93A735912F9}">
    <text>Data entered manually as second ww has different rate than first ww.</text>
  </threadedComment>
  <threadedComment ref="AY47" dT="2020-10-14T14:42:55.25" personId="{A7464F79-F6FC-4943-BBAE-051A38267115}" id="{7E3C12DA-F7F8-4BFB-A46A-506933648FD3}">
    <text>Data entered manually as second ww has different rate than first ww.</text>
  </threadedComment>
  <threadedComment ref="B48" dT="2020-03-19T16:16:49.47" personId="{910D7A6A-1D75-4830-A13B-57872AC75804}" id="{406DFD42-2549-4BCA-A2FD-2CFE7F7F0DB1}">
    <text>Cii.i</text>
  </threadedComment>
  <threadedComment ref="AD48" dT="2021-12-02T17:03:49.00" personId="{A7464F79-F6FC-4943-BBAE-051A38267115}" id="{8FBD8B67-B93D-4080-B4C7-F4D38D74A5BC}">
    <text>lookup doesn't work for light soils so entered manually</text>
  </threadedComment>
  <threadedComment ref="AG48" dT="2021-12-02T17:03:49.00" personId="{A7464F79-F6FC-4943-BBAE-051A38267115}" id="{0AAE891B-F648-4CD2-A5D4-AF6EA1F592EB}">
    <text>lookup doesn't work for light soils so entered manually</text>
  </threadedComment>
  <threadedComment ref="AI48" dT="2021-12-02T17:03:49.00" personId="{A7464F79-F6FC-4943-BBAE-051A38267115}" id="{CAC61D68-1424-4D5D-9D6B-BAD3968075D1}">
    <text>lookup doesn't work for light soils so entered manually</text>
  </threadedComment>
  <threadedComment ref="AY48" dT="2020-10-14T14:42:50.69" personId="{A7464F79-F6FC-4943-BBAE-051A38267115}" id="{728A261D-0FDD-4EF4-8759-18244CA43C75}">
    <text>Data entered manually as second ww has different rate than first ww.</text>
  </threadedComment>
  <threadedComment ref="AD49" dT="2021-12-02T17:03:49.00" personId="{A7464F79-F6FC-4943-BBAE-051A38267115}" id="{F0A48E24-26FA-4B71-B70C-4FA2ECB77AEC}">
    <text>lookup doesn't work for light soils so entered manually</text>
  </threadedComment>
  <threadedComment ref="AG49" dT="2021-12-02T17:03:49.00" personId="{A7464F79-F6FC-4943-BBAE-051A38267115}" id="{9B883A4E-CD8B-4B4A-AB40-2EEAD6CE3DB3}">
    <text>lookup doesn't work for light soils so entered manually</text>
  </threadedComment>
  <threadedComment ref="AI49" dT="2021-12-02T17:03:49.00" personId="{A7464F79-F6FC-4943-BBAE-051A38267115}" id="{3C048334-0BBC-4F40-A0D0-6C9E94413E12}">
    <text>lookup doesn't work for light soils so entered manually</text>
  </threadedComment>
  <threadedComment ref="AY49" dT="2020-10-14T14:42:55.25" personId="{A7464F79-F6FC-4943-BBAE-051A38267115}" id="{18369ECC-F8B0-4123-B44D-1634181AC316}">
    <text>Data entered manually as second ww has different rate than first ww.</text>
  </threadedComment>
  <threadedComment ref="AY50" dT="2020-10-14T14:42:50.69" personId="{A7464F79-F6FC-4943-BBAE-051A38267115}" id="{3DF18DBA-7545-4218-9F44-3968900B1D12}">
    <text>Data entered manually as second ww has different rate than first ww.</text>
  </threadedComment>
  <threadedComment ref="AY51" dT="2020-10-14T14:42:55.25" personId="{A7464F79-F6FC-4943-BBAE-051A38267115}" id="{81AB2E27-FBED-461B-B770-95315370338C}">
    <text>Data entered manually as second ww has different rate than first ww.</text>
  </threadedComment>
  <threadedComment ref="AY52" dT="2020-10-14T14:42:50.69" personId="{A7464F79-F6FC-4943-BBAE-051A38267115}" id="{E18DFD02-A6C3-4262-B68B-A3712944ACA9}">
    <text>Data entered manually as second ww has different rate than first ww.</text>
  </threadedComment>
  <threadedComment ref="AY53" dT="2020-10-14T14:42:55.25" personId="{A7464F79-F6FC-4943-BBAE-051A38267115}" id="{C0183E67-EA43-42E6-ADF1-EB7CE94784A9}">
    <text>Data entered manually as second ww has different rate than first ww.</text>
  </threadedComment>
  <threadedComment ref="AD54" dT="2021-12-02T17:03:49.00" personId="{A7464F79-F6FC-4943-BBAE-051A38267115}" id="{2FB66D13-F6D0-4DC4-8734-0C6464039CFF}">
    <text>lookup doesn't work for light soils so entered manually</text>
  </threadedComment>
  <threadedComment ref="AG54" dT="2021-12-02T17:03:49.00" personId="{A7464F79-F6FC-4943-BBAE-051A38267115}" id="{22D91E0A-0DB5-42D5-A438-ABC73BF5088F}">
    <text>lookup doesn't work for light soils so entered manually</text>
  </threadedComment>
  <threadedComment ref="AI54" dT="2021-12-02T17:03:49.00" personId="{A7464F79-F6FC-4943-BBAE-051A38267115}" id="{813F4337-1A05-4BBD-B11C-789C4B906F85}">
    <text>lookup doesn't work for light soils so entered manually</text>
  </threadedComment>
  <threadedComment ref="AY54" dT="2020-10-14T14:42:50.69" personId="{A7464F79-F6FC-4943-BBAE-051A38267115}" id="{821F5A52-FEBA-4417-9914-D1C537C333A8}">
    <text>Data entered manually as second ww has different rate than first ww.</text>
  </threadedComment>
  <threadedComment ref="AD55" dT="2021-12-02T17:03:49.00" personId="{A7464F79-F6FC-4943-BBAE-051A38267115}" id="{735801F2-4924-44FD-AB45-EA15B02BAE58}">
    <text>lookup doesn't work for light soils so entered manually</text>
  </threadedComment>
  <threadedComment ref="AG55" dT="2021-12-02T17:03:49.00" personId="{A7464F79-F6FC-4943-BBAE-051A38267115}" id="{491A6B25-F438-4D6B-85DE-959B5F210151}">
    <text>lookup doesn't work for light soils so entered manually</text>
  </threadedComment>
  <threadedComment ref="AI55" dT="2021-12-02T17:03:49.00" personId="{A7464F79-F6FC-4943-BBAE-051A38267115}" id="{08D5EC7C-E2C9-4C59-8206-C3D4C9042C4C}">
    <text>lookup doesn't work for light soils so entered manually</text>
  </threadedComment>
  <threadedComment ref="AY55" dT="2020-10-14T14:42:55.25" personId="{A7464F79-F6FC-4943-BBAE-051A38267115}" id="{D58742CB-32E5-423E-AD0E-609AC8AA8777}">
    <text>Data entered manually as second ww has different rate than first ww.</text>
  </threadedComment>
</ThreadedComments>
</file>

<file path=xl/threadedComments/threadedComment6.xml><?xml version="1.0" encoding="utf-8"?>
<ThreadedComments xmlns="http://schemas.microsoft.com/office/spreadsheetml/2018/threadedcomments" xmlns:x="http://schemas.openxmlformats.org/spreadsheetml/2006/main">
  <threadedComment ref="R1" dT="2021-12-03T11:18:58.00" personId="{A7464F79-F6FC-4943-BBAE-051A38267115}" id="{B1A7EECA-24FF-4DDB-8557-C25A8E515843}">
    <text>kg/ha except for sugar beet which is units per ha.</text>
  </threadedComment>
  <threadedComment ref="AV1" dT="2020-02-14T11:54:27.09" personId="{13276AAF-BB47-41E5-A2BE-B54A696307BC}" id="{12E454F6-368A-4576-A9A6-02F905A39B5C}">
    <text>l/ha</text>
  </threadedComment>
  <threadedComment ref="BB1" dT="2020-02-14T11:54:33.15" personId="{13276AAF-BB47-41E5-A2BE-B54A696307BC}" id="{300FC9D4-B824-4F7A-AE32-798772341CB8}">
    <text>l/ha</text>
  </threadedComment>
  <threadedComment ref="BU1" dT="2020-05-29T13:38:13.47" personId="{E85064DB-4318-4176-AD72-EC279C9132ED}" id="{32CCFB88-A623-484E-A691-54A89A642F10}">
    <text>Crop price is the Primary Yield Price in £/t
 i.e. how much the farmer sells it for.</text>
  </threadedComment>
  <threadedComment ref="BV1" dT="2020-08-05T13:26:56.09" personId="{E85064DB-4318-4176-AD72-EC279C9132ED}" id="{03A5D122-96D8-4EEC-B37E-B55C67EF2D6D}">
    <text>Crop price is the Primary Yield Price in £/t
 i.e. how much the farmer sells it for.</text>
  </threadedComment>
  <threadedComment ref="BW1" dT="2020-08-05T13:26:59.25" personId="{E85064DB-4318-4176-AD72-EC279C9132ED}" id="{3DE298BB-AE14-422B-8DBC-9B2EF33C5983}">
    <text>Crop price is the Primary Yield Price in £/t
 i.e. how much the farmer sells it for.</text>
  </threadedComment>
  <threadedComment ref="BX1" dT="2020-08-05T13:27:02.80" personId="{E85064DB-4318-4176-AD72-EC279C9132ED}" id="{8CB10C8F-98E3-445F-AFA6-D588B1316A93}">
    <text>Crop price is the Primary Yield Price in £/t
 i.e. how much the farmer sells it for.</text>
  </threadedComment>
  <threadedComment ref="BY1" dT="2020-08-05T13:27:05.78" personId="{E85064DB-4318-4176-AD72-EC279C9132ED}" id="{8645E733-A24E-431E-AA92-77F5A3F04F0C}">
    <text>Crop price is the Primary Yield Price in £/t
 i.e. how much the farmer sells it for.</text>
  </threadedComment>
  <threadedComment ref="BZ1" dT="2020-08-05T13:27:10.35" personId="{E85064DB-4318-4176-AD72-EC279C9132ED}" id="{2DCFA50F-3705-48C4-A26A-913D967EBC34}">
    <text>Crop price is the Primary Yield Price in £/t
 i.e. how much the farmer sells it for.</text>
  </threadedComment>
  <threadedComment ref="CA1" dT="2020-02-14T12:31:48.37" personId="{13276AAF-BB47-41E5-A2BE-B54A696307BC}" id="{52D38579-7CE5-403E-B5E0-57AD8769302A}">
    <text>If column CF is 'estimate', crop yield here can be 0.</text>
  </threadedComment>
  <threadedComment ref="DC1" dT="2020-02-14T13:40:33.15" personId="{13276AAF-BB47-41E5-A2BE-B54A696307BC}" id="{7A480B3A-6055-410B-9D86-7D2593CE753F}">
    <text>This is tractor size.
N.B. Machine size (machsize) MUST be entered in the following order: 
1. Tractor szie (kW);
2. Roller size (m);
3. Power harrow size (m); 
4. Sprayer tank size (litres);
5. Combine harvester size (kW)</text>
  </threadedComment>
  <threadedComment ref="DD1" dT="2020-02-14T13:41:18.49" personId="{13276AAF-BB47-41E5-A2BE-B54A696307BC}" id="{74ABB803-4535-48C1-B718-A878EF0F0E78}">
    <text>Roller size</text>
  </threadedComment>
  <threadedComment ref="DE1" dT="2020-02-14T13:41:39.62" personId="{13276AAF-BB47-41E5-A2BE-B54A696307BC}" id="{54A89F6B-0D51-43C4-B1C7-3B708A3FB538}">
    <text>Power harrow size</text>
  </threadedComment>
  <threadedComment ref="DF1" dT="2020-02-14T13:41:55.52" personId="{13276AAF-BB47-41E5-A2BE-B54A696307BC}" id="{8F901F99-642C-4D0F-B54D-268A4FC15E30}">
    <text>Sprayer size</text>
  </threadedComment>
  <threadedComment ref="DG1" dT="2020-02-14T13:42:02.78" personId="{13276AAF-BB47-41E5-A2BE-B54A696307BC}" id="{A54A9E62-B169-46CF-982C-F765384CF9A3}">
    <text>Combine harvester size</text>
  </threadedComment>
  <threadedComment ref="I2" dT="2020-05-22T11:32:32.37" personId="{E85064DB-4318-4176-AD72-EC279C9132ED}" id="{EE602530-F415-4468-B876-CACE01C36F9A}">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P2" dT="2020-05-22T11:42:26.84" personId="{E85064DB-4318-4176-AD72-EC279C9132ED}" id="{CC7ED63D-0FA9-40DB-8B63-87A785B43EDF}">
    <text>N.B. the lookup doesn't work for this as there's no option to distinguish between winter wheats in this rotation. Data entered manually.</text>
  </threadedComment>
  <threadedComment ref="AA2" dT="2020-10-14T11:41:38.93" personId="{A7464F79-F6FC-4943-BBAE-051A38267115}" id="{08561C61-E2BC-4FAF-94D5-A8BBA7090B69}">
    <text>spring oats</text>
  </threadedComment>
  <threadedComment ref="AG2" dT="2020-05-22T11:23:52.32" personId="{E85064DB-4318-4176-AD72-EC279C9132ED}" id="{7B5BD87D-44BD-4D66-9C3B-233BE209C38E}">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M2" dT="2020-05-29T13:13:21.41" personId="{E85064DB-4318-4176-AD72-EC279C9132ED}" id="{1687ED55-95F8-4688-AE11-5B567C4118E1}">
    <text>SPRING OATS
(RB209 says same P requirement as for spring wheat)
RB209: 
SNS 1, straw ploughed in: 80 kg[P]/ha 
SNS 1, straw removed: 85 kg[P]/ha 
Nix: 43 kg[P]/ha
ABC: 45 kg[P]/ha</text>
  </threadedComment>
  <threadedComment ref="AS2" dT="2021-10-20T11:55:28.24" personId="{A7464F79-F6FC-4943-BBAE-051A38267115}" id="{9B731367-E039-41E6-9A5E-E4750B33C420}">
    <text>SPRING OATS
RB209: 
SNS 1, straw ploughed in: 65 kg[K]/ha 
SNS 1, straw removed: 130 kg[K]/ha 
Nix: 31 kg[K]/ha
ABC: 30 kg[K]/ha</text>
  </threadedComment>
  <threadedComment ref="BX2" dT="2020-05-29T13:40:00.88" personId="{E85064DB-4318-4176-AD72-EC279C9132ED}" id="{A7F309E7-9580-4D88-8D2D-DA0B3261D937}">
    <text>This is the price in Nix for spring oats (feed)</text>
  </threadedComment>
  <threadedComment ref="CD2" dT="2021-12-03T11:21:02.02" personId="{A7464F79-F6FC-4943-BBAE-051A38267115}" id="{429110D0-7E72-4817-A0CC-325376C9055A}">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G2" dT="2020-08-05T13:33:18.53" personId="{E85064DB-4318-4176-AD72-EC279C9132ED}" id="{C45DC69C-0260-4AB5-A568-A2743ACE3A6D}">
    <text>need to run this twice, the second time with yields provided so that I can extract spring oats profits</text>
  </threadedComment>
  <threadedComment ref="CN2" dT="2021-10-20T12:11:08.10" personId="{A7464F79-F6FC-4943-BBAE-051A38267115}" id="{E2E1917F-1538-47A2-85A2-0496A8674808}">
    <text>seed price for spring oats is same as for spring barley, ABC gives £0.38/kg for spring milling oats</text>
  </threadedComment>
  <threadedComment ref="P3" dT="2020-05-22T11:42:26.84" personId="{E85064DB-4318-4176-AD72-EC279C9132ED}" id="{3D20A5EA-DCE2-46F8-83ED-E9820847F6BF}">
    <text>N.B. the lookup doesn't work for this as there's no option to distinguish between winter wheats in this rotation. Data entered manually.</text>
  </threadedComment>
  <threadedComment ref="AA3" dT="2020-10-14T11:41:46.75" personId="{A7464F79-F6FC-4943-BBAE-051A38267115}" id="{A623F2D2-35E6-4486-AA2C-3DEA01E0EA7B}">
    <text>spring oats</text>
  </threadedComment>
  <threadedComment ref="AG3" dT="2021-10-20T11:48:24.78" personId="{A7464F79-F6FC-4943-BBAE-051A38267115}" id="{2A351A9C-C08D-496D-ADF0-8F550E01ADB4}">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4" dT="2020-05-29T13:25:41.94" personId="{E85064DB-4318-4176-AD72-EC279C9132ED}" id="{08FD6022-4A5F-4041-89D9-6DEB16B8F67A}">
    <text>N.B. the lookup doesn't work for this as there's no option to distinguish between winter wheats in this rotation. Data entered manually.</text>
  </threadedComment>
  <threadedComment ref="U4" dT="2020-10-05T14:40:14.41" personId="{A7464F79-F6FC-4943-BBAE-051A38267115}" id="{DB5D611B-A350-4B44-8258-B2F318E6F623}">
    <text>this is spring oat seed rate</text>
  </threadedComment>
  <threadedComment ref="AA4" dT="2020-05-22T10:24:45.40" personId="{E85064DB-4318-4176-AD72-EC279C9132ED}" id="{DD90C490-C3E1-4F37-8A8E-1FAB89679B47}">
    <text>spring oats</text>
  </threadedComment>
  <threadedComment ref="AG4" dT="2020-05-29T12:50:21.97" personId="{E85064DB-4318-4176-AD72-EC279C9132ED}" id="{93DD9874-C504-49C3-BD78-98BF78D4DFA2}">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P5" dT="2020-05-22T11:42:26.84" personId="{E85064DB-4318-4176-AD72-EC279C9132ED}" id="{DF9949D8-BFE6-4647-81EE-F05E62AF54CD}">
    <text>N.B. the lookup doesn't work for this as there's no option to distinguish between winter wheats in this rotation. Data entered manually.</text>
  </threadedComment>
  <threadedComment ref="U5" dT="2020-10-05T14:40:17.32" personId="{A7464F79-F6FC-4943-BBAE-051A38267115}" id="{D416DE4E-A618-4A8A-9962-97ABBB658358}">
    <text>this is spring oat seed rate</text>
  </threadedComment>
  <threadedComment ref="AA5" dT="2020-05-22T10:24:45.40" personId="{E85064DB-4318-4176-AD72-EC279C9132ED}" id="{815B53EF-744F-42E2-A7E4-0F98D0A277F8}">
    <text>spring oats</text>
  </threadedComment>
  <threadedComment ref="AG5" dT="2020-05-29T12:50:21.97" personId="{E85064DB-4318-4176-AD72-EC279C9132ED}" id="{AF19C7B4-4760-4CE3-8E56-B9BD30B0896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J6" dT="2020-05-22T11:32:32.37" personId="{E85064DB-4318-4176-AD72-EC279C9132ED}" id="{4836F0A5-6112-43EF-AA75-D74FA4A5E0FF}">
    <text>The farmers specified spring oats but ECOMOD can't model spring oats so we need to use spring barley as a proxy. 
As I want estimated yields for all the other crops, I need to do this in two stages.
1. First run ECOMOD with yield='estimate' so that I get the output for all other crops that don't need proxies. 
N.B. Make sure to change 'spring oats' to 'spring barley' in R before running ECOMOD. Don't change it here otherwise all the seed prices etc will be for spring barley as they look up the crop here. I want seed prices etc to be for spring oats (ie. all other details to be as specified by farmers for spring oats). 
Then, ignore the output for 'spring barley' from this model is run.
2. Run ECOMOD a second time with yield set to 'recorded'.  Give the average UK yield for oats in the input file. Use this output as the oat result and combine it with the output for all other crops from the first model run.</text>
  </threadedComment>
  <threadedComment ref="Q6" dT="2020-05-29T13:25:41.94" personId="{E85064DB-4318-4176-AD72-EC279C9132ED}" id="{FEA869F2-8CF8-49D4-BD88-39A83589CDC6}">
    <text>N.B. the lookup doesn't work for this as there's no option to distinguish between winter wheats in this rotation. Data entered manually.</text>
  </threadedComment>
  <threadedComment ref="V6" dT="2020-10-05T13:47:09.46" personId="{A7464F79-F6FC-4943-BBAE-051A38267115}" id="{B3E2C082-EAA2-42A0-8DE3-5883D0CAE4A9}">
    <text>this is spring oat seed rate</text>
  </threadedComment>
  <threadedComment ref="AB6" dT="2020-05-22T10:24:45.40" personId="{E85064DB-4318-4176-AD72-EC279C9132ED}" id="{7393CB98-30C9-4193-B61C-7D0A3E809B82}">
    <text>spring oats</text>
  </threadedComment>
  <threadedComment ref="AF6" dT="2021-12-02T17:03:49.00" personId="{A7464F79-F6FC-4943-BBAE-051A38267115}" id="{86B22EF8-9742-4B67-871A-CBE97A6B023B}">
    <text>lookup doesn't work for light soils so entered manually</text>
  </threadedComment>
  <threadedComment ref="AH6" dT="2020-05-29T12:50:21.97" personId="{E85064DB-4318-4176-AD72-EC279C9132ED}" id="{3DE99DD1-BF37-48FA-B71E-BE4E0FC0867A}">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6" dT="2021-12-02T17:03:49.00" personId="{A7464F79-F6FC-4943-BBAE-051A38267115}" id="{7F56E22D-B664-4BAD-9C70-C8E8B0FBB63B}">
    <text>lookup doesn't work for light soils so entered manually</text>
  </threadedComment>
  <threadedComment ref="AN6" dT="2020-05-29T13:14:35.01" personId="{E85064DB-4318-4176-AD72-EC279C9132ED}" id="{9B556F32-3D68-4794-A79F-3ECAB25A5C35}">
    <text>SPRING OATS
(RB209 says same P requirement as for spring wheat)
RB209: 
SNS 1, straw ploughed in: 80 kg[P]/ha 
SNS 1, straw removed: 85 kg[P]/ha 
Nix: 43 kg[P]/ha
ABC: 45 kg[P]/ha</text>
  </threadedComment>
  <threadedComment ref="BY6" dT="2020-05-29T13:40:09.88" personId="{E85064DB-4318-4176-AD72-EC279C9132ED}" id="{C345C375-4770-4FD5-A4DC-5E7998E6FB7C}">
    <text>This is the price in Nix for spring oats (feed)</text>
  </threadedComment>
  <threadedComment ref="CE6" dT="2020-10-05T13:50:06.35" personId="{A7464F79-F6FC-4943-BBAE-051A38267115}" id="{46D604C8-FA8D-453C-BD61-4D720C30FB31}">
    <text>For spring oats, use the average UK yield instead of using spring barley as a proxy. Nix 2019 gives 5.5 t/ha average.
(JHI Oat Growth Guide gives 7t/ha. They used harvests 2014-2017 as a benchmark. But they are in Scotland and stick to using Nix).</text>
  </threadedComment>
  <threadedComment ref="CO6" dT="2020-10-05T14:39:09.54" personId="{A7464F79-F6FC-4943-BBAE-051A38267115}" id="{BE96EF6E-8A1F-4FA4-941D-8A81B02C30A9}">
    <text>seed price for spring oats is same as for spring barley, ABC gives £0.38/kg for spring milling oats</text>
  </threadedComment>
  <threadedComment ref="Q7" dT="2020-05-22T11:42:26.84" personId="{E85064DB-4318-4176-AD72-EC279C9132ED}" id="{FC102D11-B429-40E4-84A9-03160DA63DA3}">
    <text>N.B. the lookup doesn't work for this as there's no option to distinguish between winter wheats in this rotation. Data entered manually.</text>
  </threadedComment>
  <threadedComment ref="V7" dT="2020-10-05T14:40:05.75" personId="{A7464F79-F6FC-4943-BBAE-051A38267115}" id="{5154467C-1C3E-4647-81C7-52CB301D0C1E}">
    <text>this is spring oat seed rate</text>
  </threadedComment>
  <threadedComment ref="AB7" dT="2020-05-22T10:24:45.40" personId="{E85064DB-4318-4176-AD72-EC279C9132ED}" id="{7C5F30A8-97F1-4DB8-99DA-1289B39F6FCA}">
    <text>spring oats</text>
  </threadedComment>
  <threadedComment ref="AF7" dT="2021-12-02T17:03:49.00" personId="{A7464F79-F6FC-4943-BBAE-051A38267115}" id="{A45532C9-019C-4364-8BC9-76AAAB634634}">
    <text>lookup doesn't work for light soils so entered manually</text>
  </threadedComment>
  <threadedComment ref="AH7" dT="2020-05-29T12:50:21.97" personId="{E85064DB-4318-4176-AD72-EC279C9132ED}" id="{A196D739-5BDA-4D96-A4C5-31757D196984}">
    <text>Farmers specified 100kg[N]/ha. 
For spring oats, use 'actual' yield and set it to the average UK yield (instead of using spring barley as a proxy). 
If I use spring barley as a proxy change this to 140 kg/ha as the crop yield estimation function in ECOMOD uses the N rate.</text>
  </threadedComment>
  <threadedComment ref="AI7" dT="2021-12-02T17:03:49.00" personId="{A7464F79-F6FC-4943-BBAE-051A38267115}" id="{528267B6-CB1A-449B-A1CA-D4FE400F801A}">
    <text>lookup doesn't work for light soils so entered manually</text>
  </threadedComment>
  <threadedComment ref="B8" dT="2020-03-19T15:52:01.75" personId="{910D7A6A-1D75-4830-A13B-57872AC75804}" id="{66D74245-F911-4D8A-B3DC-AB2BF920B895}">
    <text>Aii &amp; Aii.i</text>
  </threadedComment>
  <threadedComment ref="G8" dT="2021-12-03T11:15:22.60" personId="{A7464F79-F6FC-4943-BBAE-051A38267115}" id="{21235AB4-FB68-40CA-98B0-94E6AA8C9BAA}">
    <text>sosr is a proxy for maize. I am not running the model twice as I did for spring oats as I don't know that all the sundry costs (processing etc) are similar for maize and sosr).</text>
  </threadedComment>
  <threadedComment ref="AE8" dT="2020-10-05T15:14:43.64" personId="{A7464F79-F6FC-4943-BBAE-051A38267115}" id="{5E03FF64-5CCA-41CC-96C8-101F132E3222}">
    <text>ECOMOD can't run maize. This is the value for maize.</text>
  </threadedComment>
  <threadedComment ref="AK8" dT="2021-10-20T12:13:06.55" personId="{A7464F79-F6FC-4943-BBAE-051A38267115}" id="{CC9E0BFE-E7D3-4047-9320-5952ACE9525B}">
    <text>value for spring oats rather than maize</text>
  </threadedComment>
  <threadedComment ref="AQ8" dT="2021-10-20T12:13:40.00" personId="{A7464F79-F6FC-4943-BBAE-051A38267115}" id="{0661D4C9-B75A-453E-A76A-BB7960C06582}">
    <text>value for spring oats rather than maize</text>
  </threadedComment>
  <threadedComment ref="AE9" dT="2020-10-05T15:14:43.64" personId="{A7464F79-F6FC-4943-BBAE-051A38267115}" id="{EB7E2601-834A-483E-872E-F89D4578D89B}">
    <text>ECOMOD can't run maize. This is the value for maize.</text>
  </threadedComment>
  <threadedComment ref="B10" dT="2020-03-19T15:54:20.44" personId="{910D7A6A-1D75-4830-A13B-57872AC75804}" id="{252D0726-9EAF-4249-8AEC-307A7512F5F9}">
    <text>Aii &amp; Aii.i</text>
  </threadedComment>
  <threadedComment ref="AE10" dT="2020-10-05T15:14:43.64" personId="{A7464F79-F6FC-4943-BBAE-051A38267115}" id="{8350835B-FE2E-4990-9129-DEB7AB105FD5}">
    <text>ECOMOD can't run maize. This is the value for maize.</text>
  </threadedComment>
  <threadedComment ref="AE11" dT="2020-10-05T15:14:43.64" personId="{A7464F79-F6FC-4943-BBAE-051A38267115}" id="{6056532D-AEB3-489F-9898-E0538DA264A7}">
    <text>ECOMOD can't run maize. This is the value for maize.</text>
  </threadedComment>
  <threadedComment ref="B12" dT="2020-03-19T16:15:35.56" personId="{910D7A6A-1D75-4830-A13B-57872AC75804}" id="{A3C89A15-4538-4F0E-ACE6-5BD59EA75ADA}">
    <text>N/A?</text>
  </threadedComment>
  <threadedComment ref="AE12" dT="2020-10-05T15:14:43.64" personId="{A7464F79-F6FC-4943-BBAE-051A38267115}" id="{A32DCD42-C8E0-4AB5-A2BA-1B47A6190E1B}">
    <text>ECOMOD can't run maize. This is the value for maize.</text>
  </threadedComment>
  <threadedComment ref="AG12" dT="2021-12-02T17:03:49.00" personId="{A7464F79-F6FC-4943-BBAE-051A38267115}" id="{C862D59A-B0E1-4B68-A1B6-7731BCF811C7}">
    <text>lookup doesn't work for light soils so entered manually</text>
  </threadedComment>
  <threadedComment ref="AE13" dT="2020-10-05T15:14:43.64" personId="{A7464F79-F6FC-4943-BBAE-051A38267115}" id="{3C3FB75D-8EC2-4DD5-9A9A-5A4E92875399}">
    <text>ECOMOD can't run maize. This is the value for maize.</text>
  </threadedComment>
  <threadedComment ref="AG13" dT="2021-12-02T17:03:49.00" personId="{A7464F79-F6FC-4943-BBAE-051A38267115}" id="{3D8109CC-5C12-4B96-9FD2-E8212E72792D}">
    <text>lookup doesn't work for light soils so entered manually</text>
  </threadedComment>
  <threadedComment ref="BE14" dT="2020-10-14T11:01:03.11" personId="{A7464F79-F6FC-4943-BBAE-051A38267115}" id="{04587D8A-A71B-42AA-924C-580A9D577BEE}">
    <text>entered manually as it's different to the other ww glyphosate application in this rotation</text>
  </threadedComment>
  <threadedComment ref="BK14" dT="2020-10-14T15:58:37.52" personId="{A7464F79-F6FC-4943-BBAE-051A38267115}" id="{A4FEFCA4-D446-4D1E-AA64-765DAEA5D7E2}">
    <text>entered manually</text>
  </threadedComment>
  <threadedComment ref="BE15" dT="2020-10-14T11:01:03.11" personId="{A7464F79-F6FC-4943-BBAE-051A38267115}" id="{A0688978-F45A-41C0-8BE5-4D274D170C86}">
    <text>entered manually as it's different to the other ww glyphosate application in this rotation</text>
  </threadedComment>
  <threadedComment ref="BK15" dT="2020-10-14T15:58:37.52" personId="{A7464F79-F6FC-4943-BBAE-051A38267115}" id="{D9D3ED09-AD09-4EDF-A90C-021743E8C604}">
    <text>entered manually</text>
  </threadedComment>
  <threadedComment ref="BE16" dT="2020-10-14T11:01:03.11" personId="{A7464F79-F6FC-4943-BBAE-051A38267115}" id="{CB67BDB8-851E-4D86-99E4-FA15B05225B2}">
    <text>entered manually as it's different to the other ww glyphosate application in this rotation</text>
  </threadedComment>
  <threadedComment ref="BK16" dT="2020-10-14T15:58:37.52" personId="{A7464F79-F6FC-4943-BBAE-051A38267115}" id="{2F12C4C8-C3A9-497B-AB9B-200E23402726}">
    <text>entered manually</text>
  </threadedComment>
  <threadedComment ref="BE17" dT="2020-10-14T11:01:03.11" personId="{A7464F79-F6FC-4943-BBAE-051A38267115}" id="{427E7C92-2CD4-4378-89FB-A909AE8527C5}">
    <text>entered manually as it's different to the other ww glyphosate application in this rotation</text>
  </threadedComment>
  <threadedComment ref="BK17" dT="2020-10-14T15:58:37.52" personId="{A7464F79-F6FC-4943-BBAE-051A38267115}" id="{57E0806D-3B60-40A4-AFAE-3DA178292496}">
    <text>entered manually</text>
  </threadedComment>
  <threadedComment ref="R18" dT="2021-10-13T10:49:26.59" personId="{A7464F79-F6FC-4943-BBAE-051A38267115}" id="{ED248A8C-3A93-483B-A529-D9B2E48C3A81}">
    <text>different seedrate for light soils</text>
  </threadedComment>
  <threadedComment ref="U18" dT="2021-10-13T10:49:26.59" personId="{A7464F79-F6FC-4943-BBAE-051A38267115}" id="{E96BF803-A182-408B-B848-0FEF354B17DE}">
    <text>different seedrate for light soils</text>
  </threadedComment>
  <threadedComment ref="AD18" dT="2021-12-02T17:03:49.00" personId="{A7464F79-F6FC-4943-BBAE-051A38267115}" id="{D43C7B12-C21E-494E-BE95-9D24A0E77217}">
    <text>lookup doesn't work for light soils so entered manually</text>
  </threadedComment>
  <threadedComment ref="AG18" dT="2021-12-02T17:03:49.00" personId="{A7464F79-F6FC-4943-BBAE-051A38267115}" id="{3A973F60-886E-4A50-8FDE-E97798F8DBE3}">
    <text>lookup doesn't work for light soils so entered manually</text>
  </threadedComment>
  <threadedComment ref="BE18" dT="2020-10-14T11:01:03.11" personId="{A7464F79-F6FC-4943-BBAE-051A38267115}" id="{9638029F-9207-407A-BD7E-D6392C642B80}">
    <text>entered manually as it's different to the other ww glyphosate application in this rotation</text>
  </threadedComment>
  <threadedComment ref="BK18" dT="2020-10-14T15:58:37.52" personId="{A7464F79-F6FC-4943-BBAE-051A38267115}" id="{2C6F5B68-879E-4E5C-AD9C-D43E6D6E5662}">
    <text>entered manually</text>
  </threadedComment>
  <threadedComment ref="R19" dT="2021-10-13T10:49:26.59" personId="{A7464F79-F6FC-4943-BBAE-051A38267115}" id="{DF6E356E-4502-4673-9E25-74921DE383AD}">
    <text>different seedrate for light soils</text>
  </threadedComment>
  <threadedComment ref="U19" dT="2021-10-13T10:49:26.59" personId="{A7464F79-F6FC-4943-BBAE-051A38267115}" id="{532831F5-317B-4421-8817-1AC5427688E0}">
    <text>different seedrate for light soils</text>
  </threadedComment>
  <threadedComment ref="AD19" dT="2021-12-02T17:03:49.00" personId="{A7464F79-F6FC-4943-BBAE-051A38267115}" id="{53246720-ABE8-430B-8DDE-C82F7135D3CD}">
    <text>lookup doesn't work for light soils so entered manually</text>
  </threadedComment>
  <threadedComment ref="AG19" dT="2021-12-02T17:03:49.00" personId="{A7464F79-F6FC-4943-BBAE-051A38267115}" id="{8C8059AB-6693-43B3-8344-D0F12CBB7F9E}">
    <text>lookup doesn't work for light soils so entered manually</text>
  </threadedComment>
  <threadedComment ref="BE19" dT="2020-10-14T11:01:03.11" personId="{A7464F79-F6FC-4943-BBAE-051A38267115}" id="{576DAA06-9C32-4753-AACD-069118BCC97C}">
    <text>entered manually as it's different to the other ww glyphosate application in this rotation</text>
  </threadedComment>
  <threadedComment ref="BK19" dT="2020-10-14T15:58:37.52" personId="{A7464F79-F6FC-4943-BBAE-051A38267115}" id="{F30CFB59-9817-40A1-9FBF-0D9A332CB5DF}">
    <text>entered manually</text>
  </threadedComment>
  <threadedComment ref="Q20" dT="2020-05-26T12:19:16.81" personId="{E85064DB-4318-4176-AD72-EC279C9132ED}" id="{EB9711D3-C5AF-4464-9A63-CC9BB5871B02}">
    <text>N.B. the lookup doesn't work for this as there's no option to distinguish between winter wheats in this rotation. Data entered manually.</text>
  </threadedComment>
  <threadedComment ref="Q21" dT="2020-05-26T12:19:16.81" personId="{E85064DB-4318-4176-AD72-EC279C9132ED}" id="{6E905C3A-62E5-4A1F-B536-79BD2DFC6B3D}">
    <text>N.B. the lookup doesn't work for this as there's no option to distinguish between winter wheats in this rotation. Data entered manually.</text>
  </threadedComment>
  <threadedComment ref="Q22" dT="2020-05-26T12:19:16.81" personId="{E85064DB-4318-4176-AD72-EC279C9132ED}" id="{74473228-819E-478B-9AF3-29E0E39D2D74}">
    <text>N.B. the lookup doesn't work for this as there's no option to distinguish between winter wheats in this rotation. Data entered manually.</text>
  </threadedComment>
  <threadedComment ref="Q23" dT="2020-05-26T12:19:16.81" personId="{E85064DB-4318-4176-AD72-EC279C9132ED}" id="{5047A9E8-1C53-40C4-A16B-749197DEFE6B}">
    <text>N.B. the lookup doesn't work for this as there's no option to distinguish between winter wheats in this rotation. Data entered manually.</text>
  </threadedComment>
  <threadedComment ref="Q24" dT="2020-05-26T12:19:16.81" personId="{E85064DB-4318-4176-AD72-EC279C9132ED}" id="{15862D75-16CD-4C30-931A-3FC673D937CA}">
    <text>N.B. the lookup doesn't work for this as there's no option to distinguish between winter wheats in this rotation. Data entered manually.</text>
  </threadedComment>
  <threadedComment ref="AD24" dT="2021-12-02T17:03:49.00" personId="{A7464F79-F6FC-4943-BBAE-051A38267115}" id="{F549B5BC-5F56-4F52-8DEA-98A000572E34}">
    <text>lookup doesn't work for light soils so entered manually</text>
  </threadedComment>
  <threadedComment ref="AF24" dT="2021-12-02T17:03:49.00" personId="{A7464F79-F6FC-4943-BBAE-051A38267115}" id="{6BCBBAAE-D877-4AD5-8ADA-A3BAFEC1CED2}">
    <text>lookup doesn't work for light soils so entered manually</text>
  </threadedComment>
  <threadedComment ref="AI24" dT="2021-12-02T17:03:49.00" personId="{A7464F79-F6FC-4943-BBAE-051A38267115}" id="{C7E28F76-1092-411C-B9C9-54F7445803A2}">
    <text>lookup doesn't work for light soils so entered manually</text>
  </threadedComment>
  <threadedComment ref="Q25" dT="2020-05-26T12:19:16.81" personId="{E85064DB-4318-4176-AD72-EC279C9132ED}" id="{D2A17A61-09C3-4DD1-88D3-FACBD7ACD808}">
    <text>N.B. the lookup doesn't work for this as there's no option to distinguish between winter wheats in this rotation. Data entered manually.</text>
  </threadedComment>
  <threadedComment ref="AD25" dT="2021-12-02T17:03:49.00" personId="{A7464F79-F6FC-4943-BBAE-051A38267115}" id="{AE092DB5-3BB5-44F0-9958-F2D8EC426701}">
    <text>lookup doesn't work for light soils so entered manually</text>
  </threadedComment>
  <threadedComment ref="AF25" dT="2021-12-02T17:03:49.00" personId="{A7464F79-F6FC-4943-BBAE-051A38267115}" id="{022E0BE6-4250-49B4-AACF-E1B83FFBE96A}">
    <text>lookup doesn't work for light soils so entered manually</text>
  </threadedComment>
  <threadedComment ref="AI25" dT="2021-12-02T17:03:49.00" personId="{A7464F79-F6FC-4943-BBAE-051A38267115}" id="{231B0519-4AA4-4218-BB1F-5ADA2445A95A}">
    <text>lookup doesn't work for light soils so entered manually</text>
  </threadedComment>
  <threadedComment ref="B26" dT="2020-03-19T15:52:59.41" personId="{910D7A6A-1D75-4830-A13B-57872AC75804}" id="{E5908E8E-ED4E-4B8A-8418-0090EE671464}">
    <text>Bii</text>
  </threadedComment>
  <threadedComment ref="B28" dT="2020-03-19T15:54:47.84" personId="{910D7A6A-1D75-4830-A13B-57872AC75804}" id="{69C0F81E-E1B9-4371-9CA6-F8B5E2BDE0BA}">
    <text>Bii</text>
  </threadedComment>
  <threadedComment ref="B30" dT="2020-03-19T16:16:24.27" personId="{910D7A6A-1D75-4830-A13B-57872AC75804}" id="{729E491D-E287-4EAF-B2CA-FB59FBBC31EE}">
    <text>Bii.i</text>
  </threadedComment>
  <threadedComment ref="AD30" dT="2021-12-02T17:03:49.00" personId="{A7464F79-F6FC-4943-BBAE-051A38267115}" id="{9214B5E6-C62C-400F-8FD0-5D99CDB9021B}">
    <text>lookup doesn't work for light soils so entered manually</text>
  </threadedComment>
  <threadedComment ref="AG30" dT="2021-12-02T17:03:49.00" personId="{A7464F79-F6FC-4943-BBAE-051A38267115}" id="{B5C753A7-AA0C-4BC1-99CD-93BA6CD41FD6}">
    <text>lookup doesn't work for light soils so entered manually</text>
  </threadedComment>
  <threadedComment ref="AX30" dT="2022-05-23T12:43:52.41" personId="{A7464F79-F6FC-4943-BBAE-051A38267115}" id="{4436172A-1A3F-4D91-9D45-AF98BA492DD2}">
    <text>higher herb application than in heavy and medium soils as this is peas rather than beans</text>
  </threadedComment>
  <threadedComment ref="BA30" dT="2022-05-23T12:43:32.50" personId="{A7464F79-F6FC-4943-BBAE-051A38267115}" id="{54D3ADAE-EB61-4869-A891-1AA8C0E53CC1}">
    <text>higher herb application than in heavy and medium soils as this is peas rather than beans</text>
  </threadedComment>
  <threadedComment ref="AD31" dT="2021-12-02T17:03:49.00" personId="{A7464F79-F6FC-4943-BBAE-051A38267115}" id="{8A4477CC-D432-425F-B8AD-C16ED96AC929}">
    <text>lookup doesn't work for light soils so entered manually</text>
  </threadedComment>
  <threadedComment ref="AG31" dT="2021-12-02T17:03:49.00" personId="{A7464F79-F6FC-4943-BBAE-051A38267115}" id="{9F6FD8EB-F9B3-4CD6-B4CA-DE35CC156CD3}">
    <text>lookup doesn't work for light soils so entered manually</text>
  </threadedComment>
  <threadedComment ref="AX31" dT="2022-05-23T12:43:55.44" personId="{A7464F79-F6FC-4943-BBAE-051A38267115}" id="{E3CEBC48-1746-4682-BF4B-F609351A78D3}">
    <text>higher herb application than in heavy and medium soils as this is peas rather than beans</text>
  </threadedComment>
  <threadedComment ref="BA31" dT="2022-05-23T12:43:48.45" personId="{A7464F79-F6FC-4943-BBAE-051A38267115}" id="{040E77C1-65C0-40D3-81B0-6358D931371C}">
    <text>higher herb application than in heavy and medium soils as this is peas rather than beans</text>
  </threadedComment>
  <threadedComment ref="O32" dT="2020-10-14T13:25:50.99" personId="{A7464F79-F6FC-4943-BBAE-051A38267115}" id="{402E9D38-6C34-4290-BA0C-B694A7EFDA06}">
    <text>N.B. the lookup doesn't work for this as there's no option to distinguish between winter wheats in this rotation. Data entered manually.</text>
  </threadedComment>
  <threadedComment ref="O33" dT="2020-10-14T13:25:50.99" personId="{A7464F79-F6FC-4943-BBAE-051A38267115}" id="{7892B58A-7B37-419C-B8DB-474A7C0A3778}">
    <text>N.B. the lookup doesn't work for this as there's no option to distinguish between winter wheats in this rotation. Data entered manually.</text>
  </threadedComment>
  <threadedComment ref="O34" dT="2020-10-14T13:25:50.99" personId="{A7464F79-F6FC-4943-BBAE-051A38267115}" id="{5EC0B95E-E333-475A-89A3-BB153EB8DA97}">
    <text>N.B. the lookup doesn't work for this as there's no option to distinguish between winter wheats in this rotation. Data entered manually.</text>
  </threadedComment>
  <threadedComment ref="O35" dT="2020-10-14T13:25:50.99" personId="{A7464F79-F6FC-4943-BBAE-051A38267115}" id="{02DCFA8A-BBEA-45C5-A0D9-D283B81C3E42}">
    <text>N.B. the lookup doesn't work for this as there's no option to distinguish between winter wheats in this rotation. Data entered manually.</text>
  </threadedComment>
  <threadedComment ref="O36" dT="2020-10-14T13:25:50.99" personId="{A7464F79-F6FC-4943-BBAE-051A38267115}" id="{F2481D30-9981-4984-9BDF-FE7BBFF34C45}">
    <text>N.B. the lookup doesn't work for this as there's no option to distinguish between winter wheats in this rotation. Data entered manually.</text>
  </threadedComment>
  <threadedComment ref="AD36" dT="2021-12-02T17:03:49.00" personId="{A7464F79-F6FC-4943-BBAE-051A38267115}" id="{F5309CF9-3D77-4EA6-BD10-697CBFE4A5EC}">
    <text>lookup doesn't work for light soils so entered manually</text>
  </threadedComment>
  <threadedComment ref="AG36" dT="2021-12-02T17:03:49.00" personId="{A7464F79-F6FC-4943-BBAE-051A38267115}" id="{46618D08-4766-4F10-A04A-1549EBEB2381}">
    <text>lookup doesn't work for light soils so entered manually</text>
  </threadedComment>
  <threadedComment ref="O37" dT="2020-10-14T13:25:50.99" personId="{A7464F79-F6FC-4943-BBAE-051A38267115}" id="{ACD3B856-FABE-411E-996F-1E54A9C3709B}">
    <text>N.B. the lookup doesn't work for this as there's no option to distinguish between winter wheats in this rotation. Data entered manually.</text>
  </threadedComment>
  <threadedComment ref="AD37" dT="2021-12-02T17:03:49.00" personId="{A7464F79-F6FC-4943-BBAE-051A38267115}" id="{0EC70A8A-20B6-4E5A-9827-5CC5138E6704}">
    <text>lookup doesn't work for light soils so entered manually</text>
  </threadedComment>
  <threadedComment ref="AG37" dT="2021-12-02T17:03:49.00" personId="{A7464F79-F6FC-4943-BBAE-051A38267115}" id="{E54A157E-96D6-4DC9-80F1-649941B0624C}">
    <text>lookup doesn't work for light soils so entered manually</text>
  </threadedComment>
  <threadedComment ref="AD42" dT="2021-12-02T17:03:49.00" personId="{A7464F79-F6FC-4943-BBAE-051A38267115}" id="{83F8A9F7-C1DC-4303-B321-2AC0F7D239F5}">
    <text>lookup doesn't work for light soils so entered manually</text>
  </threadedComment>
  <threadedComment ref="AF42" dT="2021-12-02T17:03:49.00" personId="{A7464F79-F6FC-4943-BBAE-051A38267115}" id="{AEF46341-C5A4-4856-A31C-EF69E2F62AA5}">
    <text>lookup doesn't work for light soils so entered manually</text>
  </threadedComment>
  <threadedComment ref="AG42" dT="2021-12-02T17:03:49.00" personId="{A7464F79-F6FC-4943-BBAE-051A38267115}" id="{DADC983C-F684-4483-865D-22BE3EF37314}">
    <text>lookup doesn't work for light soils so entered manually</text>
  </threadedComment>
  <threadedComment ref="AI42" dT="2021-12-02T17:03:49.00" personId="{A7464F79-F6FC-4943-BBAE-051A38267115}" id="{D1FD58B7-FD61-44CC-975C-003579617D99}">
    <text>lookup doesn't work for light soils so entered manually</text>
  </threadedComment>
  <threadedComment ref="AD43" dT="2021-12-02T17:03:49.00" personId="{A7464F79-F6FC-4943-BBAE-051A38267115}" id="{E8286D50-061A-4FCF-96F9-4E99FF8D04F3}">
    <text>lookup doesn't work for light soils so entered manually</text>
  </threadedComment>
  <threadedComment ref="AF43" dT="2021-12-02T17:03:49.00" personId="{A7464F79-F6FC-4943-BBAE-051A38267115}" id="{00670B31-ED1B-4EC3-9815-F0FBA50ADB6E}">
    <text>lookup doesn't work for light soils so entered manually</text>
  </threadedComment>
  <threadedComment ref="AG43" dT="2021-12-02T17:03:49.00" personId="{A7464F79-F6FC-4943-BBAE-051A38267115}" id="{621875BC-3197-4BBD-8CA5-77AF455EDC04}">
    <text>lookup doesn't work for light soils so entered manually</text>
  </threadedComment>
  <threadedComment ref="AI43" dT="2021-12-02T17:03:49.00" personId="{A7464F79-F6FC-4943-BBAE-051A38267115}" id="{CD315264-E3E7-4E61-B26B-BFCDB8107F75}">
    <text>lookup doesn't work for light soils so entered manually</text>
  </threadedComment>
  <threadedComment ref="B44" dT="2020-03-19T15:53:25.99" personId="{910D7A6A-1D75-4830-A13B-57872AC75804}" id="{5B0F5DDD-62A7-4AE0-AF69-DAC350902275}">
    <text>Cii</text>
  </threadedComment>
  <threadedComment ref="AY44" dT="2020-10-14T14:42:50.69" personId="{A7464F79-F6FC-4943-BBAE-051A38267115}" id="{F49CD548-C44B-400F-91A9-461659A57F2F}">
    <text>Data entered manually as second ww has different rate than first ww.</text>
  </threadedComment>
  <threadedComment ref="AY45" dT="2020-10-14T14:42:55.25" personId="{A7464F79-F6FC-4943-BBAE-051A38267115}" id="{CFF340E7-BA43-43D1-8A32-8A86583C7055}">
    <text>Data entered manually as second ww has different rate than first ww.</text>
  </threadedComment>
  <threadedComment ref="B46" dT="2020-03-19T15:55:02.54" personId="{910D7A6A-1D75-4830-A13B-57872AC75804}" id="{1C20C322-BE8D-4DCB-B5AC-F6D706698394}">
    <text>Cii</text>
  </threadedComment>
  <threadedComment ref="AY46" dT="2020-10-14T14:42:50.69" personId="{A7464F79-F6FC-4943-BBAE-051A38267115}" id="{8E0E2445-DE3B-4231-A05A-24C12B0D52EF}">
    <text>Data entered manually as second ww has different rate than first ww.</text>
  </threadedComment>
  <threadedComment ref="AY47" dT="2020-10-14T14:42:55.25" personId="{A7464F79-F6FC-4943-BBAE-051A38267115}" id="{6955FABB-4BAE-42EE-BB14-7455042C8F1B}">
    <text>Data entered manually as second ww has different rate than first ww.</text>
  </threadedComment>
  <threadedComment ref="B48" dT="2020-03-19T16:16:49.47" personId="{910D7A6A-1D75-4830-A13B-57872AC75804}" id="{E46E2491-F82A-4A89-A094-A7FD4C5DBFAA}">
    <text>Cii.i</text>
  </threadedComment>
  <threadedComment ref="AD48" dT="2021-12-02T17:03:49.00" personId="{A7464F79-F6FC-4943-BBAE-051A38267115}" id="{CCD7F865-49B5-44FF-9D8B-A0E9E676DBEB}">
    <text>lookup doesn't work for light soils so entered manually</text>
  </threadedComment>
  <threadedComment ref="AG48" dT="2021-12-02T17:03:49.00" personId="{A7464F79-F6FC-4943-BBAE-051A38267115}" id="{27A80B84-9E6D-446E-9F90-7F88D3267D39}">
    <text>lookup doesn't work for light soils so entered manually</text>
  </threadedComment>
  <threadedComment ref="AI48" dT="2021-12-02T17:03:49.00" personId="{A7464F79-F6FC-4943-BBAE-051A38267115}" id="{82D543DC-F05A-4DE4-B0C0-86F28FBA85BB}">
    <text>lookup doesn't work for light soils so entered manually</text>
  </threadedComment>
  <threadedComment ref="AY48" dT="2020-10-14T14:42:50.69" personId="{A7464F79-F6FC-4943-BBAE-051A38267115}" id="{E4CB5E1A-40AF-479F-96FE-82628C7F489D}">
    <text>Data entered manually as second ww has different rate than first ww.</text>
  </threadedComment>
  <threadedComment ref="AD49" dT="2021-12-02T17:03:49.00" personId="{A7464F79-F6FC-4943-BBAE-051A38267115}" id="{1A87499A-B013-477B-B0D0-4C0352065C6E}">
    <text>lookup doesn't work for light soils so entered manually</text>
  </threadedComment>
  <threadedComment ref="AG49" dT="2021-12-02T17:03:49.00" personId="{A7464F79-F6FC-4943-BBAE-051A38267115}" id="{F38B066D-10C3-49C1-A5E3-0FFE33CC81CD}">
    <text>lookup doesn't work for light soils so entered manually</text>
  </threadedComment>
  <threadedComment ref="AI49" dT="2021-12-02T17:03:49.00" personId="{A7464F79-F6FC-4943-BBAE-051A38267115}" id="{B5B45A69-1376-411E-81DE-6839DA76B4AB}">
    <text>lookup doesn't work for light soils so entered manually</text>
  </threadedComment>
  <threadedComment ref="AY49" dT="2020-10-14T14:42:55.25" personId="{A7464F79-F6FC-4943-BBAE-051A38267115}" id="{79ECB7EC-401C-48D0-A20F-A41C6A2B3515}">
    <text>Data entered manually as second ww has different rate than first ww.</text>
  </threadedComment>
  <threadedComment ref="AY50" dT="2020-10-14T14:42:50.69" personId="{A7464F79-F6FC-4943-BBAE-051A38267115}" id="{A73CCBD0-8129-462F-B544-D93E03B9DE19}">
    <text>Data entered manually as second ww has different rate than first ww.</text>
  </threadedComment>
  <threadedComment ref="AY51" dT="2020-10-14T14:42:55.25" personId="{A7464F79-F6FC-4943-BBAE-051A38267115}" id="{DF776B0C-8556-4D7B-8B6C-844B2C5DE37C}">
    <text>Data entered manually as second ww has different rate than first ww.</text>
  </threadedComment>
  <threadedComment ref="AY52" dT="2020-10-14T14:42:50.69" personId="{A7464F79-F6FC-4943-BBAE-051A38267115}" id="{D7346817-0FF8-4AB4-84CD-2852C02BA368}">
    <text>Data entered manually as second ww has different rate than first ww.</text>
  </threadedComment>
  <threadedComment ref="AY53" dT="2020-10-14T14:42:55.25" personId="{A7464F79-F6FC-4943-BBAE-051A38267115}" id="{FD4BD97B-A23A-4D72-98A1-E35C94BF1223}">
    <text>Data entered manually as second ww has different rate than first ww.</text>
  </threadedComment>
  <threadedComment ref="AD54" dT="2021-12-02T17:03:49.00" personId="{A7464F79-F6FC-4943-BBAE-051A38267115}" id="{EE863999-B928-4088-9220-8F8344BEB823}">
    <text>lookup doesn't work for light soils so entered manually</text>
  </threadedComment>
  <threadedComment ref="AG54" dT="2021-12-02T17:03:49.00" personId="{A7464F79-F6FC-4943-BBAE-051A38267115}" id="{BD5BA356-E0B5-4827-97FE-6314DF84196C}">
    <text>lookup doesn't work for light soils so entered manually</text>
  </threadedComment>
  <threadedComment ref="AI54" dT="2021-12-02T17:03:49.00" personId="{A7464F79-F6FC-4943-BBAE-051A38267115}" id="{6762A0DD-7A54-46F6-BF74-FA833E2D979D}">
    <text>lookup doesn't work for light soils so entered manually</text>
  </threadedComment>
  <threadedComment ref="AY54" dT="2020-10-14T14:42:50.69" personId="{A7464F79-F6FC-4943-BBAE-051A38267115}" id="{C1716896-5C0F-4F5B-8C87-253585AE5675}">
    <text>Data entered manually as second ww has different rate than first ww.</text>
  </threadedComment>
  <threadedComment ref="AD55" dT="2021-12-02T17:03:49.00" personId="{A7464F79-F6FC-4943-BBAE-051A38267115}" id="{C94B5993-302E-4822-B511-268096AACCDE}">
    <text>lookup doesn't work for light soils so entered manually</text>
  </threadedComment>
  <threadedComment ref="AG55" dT="2021-12-02T17:03:49.00" personId="{A7464F79-F6FC-4943-BBAE-051A38267115}" id="{D429030B-DBB4-4078-8B03-8BC4938B7711}">
    <text>lookup doesn't work for light soils so entered manually</text>
  </threadedComment>
  <threadedComment ref="AI55" dT="2021-12-02T17:03:49.00" personId="{A7464F79-F6FC-4943-BBAE-051A38267115}" id="{D44803D5-7E60-4B75-A045-7F4429765BD3}">
    <text>lookup doesn't work for light soils so entered manually</text>
  </threadedComment>
  <threadedComment ref="AY55" dT="2020-10-14T14:42:55.25" personId="{A7464F79-F6FC-4943-BBAE-051A38267115}" id="{9D9A2E06-3EA4-49EC-A6DF-FAB894CD09A8}">
    <text>Data entered manually as second ww has different rate than first ww.</text>
  </threadedComment>
</ThreadedComments>
</file>

<file path=xl/threadedComments/threadedComment7.xml><?xml version="1.0" encoding="utf-8"?>
<ThreadedComments xmlns="http://schemas.microsoft.com/office/spreadsheetml/2018/threadedcomments" xmlns:x="http://schemas.openxmlformats.org/spreadsheetml/2006/main">
  <threadedComment ref="T8" dT="2020-10-15T15:57:04.04" personId="{A7464F79-F6FC-4943-BBAE-051A38267115}" id="{E3439356-A89E-4E36-A9CB-10B056C64793}">
    <text>assume blue peas</text>
  </threadedComment>
  <threadedComment ref="H9" dT="2020-05-26T14:57:32.34" personId="{E85064DB-4318-4176-AD72-EC279C9132ED}" id="{717518C6-1EB9-4D49-A742-9C51CDD3EF45}">
    <text>110 kg[N]/ha for spring triticale/ rye/ oats</text>
  </threadedComment>
  <threadedComment ref="M9" dT="2020-05-26T15:20:19.19" personId="{E85064DB-4318-4176-AD72-EC279C9132ED}" id="{0698327B-4C19-456B-8B11-29A16BE1059E}">
    <text>Assumes the variety determinincy group is 1 or 2, growing season &gt; 60 days. Rough average across these categories.</text>
  </threadedComment>
  <threadedComment ref="R9" dT="2020-05-26T15:09:49.98" personId="{E85064DB-4318-4176-AD72-EC279C9132ED}" id="{5721B8D6-9660-460C-81FC-94E03C065001}">
    <text>Rate not given in RB209 so use 90kg[P]/ha as given in Nix 2019</text>
  </threadedComment>
  <threadedComment ref="G10" dT="2020-08-05T12:36:38.60" personId="{E85064DB-4318-4176-AD72-EC279C9132ED}" id="{ED412088-733A-414E-B9FE-FFAA7DAB71B4}">
    <text>RB209 (2020) = 80 kg[P]/ha
ABC 2019 = 70 kg[P]/ha
Nix 2019 = 67 kg[P]/ha for feed wheat
RB209 value: I assumed Soil P index 1 &amp; assumed straw ploughed in / left on field</text>
  </threadedComment>
  <threadedComment ref="H10" dT="2020-05-26T14:48:53.96" personId="{E85064DB-4318-4176-AD72-EC279C9132ED}" id="{80A7165F-6337-4E47-A1FE-370055DFDE7C}">
    <text>same P requirement for spring triticale/ rye/ oats
RB209 = 80 kg[P]/ha
Nix 2019 = 48 kg[P]/ha 
ABC 2019 = 45 kg[P]/ha</text>
  </threadedComment>
  <threadedComment ref="I10" dT="2020-08-05T12:47:14.55" personId="{E85064DB-4318-4176-AD72-EC279C9132ED}" id="{82398711-ED17-41A3-84BA-7215B114F9B3}">
    <text>RB209 = 80 kg[P]/ha
Nix 2019 = 58 kg[P]/ha for winter feed barley</text>
  </threadedComment>
  <threadedComment ref="J10" dT="2020-08-05T12:47:46.05" personId="{E85064DB-4318-4176-AD72-EC279C9132ED}" id="{05D799C3-FBCB-4DE3-B96E-EA7C64532196}">
    <text>RB209 = 75 kg[P]/ha
Nix 2019 = 44 kg[P]/ha for spring malting barley</text>
  </threadedComment>
  <threadedComment ref="K10" dT="2020-08-05T12:48:10.25" personId="{E85064DB-4318-4176-AD72-EC279C9132ED}" id="{C1C00855-8765-4B04-BCF6-1087E63358F7}">
    <text>RB209 = 70 kg[P]/ha
Nix 2019 = 46 kg[P]/ha</text>
  </threadedComment>
  <threadedComment ref="L10" dT="2020-08-05T12:48:26.09" personId="{E85064DB-4318-4176-AD72-EC279C9132ED}" id="{E6F506EE-B919-4CE6-A97E-821BAEA0EBF9}">
    <text>RB209 = 70 kg[P]/ha
Nix 2019 = 43 kg[P]/ha</text>
  </threadedComment>
  <threadedComment ref="M10" dT="2020-08-05T12:49:22.45" personId="{E85064DB-4318-4176-AD72-EC279C9132ED}" id="{5D20CE77-57A2-4970-B16C-2CBD92FD69C0}">
    <text>RB209 = 210 kg[P]/ha at soil P index of 1
Nix 2019 = 45 kg[P]/ha</text>
  </threadedComment>
  <threadedComment ref="N10" dT="2020-08-05T12:53:26.55" personId="{E85064DB-4318-4176-AD72-EC279C9132ED}" id="{2A707C2A-58F4-457D-8CE9-1E1F5CE971FD}">
    <text>RB209 (2020) = 80 kg[P]/ha
ABC 2019 = 55 kg[P]/ha
Nix 2019 = 49 kg[P]/ha
RB209 value: I assumed Soil P index 1 &amp; assumed straw ploughed in / left on field</text>
  </threadedComment>
  <threadedComment ref="O10" dT="2020-08-05T12:53:49.70" personId="{E85064DB-4318-4176-AD72-EC279C9132ED}" id="{777F97EA-6C43-4C5F-9640-251A6F8B31A7}">
    <text>RB209 = 60 kg[P]/ha
Nix 2019 = 32 kg[P]/ha</text>
  </threadedComment>
  <threadedComment ref="P10" dT="2020-08-05T12:54:28.67" personId="{E85064DB-4318-4176-AD72-EC279C9132ED}" id="{B1C5D010-4AE4-4A23-B233-D7C8D21592FB}">
    <text>RB209 = 80 kg[P]/ha
Nix 2019 = 65 kg[P]/ha</text>
  </threadedComment>
  <threadedComment ref="R10" dT="2020-08-05T12:55:00.73" personId="{E85064DB-4318-4176-AD72-EC279C9132ED}" id="{E2DCCC42-A3F8-4E54-B21F-BA2559F3C69C}">
    <text>RB209 = 80 kg[P]/ha
Nix 2019 = 32 kg[P]/ha</text>
  </threadedComment>
  <threadedComment ref="S10" dT="2020-08-05T12:55:57.84" personId="{E85064DB-4318-4176-AD72-EC279C9132ED}" id="{E61FB49A-5D89-449E-A24A-0946BFD01448}">
    <text>RB209 = 60 kg[P]/ha
Nix 2019 = 30 kg[P]/ha</text>
  </threadedComment>
  <threadedComment ref="T10" dT="2020-08-05T12:57:07.18" personId="{E85064DB-4318-4176-AD72-EC279C9132ED}" id="{4DF72F30-8666-496C-8BC1-3AF90411886B}">
    <text>RB209 = 70 kg[P]/ha
Nix 2019 = 35 kg[P]/ha</text>
  </threadedComment>
  <threadedComment ref="V10" dT="2020-10-15T15:09:53.86" personId="{A7464F79-F6FC-4943-BBAE-051A38267115}" id="{9E033D58-8221-4AB3-BC0D-1023CDC1C456}">
    <text>Nix doesn't give fertiliser rates for maize so I've applied the rate given in ABC here.</text>
  </threadedComment>
  <threadedComment ref="G13" dT="2020-08-05T12:37:50.21" personId="{E85064DB-4318-4176-AD72-EC279C9132ED}" id="{8C58412A-06E6-4EFF-A204-3A86C51C9D33}">
    <text>RB209 (2020) = 75 kg[K]/ha
ABC 2019 = 50 kg[K]/ha
Nix 2019 = 48 kg[K]/ha
RB209 value: I assumed Soil K index 1 &amp; assumed straw ploughed in / left on field</text>
  </threadedComment>
  <threadedComment ref="H13" dT="2020-05-26T14:48:56.19" personId="{E85064DB-4318-4176-AD72-EC279C9132ED}" id="{47917AB3-7582-4FFE-90A4-81D3E5FFB804}">
    <text>same K requirement for spring triticale/ rye/ oats
RB209 = 65 kg[K]/ha
Nix 2019 = 34 kg[K]/ha
ABC = 30 kg[K]/ha</text>
  </threadedComment>
  <threadedComment ref="I13" dT="2020-08-05T12:39:53.60" personId="{E85064DB-4318-4176-AD72-EC279C9132ED}" id="{E75B7D84-BF40-462C-B4A4-EFDB637EAD20}">
    <text>RB209 = 65 kg[K]/ha
Nix 2019 = 41 kg[K]/ha for winter feed barley</text>
  </threadedComment>
  <threadedComment ref="J13" dT="2020-08-05T12:40:21.63" personId="{E85064DB-4318-4176-AD72-EC279C9132ED}" id="{07428B0F-D7A7-4F10-80C6-5CC47E8ABAD9}">
    <text>RB209 = 60 kg[K]/ha
Nix 2019 = 32 kg[K]/ha for spring malting barely</text>
  </threadedComment>
  <threadedComment ref="K13" dT="2020-08-05T12:41:00.86" personId="{E85064DB-4318-4176-AD72-EC279C9132ED}" id="{59ED428B-F922-4247-8A4E-1688F98B4904}">
    <text>RB209 = 70 kg[K]/ha
Nix 2019 = 50 kg[K]/ha</text>
  </threadedComment>
  <threadedComment ref="L13" dT="2020-08-05T12:41:24.09" personId="{E85064DB-4318-4176-AD72-EC279C9132ED}" id="{11AB441C-26F7-46EA-8A63-8F78DC854519}">
    <text>RB209 = 70 kg[K]/ha
Nix 2019 = 47 kg[K]/ha</text>
  </threadedComment>
  <threadedComment ref="M13" dT="2020-08-05T12:41:53.06" personId="{E85064DB-4318-4176-AD72-EC279C9132ED}" id="{53C3F1F2-0498-4860-999C-5AE785A410F3}">
    <text>RB209 = 330 kg[K]/ha at soil P index of 1
Nix 2019 = 261 kg[K]/ha</text>
  </threadedComment>
  <threadedComment ref="N13" dT="2020-08-05T12:42:29.79" personId="{E85064DB-4318-4176-AD72-EC279C9132ED}" id="{14343837-DFF3-46CD-8490-17765A32D98B}">
    <text>RB209 (2020) = 70 kg[K]/ha
ABC 2019 = 45 kg[K]/ha
Nix 2019 = 39 kg[K]/ha
RB209 value: I assumed Soil K index 1 &amp; assumed straw ploughed in / left on field</text>
  </threadedComment>
  <threadedComment ref="O13" dT="2020-08-05T12:43:00.44" personId="{E85064DB-4318-4176-AD72-EC279C9132ED}" id="{44CB94F3-55C1-4B04-8B3E-EFA548903B9F}">
    <text>RB209 = 50 kg[K]/ha
Nix 2019 = 25 kg[K]/ha</text>
  </threadedComment>
  <threadedComment ref="P13" dT="2020-08-05T12:43:35.35" personId="{E85064DB-4318-4176-AD72-EC279C9132ED}" id="{54E6D7B9-96BF-4722-86CC-51E3F393ED3F}">
    <text>RB209 = 130 kg[K]/ha
Nix 2019 = 131 kg[K]/ha</text>
  </threadedComment>
  <threadedComment ref="R13" dT="2020-08-05T12:44:06.67" personId="{E85064DB-4318-4176-AD72-EC279C9132ED}" id="{4D849473-68B3-4BA6-9684-E627CD9A1C4C}">
    <text>RB209 = 70 kg[K]/ha
Nix 2019 = 25 kg[K]/ha</text>
  </threadedComment>
  <threadedComment ref="S13" dT="2020-08-05T12:44:24.94" personId="{E85064DB-4318-4176-AD72-EC279C9132ED}" id="{7B63FC5F-FBF3-4F78-A683-4355BEE80C23}">
    <text>RB209 = 50 kg[K]/ha
Nix 2019 = 10 kg[K]/ha</text>
  </threadedComment>
  <threadedComment ref="T13" dT="2020-08-05T12:45:02.18" personId="{E85064DB-4318-4176-AD72-EC279C9132ED}" id="{9992DA3C-23C6-4B52-B22E-2A6D2DC8E5D2}">
    <text>RB209 = 70 kg[K]/ha
Nix 2019 = 40 kg[K]/ha</text>
  </threadedComment>
  <threadedComment ref="U13" dT="2020-05-26T14:48:56.19" personId="{E85064DB-4318-4176-AD72-EC279C9132ED}" id="{56496FA7-8170-4760-864C-DB4A20EBDECF}">
    <text>same K requirement as for spring wheat
RB209 = 65 kg[K]/ha
Nix 2019 = 31 kg[K]/ha
ABC = 30 kg[K]/ha</text>
  </threadedComment>
  <threadedComment ref="V13" dT="2020-10-15T15:09:53.86" personId="{A7464F79-F6FC-4943-BBAE-051A38267115}" id="{091E3478-B6D0-4600-A10E-D962C5C6B117}">
    <text>Nix doesn't give fertiliser rates for maize so I've applied the rate given in ABC here.</text>
  </threadedComment>
  <threadedComment ref="J20" dT="2020-10-05T14:22:45.98" personId="{A7464F79-F6FC-4943-BBAE-051A38267115}" id="{FCCDBE88-F4F0-45DC-83AA-53C524AC7A60}">
    <text>Seed price for spring oats is the same, ABC gives £0.38/kg for spring milling oats</text>
  </threadedComment>
  <threadedComment ref="M20" dT="2020-10-15T16:09:30.14" personId="{A7464F79-F6FC-4943-BBAE-051A38267115}" id="{7EF2E62B-CEF4-41F6-8D6D-9388ECE3AD24}">
    <text>£260/tonne</text>
  </threadedComment>
  <threadedComment ref="V20" dT="2020-10-15T16:12:59.72" personId="{A7464F79-F6FC-4943-BBAE-051A38267115}" id="{41042364-24E5-407D-B307-AD5F51E3A9E0}">
    <text>Nix 2019 gives seed price for grain maize at £4.75/kg and says that forage and grain maize are essentially the same (same varieties used for grain and forage) just that it's left in the field longer for grain maize to let the cobs mature.
ABC also gives £4.75/kg</text>
  </threadedComment>
  <threadedComment ref="T28" dT="2020-10-15T15:56:45.78" personId="{A7464F79-F6FC-4943-BBAE-051A38267115}" id="{263EBDB5-ED4D-47C4-BC3D-AD6198A1CB26}">
    <text>blue peas</text>
  </threadedComment>
  <threadedComment ref="T29" dT="2020-10-15T15:56:57.41" personId="{A7464F79-F6FC-4943-BBAE-051A38267115}" id="{5542A9E4-367B-44AE-B420-103A8D373BBE}">
    <text>blue peas</text>
  </threadedComment>
  <threadedComment ref="T30" dT="2020-10-15T15:38:26.21" personId="{A7464F79-F6FC-4943-BBAE-051A38267115}" id="{BCE80D31-D3C2-4A21-978F-A7AC72EDD3EA}">
    <text>this is for Blue peas</text>
  </threadedComment>
</ThreadedComments>
</file>

<file path=xl/threadedComments/threadedComment8.xml><?xml version="1.0" encoding="utf-8"?>
<ThreadedComments xmlns="http://schemas.microsoft.com/office/spreadsheetml/2018/threadedcomments" xmlns:x="http://schemas.openxmlformats.org/spreadsheetml/2006/main">
  <threadedComment ref="D7" dT="2020-03-26T19:45:20.98" personId="{910D7A6A-1D75-4830-A13B-57872AC75804}" id="{5027CD3D-A709-44A4-9F5F-EA9E0ED7B24A}">
    <text>This is actually 'Spring Oats' but no such variable is coded into ECOMOD</text>
  </threadedComment>
</ThreadedComments>
</file>

<file path=xl/threadedComments/threadedComment9.xml><?xml version="1.0" encoding="utf-8"?>
<ThreadedComments xmlns="http://schemas.microsoft.com/office/spreadsheetml/2018/threadedcomments" xmlns:x="http://schemas.openxmlformats.org/spreadsheetml/2006/main">
  <threadedComment ref="B4" dT="2020-05-22T11:41:30.61" personId="{E85064DB-4318-4176-AD72-EC279C9132ED}" id="{EC74E963-3E29-4A3D-9277-56EB0950F50E}">
    <text>N.B. the second winter wheat in this rotation has an inversion plough. Change this manually in the input sheet.</text>
  </threadedComment>
  <threadedComment ref="I4" dT="2020-03-26T20:54:28.61" personId="{910D7A6A-1D75-4830-A13B-57872AC75804}" id="{20C4CC1E-A588-45BE-BBF4-7E7114D46144}">
    <text>(inversion plough)</text>
  </threadedComment>
  <threadedComment ref="I4" dT="2020-03-26T20:57:30.05" personId="{910D7A6A-1D75-4830-A13B-57872AC75804}" id="{01EF4264-DD5B-47B8-AF78-D081F147354D}" parentId="{20C4CC1E-A588-45BE-BBF4-7E7114D46144}">
    <text>Inversion plough in 1st year, light cultivation in 4th year</text>
  </threadedComment>
</ThreadedComments>
</file>

<file path=xl/threadedComments/threadedComment10.xml><?xml version="1.0" encoding="utf-8"?>
<ThreadedComments xmlns="http://schemas.microsoft.com/office/spreadsheetml/2018/threadedcomments" xmlns:x="http://schemas.openxmlformats.org/spreadsheetml/2006/main">
  <threadedComment ref="B5" dT="2020-02-17T13:50:30.06" personId="{13276AAF-BB47-41E5-A2BE-B54A696307BC}" id="{2B5A054E-A2E6-4C9D-A2E2-FDBCEE87E7D6}">
    <text>Our farmers, in recent years (2012-16), are very commonly using glyphosate in Sep and quite often in Oct too.
Glyphosate is most commonly applied in second half of Sep. Most common date when harvest years 2012-2016 used OR when all harvest years used = 15th Sep.</text>
  </threadedComment>
  <threadedComment ref="C5" dT="2020-02-18T08:28:02.04" personId="{13276AAF-BB47-41E5-A2BE-B54A696307BC}" id="{1481BD78-0A3E-4D44-8DEC-D80BB0BCDBF0}">
    <text>Sarah Cook says most people do 20cm inversion</text>
  </threadedComment>
  <threadedComment ref="E5" dT="2020-02-17T13:50:30.06" personId="{13276AAF-BB47-41E5-A2BE-B54A696307BC}" id="{F3550905-01FC-4799-8874-A248548B1656}">
    <text>Our farmers, in recent years (2012-16), are very commonly using glyphosate in Sep and quite often in Oct too.
Glyphosate is most commonly applied in second half of Sep. Most common date when harvest years 2012-2016 used OR when all harvest years used = 15th Sep.</text>
  </threadedComment>
  <threadedComment ref="F5" dT="2020-02-18T08:28:02.04" personId="{13276AAF-BB47-41E5-A2BE-B54A696307BC}" id="{687F6B2B-BFED-46BE-B502-BA4CB3A90202}">
    <text>Sarah Cook says most people do 20cm inversion</text>
  </threadedComment>
  <threadedComment ref="B6" dT="2020-02-18T09:14:37.75" personId="{13276AAF-BB47-41E5-A2BE-B54A696307BC}" id="{94C95FE2-2C5C-451C-A05F-F1C5746F7855}">
    <text>BGRI data (for ww crops from harvest years 2009-2014, 2016) show the following ww drill dates:
- across all soil types = 278 (5th Oct)
- clay/heavy soil = 279 (6th Oct)
- medium/loamy soil = 277 (4th Oct)
- silty = 280 (7th Oct)
- sandy = 278 (5th Oct)</text>
  </threadedComment>
  <threadedComment ref="C6" dT="2020-02-18T09:14:37.75" personId="{13276AAF-BB47-41E5-A2BE-B54A696307BC}" id="{FF835413-758B-45E8-B4E0-99D58FE8CA09}">
    <text>BGRI data (for ww crops from harvest years 2009-2014, 2016) show the following ww drill dates:
- across all soil types = 278 (5th Oct)
- clay/heavy soil = 279 (6th Oct)
- medium/loamy soil = 277 (4th Oct)
- silty = 280 (7th Oct)
- sandy = 278 (5th Oct)</text>
  </threadedComment>
  <threadedComment ref="D6" dT="2020-02-18T08:48:13.49" personId="{13276AAF-BB47-41E5-A2BE-B54A696307BC}" id="{666D2BA7-B07E-4B5C-AE4A-3D64C4C43135}">
    <text>AHDB OSR guide:
A target plant population of 25-35 plants/m2 can generally be achieved from 30-40 seeds/m2.
This is approx 80% emergence.
AHDB osr guide says optimal plant pop of 25-35 plants/m2</text>
  </threadedComment>
  <threadedComment ref="E6" dT="2020-02-18T09:14:37.75" personId="{13276AAF-BB47-41E5-A2BE-B54A696307BC}" id="{7E3A62A9-97C6-4C09-AA38-D562E2266727}">
    <text>BGRI data (for ww crops from harvest years 2009-2014, 2016) show the following ww drill dates:
- across all soil types = 278 (5th Oct)
- clay/heavy soil = 279 (6th Oct)
- medium/loamy soil = 277 (4th Oct)
- silty = 280 (7th Oct)
- sandy = 278 (5th Oct)</text>
  </threadedComment>
  <threadedComment ref="F6" dT="2020-02-18T09:14:37.75" personId="{13276AAF-BB47-41E5-A2BE-B54A696307BC}" id="{E09396E2-67D2-48EA-9B0B-3F2BEED57FD2}">
    <text>BGRI data (for ww crops from harvest years 2009-2014, 2016) show the following ww drill dates:
- across all soil types = 278 (5th Oct)
- clay/heavy soil = 279 (6th Oct)
- medium/loamy soil = 277 (4th Oct)
- silty = 280 (7th Oct)
- sandy = 278 (5th Oct)</text>
  </threadedComment>
  <threadedComment ref="G6" dT="2020-02-18T08:48:13.49" personId="{13276AAF-BB47-41E5-A2BE-B54A696307BC}" id="{B3F528DF-851E-4411-817D-BC5CB0739D99}">
    <text>AHDB OSR guide:
A target plant population of 25-35 plants/m2 can generally be achieved from 30-40 seeds/m2.
This is approx 80% emergence.
AHDB osr guide says optimal plant pop of 25-35 plants/m2</text>
  </threadedComment>
  <threadedComment ref="B7" dT="2020-02-17T14:46:31.10" personId="{13276AAF-BB47-41E5-A2BE-B54A696307BC}" id="{B6D07447-401F-4B70-B867-EDE49579E958}">
    <text>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ext>
  </threadedComment>
  <threadedComment ref="E7" dT="2020-02-17T14:46:31.10" personId="{13276AAF-BB47-41E5-A2BE-B54A696307BC}" id="{EE163DC1-8BE0-410B-9A73-713EF934C31F}">
    <text>Discing immediately after harvest will also break the stubble (stems) and conserve moisture in the soil, which is needed for BG germination).
Alternative very shallow cultivations are harrowing or straw raking. Sometimes, greater soil movement will be needed to provide the soil-to-seed contact needed for germination (from stale seedbed guide).
Example of disc harrow here:
https://lemken.com/en/soil-cultivation/stubble-cultivation/compact-disc-harrows/heliodor/</text>
  </threadedComment>
  <threadedComment ref="D8" dT="2020-02-18T08:53:12.41" personId="{13276AAF-BB47-41E5-A2BE-B54A696307BC}" id="{5F87A13C-0D32-4E0F-8347-65FADAA6E347}">
    <text>Avg total value our farmers are applying is 200kg N/ha but Ed Brooks reckons it's more realistic to use 220kgN/ha as a BAU scenario.</text>
  </threadedComment>
  <threadedComment ref="G8" dT="2020-02-18T08:53:12.41" personId="{13276AAF-BB47-41E5-A2BE-B54A696307BC}" id="{15D3F1C4-9E04-4F48-992A-8B5039BC28F7}">
    <text>Avg total value our farmers are applying is 200kg N/ha but Ed Brooks reckons it's more realistic to use 220kgN/ha as a BAU scenario.</text>
  </threadedComment>
  <threadedComment ref="B9" dT="2020-02-18T08:35:41.07" personId="{13276AAF-BB47-41E5-A2BE-B54A696307BC}" id="{27FE8C55-4865-41B1-8AC2-6D1A258E8812}">
    <text>(Sarah Cook at ADAS says most straw is chopped and spread)</text>
  </threadedComment>
  <threadedComment ref="E9" dT="2020-02-18T08:35:41.07" personId="{13276AAF-BB47-41E5-A2BE-B54A696307BC}" id="{7D022F65-3938-4DBA-8E84-1F567B2F4F21}">
    <text>(Sarah Cook at ADAS says most straw is chopped and spread)</text>
  </threadedComment>
</ThreadedComments>
</file>

<file path=xl/threadedComments/threadedComment11.xml><?xml version="1.0" encoding="utf-8"?>
<ThreadedComments xmlns="http://schemas.microsoft.com/office/spreadsheetml/2018/threadedcomments" xmlns:x="http://schemas.openxmlformats.org/spreadsheetml/2006/main">
  <threadedComment ref="AA14" dT="2020-02-14T15:51:06.22" personId="{13276AAF-BB47-41E5-A2BE-B54A696307BC}" id="{C88DEE10-0D15-4276-9FE2-6EB82D555138}">
    <text>60 g/l flufenacet and 300 g/l pendimethalin</text>
  </threadedComment>
  <threadedComment ref="AE14" dT="2020-02-14T15:51:06.22" personId="{13276AAF-BB47-41E5-A2BE-B54A696307BC}" id="{367D39CE-66E5-477B-B49F-535CE2A24E64}">
    <text>60 g/l flufenacet and 300 g/l pendimethalin</text>
  </threadedComment>
  <threadedComment ref="AA15" dT="2020-02-14T15:51:49.17" personId="{13276AAF-BB47-41E5-A2BE-B54A696307BC}" id="{CE0C176F-692B-4742-8105-D9188D86196C}">
    <text>400 g/L flufenacet and 100 g/L diflufenican</text>
  </threadedComment>
  <threadedComment ref="AE15" dT="2020-02-14T15:51:49.17" personId="{13276AAF-BB47-41E5-A2BE-B54A696307BC}" id="{57637C3C-79D4-42B0-B943-7D2A1226AE9A}">
    <text>400 g/L flufenacet and 100 g/L diflufenican</text>
  </threadedComment>
  <threadedComment ref="AA16" dT="2020-02-14T15:48:59.53" personId="{13276AAF-BB47-41E5-A2BE-B54A696307BC}" id="{6A791313-41C3-4FB8-B0C7-694BCBB1A52A}">
    <text>30 g/kg mesosulfuron-methyl and
6 g/kg iodosulfuron-methyl-sodium</text>
  </threadedComment>
  <threadedComment ref="AE16" dT="2020-02-14T15:48:59.53" personId="{13276AAF-BB47-41E5-A2BE-B54A696307BC}" id="{3A3DF678-1EC7-4282-9BC6-20EBBB15CC99}">
    <text>30 g/kg mesosulfuron-methyl and
6 g/kg iodosulfuron-methyl-sodium</text>
  </threadedComment>
  <threadedComment ref="AA18" dT="2020-02-14T15:48:59.53" personId="{13276AAF-BB47-41E5-A2BE-B54A696307BC}" id="{42F0472D-38DE-4FDF-BE40-00B418CBF8B0}">
    <text>30 g/kg mesosulfuron-methyl and
6 g/kg iodosulfuron-methyl-sodium</text>
  </threadedComment>
  <threadedComment ref="AE18" dT="2020-02-14T15:48:59.53" personId="{13276AAF-BB47-41E5-A2BE-B54A696307BC}" id="{41D7B0F1-330A-4974-8DD9-989657A57FEB}">
    <text>30 g/kg mesosulfuron-methyl and
6 g/kg iodosulfuron-methyl-sodium</text>
  </threadedComment>
  <threadedComment ref="AA19" dT="2020-02-14T15:50:16.41" personId="{13276AAF-BB47-41E5-A2BE-B54A696307BC}" id="{00E1E2B6-CFB6-45F7-85A0-09A76E66A208}">
    <text>400 g/l (36% w/w) a.i.</text>
  </threadedComment>
  <threadedComment ref="AE19" dT="2020-02-14T15:50:16.41" personId="{13276AAF-BB47-41E5-A2BE-B54A696307BC}" id="{C4CC2CE9-4544-4EFF-9CB6-A1E7D0D22034}">
    <text>400 g/l (36% w/w)</text>
  </threadedComment>
  <threadedComment ref="E50" dT="2020-02-14T14:00:43.23" personId="{13276AAF-BB47-41E5-A2BE-B54A696307BC}" id="{DB85308D-4A46-497A-AC58-55736EE90245}">
    <text>BGRI data only had two occurrences of spring OSR</text>
  </threadedComment>
  <threadedComment ref="G50" dT="2020-02-14T14:01:14.18" personId="{13276AAF-BB47-41E5-A2BE-B54A696307BC}" id="{379A17A6-4FB4-4673-A3FF-EE741FF632CF}">
    <text>This row uses data from winter OSR</text>
  </threadedComment>
  <threadedComment ref="G51" dT="2020-02-14T14:01:29.83" personId="{13276AAF-BB47-41E5-A2BE-B54A696307BC}" id="{8312FB69-E37A-46B4-9AAF-A8043D7A8D67}">
    <text>This row uses data from winter beans</text>
  </threadedComment>
</ThreadedComments>
</file>

<file path=xl/threadedComments/threadedComment12.xml><?xml version="1.0" encoding="utf-8"?>
<ThreadedComments xmlns="http://schemas.microsoft.com/office/spreadsheetml/2018/threadedcomments" xmlns:x="http://schemas.openxmlformats.org/spreadsheetml/2006/main">
  <threadedComment ref="E11" dT="2020-03-19T18:04:06.19" personId="{910D7A6A-1D75-4830-A13B-57872AC75804}" id="{28B05E85-0941-4351-A013-A6DC9C59C1D2}">
    <text>AFAIK, Seed rate is not affected by soil type within 'Northern'.
As there are not yet verified 'low resistance' strategies, I can't tell if seed rate varies by this factor.</text>
  </threadedComment>
  <threadedComment ref="N11" dT="2020-03-19T22:10:04.32" personId="{910D7A6A-1D75-4830-A13B-57872AC75804}" id="{800DA1CD-8161-475C-B138-6DC55495C1BD}">
    <text>It would seem that for the crops in northern regions, fertiliser remains consistent across all variables (soil type, BG density) ALthough low resistance was not compared as the data is not verified yet</text>
  </threadedComment>
  <threadedComment ref="F13" dT="2020-03-19T18:09:08.44" personId="{910D7A6A-1D75-4830-A13B-57872AC75804}" id="{32E704FB-F944-4FCD-B9DA-05F6E163CB06}">
    <text>So far, no entries for WOSR at low density</text>
  </threadedComment>
  <threadedComment ref="N13" dT="2020-03-19T22:05:12.66" personId="{910D7A6A-1D75-4830-A13B-57872AC75804}" id="{9A2A979D-E548-42BE-9DD4-9E297DE8D551}">
    <text>Note that the spreadsheet uses wosr as a substitute for the absent 'maize' variable. Maize has a different fertiliser rate to wosr, which will therefore not be reflected in the calculations.
This is relevant to scenarios Aii and Aii.i</text>
  </threadedComment>
  <threadedComment ref="F15" dT="2020-03-19T18:10:23.15" personId="{910D7A6A-1D75-4830-A13B-57872AC75804}" id="{EB221ED3-8F1B-4CA7-98D7-2CE4A6394A8A}">
    <text>So far, no entried for this data type
Hereafter, to be replaced with 'NA'</text>
  </threadedComment>
  <threadedComment ref="AA15" dT="2020-02-14T15:51:06.22" personId="{13276AAF-BB47-41E5-A2BE-B54A696307BC}" id="{5304DA32-1F60-4DFC-A588-1C1972E57951}">
    <text>60 g/l flufenacet and 300 g/l pendimethalin</text>
  </threadedComment>
  <threadedComment ref="AE15" dT="2020-02-14T15:51:06.22" personId="{13276AAF-BB47-41E5-A2BE-B54A696307BC}" id="{E1DF9216-74E4-4EE2-ACBB-55B23D613E2B}">
    <text>60 g/l flufenacet and 300 g/l pendimethalin</text>
  </threadedComment>
  <threadedComment ref="AA16" dT="2020-02-14T15:51:49.17" personId="{13276AAF-BB47-41E5-A2BE-B54A696307BC}" id="{CE42710E-3471-4950-BD27-7C794843C13F}">
    <text>400 g/L flufenacet and 100 g/L diflufenican</text>
  </threadedComment>
  <threadedComment ref="AE16" dT="2020-02-14T15:51:49.17" personId="{13276AAF-BB47-41E5-A2BE-B54A696307BC}" id="{6705DF4E-2241-469A-81DA-CB47053DDF2A}">
    <text>400 g/L flufenacet and 100 g/L diflufenican</text>
  </threadedComment>
  <threadedComment ref="AA17" dT="2020-02-14T15:48:59.53" personId="{13276AAF-BB47-41E5-A2BE-B54A696307BC}" id="{89360BB6-A571-41FE-B688-AF9CB3ED7A3D}">
    <text>30 g/kg mesosulfuron-methyl and
6 g/kg iodosulfuron-methyl-sodium</text>
  </threadedComment>
  <threadedComment ref="AE17" dT="2020-02-14T15:48:59.53" personId="{13276AAF-BB47-41E5-A2BE-B54A696307BC}" id="{D461ADD9-B9A2-413F-86D8-07FC64DB8A02}">
    <text>30 g/kg mesosulfuron-methyl and
6 g/kg iodosulfuron-methyl-sodium</text>
  </threadedComment>
  <threadedComment ref="AA19" dT="2020-02-14T15:48:59.53" personId="{13276AAF-BB47-41E5-A2BE-B54A696307BC}" id="{409E77A6-1897-4561-BE63-FD290E0ECFBB}">
    <text>30 g/kg mesosulfuron-methyl and
6 g/kg iodosulfuron-methyl-sodium</text>
  </threadedComment>
  <threadedComment ref="AE19" dT="2020-02-14T15:48:59.53" personId="{13276AAF-BB47-41E5-A2BE-B54A696307BC}" id="{E1D2AFA2-A5FC-409E-97F9-D6FB52364CEC}">
    <text>30 g/kg mesosulfuron-methyl and
6 g/kg iodosulfuron-methyl-sodium</text>
  </threadedComment>
  <threadedComment ref="N20" dT="2020-03-19T21:54:14.31" personId="{910D7A6A-1D75-4830-A13B-57872AC75804}" id="{4EB4F9A2-0DCD-459A-9591-7270563D04E3}">
    <text>This doesn't appear in Farmer Focus Strategies</text>
  </threadedComment>
  <threadedComment ref="AA20" dT="2020-02-14T15:50:16.41" personId="{13276AAF-BB47-41E5-A2BE-B54A696307BC}" id="{2A491F52-7B50-4742-9423-3E68F282E09C}">
    <text>400 g/l (36% w/w) a.i.</text>
  </threadedComment>
  <threadedComment ref="AE20" dT="2020-02-14T15:50:16.41" personId="{13276AAF-BB47-41E5-A2BE-B54A696307BC}" id="{FF1D27B2-E763-4352-84C8-60FF433ACF11}">
    <text>400 g/l (36% w/w)</text>
  </threadedComment>
  <threadedComment ref="E21" dT="2020-03-19T18:44:35.16" personId="{910D7A6A-1D75-4830-A13B-57872AC75804}" id="{50B8DF27-629B-4C15-A3D5-344105C0D496}">
    <text>AFAIK, Drill date is not affected by soil type within 'Northern'.
As there are not yet verified 'low resistance' strategies, I can't tell if it varies by this factor.</text>
  </threadedComment>
  <threadedComment ref="N24" dT="2020-03-19T21:54:36.36" personId="{910D7A6A-1D75-4830-A13B-57872AC75804}" id="{95DADE87-8F37-4FA7-B2D1-E3307087628B}">
    <text>This doesn't appear in Farmer Focus strategies</text>
  </threadedComment>
  <threadedComment ref="C26" dT="2020-03-19T16:28:54.36" personId="{910D7A6A-1D75-4830-A13B-57872AC75804}" id="{5416C84B-A984-4973-AA6B-CD1979869596}">
    <text>The strategy for these soils hasn't been decided yet</text>
  </threadedComment>
  <threadedComment ref="E29" dT="2020-03-19T19:34:35.44" personId="{910D7A6A-1D75-4830-A13B-57872AC75804}" id="{BA4DED53-74CB-4EEB-AA89-6E245CC70628}">
    <text>AFAIK, Tillage is not affected by soil type within 'Northern'.
As there are not yet verified 'low resistance' strategies, I can't tell if it varies by this factor.</text>
  </threadedComment>
  <threadedComment ref="G33" dT="2020-03-19T19:32:38.81" personId="{910D7A6A-1D75-4830-A13B-57872AC75804}" id="{0EE215F0-4001-4925-BBAE-BEBB712761B2}">
    <text>Also direct drilling, but as this is analogous to no tillage and I can only pick 1, I went for the more invasive disking</text>
  </threadedComment>
  <threadedComment ref="E38" dT="2020-03-19T21:03:13.73" personId="{910D7A6A-1D75-4830-A13B-57872AC75804}" id="{0B93AF59-4246-4768-9EFE-F7FDDDEE4E0B}">
    <text>AFAIK, specific herbicides is not affected by soil type within 'Northern'.
As there are not yet verified 'low resistance' strategies, I can't tell if it varies by this factor.
I also assumed that any herbicides which aren't glyphosate are in this category. This is through comparison with the BAU value of 8.4 for ww and then calculating the same value with the same method by looking at the Linear Presentation of rotations sheet.</text>
  </threadedComment>
  <threadedComment ref="F39" dT="2020-03-19T20:53:29.21" personId="{910D7A6A-1D75-4830-A13B-57872AC75804}" id="{CA54C0F3-9067-4172-8F69-6FB0ABDE8C2B}">
    <text>Avadex usage isn't given in L/ha in farmer focus strategies, so I've decided to assume 1.5L/ha from 15Kg/ha</text>
  </threadedComment>
  <threadedComment ref="G39" dT="2020-03-19T20:51:04.30" personId="{910D7A6A-1D75-4830-A13B-57872AC75804}" id="{E5883DB9-7D92-4841-AF23-7A8DE5C92170}">
    <text>Avadex usage isn't given in L/ha in farmer focus strategies, so I've decided to assume 1.5L/ha from 15Kg/ha</text>
  </threadedComment>
  <threadedComment ref="G39" dT="2020-03-24T11:02:39.75" personId="{A1FA58FC-A510-4239-B789-64CADB24CD4E}" id="{AF87D3E3-F80D-42EE-B2CE-DD27D1E179AB}" parentId="{E5883DB9-7D92-4841-AF23-7A8DE5C92170}">
    <text>This should actually be 15 l/ha</text>
  </threadedComment>
  <threadedComment ref="G39" dT="2020-03-26T18:49:23.35" personId="{910D7A6A-1D75-4830-A13B-57872AC75804}" id="{F1B3702C-0BDB-4599-9419-9C688EF12761}" parentId="{E5883DB9-7D92-4841-AF23-7A8DE5C92170}">
    <text>This value was 4.80.
As Avadex should be 15l/ha, not 1.5l/ha, I'll subtract 1.5 from 4.80 and then add 15 to get the correct value</text>
  </threadedComment>
  <threadedComment ref="E47" dT="2020-03-19T21:50:03.67" personId="{910D7A6A-1D75-4830-A13B-57872AC75804}" id="{A2E3E7AE-C3F9-4C14-A45D-145FF6FCA58D}">
    <text>AFAIK, glyphosate is not affected by soil type within 'Northern'.
As there are not yet verified 'low resistance' strategies, I can't tell if it varies by this factor.</text>
  </threadedComment>
  <threadedComment ref="C53" dT="2020-03-19T16:28:54.36" personId="{910D7A6A-1D75-4830-A13B-57872AC75804}" id="{946A7436-A619-4C70-B46C-A18F43F4506D}">
    <text>The strategy for these soils hasn't been decided yet</text>
  </threadedComment>
  <threadedComment ref="E56" dT="2020-03-19T21:53:40.15" personId="{910D7A6A-1D75-4830-A13B-57872AC75804}" id="{90E7CF0A-B908-4CCF-98C2-24EAAD55A4AF}">
    <text>AFAIK, glyphosate is not affected by soil type within 'Northern'.
As there are not yet verified 'low resistance' strategies, I can't tell if it varies by this factor.</text>
  </threadedComment>
  <threadedComment ref="B68" dT="2020-03-19T22:13:05.30" personId="{910D7A6A-1D75-4830-A13B-57872AC75804}" id="{D64B6B6F-5794-43A2-A250-CDFC761CF0D0}">
    <text>The farmer focus strategies don't offer alternative data for these variables, so it is reasonable to assume it follows the BAU norms.</text>
  </threadedComment>
  <threadedComment ref="E75" dT="2020-02-14T14:00:43.23" personId="{13276AAF-BB47-41E5-A2BE-B54A696307BC}" id="{083A4089-E01A-41D9-B867-14020221833D}">
    <text>BGRI data only had two occurrences of spring OSR</text>
  </threadedComment>
  <threadedComment ref="G75" dT="2020-02-14T14:01:14.18" personId="{13276AAF-BB47-41E5-A2BE-B54A696307BC}" id="{51117CE2-9E6C-4D9B-9295-985423FDD1A9}">
    <text>This row uses data from winter OSR</text>
  </threadedComment>
  <threadedComment ref="G76" dT="2020-02-14T14:01:29.83" personId="{13276AAF-BB47-41E5-A2BE-B54A696307BC}" id="{20973679-F69A-49CF-8DCC-526244BCA0A6}">
    <text>This row uses data from winter beans</text>
  </threadedComment>
</ThreadedComments>
</file>

<file path=xl/threadedComments/threadedComment13.xml><?xml version="1.0" encoding="utf-8"?>
<ThreadedComments xmlns="http://schemas.microsoft.com/office/spreadsheetml/2018/threadedcomments" xmlns:x="http://schemas.openxmlformats.org/spreadsheetml/2006/main">
  <threadedComment ref="D15" dT="2020-03-26T18:47:49.27" personId="{910D7A6A-1D75-4830-A13B-57872AC75804}" id="{8A59506E-64FA-4C61-A903-E990C429C3F3}">
    <text>How do I code for this?</text>
  </threadedComment>
  <threadedComment ref="AA15" dT="2020-02-14T15:51:06.22" personId="{13276AAF-BB47-41E5-A2BE-B54A696307BC}" id="{53414C1B-19F4-447A-84B5-E87907067741}">
    <text>60 g/l flufenacet and 300 g/l pendimethalin</text>
  </threadedComment>
  <threadedComment ref="AE15" dT="2020-02-14T15:51:06.22" personId="{13276AAF-BB47-41E5-A2BE-B54A696307BC}" id="{E4021A35-2D46-4D59-A99B-81830E10DF72}">
    <text>60 g/l flufenacet and 300 g/l pendimethalin</text>
  </threadedComment>
  <threadedComment ref="AA16" dT="2020-02-14T15:51:49.17" personId="{13276AAF-BB47-41E5-A2BE-B54A696307BC}" id="{C354CF88-9F07-4C34-8BF8-E62FA957D4DD}">
    <text>400 g/L flufenacet and 100 g/L diflufenican</text>
  </threadedComment>
  <threadedComment ref="AE16" dT="2020-02-14T15:51:49.17" personId="{13276AAF-BB47-41E5-A2BE-B54A696307BC}" id="{3BAE2EA6-B0DE-4E43-99A6-A2977E4F2B0C}">
    <text>400 g/L flufenacet and 100 g/L diflufenican</text>
  </threadedComment>
  <threadedComment ref="AA17" dT="2020-02-14T15:48:59.53" personId="{13276AAF-BB47-41E5-A2BE-B54A696307BC}" id="{E58B36EB-50F2-4B73-ADF4-47EE96E90AB9}">
    <text>30 g/kg mesosulfuron-methyl and
6 g/kg iodosulfuron-methyl-sodium</text>
  </threadedComment>
  <threadedComment ref="AE17" dT="2020-02-14T15:48:59.53" personId="{13276AAF-BB47-41E5-A2BE-B54A696307BC}" id="{257092B4-CC09-4346-8502-41EDFCD064F8}">
    <text>30 g/kg mesosulfuron-methyl and
6 g/kg iodosulfuron-methyl-sodium</text>
  </threadedComment>
  <threadedComment ref="AA19" dT="2020-02-14T15:48:59.53" personId="{13276AAF-BB47-41E5-A2BE-B54A696307BC}" id="{1A929A61-530C-4C24-B2A7-740A23EDA070}">
    <text>30 g/kg mesosulfuron-methyl and
6 g/kg iodosulfuron-methyl-sodium</text>
  </threadedComment>
  <threadedComment ref="AE19" dT="2020-02-14T15:48:59.53" personId="{13276AAF-BB47-41E5-A2BE-B54A696307BC}" id="{073DA24E-94C8-4225-BF3A-8ED541B65BAA}">
    <text>30 g/kg mesosulfuron-methyl and
6 g/kg iodosulfuron-methyl-sodium</text>
  </threadedComment>
  <threadedComment ref="AA20" dT="2020-02-14T15:50:16.41" personId="{13276AAF-BB47-41E5-A2BE-B54A696307BC}" id="{26CB7542-BC8C-405A-AD42-A1ABAA9ACC00}">
    <text>400 g/l (36% w/w) a.i.</text>
  </threadedComment>
  <threadedComment ref="AE20" dT="2020-02-14T15:50:16.41" personId="{13276AAF-BB47-41E5-A2BE-B54A696307BC}" id="{4F1FC985-5C0B-41B5-ACCA-37836BBDE6D2}">
    <text>400 g/l (36% w/w)</text>
  </threadedComment>
  <threadedComment ref="E77" dT="2020-02-14T14:00:43.23" personId="{13276AAF-BB47-41E5-A2BE-B54A696307BC}" id="{6291F395-329C-489E-99F3-2669E0BCB69C}">
    <text>BGRI data only had two occurrences of spring OSR</text>
  </threadedComment>
  <threadedComment ref="G77" dT="2020-02-14T14:01:14.18" personId="{13276AAF-BB47-41E5-A2BE-B54A696307BC}" id="{32A45938-B846-4D01-A8B1-48F10B185C01}">
    <text>This row uses data from winter OSR</text>
  </threadedComment>
  <threadedComment ref="G78" dT="2020-02-14T14:01:29.83" personId="{13276AAF-BB47-41E5-A2BE-B54A696307BC}" id="{F2C06311-499F-4F2F-9A83-1394C248B7FF}">
    <text>This row uses data from winter beans</text>
  </threadedComment>
</ThreadedComments>
</file>

<file path=xl/threadedComments/threadedComment14.xml><?xml version="1.0" encoding="utf-8"?>
<ThreadedComments xmlns="http://schemas.microsoft.com/office/spreadsheetml/2018/threadedcomments" xmlns:x="http://schemas.openxmlformats.org/spreadsheetml/2006/main">
  <threadedComment ref="D7" dT="2020-03-26T19:45:20.98" personId="{910D7A6A-1D75-4830-A13B-57872AC75804}" id="{CBAB1A0F-B52A-41E7-81F3-086611F74AF7}">
    <text>This is actually 'Spring Oats' but no such variable is coded into ECOMOD</text>
  </threadedComment>
</ThreadedComments>
</file>

<file path=xl/threadedComments/threadedComment15.xml><?xml version="1.0" encoding="utf-8"?>
<ThreadedComments xmlns="http://schemas.microsoft.com/office/spreadsheetml/2018/threadedcomments" xmlns:x="http://schemas.openxmlformats.org/spreadsheetml/2006/main">
  <threadedComment ref="M3" dT="2020-03-26T21:34:22.61" personId="{910D7A6A-1D75-4830-A13B-57872AC75804}" id="{F1FDC1B2-629F-4251-A3C5-6BB41A66AFD1}">
    <text>Basically all of this data has been queried in some way</text>
  </threadedComment>
  <threadedComment ref="N4" dT="2020-03-26T21:27:28.12" personId="{910D7A6A-1D75-4830-A13B-57872AC75804}" id="{5BE24725-41EA-49B3-93AE-758EAB7DEB69}">
    <text>Atlantis at 0.4 kg/ha is assumed to be 0.4L/Ha</text>
  </threadedComment>
  <threadedComment ref="O4" dT="2020-03-26T21:31:04.63" personId="{910D7A6A-1D75-4830-A13B-57872AC75804}" id="{4596B939-DC53-4A0F-981C-F434D787A783}">
    <text>1 or 4.4 (year 4 is 4.4)</text>
  </threadedComment>
  <threadedComment ref="P4" dT="2020-03-26T21:31:04.63" personId="{910D7A6A-1D75-4830-A13B-57872AC75804}" id="{B668A0A3-50DC-42D0-A094-65AB7508A90F}">
    <text>1 or 4.4 (year 4 is 4.4)</text>
  </threadedComment>
  <threadedComment ref="I6" dT="2020-03-26T21:01:05.46" personId="{910D7A6A-1D75-4830-A13B-57872AC75804}" id="{6392E1EB-20E5-4417-A14E-371C3E67B91D}">
    <text>Assumes Avadex = 15L/Ha</text>
  </threadedComment>
  <threadedComment ref="O6" dT="2020-03-26T21:32:02.72" personId="{910D7A6A-1D75-4830-A13B-57872AC75804}" id="{D3DD46C7-BE81-4722-B240-400F5B8B9373}">
    <text>Missing SOme Data</text>
  </threadedComment>
  <threadedComment ref="P6" dT="2020-03-26T21:32:02.72" personId="{910D7A6A-1D75-4830-A13B-57872AC75804}" id="{DA1F2CEF-B374-42B7-A30E-77B888DDA157}">
    <text>Missing SOme Data</text>
  </threadedComment>
  <threadedComment ref="D7" dT="2020-03-26T19:45:20.98" personId="{910D7A6A-1D75-4830-A13B-57872AC75804}" id="{2A3157F5-5014-4FF7-9BCA-88BC688772BE}">
    <text>This is actually 'Spring Oats' but no such variable is coded into ECOMOD</text>
  </threadedComment>
  <threadedComment ref="O9" dT="2020-03-26T21:32:30.42" personId="{910D7A6A-1D75-4830-A13B-57872AC75804}" id="{A1492E7B-CFE3-4979-87EF-AC6C30FD4F31}">
    <text>Missing some data</text>
  </threadedComment>
  <threadedComment ref="P9" dT="2020-03-26T21:32:30.42" personId="{910D7A6A-1D75-4830-A13B-57872AC75804}" id="{BAA98CDB-67B0-49C5-9205-ED2F4664C9C3}">
    <text>Missing some data</text>
  </threadedComment>
  <threadedComment ref="F11" dT="2020-03-26T20:40:10.58" personId="{910D7A6A-1D75-4830-A13B-57872AC75804}" id="{60FA2F30-9F22-49C9-9DF3-462BDDA7F59B}">
    <text>Assumes that the 3Kg/Ha of Crawler is equivalent to 3L/Ha</text>
  </threadedComment>
  <threadedComment ref="K11" dT="2020-03-26T21:10:03.05" personId="{910D7A6A-1D75-4830-A13B-57872AC75804}" id="{0B7EDEEB-DDF2-4840-9135-7FD241767C80}">
    <text>Assumes Crawler 2.5 kg/ha is equivalent to 2.5L/Ha</text>
  </threadedComment>
  <threadedComment ref="C12" dT="2020-03-29T00:18:13.42" personId="{910D7A6A-1D75-4830-A13B-57872AC75804}" id="{7DEF4155-3D04-4E21-829D-4D9404316F86}">
    <text>Substitute variable for Maize</text>
  </threadedComment>
  <threadedComment ref="C12" dT="2020-03-29T00:18:32.58" personId="{910D7A6A-1D75-4830-A13B-57872AC75804}" id="{0D09073F-7EB2-4182-A423-564003C4C1DC}" parentId="{7DEF4155-3D04-4E21-829D-4D9404316F86}">
    <text>But only in Northern and High D High R</text>
  </threadedComment>
</ThreadedComments>
</file>

<file path=xl/threadedComments/threadedComment16.xml><?xml version="1.0" encoding="utf-8"?>
<ThreadedComments xmlns="http://schemas.microsoft.com/office/spreadsheetml/2018/threadedcomments" xmlns:x="http://schemas.openxmlformats.org/spreadsheetml/2006/main">
  <threadedComment ref="F4" dT="2020-03-26T20:42:36.47" personId="{910D7A6A-1D75-4830-A13B-57872AC75804}" id="{3A19ADA0-91AA-4E8D-857F-A752755CBD2E}">
    <text>Can also be 3.3 depending on the year it is used</text>
  </threadedComment>
  <threadedComment ref="F4" dT="2020-03-26T20:45:22.54" personId="{910D7A6A-1D75-4830-A13B-57872AC75804}" id="{7C979EDA-01C6-4E9B-9C8A-199EE220AF75}" parentId="{3A19ADA0-91AA-4E8D-857F-A752755CBD2E}">
    <text>Also assumes that final patch spraying is 0.3L/Ha, rather than the stated 3L/Ha</text>
  </threadedComment>
  <threadedComment ref="I4" dT="2020-03-26T21:04:35.79" personId="{910D7A6A-1D75-4830-A13B-57872AC75804}" id="{3505AA52-F425-44E0-B8AB-F87F2AAC1B81}">
    <text>Or just 6, depending on the year (year 6 is 6, others are 6.3)</text>
  </threadedComment>
  <threadedComment ref="D7" dT="2020-03-26T19:45:20.98" personId="{910D7A6A-1D75-4830-A13B-57872AC75804}" id="{46DB489A-9B18-492F-82D3-DCDC6F9D0C12}">
    <text>This is actually 'Spring Oats' but no such variable is coded into ECOMOD</text>
  </threadedComment>
  <threadedComment ref="F16" dT="2020-03-26T20:46:03.23" personId="{910D7A6A-1D75-4830-A13B-57872AC75804}" id="{51E04910-26B5-493C-BDA4-D29A924172D2}">
    <text>Assumes that final patch spraying is 0.3L/Ha, rather than the 3L/Ha stated</text>
  </threadedComment>
</ThreadedComments>
</file>

<file path=xl/threadedComments/threadedComment17.xml><?xml version="1.0" encoding="utf-8"?>
<ThreadedComments xmlns="http://schemas.microsoft.com/office/spreadsheetml/2018/threadedcomments" xmlns:x="http://schemas.openxmlformats.org/spreadsheetml/2006/main">
  <threadedComment ref="J6" dT="2020-05-29T14:31:19.82" personId="{E85064DB-4318-4176-AD72-EC279C9132ED}" id="{4D89A335-FCBD-4F23-9D30-E4285B2F2B2D}">
    <text>changed this</text>
  </threadedComment>
  <threadedComment ref="O6" dT="2020-05-29T14:37:33.56" personId="{E85064DB-4318-4176-AD72-EC279C9132ED}" id="{0D9A7A83-3ED9-4CF4-90D2-8FA8B3322221}">
    <text>changed this</text>
  </threadedComment>
  <threadedComment ref="P6" dT="2020-05-29T14:37:39.63" personId="{E85064DB-4318-4176-AD72-EC279C9132ED}" id="{E8E2D29E-12B2-463A-9FB7-7303AE49E1F5}">
    <text>changed this</text>
  </threadedComment>
  <threadedComment ref="C16" dT="2020-05-29T14:27:52.92" personId="{E85064DB-4318-4176-AD72-EC279C9132ED}" id="{1A57F678-64AE-4DD2-B659-F8F716D5B9EC}">
    <text>this should just be 'peas'. We're asssuming blue peas.</text>
  </threadedComment>
</ThreadedComments>
</file>

<file path=xl/threadedComments/threadedComment18.xml><?xml version="1.0" encoding="utf-8"?>
<ThreadedComments xmlns="http://schemas.microsoft.com/office/spreadsheetml/2018/threadedcomments" xmlns:x="http://schemas.openxmlformats.org/spreadsheetml/2006/main">
  <threadedComment ref="H3" dT="2020-04-09T20:34:38.37" personId="{910D7A6A-1D75-4830-A13B-57872AC75804}" id="{42611F2E-3600-42EE-BE3D-40E76DA5BC18}">
    <text>Data from Nix, 2019</text>
  </threadedComment>
  <threadedComment ref="F5" dT="2020-04-02T16:32:21.41" personId="{910D7A6A-1D75-4830-A13B-57872AC75804}" id="{2F307BAD-74F1-46FE-9965-036E4C3720B9}">
    <text>Wasn't actually used in Farmer Focus strategies, but was used to make the formulae work</text>
  </threadedComment>
  <threadedComment ref="G8" dT="2020-05-29T12:34:04.96" personId="{E85064DB-4318-4176-AD72-EC279C9132ED}" id="{BC7D9D0A-2396-4971-88A3-FE93389017CC}">
    <text>assume that winter beans are grown for forage: about 70% of the UK winter bean market goes to animal feed (http://www.winter-beans.co.uk/markets/4594194808)</text>
  </threadedComment>
  <threadedComment ref="G9" dT="2020-05-29T12:42:21.59" personId="{E85064DB-4318-4176-AD72-EC279C9132ED}" id="{D99E64C8-FF9E-4072-A911-2C0D0075CD6B}">
    <text>almost all spring beans are aimed at the human consumption market</text>
  </threadedComment>
  <threadedComment ref="F12" dT="2020-04-02T16:32:31.61" personId="{910D7A6A-1D75-4830-A13B-57872AC75804}" id="{A11DC4BF-2D1C-43A2-88BD-AFC84E33FA25}">
    <text>Wasn't actually used in Farmer Focus strategies, but was used to make the formulae work.</text>
  </threadedComment>
  <threadedComment ref="G16" dT="2020-05-29T12:42:06.17" personId="{E85064DB-4318-4176-AD72-EC279C9132ED}" id="{2037E436-5EB4-4BBE-9BCA-6B240364FA1E}">
    <text>Assume blue peas - so used for human consumption</text>
  </threadedComment>
  <threadedComment ref="F18" dT="2020-04-02T16:30:17.18" personId="{910D7A6A-1D75-4830-A13B-57872AC75804}" id="{D20094D8-FFE7-4846-923F-C0FF6805ABD0}">
    <text>Maize and oats weren't actually ECOMOD crops, but they were in the farmer focus strategies</text>
  </threadedComment>
  <threadedComment ref="H18" dT="2020-05-12T09:39:16.27" personId="{910D7A6A-1D75-4830-A13B-57872AC75804}" id="{C3DB265C-8BCC-4862-A67B-6C6F9005109A}">
    <text>This is for grain Maize</text>
  </threadedComment>
  <threadedComment ref="G19" dT="2020-05-29T13:39:25.11" personId="{E85064DB-4318-4176-AD72-EC279C9132ED}" id="{07A6B36F-DD31-4FE6-A5E2-8C5E2517E752}">
    <text>assume spring oats are for feed</text>
  </threadedComment>
  <threadedComment ref="H19" dT="2020-04-02T17:49:01.44" personId="{910D7A6A-1D75-4830-A13B-57872AC75804}" id="{B82F1BDA-4AC2-408F-B113-BD469EA7DD32}">
    <text>Scenario Ai is the only one to use oats, and they use spring oats. Therefore, the value for 'oats' corresponds to Spring Oats.</text>
  </threadedComment>
  <threadedComment ref="H24" dT="2020-02-14T09:01:20.93" personId="{13276AAF-BB47-41E5-A2BE-B54A696307BC}" id="{2A119E94-3158-4384-820F-C96E18120360}">
    <text>Updated this on 14/02/2020. It was prev 11% but ABC 2019 suggests 10% (compare yields p11 &amp; 12). (For info Nix 2019 says 8%, top page 6)</text>
  </threadedComment>
  <threadedComment ref="F38" dT="2020-04-06T18:24:02.64" personId="{910D7A6A-1D75-4830-A13B-57872AC75804}" id="{968BB58D-1BEB-4047-ADB6-37D91931CBE3}">
    <text>Maize is not mentioned in the BGRI data, so is assumed to be no penalty</text>
  </threadedComment>
  <threadedComment ref="F39" dT="2020-04-06T18:24:16.35" personId="{910D7A6A-1D75-4830-A13B-57872AC75804}" id="{CCCDC32D-AFEF-407A-BEA1-6907DE4B1545}">
    <text>Oats are not mentioned in the BGRI data, so is assumed to be no penalty</text>
  </threadedComment>
  <threadedComment ref="M42" dT="2020-04-22T13:59:50.88" personId="{910D7A6A-1D75-4830-A13B-57872AC75804}" id="{676C626F-5643-4517-BA09-9D8D4E98DD4D}">
    <text>THESE ARE THE VALUES FRO SPRING LINSEED! FIX!!!</text>
  </threadedComment>
  <threadedComment ref="M42" dT="2020-05-04T21:51:58.60" personId="{910D7A6A-1D75-4830-A13B-57872AC75804}" id="{8802AEF5-CD01-485B-A39C-C518A0A46D78}" parentId="{676C626F-5643-4517-BA09-9D8D4E98DD4D}">
    <text>Fixed</text>
  </threadedComment>
  <threadedComment ref="R42" dT="2020-04-12T08:19:24.42" personId="{910D7A6A-1D75-4830-A13B-57872AC75804}" id="{4D9FD83C-08EB-4BCA-A214-A1C502560C10}">
    <text>Calculations for year 1. Calculations for year 6 differ</text>
  </threadedComment>
  <threadedComment ref="AL42" dT="2020-04-12T08:36:02.79" personId="{910D7A6A-1D75-4830-A13B-57872AC75804}" id="{C9A74F43-8208-47DD-9B1D-4537A3361DF2}">
    <text>Values differ for year 4 vs year 1</text>
  </threadedComment>
  <threadedComment ref="AL42" dT="2020-04-12T08:36:14.79" personId="{910D7A6A-1D75-4830-A13B-57872AC75804}" id="{F43BFDD9-6043-4981-BF3E-37A75D45219F}" parentId="{C9A74F43-8208-47DD-9B1D-4537A3361DF2}">
    <text>Year 1 figures given here</text>
  </threadedComment>
  <threadedComment ref="AQ42" dT="2020-05-08T09:57:54.22" personId="{910D7A6A-1D75-4830-A13B-57872AC75804}" id="{44F938AE-FCA2-453C-A6B5-B0D92B6D98BC}">
    <text>Year 1 and year 4 values differ</text>
  </threadedComment>
  <threadedComment ref="BA42" dT="2020-04-12T08:52:43.06" personId="{910D7A6A-1D75-4830-A13B-57872AC75804}" id="{CA091986-D1D0-4065-BB99-B7D9FCEC93FD}">
    <text>Year 1 and year 4 values differ. Year 1 values given</text>
  </threadedComment>
  <threadedComment ref="ER42" dT="2020-04-13T17:01:29.22" personId="{910D7A6A-1D75-4830-A13B-57872AC75804}" id="{6DA559FD-C5C0-4BDE-9B9C-B73B8980C86B}">
    <text>There was no data in the herbicides cell of Farmer Focus Strategies so I've left this as 0</text>
  </threadedComment>
  <threadedComment ref="ER42" dT="2020-05-08T10:12:02.16" personId="{910D7A6A-1D75-4830-A13B-57872AC75804}" id="{3FB3FADE-D571-43D8-99C2-6D37163D0C68}" parentId="{6DA559FD-C5C0-4BDE-9B9C-B73B8980C86B}">
    <text>This remained the case in the newest strategy document as well</text>
  </threadedComment>
  <threadedComment ref="GZ42" dT="2020-05-29T15:20:21.11" personId="{E85064DB-4318-4176-AD72-EC279C9132ED}" id="{5863A568-8367-473B-91DE-B5F2871DAB31}">
    <text>changed this from EAST to NORTH</text>
  </threadedComment>
  <threadedComment ref="CP44" dT="2020-05-29T15:04:08.68" personId="{E85064DB-4318-4176-AD72-EC279C9132ED}" id="{114AB3BA-A96C-4168-B673-9D152E22B2E2}">
    <text>changed all these from 3 to 2</text>
  </threadedComment>
  <threadedComment ref="AB46" dT="2020-05-29T14:46:29.67" personId="{E85064DB-4318-4176-AD72-EC279C9132ED}" id="{6671A594-B99F-4D91-BF39-027570273696}">
    <text>inserted this</text>
  </threadedComment>
  <threadedComment ref="BB46" dT="2020-04-12T08:54:26.37" personId="{910D7A6A-1D75-4830-A13B-57872AC75804}" id="{85787000-9FB2-4A20-B62E-6B8E8E8D7083}">
    <text>0.4kg/ha given - assumed to be 0.4l/ha</text>
  </threadedComment>
  <threadedComment ref="GL46" dT="2020-05-29T15:18:43.41" personId="{E85064DB-4318-4176-AD72-EC279C9132ED}" id="{9532BA5F-3A47-4F96-9DA0-A942E66B2CE4}">
    <text>changed this from 4.5 to 4</text>
  </threadedComment>
  <threadedComment ref="GQ46" dT="2020-05-29T15:18:43.41" personId="{E85064DB-4318-4176-AD72-EC279C9132ED}" id="{824C4D4B-71EE-450F-8389-673508F0072C}">
    <text>changed this from 4.5 to 4</text>
  </threadedComment>
  <threadedComment ref="AB48" dT="2020-05-29T14:46:36.54" personId="{E85064DB-4318-4176-AD72-EC279C9132ED}" id="{D2630015-3F60-451C-B9D2-CF238CC20E22}">
    <text>changed this</text>
  </threadedComment>
  <threadedComment ref="AX48" dT="2020-04-12T08:51:19.42" personId="{910D7A6A-1D75-4830-A13B-57872AC75804}" id="{7F841E59-A41C-44B3-914F-42CCBB8744D3}">
    <text>Concentration/weight of active ingredient for flufenacet not give, so 400g/l is assumed as that appeared to be what most commercial products had.</text>
  </threadedComment>
  <threadedComment ref="CT48" dT="2020-05-29T15:05:36.73" personId="{E85064DB-4318-4176-AD72-EC279C9132ED}" id="{3BEDF471-6DA2-47FD-B542-755C53E2AEC8}">
    <text>inserted this</text>
  </threadedComment>
  <threadedComment ref="BK49" dT="2020-05-29T14:58:55.46" personId="{E85064DB-4318-4176-AD72-EC279C9132ED}" id="{93DA2D72-4772-4921-9F22-C75419768F3F}">
    <text>added this</text>
  </threadedComment>
  <threadedComment ref="AR51" dT="2020-05-29T14:46:14.74" personId="{E85064DB-4318-4176-AD72-EC279C9132ED}" id="{B84643C0-3D2A-4565-A3C4-3FB4D1FBA48E}">
    <text>changed this</text>
  </threadedComment>
  <threadedComment ref="R58" dT="2020-04-12T08:19:24.42" personId="{910D7A6A-1D75-4830-A13B-57872AC75804}" id="{5788CD26-E4DB-46DC-BE69-75AC4B8D6122}">
    <text>Calculations for year 1. Calculations for year 6 differ</text>
  </threadedComment>
  <threadedComment ref="R58" dT="2020-05-29T14:50:57.47" personId="{E85064DB-4318-4176-AD72-EC279C9132ED}" id="{047F5388-F36E-41FC-AA75-117A81FB466B}" parentId="{5788CD26-E4DB-46DC-BE69-75AC4B8D6122}">
    <text>Actually they don't differ - think I updated the Farmer Focus data once I'd checked the actual sheets from the workshop.</text>
  </threadedComment>
  <threadedComment ref="AL58" dT="2020-04-12T08:36:02.79" personId="{910D7A6A-1D75-4830-A13B-57872AC75804}" id="{2BD63899-BA5A-4C17-B3F3-7E0A9B7D9628}">
    <text>Values differ for year 4 vs year 1</text>
  </threadedComment>
  <threadedComment ref="AL58" dT="2020-04-12T08:36:14.79" personId="{910D7A6A-1D75-4830-A13B-57872AC75804}" id="{3971F1AA-385B-447E-99F7-ED0653AE01A2}" parentId="{2BD63899-BA5A-4C17-B3F3-7E0A9B7D9628}">
    <text>Year 4 figures given here</text>
  </threadedComment>
  <threadedComment ref="BA58" dT="2020-04-12T08:36:02.79" personId="{910D7A6A-1D75-4830-A13B-57872AC75804}" id="{A928ACED-E449-4886-9139-E1C95798C5D2}">
    <text>Values differ for year 4 vs year 1</text>
  </threadedComment>
  <threadedComment ref="BA58" dT="2020-04-12T08:36:14.79" personId="{910D7A6A-1D75-4830-A13B-57872AC75804}" id="{C3AB9032-B7C1-468B-942C-95B537DA7982}" parentId="{A928ACED-E449-4886-9139-E1C95798C5D2}">
    <text>Year 4 figures given here</text>
  </threadedComment>
  <threadedComment ref="S64" dT="2020-05-29T14:51:08.93" personId="{E85064DB-4318-4176-AD72-EC279C9132ED}" id="{C050ADDD-908C-4432-BC9E-1172356084CA}">
    <text>inserted this</text>
  </threadedComment>
  <threadedComment ref="AR65" dT="2020-05-29T14:46:14.74" personId="{E85064DB-4318-4176-AD72-EC279C9132ED}" id="{29984392-5C90-47AC-A4B8-378596E435D2}">
    <text>changed this</text>
  </threadedComment>
</ThreadedComments>
</file>

<file path=xl/threadedComments/threadedComment19.xml><?xml version="1.0" encoding="utf-8"?>
<ThreadedComments xmlns="http://schemas.microsoft.com/office/spreadsheetml/2018/threadedcomments" xmlns:x="http://schemas.openxmlformats.org/spreadsheetml/2006/main">
  <threadedComment ref="D6" dT="2020-02-14T09:01:20.93" personId="{13276AAF-BB47-41E5-A2BE-B54A696307BC}" id="{77EBB3D3-5CBA-4443-A9F7-323D540A38B8}">
    <text>Updated this on 14/02/2020. It was prev 11% but ABC 2019 suggests 10% (compare yields p11 &amp; 12). (For info Nix 2019 says 8%, top page 6)</text>
  </threadedComment>
</ThreadedComments>
</file>

<file path=xl/threadedComments/threadedComment20.xml><?xml version="1.0" encoding="utf-8"?>
<ThreadedComments xmlns="http://schemas.microsoft.com/office/spreadsheetml/2018/threadedcomments" xmlns:x="http://schemas.openxmlformats.org/spreadsheetml/2006/main">
  <threadedComment ref="A1" dT="2020-02-18T10:47:58.19" personId="{13276AAF-BB47-41E5-A2BE-B54A696307BC}" id="{0A1D1381-6F09-4E1A-8695-33DBDD924526}">
    <text>N.B. The region is irrelevant here as the BAU scenario doesn't do anything different across regions. So to simplify data entry, I've just entered data for the North. Can remove the 'N.' later and just analyse data by soil type, initial density and resistance status.</text>
  </threadedComment>
  <threadedComment ref="F1" dT="2020-04-01T03:31:48.99" personId="{910D7A6A-1D75-4830-A13B-57872AC75804}" id="{F6314C2F-3133-4633-A3DB-672DBD3CE8A0}">
    <text>Free text box for our benefit</text>
  </threadedComment>
  <threadedComment ref="G1" dT="2020-02-14T14:33:16.43" personId="{13276AAF-BB47-41E5-A2BE-B54A696307BC}" id="{B303219C-C5FE-4627-A74C-6F38C2D95D8E}">
    <text>7.2ha is the average size of the 66 fields used in the Nat Sust analysis</text>
  </threadedComment>
  <threadedComment ref="H1" dT="2020-04-01T03:35:50.98" personId="{910D7A6A-1D75-4830-A13B-57872AC75804}" id="{DC9022C9-BE63-427F-A8D1-AA03E1B2003A}">
    <text>This is a cell I need to write a formula for.
If possible, a formula that takes into account the different penalties from mixing certain crop types together</text>
  </threadedComment>
  <threadedComment ref="K1" dT="2020-04-01T03:36:28.56" personId="{910D7A6A-1D75-4830-A13B-57872AC75804}" id="{C27D5ABC-61A3-45BC-8279-E7BDB3C92C0B}">
    <text>Write a formula for this cell so it can take multiple data into account</text>
  </threadedComment>
  <threadedComment ref="M1" dT="2020-02-14T14:34:14.60" personId="{13276AAF-BB47-41E5-A2BE-B54A696307BC}" id="{90CDA95F-CD1E-4615-9940-38DFB43F71DC}">
    <text>Soil organic matter (%)
If you have SOC (soil organic carbon) rather than SOM, convert as follows:
SOM = SOC*1.72.
(Affects both N2O and CO2 emissions from soil).
Average SOM values (upper horizon) for each of the soil types from the 66 fields used in the Nature Sustainability analysis (minus two fields with extremely high SOM (peaty soils)):
Fine = 3.4
Medium = 2.6
Coarse = 3</text>
  </threadedComment>
  <threadedComment ref="O1" dT="2020-02-14T14:35:05.32" personId="{13276AAF-BB47-41E5-A2BE-B54A696307BC}" id="{9C7F1469-57EF-483E-B4F8-F2A77F75DFEF}">
    <text>Assumes field drains are installed and effective in fields with naturally poor drainage.</text>
  </threadedComment>
  <threadedComment ref="P1" dT="2020-02-14T14:36:03.62" personId="{13276AAF-BB47-41E5-A2BE-B54A696307BC}" id="{041FA79D-84FF-430C-A2DA-3F3C113E973F}">
    <text>7 is the average pH value of the soils from the 66 fields used in the Nature Sustainability analysis</text>
  </threadedComment>
  <threadedComment ref="T1" dT="2020-01-31T10:34:09.28" personId="{13276AAF-BB47-41E5-A2BE-B54A696307BC}" id="{B2FDED9A-D846-4BBE-8DB2-3CEEAB5ED625}">
    <text>number of operations</text>
  </threadedComment>
  <threadedComment ref="U1" dT="2020-01-29T16:20:10.70" personId="{13276AAF-BB47-41E5-A2BE-B54A696307BC}" id="{88F64DF6-3844-4618-82F2-416BE0A464B6}">
    <text>See comment in Metadata about calculating the adjusted number of pesticide applications. 
Each dose of pesticide counts as one application.
Split applications: Count each pesticide in the mix as a separate application.
Tank mixes: Count each pesticide in the mix as a separate application.
This accounts for the energy required to produce pesticides. The values in the literature typically only account for the active ingredient, not the entire formulation.</text>
  </threadedComment>
  <threadedComment ref="W1" dT="2020-01-31T15:06:23.11" personId="{13276AAF-BB47-41E5-A2BE-B54A696307BC}" id="{4B6D2ECB-A431-4ECD-8A40-DF6165C88B8A}">
    <text>How long ago was this change made? (years)</text>
  </threadedComment>
  <threadedComment ref="AF4" dT="2020-02-17T10:13:54.25" personId="{13276AAF-BB47-41E5-A2BE-B54A696307BC}" id="{2C3E6C8F-968C-4F23-A36A-31ED3B76D2CD}">
    <text>obviously the OSR is drilled, but the drill is normally on the subsoiler so don't include it here as a separate bit of kit/ separate pass</text>
  </threadedComment>
  <threadedComment ref="AF7" dT="2020-02-17T10:13:54.25" personId="{13276AAF-BB47-41E5-A2BE-B54A696307BC}" id="{89718436-A7B6-4BEA-A83D-9842D57C7855}">
    <text>obviously the OSR is drilled, but the drill is normally on the subsoiler so don't include it here as a separate bit of kit/ separate pass</text>
  </threadedComment>
  <threadedComment ref="AF10" dT="2020-02-17T10:13:54.25" personId="{13276AAF-BB47-41E5-A2BE-B54A696307BC}" id="{DDFD460D-06CE-4CAF-9543-677D8055057B}">
    <text>obviously the OSR is drilled, but the drill is normally on the subsoiler so don't include it here as a separate bit of kit/ separate pass</text>
  </threadedComment>
  <threadedComment ref="AF13" dT="2020-02-17T10:13:54.25" personId="{13276AAF-BB47-41E5-A2BE-B54A696307BC}" id="{BBB67A58-1CC9-4A20-B0C4-75DAC962AEB3}">
    <text>obviously the OSR is drilled, but the drill is normally on the subsoiler so don't include it here as a separate bit of kit/ separate pass</text>
  </threadedComment>
  <threadedComment ref="AF16" dT="2020-02-17T10:13:54.25" personId="{13276AAF-BB47-41E5-A2BE-B54A696307BC}" id="{3DF8ABF1-BB25-41DA-9EC1-F81E455906B3}">
    <text>obviously the OSR is drilled, but the drill is normally on the subsoiler so don't include it here as a separate bit of kit/ separate pass</text>
  </threadedComment>
  <threadedComment ref="AF19" dT="2020-02-17T10:13:54.25" personId="{13276AAF-BB47-41E5-A2BE-B54A696307BC}" id="{FC52757F-E82C-4F5E-9F99-8E0C80481227}">
    <text>obviously the OSR is drilled, but the drill is normally on the subsoiler so don't include it here as a separate bit of kit/ separate pass</text>
  </threadedComment>
  <threadedComment ref="AF22" dT="2020-02-17T10:13:54.25" personId="{13276AAF-BB47-41E5-A2BE-B54A696307BC}" id="{63B6489D-08CD-4482-BAFB-3B98DA89D846}">
    <text>obviously the OSR is drilled, but the drill is normally on the subsoiler so don't include it here as a separate bit of kit/ separate pass</text>
  </threadedComment>
  <threadedComment ref="AF25" dT="2020-02-17T10:13:54.25" personId="{13276AAF-BB47-41E5-A2BE-B54A696307BC}" id="{C07F1522-CECA-4B9E-B90D-30102F68E5B9}">
    <text>obviously the OSR is drilled, but the drill is normally on the subsoiler so don't include it here as a separate bit of kit/ separate pass</text>
  </threadedComment>
  <threadedComment ref="AF28" dT="2020-02-17T10:13:54.25" personId="{13276AAF-BB47-41E5-A2BE-B54A696307BC}" id="{6408D9E9-6392-4A3D-A8B5-4375EB3B9741}">
    <text>obviously the OSR is drilled, but the drill is normally on the subsoiler so don't include it here as a separate bit of kit/ separate pass</text>
  </threadedComment>
  <threadedComment ref="AF31" dT="2020-02-17T10:13:54.25" personId="{13276AAF-BB47-41E5-A2BE-B54A696307BC}" id="{77484144-0465-4497-9CEC-F9CADD0998F9}">
    <text>obviously the OSR is drilled, but the drill is normally on the subsoiler so don't include it here as a separate bit of kit/ separate pass</text>
  </threadedComment>
  <threadedComment ref="AF34" dT="2020-02-17T10:13:54.25" personId="{13276AAF-BB47-41E5-A2BE-B54A696307BC}" id="{39EBBC9A-78C1-4055-BC1F-E3C028BAE4C2}">
    <text>obviously the OSR is drilled, but the drill is normally on the subsoiler so don't include it here as a separate bit of kit/ separate pass</text>
  </threadedComment>
  <threadedComment ref="AF37" dT="2020-02-17T10:13:54.25" personId="{13276AAF-BB47-41E5-A2BE-B54A696307BC}" id="{E7FE82E6-62B0-48E8-8681-4E2D0BC966D3}">
    <text>obviously the OSR is drilled, but the drill is normally on the subsoiler so don't include it here as a separate bit of kit/ separate pass</text>
  </threadedComment>
  <threadedComment ref="AF40" dT="2020-02-17T10:13:54.25" personId="{13276AAF-BB47-41E5-A2BE-B54A696307BC}" id="{7166C184-BFA4-4D18-B285-87F0C6D07ECE}">
    <text>obviously the OSR is drilled, but the drill is normally on the subsoiler so don't include it here as a separate bit of kit/ separate pass</text>
  </threadedComment>
  <threadedComment ref="AF43" dT="2020-02-17T10:13:54.25" personId="{13276AAF-BB47-41E5-A2BE-B54A696307BC}" id="{392869CB-5F53-415E-B40B-657AE385DB7A}">
    <text>obviously the OSR is drilled, but the drill is normally on the subsoiler so don't include it here as a separate bit of kit/ separate pass</text>
  </threadedComment>
  <threadedComment ref="AF46" dT="2020-02-17T10:13:54.25" personId="{13276AAF-BB47-41E5-A2BE-B54A696307BC}" id="{14EFC89E-0DAF-451D-A70E-546C60F83064}">
    <text>obviously the OSR is drilled, but the drill is normally on the subsoiler so don't include it here as a separate bit of kit/ separate pass</text>
  </threadedComment>
  <threadedComment ref="AF49" dT="2020-02-17T10:13:54.25" personId="{13276AAF-BB47-41E5-A2BE-B54A696307BC}" id="{942198F9-242B-4230-9B97-BE2DD96502D7}">
    <text>obviously the OSR is drilled, but the drill is normally on the subsoiler so don't include it here as a separate bit of kit/ separate pass</text>
  </threadedComment>
  <threadedComment ref="AF52" dT="2020-02-17T10:13:54.25" personId="{13276AAF-BB47-41E5-A2BE-B54A696307BC}" id="{80F03143-EB10-41DA-9553-64AAA9D7F0F3}">
    <text>obviously the OSR is drilled, but the drill is normally on the subsoiler so don't include it here as a separate bit of kit/ separate pass</text>
  </threadedComment>
  <threadedComment ref="AF55" dT="2020-02-17T10:13:54.25" personId="{13276AAF-BB47-41E5-A2BE-B54A696307BC}" id="{5E4A9CDE-583A-4D87-89E2-0383A9839907}">
    <text>obviously the OSR is drilled, but the drill is normally on the subsoiler so don't include it here as a separate bit of kit/ separate pass</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 Id="rId4" Type="http://schemas.microsoft.com/office/2017/10/relationships/threadedComment" Target="../threadedComments/threadedComment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9.xml"/><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8.bin"/><Relationship Id="rId4" Type="http://schemas.microsoft.com/office/2017/10/relationships/threadedComment" Target="../threadedComments/threadedComment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9.bin"/><Relationship Id="rId4" Type="http://schemas.microsoft.com/office/2017/10/relationships/threadedComment" Target="../threadedComments/threadedComment1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0.bin"/><Relationship Id="rId4" Type="http://schemas.microsoft.com/office/2017/10/relationships/threadedComment" Target="../threadedComments/threadedComment12.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 Id="rId4" Type="http://schemas.microsoft.com/office/2017/10/relationships/threadedComment" Target="../threadedComments/threadedComment13.xml"/></Relationships>
</file>

<file path=xl/worksheets/_rels/sheet16.xml.rels><?xml version="1.0" encoding="UTF-8" standalone="yes"?>
<Relationships xmlns="http://schemas.openxmlformats.org/package/2006/relationships"><Relationship Id="rId3" Type="http://schemas.microsoft.com/office/2017/10/relationships/threadedComment" Target="../threadedComments/threadedComment14.xml"/><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microsoft.com/office/2017/10/relationships/threadedComment" Target="../threadedComments/threadedComment15.xml"/><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18.xml.rels><?xml version="1.0" encoding="UTF-8" standalone="yes"?>
<Relationships xmlns="http://schemas.openxmlformats.org/package/2006/relationships"><Relationship Id="rId3" Type="http://schemas.microsoft.com/office/2017/10/relationships/threadedComment" Target="../threadedComments/threadedComment16.xml"/><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3" Type="http://schemas.microsoft.com/office/2017/10/relationships/threadedComment" Target="../threadedComments/threadedComment17.xml"/><Relationship Id="rId2" Type="http://schemas.openxmlformats.org/officeDocument/2006/relationships/comments" Target="../comments18.xml"/><Relationship Id="rId1"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13.bin"/><Relationship Id="rId4" Type="http://schemas.microsoft.com/office/2017/10/relationships/threadedComment" Target="../threadedComments/threadedComment18.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21.xml"/><Relationship Id="rId1" Type="http://schemas.openxmlformats.org/officeDocument/2006/relationships/vmlDrawing" Target="../drawings/vmlDrawing21.v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2.xml"/><Relationship Id="rId1" Type="http://schemas.openxmlformats.org/officeDocument/2006/relationships/vmlDrawing" Target="../drawings/vmlDrawing2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17426-E9DF-4E0E-BFF2-50286DB6B959}">
  <dimension ref="B1:V85"/>
  <sheetViews>
    <sheetView showGridLines="0" zoomScale="115" zoomScaleNormal="115" workbookViewId="0">
      <selection activeCell="L59" sqref="L59"/>
    </sheetView>
  </sheetViews>
  <sheetFormatPr baseColWidth="10" defaultColWidth="8.83203125" defaultRowHeight="16" x14ac:dyDescent="0.2"/>
  <cols>
    <col min="1" max="1" width="2.83203125" customWidth="1"/>
    <col min="2" max="2" width="17" style="71" customWidth="1"/>
    <col min="3" max="3" width="3.5" customWidth="1"/>
    <col min="4" max="4" width="8.5" customWidth="1"/>
    <col min="5" max="5" width="5.1640625" customWidth="1"/>
    <col min="6" max="6" width="10.5" customWidth="1"/>
    <col min="7" max="7" width="2.5" customWidth="1"/>
    <col min="8" max="8" width="10.5" customWidth="1"/>
    <col min="9" max="9" width="2.5" customWidth="1"/>
    <col min="10" max="10" width="10.5" customWidth="1"/>
    <col min="11" max="11" width="1.33203125" customWidth="1"/>
  </cols>
  <sheetData>
    <row r="1" spans="2:22" ht="12.25" customHeight="1" x14ac:dyDescent="0.2"/>
    <row r="2" spans="2:22" x14ac:dyDescent="0.2">
      <c r="B2" s="265" t="s">
        <v>0</v>
      </c>
      <c r="C2" s="266" t="s">
        <v>1753</v>
      </c>
      <c r="D2" s="266"/>
      <c r="E2" s="267"/>
      <c r="F2" s="21"/>
      <c r="G2" s="21"/>
      <c r="H2" s="21"/>
      <c r="I2" s="21"/>
      <c r="J2" s="21"/>
      <c r="K2" s="21"/>
      <c r="L2" s="21"/>
      <c r="M2" s="21"/>
      <c r="N2" s="21"/>
      <c r="O2" s="21"/>
      <c r="P2" s="21"/>
      <c r="Q2" s="21"/>
      <c r="R2" s="21"/>
      <c r="S2" s="21"/>
      <c r="T2" s="21"/>
      <c r="U2" s="21"/>
      <c r="V2" s="21"/>
    </row>
    <row r="3" spans="2:22" x14ac:dyDescent="0.2">
      <c r="B3" s="265" t="s">
        <v>1</v>
      </c>
      <c r="C3" s="266" t="s">
        <v>2</v>
      </c>
      <c r="D3" s="266"/>
      <c r="E3" s="267"/>
      <c r="F3" s="21"/>
      <c r="G3" s="21"/>
      <c r="H3" s="21"/>
      <c r="I3" s="21"/>
      <c r="J3" s="21"/>
      <c r="K3" s="21"/>
      <c r="L3" s="21"/>
      <c r="M3" s="21"/>
      <c r="N3" s="21"/>
      <c r="O3" s="21"/>
      <c r="P3" s="21"/>
      <c r="Q3" s="21"/>
      <c r="R3" s="21"/>
      <c r="S3" s="21"/>
      <c r="T3" s="21"/>
      <c r="U3" s="21"/>
      <c r="V3" s="21"/>
    </row>
    <row r="4" spans="2:22" x14ac:dyDescent="0.2">
      <c r="B4" s="265" t="s">
        <v>3</v>
      </c>
      <c r="C4" s="268" t="s">
        <v>4</v>
      </c>
      <c r="D4" s="268"/>
      <c r="E4" s="267"/>
      <c r="F4" s="21"/>
      <c r="G4" s="21"/>
      <c r="H4" s="21"/>
      <c r="I4" s="21"/>
      <c r="J4" s="21"/>
      <c r="K4" s="21"/>
      <c r="L4" s="21"/>
      <c r="M4" s="21"/>
      <c r="N4" s="21"/>
      <c r="O4" s="21"/>
      <c r="P4" s="21"/>
      <c r="Q4" s="21"/>
      <c r="R4" s="21"/>
      <c r="S4" s="21"/>
      <c r="T4" s="21"/>
      <c r="U4" s="21"/>
      <c r="V4" s="21"/>
    </row>
    <row r="5" spans="2:22" ht="6.5" customHeight="1" x14ac:dyDescent="0.2">
      <c r="B5" s="269"/>
      <c r="C5" s="270"/>
      <c r="D5" s="270"/>
      <c r="E5" s="71"/>
    </row>
    <row r="6" spans="2:22" x14ac:dyDescent="0.2">
      <c r="B6" s="271" t="s">
        <v>5</v>
      </c>
      <c r="C6" s="272" t="s">
        <v>6</v>
      </c>
      <c r="D6" s="272"/>
      <c r="E6" s="273"/>
      <c r="F6" s="39"/>
      <c r="G6" s="39"/>
      <c r="H6" s="39"/>
      <c r="I6" s="39"/>
      <c r="J6" s="39"/>
      <c r="K6" s="39"/>
      <c r="L6" s="39"/>
      <c r="M6" s="39"/>
      <c r="N6" s="39"/>
      <c r="O6" s="39"/>
      <c r="P6" s="39"/>
      <c r="Q6" s="39"/>
      <c r="R6" s="39"/>
      <c r="S6" s="39"/>
      <c r="T6" s="39"/>
      <c r="U6" s="39"/>
      <c r="V6" s="39"/>
    </row>
    <row r="7" spans="2:22" x14ac:dyDescent="0.2">
      <c r="B7" s="271"/>
      <c r="C7" s="272" t="s">
        <v>7</v>
      </c>
      <c r="D7" s="272"/>
      <c r="E7" s="273"/>
      <c r="F7" s="39"/>
      <c r="G7" s="39"/>
      <c r="H7" s="39"/>
      <c r="I7" s="39"/>
      <c r="J7" s="39"/>
      <c r="K7" s="39"/>
      <c r="L7" s="39"/>
      <c r="M7" s="39"/>
      <c r="N7" s="39"/>
      <c r="O7" s="39"/>
      <c r="P7" s="39"/>
      <c r="Q7" s="39"/>
      <c r="R7" s="39"/>
      <c r="S7" s="39"/>
      <c r="T7" s="39"/>
      <c r="U7" s="39"/>
      <c r="V7" s="39"/>
    </row>
    <row r="8" spans="2:22" ht="16.25" customHeight="1" x14ac:dyDescent="0.2">
      <c r="B8" s="271"/>
      <c r="C8" s="399" t="s">
        <v>8</v>
      </c>
      <c r="D8" s="399"/>
      <c r="E8" s="399"/>
      <c r="F8" s="399"/>
      <c r="G8" s="399"/>
      <c r="H8" s="399"/>
      <c r="I8" s="399"/>
      <c r="J8" s="399"/>
      <c r="K8" s="399"/>
      <c r="L8" s="399"/>
      <c r="M8" s="399"/>
      <c r="N8" s="399"/>
      <c r="O8" s="399"/>
      <c r="P8" s="399"/>
      <c r="Q8" s="399"/>
      <c r="R8" s="399"/>
      <c r="S8" s="39"/>
      <c r="T8" s="39"/>
      <c r="U8" s="39"/>
      <c r="V8" s="39"/>
    </row>
    <row r="9" spans="2:22" x14ac:dyDescent="0.2">
      <c r="B9" s="271"/>
      <c r="C9" s="399"/>
      <c r="D9" s="399"/>
      <c r="E9" s="399"/>
      <c r="F9" s="399"/>
      <c r="G9" s="399"/>
      <c r="H9" s="399"/>
      <c r="I9" s="399"/>
      <c r="J9" s="399"/>
      <c r="K9" s="399"/>
      <c r="L9" s="399"/>
      <c r="M9" s="399"/>
      <c r="N9" s="399"/>
      <c r="O9" s="399"/>
      <c r="P9" s="399"/>
      <c r="Q9" s="399"/>
      <c r="R9" s="399"/>
      <c r="S9" s="39"/>
      <c r="T9" s="39"/>
      <c r="U9" s="39"/>
      <c r="V9" s="39"/>
    </row>
    <row r="10" spans="2:22" ht="6.5" customHeight="1" x14ac:dyDescent="0.2">
      <c r="B10" s="274"/>
      <c r="C10" s="275"/>
      <c r="D10" s="275"/>
      <c r="E10" s="71"/>
    </row>
    <row r="11" spans="2:22" ht="16.75" customHeight="1" thickBot="1" x14ac:dyDescent="0.25">
      <c r="B11" s="276" t="s">
        <v>1574</v>
      </c>
      <c r="F11" s="401" t="s">
        <v>9</v>
      </c>
      <c r="G11" s="401"/>
      <c r="H11" s="401"/>
      <c r="I11" s="401"/>
      <c r="J11" s="401"/>
    </row>
    <row r="12" spans="2:22" ht="17.25" customHeight="1" thickTop="1" thickBot="1" x14ac:dyDescent="0.25">
      <c r="B12" s="276"/>
      <c r="F12" s="277" t="s">
        <v>10</v>
      </c>
      <c r="G12" s="1"/>
      <c r="H12" s="278" t="s">
        <v>11</v>
      </c>
      <c r="I12" s="1"/>
      <c r="J12" s="279" t="s">
        <v>12</v>
      </c>
    </row>
    <row r="13" spans="2:22" ht="29.5" customHeight="1" thickTop="1" thickBot="1" x14ac:dyDescent="0.25">
      <c r="C13" s="2"/>
      <c r="F13" s="1"/>
      <c r="G13" s="1"/>
      <c r="H13" s="1"/>
      <c r="I13" s="1"/>
      <c r="J13" s="1"/>
    </row>
    <row r="14" spans="2:22" ht="17" thickTop="1" x14ac:dyDescent="0.2">
      <c r="C14" s="400" t="s">
        <v>13</v>
      </c>
      <c r="D14" s="402" t="s">
        <v>14</v>
      </c>
      <c r="E14" s="280"/>
      <c r="F14" s="281" t="s">
        <v>15</v>
      </c>
      <c r="G14" s="282"/>
      <c r="H14" s="283" t="s">
        <v>15</v>
      </c>
      <c r="I14" s="282"/>
      <c r="J14" s="284" t="s">
        <v>15</v>
      </c>
    </row>
    <row r="15" spans="2:22" x14ac:dyDescent="0.2">
      <c r="C15" s="400"/>
      <c r="D15" s="403"/>
      <c r="E15" s="280"/>
      <c r="F15" s="285" t="s">
        <v>16</v>
      </c>
      <c r="G15" s="282"/>
      <c r="H15" s="286" t="s">
        <v>16</v>
      </c>
      <c r="I15" s="282"/>
      <c r="J15" s="287" t="s">
        <v>16</v>
      </c>
    </row>
    <row r="16" spans="2:22" ht="17" thickBot="1" x14ac:dyDescent="0.25">
      <c r="C16" s="400"/>
      <c r="D16" s="404"/>
      <c r="F16" s="288" t="s">
        <v>17</v>
      </c>
      <c r="G16" s="282"/>
      <c r="H16" s="289" t="s">
        <v>17</v>
      </c>
      <c r="I16" s="282"/>
      <c r="J16" s="290" t="s">
        <v>17</v>
      </c>
    </row>
    <row r="17" spans="2:22" ht="18" thickTop="1" thickBot="1" x14ac:dyDescent="0.25">
      <c r="C17" s="400"/>
      <c r="F17" s="282"/>
      <c r="G17" s="282"/>
      <c r="H17" s="282"/>
      <c r="I17" s="282"/>
      <c r="J17" s="282"/>
    </row>
    <row r="18" spans="2:22" ht="17" thickTop="1" x14ac:dyDescent="0.2">
      <c r="C18" s="400"/>
      <c r="D18" s="405" t="s">
        <v>18</v>
      </c>
      <c r="E18" s="280"/>
      <c r="F18" s="291" t="s">
        <v>15</v>
      </c>
      <c r="G18" s="282"/>
      <c r="H18" s="292" t="s">
        <v>15</v>
      </c>
      <c r="I18" s="282"/>
      <c r="J18" s="293" t="s">
        <v>15</v>
      </c>
    </row>
    <row r="19" spans="2:22" x14ac:dyDescent="0.2">
      <c r="C19" s="400"/>
      <c r="D19" s="406"/>
      <c r="E19" s="280"/>
      <c r="F19" s="285" t="s">
        <v>16</v>
      </c>
      <c r="G19" s="282"/>
      <c r="H19" s="286" t="s">
        <v>16</v>
      </c>
      <c r="I19" s="282"/>
      <c r="J19" s="287" t="s">
        <v>16</v>
      </c>
    </row>
    <row r="20" spans="2:22" ht="17" thickBot="1" x14ac:dyDescent="0.25">
      <c r="C20" s="400"/>
      <c r="D20" s="407"/>
      <c r="F20" s="294" t="s">
        <v>17</v>
      </c>
      <c r="G20" s="282"/>
      <c r="H20" s="295" t="s">
        <v>17</v>
      </c>
      <c r="I20" s="282"/>
      <c r="J20" s="296" t="s">
        <v>17</v>
      </c>
    </row>
    <row r="21" spans="2:22" ht="18" thickTop="1" thickBot="1" x14ac:dyDescent="0.25">
      <c r="C21" s="400"/>
      <c r="F21" s="282"/>
      <c r="G21" s="282"/>
      <c r="H21" s="282"/>
      <c r="I21" s="282"/>
      <c r="J21" s="282"/>
    </row>
    <row r="22" spans="2:22" ht="17" thickTop="1" x14ac:dyDescent="0.2">
      <c r="C22" s="400"/>
      <c r="D22" s="408" t="s">
        <v>19</v>
      </c>
      <c r="E22" s="280"/>
      <c r="F22" s="297" t="s">
        <v>15</v>
      </c>
      <c r="G22" s="282"/>
      <c r="H22" s="298" t="s">
        <v>15</v>
      </c>
      <c r="I22" s="282"/>
      <c r="J22" s="299" t="s">
        <v>15</v>
      </c>
    </row>
    <row r="23" spans="2:22" x14ac:dyDescent="0.2">
      <c r="C23" s="400"/>
      <c r="D23" s="409"/>
      <c r="E23" s="280"/>
      <c r="F23" s="285" t="s">
        <v>16</v>
      </c>
      <c r="G23" s="282"/>
      <c r="H23" s="286" t="s">
        <v>16</v>
      </c>
      <c r="I23" s="282"/>
      <c r="J23" s="287" t="s">
        <v>16</v>
      </c>
    </row>
    <row r="24" spans="2:22" ht="17" thickBot="1" x14ac:dyDescent="0.25">
      <c r="C24" s="400"/>
      <c r="D24" s="410"/>
      <c r="E24" s="280"/>
      <c r="F24" s="300" t="s">
        <v>17</v>
      </c>
      <c r="G24" s="282"/>
      <c r="H24" s="301" t="s">
        <v>17</v>
      </c>
      <c r="I24" s="282"/>
      <c r="J24" s="302" t="s">
        <v>17</v>
      </c>
    </row>
    <row r="25" spans="2:22" ht="6.5" customHeight="1" thickTop="1" x14ac:dyDescent="0.2">
      <c r="C25" s="2"/>
      <c r="D25" s="303"/>
    </row>
    <row r="26" spans="2:22" ht="6.5" customHeight="1" x14ac:dyDescent="0.2">
      <c r="D26" s="210"/>
      <c r="F26" s="304"/>
    </row>
    <row r="27" spans="2:22" ht="19.25" customHeight="1" x14ac:dyDescent="0.2">
      <c r="B27" s="379" t="s">
        <v>1575</v>
      </c>
      <c r="C27" s="306"/>
      <c r="D27" s="306"/>
      <c r="E27" s="306"/>
      <c r="F27" s="307"/>
      <c r="G27" s="307"/>
      <c r="H27" s="307"/>
      <c r="I27" s="307"/>
      <c r="J27" s="307"/>
      <c r="K27" s="307"/>
      <c r="L27" s="307"/>
      <c r="M27" s="307"/>
      <c r="N27" s="307"/>
      <c r="O27" s="307"/>
      <c r="P27" s="307"/>
      <c r="Q27" s="307"/>
      <c r="R27" s="307"/>
      <c r="S27" s="307"/>
      <c r="T27" s="307"/>
      <c r="U27" s="307"/>
      <c r="V27" s="307"/>
    </row>
    <row r="28" spans="2:22" x14ac:dyDescent="0.2">
      <c r="B28" s="380" t="s">
        <v>1576</v>
      </c>
      <c r="C28" s="383" t="s">
        <v>1715</v>
      </c>
      <c r="D28" s="384"/>
      <c r="E28" s="309"/>
      <c r="F28" s="310"/>
      <c r="G28" s="310"/>
      <c r="H28" s="310"/>
      <c r="I28" s="311"/>
      <c r="J28" s="311"/>
      <c r="K28" s="311"/>
      <c r="L28" s="311"/>
      <c r="M28" s="311"/>
      <c r="N28" s="311"/>
      <c r="O28" s="311"/>
      <c r="P28" s="311"/>
      <c r="Q28" s="311"/>
      <c r="R28" s="307"/>
      <c r="S28" s="307"/>
      <c r="T28" s="307"/>
      <c r="U28" s="307"/>
      <c r="V28" s="307"/>
    </row>
    <row r="29" spans="2:22" x14ac:dyDescent="0.2">
      <c r="B29" s="380"/>
      <c r="C29" s="383" t="s">
        <v>40</v>
      </c>
      <c r="D29" s="384"/>
      <c r="E29" s="309"/>
      <c r="F29" s="310"/>
      <c r="G29" s="310"/>
      <c r="H29" s="310"/>
      <c r="I29" s="311"/>
      <c r="J29" s="311"/>
      <c r="K29" s="311"/>
      <c r="L29" s="311"/>
      <c r="M29" s="311"/>
      <c r="N29" s="311"/>
      <c r="O29" s="311"/>
      <c r="P29" s="311"/>
      <c r="Q29" s="311"/>
      <c r="R29" s="307"/>
      <c r="S29" s="307"/>
      <c r="T29" s="307"/>
      <c r="U29" s="307"/>
      <c r="V29" s="307"/>
    </row>
    <row r="30" spans="2:22" x14ac:dyDescent="0.2">
      <c r="B30" s="381"/>
      <c r="C30" s="383" t="s">
        <v>1577</v>
      </c>
      <c r="D30" s="383"/>
      <c r="E30" s="306"/>
      <c r="F30" s="307"/>
      <c r="G30" s="307"/>
      <c r="H30" s="307"/>
      <c r="I30" s="307"/>
      <c r="J30" s="307"/>
      <c r="K30" s="307"/>
      <c r="L30" s="307"/>
      <c r="M30" s="307"/>
      <c r="N30" s="307"/>
      <c r="O30" s="307"/>
      <c r="P30" s="307"/>
      <c r="Q30" s="307"/>
      <c r="R30" s="307"/>
      <c r="S30" s="307"/>
      <c r="T30" s="307"/>
      <c r="U30" s="307"/>
      <c r="V30" s="307"/>
    </row>
    <row r="31" spans="2:22" x14ac:dyDescent="0.2">
      <c r="B31" s="381"/>
      <c r="C31" s="383" t="s">
        <v>1578</v>
      </c>
      <c r="D31" s="384"/>
      <c r="E31" s="309"/>
      <c r="F31" s="310"/>
      <c r="G31" s="310"/>
      <c r="H31" s="310"/>
      <c r="I31" s="310"/>
      <c r="J31" s="307"/>
      <c r="K31" s="307"/>
      <c r="L31" s="307"/>
      <c r="M31" s="307"/>
      <c r="N31" s="307"/>
      <c r="O31" s="307"/>
      <c r="P31" s="307"/>
      <c r="Q31" s="307"/>
      <c r="R31" s="307"/>
      <c r="S31" s="307"/>
      <c r="T31" s="307"/>
      <c r="U31" s="307"/>
      <c r="V31" s="307"/>
    </row>
    <row r="32" spans="2:22" x14ac:dyDescent="0.2">
      <c r="B32" s="381"/>
      <c r="C32" s="384" t="s">
        <v>1607</v>
      </c>
      <c r="D32" s="384"/>
      <c r="E32" s="309"/>
      <c r="F32" s="310"/>
      <c r="G32" s="310"/>
      <c r="H32" s="310"/>
      <c r="I32" s="310"/>
      <c r="J32" s="310"/>
      <c r="K32" s="310"/>
      <c r="L32" s="310"/>
      <c r="M32" s="310"/>
      <c r="N32" s="310"/>
      <c r="O32" s="310"/>
      <c r="P32" s="310"/>
      <c r="Q32" s="307"/>
      <c r="R32" s="307"/>
      <c r="S32" s="307"/>
      <c r="T32" s="307"/>
      <c r="U32" s="307"/>
      <c r="V32" s="307"/>
    </row>
    <row r="33" spans="2:22" x14ac:dyDescent="0.2">
      <c r="B33" s="381"/>
      <c r="C33" s="383" t="s">
        <v>1579</v>
      </c>
      <c r="D33" s="384"/>
      <c r="E33" s="309"/>
      <c r="F33" s="310"/>
      <c r="G33" s="310"/>
      <c r="H33" s="310"/>
      <c r="I33" s="310"/>
      <c r="J33" s="310"/>
      <c r="K33" s="310"/>
      <c r="L33" s="310"/>
      <c r="M33" s="310"/>
      <c r="N33" s="310"/>
      <c r="O33" s="310"/>
      <c r="P33" s="310"/>
      <c r="Q33" s="307"/>
      <c r="R33" s="307"/>
      <c r="S33" s="307"/>
      <c r="T33" s="307"/>
      <c r="U33" s="307"/>
      <c r="V33" s="307"/>
    </row>
    <row r="34" spans="2:22" x14ac:dyDescent="0.2">
      <c r="B34" s="382" t="s">
        <v>1747</v>
      </c>
      <c r="C34" s="384" t="s">
        <v>1744</v>
      </c>
      <c r="D34" s="384"/>
      <c r="E34" s="309"/>
      <c r="F34" s="310"/>
      <c r="G34" s="310"/>
      <c r="H34" s="310"/>
      <c r="I34" s="310"/>
      <c r="J34" s="310"/>
      <c r="K34" s="310"/>
      <c r="L34" s="310"/>
      <c r="M34" s="310"/>
      <c r="N34" s="310"/>
      <c r="O34" s="310"/>
      <c r="P34" s="310"/>
      <c r="Q34" s="307"/>
      <c r="R34" s="307"/>
      <c r="S34" s="307"/>
      <c r="T34" s="307"/>
      <c r="U34" s="307"/>
      <c r="V34" s="307"/>
    </row>
    <row r="35" spans="2:22" x14ac:dyDescent="0.2">
      <c r="B35" s="381"/>
      <c r="C35" s="384" t="s">
        <v>1745</v>
      </c>
      <c r="D35" s="384"/>
      <c r="E35" s="309"/>
      <c r="F35" s="310"/>
      <c r="G35" s="310"/>
      <c r="H35" s="310"/>
      <c r="I35" s="310"/>
      <c r="J35" s="310"/>
      <c r="K35" s="310"/>
      <c r="L35" s="310"/>
      <c r="M35" s="310"/>
      <c r="N35" s="310"/>
      <c r="O35" s="310"/>
      <c r="P35" s="310"/>
      <c r="Q35" s="307"/>
      <c r="R35" s="307"/>
      <c r="S35" s="307"/>
      <c r="T35" s="307"/>
      <c r="U35" s="307"/>
      <c r="V35" s="307"/>
    </row>
    <row r="36" spans="2:22" x14ac:dyDescent="0.2">
      <c r="B36" s="382" t="s">
        <v>1748</v>
      </c>
      <c r="C36" s="398" t="s">
        <v>1750</v>
      </c>
      <c r="D36" s="398"/>
      <c r="E36" s="398"/>
      <c r="F36" s="398"/>
      <c r="G36" s="398"/>
      <c r="H36" s="398"/>
      <c r="I36" s="398"/>
      <c r="J36" s="398"/>
      <c r="K36" s="398"/>
      <c r="L36" s="398"/>
      <c r="M36" s="398"/>
      <c r="N36" s="398"/>
      <c r="O36" s="398"/>
      <c r="P36" s="398"/>
      <c r="Q36" s="398"/>
      <c r="R36" s="398"/>
      <c r="S36" s="398"/>
      <c r="T36" s="398"/>
      <c r="U36" s="398"/>
      <c r="V36" s="307"/>
    </row>
    <row r="37" spans="2:22" x14ac:dyDescent="0.2">
      <c r="B37" s="382"/>
      <c r="C37" s="398"/>
      <c r="D37" s="398"/>
      <c r="E37" s="398"/>
      <c r="F37" s="398"/>
      <c r="G37" s="398"/>
      <c r="H37" s="398"/>
      <c r="I37" s="398"/>
      <c r="J37" s="398"/>
      <c r="K37" s="398"/>
      <c r="L37" s="398"/>
      <c r="M37" s="398"/>
      <c r="N37" s="398"/>
      <c r="O37" s="398"/>
      <c r="P37" s="398"/>
      <c r="Q37" s="398"/>
      <c r="R37" s="398"/>
      <c r="S37" s="398"/>
      <c r="T37" s="398"/>
      <c r="U37" s="398"/>
      <c r="V37" s="307"/>
    </row>
    <row r="38" spans="2:22" x14ac:dyDescent="0.2">
      <c r="B38" s="382"/>
      <c r="C38" s="398" t="s">
        <v>1749</v>
      </c>
      <c r="D38" s="398"/>
      <c r="E38" s="398"/>
      <c r="F38" s="398"/>
      <c r="G38" s="398"/>
      <c r="H38" s="398"/>
      <c r="I38" s="398"/>
      <c r="J38" s="398"/>
      <c r="K38" s="398"/>
      <c r="L38" s="398"/>
      <c r="M38" s="398"/>
      <c r="N38" s="398"/>
      <c r="O38" s="398"/>
      <c r="P38" s="398"/>
      <c r="Q38" s="398"/>
      <c r="R38" s="398"/>
      <c r="S38" s="398"/>
      <c r="T38" s="398"/>
      <c r="U38" s="398"/>
      <c r="V38" s="307"/>
    </row>
    <row r="39" spans="2:22" x14ac:dyDescent="0.2">
      <c r="B39" s="312"/>
      <c r="C39" s="398"/>
      <c r="D39" s="398"/>
      <c r="E39" s="398"/>
      <c r="F39" s="398"/>
      <c r="G39" s="398"/>
      <c r="H39" s="398"/>
      <c r="I39" s="398"/>
      <c r="J39" s="398"/>
      <c r="K39" s="398"/>
      <c r="L39" s="398"/>
      <c r="M39" s="398"/>
      <c r="N39" s="398"/>
      <c r="O39" s="398"/>
      <c r="P39" s="398"/>
      <c r="Q39" s="398"/>
      <c r="R39" s="398"/>
      <c r="S39" s="398"/>
      <c r="T39" s="398"/>
      <c r="U39" s="398"/>
      <c r="V39" s="307"/>
    </row>
    <row r="40" spans="2:22" ht="6.5" customHeight="1" x14ac:dyDescent="0.2">
      <c r="B40" s="312"/>
      <c r="C40" s="305"/>
      <c r="D40" s="308"/>
      <c r="E40" s="309"/>
      <c r="F40" s="310"/>
      <c r="G40" s="310"/>
      <c r="H40" s="310"/>
      <c r="I40" s="310"/>
      <c r="J40" s="307"/>
      <c r="K40" s="307"/>
      <c r="L40" s="307"/>
      <c r="M40" s="307"/>
      <c r="N40" s="307"/>
      <c r="O40" s="307"/>
      <c r="P40" s="307"/>
      <c r="Q40" s="307"/>
      <c r="R40" s="307"/>
      <c r="S40" s="307"/>
      <c r="T40" s="307"/>
      <c r="U40" s="307"/>
      <c r="V40" s="307"/>
    </row>
    <row r="41" spans="2:22" ht="6.5" customHeight="1" x14ac:dyDescent="0.2"/>
    <row r="42" spans="2:22" x14ac:dyDescent="0.2">
      <c r="B42" s="313" t="s">
        <v>1580</v>
      </c>
      <c r="C42" s="314"/>
      <c r="D42" s="315"/>
      <c r="E42" s="315"/>
      <c r="F42" s="315"/>
      <c r="G42" s="315"/>
      <c r="H42" s="315"/>
      <c r="I42" s="315"/>
      <c r="J42" s="315"/>
      <c r="K42" s="315"/>
      <c r="L42" s="315"/>
      <c r="M42" s="315"/>
      <c r="N42" s="315"/>
      <c r="O42" s="315"/>
      <c r="P42" s="315"/>
      <c r="Q42" s="315"/>
      <c r="R42" s="315"/>
      <c r="S42" s="314"/>
      <c r="T42" s="314"/>
      <c r="U42" s="314"/>
      <c r="V42" s="314"/>
    </row>
    <row r="43" spans="2:22" ht="15" x14ac:dyDescent="0.2">
      <c r="B43" s="316" t="s">
        <v>1576</v>
      </c>
      <c r="C43" s="314"/>
      <c r="D43" s="317"/>
      <c r="E43" s="318"/>
      <c r="F43" s="319" t="s">
        <v>1581</v>
      </c>
      <c r="G43" s="317"/>
      <c r="H43" s="317" t="s">
        <v>1582</v>
      </c>
      <c r="I43" s="317"/>
      <c r="J43" s="317"/>
      <c r="K43" s="320"/>
      <c r="L43" s="317" t="s">
        <v>1583</v>
      </c>
      <c r="M43" s="317"/>
      <c r="N43" s="317"/>
      <c r="O43" s="317"/>
      <c r="P43" s="317" t="s">
        <v>1584</v>
      </c>
      <c r="Q43" s="317"/>
      <c r="R43" s="315"/>
      <c r="S43" s="314"/>
      <c r="T43" s="314"/>
      <c r="U43" s="314"/>
      <c r="V43" s="314"/>
    </row>
    <row r="44" spans="2:22" x14ac:dyDescent="0.2">
      <c r="B44" s="321"/>
      <c r="C44" s="314"/>
      <c r="D44" s="315"/>
      <c r="E44" s="322"/>
      <c r="F44" s="323" t="s">
        <v>1585</v>
      </c>
      <c r="G44" s="315"/>
      <c r="H44" s="315" t="s">
        <v>1586</v>
      </c>
      <c r="I44" s="315"/>
      <c r="J44" s="315"/>
      <c r="K44" s="315"/>
      <c r="L44" s="315" t="s">
        <v>1587</v>
      </c>
      <c r="M44" s="315"/>
      <c r="N44" s="315"/>
      <c r="O44" s="315"/>
      <c r="P44" s="315" t="s">
        <v>259</v>
      </c>
      <c r="Q44" s="315"/>
      <c r="R44" s="315"/>
      <c r="S44" s="314"/>
      <c r="T44" s="314"/>
      <c r="U44" s="314"/>
      <c r="V44" s="314"/>
    </row>
    <row r="45" spans="2:22" x14ac:dyDescent="0.2">
      <c r="B45" s="321"/>
      <c r="C45" s="314"/>
      <c r="D45" s="315"/>
      <c r="E45" s="322"/>
      <c r="F45" s="323" t="s">
        <v>1588</v>
      </c>
      <c r="G45" s="315"/>
      <c r="H45" s="315" t="s">
        <v>1589</v>
      </c>
      <c r="I45" s="315"/>
      <c r="J45" s="315"/>
      <c r="K45" s="315"/>
      <c r="L45" s="315" t="s">
        <v>1590</v>
      </c>
      <c r="M45" s="315"/>
      <c r="N45" s="315"/>
      <c r="O45" s="315"/>
      <c r="P45" s="315" t="s">
        <v>259</v>
      </c>
      <c r="Q45" s="315"/>
      <c r="R45" s="315"/>
      <c r="S45" s="314"/>
      <c r="T45" s="314"/>
      <c r="U45" s="314"/>
      <c r="V45" s="314"/>
    </row>
    <row r="46" spans="2:22" x14ac:dyDescent="0.2">
      <c r="B46" s="321"/>
      <c r="C46" s="314"/>
      <c r="D46" s="315"/>
      <c r="E46" s="322"/>
      <c r="F46" s="323" t="s">
        <v>1591</v>
      </c>
      <c r="G46" s="315"/>
      <c r="H46" s="315" t="s">
        <v>1592</v>
      </c>
      <c r="I46" s="315"/>
      <c r="J46" s="315"/>
      <c r="K46" s="315"/>
      <c r="L46" s="315" t="s">
        <v>1593</v>
      </c>
      <c r="M46" s="315"/>
      <c r="N46" s="315"/>
      <c r="O46" s="315"/>
      <c r="P46" s="315" t="s">
        <v>259</v>
      </c>
      <c r="Q46" s="315"/>
      <c r="R46" s="315"/>
      <c r="S46" s="314"/>
      <c r="T46" s="314"/>
      <c r="U46" s="314"/>
      <c r="V46" s="314"/>
    </row>
    <row r="47" spans="2:22" x14ac:dyDescent="0.2">
      <c r="B47" s="321"/>
      <c r="C47" s="314"/>
      <c r="D47" s="315"/>
      <c r="E47" s="322"/>
      <c r="F47" s="323" t="s">
        <v>1594</v>
      </c>
      <c r="G47" s="315"/>
      <c r="H47" s="315" t="s">
        <v>1595</v>
      </c>
      <c r="I47" s="315"/>
      <c r="J47" s="315"/>
      <c r="K47" s="315"/>
      <c r="L47" s="315" t="s">
        <v>1596</v>
      </c>
      <c r="M47" s="315"/>
      <c r="N47" s="315"/>
      <c r="O47" s="315"/>
      <c r="P47" s="315" t="s">
        <v>259</v>
      </c>
      <c r="Q47" s="315"/>
      <c r="R47" s="315"/>
      <c r="S47" s="314"/>
      <c r="T47" s="314"/>
      <c r="U47" s="314"/>
      <c r="V47" s="314"/>
    </row>
    <row r="48" spans="2:22" x14ac:dyDescent="0.2">
      <c r="B48" s="321"/>
      <c r="C48" s="314"/>
      <c r="D48" s="315"/>
      <c r="E48" s="322"/>
      <c r="F48" s="323" t="s">
        <v>1597</v>
      </c>
      <c r="G48" s="315"/>
      <c r="H48" s="315" t="s">
        <v>1598</v>
      </c>
      <c r="I48" s="315"/>
      <c r="J48" s="315"/>
      <c r="K48" s="315"/>
      <c r="L48" s="315" t="s">
        <v>1599</v>
      </c>
      <c r="M48" s="315"/>
      <c r="N48" s="315"/>
      <c r="O48" s="315"/>
      <c r="P48" s="315" t="s">
        <v>259</v>
      </c>
      <c r="Q48" s="315"/>
      <c r="R48" s="315"/>
      <c r="S48" s="314"/>
      <c r="T48" s="314"/>
      <c r="U48" s="314"/>
      <c r="V48" s="314"/>
    </row>
    <row r="49" spans="2:22" x14ac:dyDescent="0.2">
      <c r="B49" s="321"/>
      <c r="C49" s="314"/>
      <c r="D49" s="315"/>
      <c r="E49" s="322"/>
      <c r="F49" s="323" t="s">
        <v>344</v>
      </c>
      <c r="G49" s="315"/>
      <c r="H49" s="315" t="s">
        <v>344</v>
      </c>
      <c r="I49" s="315"/>
      <c r="J49" s="315"/>
      <c r="K49" s="315"/>
      <c r="L49" s="315" t="s">
        <v>1600</v>
      </c>
      <c r="M49" s="315"/>
      <c r="N49" s="315"/>
      <c r="O49" s="315"/>
      <c r="P49" s="315" t="s">
        <v>302</v>
      </c>
      <c r="Q49" s="315"/>
      <c r="R49" s="315"/>
      <c r="S49" s="314"/>
      <c r="T49" s="314"/>
      <c r="U49" s="314"/>
      <c r="V49" s="314"/>
    </row>
    <row r="50" spans="2:22" x14ac:dyDescent="0.2">
      <c r="B50" s="321"/>
      <c r="C50" s="314"/>
      <c r="D50" s="315"/>
      <c r="E50" s="315"/>
      <c r="F50" s="323" t="s">
        <v>1601</v>
      </c>
      <c r="G50" s="315"/>
      <c r="H50" s="315" t="s">
        <v>1602</v>
      </c>
      <c r="I50" s="315"/>
      <c r="J50" s="315"/>
      <c r="K50" s="315"/>
      <c r="L50" s="315" t="s">
        <v>1603</v>
      </c>
      <c r="M50" s="315"/>
      <c r="N50" s="315"/>
      <c r="O50" s="315"/>
      <c r="P50" s="315" t="s">
        <v>301</v>
      </c>
      <c r="Q50" s="315"/>
      <c r="R50" s="315"/>
      <c r="S50" s="314"/>
      <c r="T50" s="314"/>
      <c r="U50" s="314"/>
      <c r="V50" s="314"/>
    </row>
    <row r="51" spans="2:22" ht="6.5" customHeight="1" x14ac:dyDescent="0.2">
      <c r="B51" s="321"/>
      <c r="C51" s="314"/>
      <c r="D51" s="314"/>
      <c r="E51" s="314"/>
      <c r="F51" s="314"/>
      <c r="G51" s="314"/>
      <c r="H51" s="314"/>
      <c r="I51" s="314"/>
      <c r="J51" s="314"/>
      <c r="K51" s="314"/>
      <c r="L51" s="314"/>
      <c r="M51" s="314"/>
      <c r="N51" s="314"/>
      <c r="O51" s="314"/>
      <c r="P51" s="314"/>
      <c r="Q51" s="314"/>
      <c r="R51" s="314"/>
      <c r="S51" s="314"/>
      <c r="T51" s="314"/>
      <c r="U51" s="314"/>
      <c r="V51" s="314"/>
    </row>
    <row r="52" spans="2:22" ht="6.5" customHeight="1" x14ac:dyDescent="0.2"/>
    <row r="53" spans="2:22" ht="17" thickBot="1" x14ac:dyDescent="0.25">
      <c r="B53" s="276" t="s">
        <v>20</v>
      </c>
      <c r="C53" s="324"/>
      <c r="D53" s="44"/>
      <c r="E53" s="44"/>
      <c r="F53" s="44"/>
      <c r="G53" s="44"/>
      <c r="H53" s="44"/>
      <c r="I53" s="44"/>
      <c r="J53" s="44"/>
      <c r="K53" s="44"/>
      <c r="L53" s="44"/>
      <c r="M53" s="44"/>
      <c r="N53" s="44"/>
      <c r="O53" s="44"/>
      <c r="P53" s="44"/>
      <c r="Q53" s="44"/>
      <c r="R53" s="44"/>
      <c r="S53" s="44"/>
      <c r="T53" s="44"/>
      <c r="U53" s="44"/>
      <c r="V53" s="44"/>
    </row>
    <row r="54" spans="2:22" ht="15" x14ac:dyDescent="0.2">
      <c r="B54" s="325" t="s">
        <v>21</v>
      </c>
      <c r="C54" s="40" t="s">
        <v>22</v>
      </c>
      <c r="V54" s="41"/>
    </row>
    <row r="55" spans="2:22" x14ac:dyDescent="0.2">
      <c r="C55" s="40"/>
      <c r="V55" s="41"/>
    </row>
    <row r="56" spans="2:22" x14ac:dyDescent="0.2">
      <c r="C56" s="40"/>
      <c r="D56" s="326"/>
      <c r="E56" s="3" t="s">
        <v>23</v>
      </c>
      <c r="F56" s="19" t="s">
        <v>1604</v>
      </c>
      <c r="V56" s="41"/>
    </row>
    <row r="57" spans="2:22" x14ac:dyDescent="0.2">
      <c r="C57" s="40"/>
      <c r="D57" s="257"/>
      <c r="E57" s="3" t="s">
        <v>23</v>
      </c>
      <c r="F57" s="19" t="s">
        <v>24</v>
      </c>
      <c r="V57" s="41"/>
    </row>
    <row r="58" spans="2:22" x14ac:dyDescent="0.2">
      <c r="C58" s="40"/>
      <c r="E58" s="3" t="s">
        <v>23</v>
      </c>
      <c r="F58" s="19" t="s">
        <v>1605</v>
      </c>
      <c r="V58" s="41"/>
    </row>
    <row r="59" spans="2:22" x14ac:dyDescent="0.2">
      <c r="C59" s="40"/>
      <c r="D59" s="327">
        <v>1</v>
      </c>
      <c r="E59" s="3" t="s">
        <v>23</v>
      </c>
      <c r="F59" s="19" t="s">
        <v>25</v>
      </c>
      <c r="V59" s="41"/>
    </row>
    <row r="60" spans="2:22" x14ac:dyDescent="0.2">
      <c r="C60" s="40"/>
      <c r="D60" s="327">
        <v>2</v>
      </c>
      <c r="E60" s="3" t="s">
        <v>23</v>
      </c>
      <c r="F60" s="19" t="s">
        <v>26</v>
      </c>
      <c r="V60" s="41"/>
    </row>
    <row r="61" spans="2:22" x14ac:dyDescent="0.2">
      <c r="C61" s="40"/>
      <c r="V61" s="41"/>
    </row>
    <row r="62" spans="2:22" x14ac:dyDescent="0.2">
      <c r="C62" s="40"/>
      <c r="D62" s="38" t="s">
        <v>27</v>
      </c>
      <c r="E62" s="36"/>
      <c r="F62" s="37"/>
      <c r="G62" s="38"/>
      <c r="J62" s="38" t="s">
        <v>1606</v>
      </c>
      <c r="K62" s="37"/>
      <c r="L62" s="38"/>
      <c r="V62" s="41"/>
    </row>
    <row r="63" spans="2:22" x14ac:dyDescent="0.2">
      <c r="C63" s="40"/>
      <c r="D63" s="19" t="s">
        <v>28</v>
      </c>
      <c r="E63" s="3" t="s">
        <v>23</v>
      </c>
      <c r="F63" s="19" t="s">
        <v>29</v>
      </c>
      <c r="J63" s="19" t="s">
        <v>30</v>
      </c>
      <c r="K63" s="19" t="s">
        <v>31</v>
      </c>
      <c r="L63" s="19"/>
      <c r="V63" s="41"/>
    </row>
    <row r="64" spans="2:22" x14ac:dyDescent="0.2">
      <c r="C64" s="40"/>
      <c r="D64" s="19" t="s">
        <v>32</v>
      </c>
      <c r="E64" s="3" t="s">
        <v>23</v>
      </c>
      <c r="F64" s="19" t="s">
        <v>33</v>
      </c>
      <c r="J64" s="19" t="s">
        <v>34</v>
      </c>
      <c r="K64" s="19" t="s">
        <v>35</v>
      </c>
      <c r="L64" s="19"/>
      <c r="V64" s="41"/>
    </row>
    <row r="65" spans="2:22" x14ac:dyDescent="0.2">
      <c r="C65" s="40"/>
      <c r="D65" s="19" t="s">
        <v>36</v>
      </c>
      <c r="E65" s="3" t="s">
        <v>23</v>
      </c>
      <c r="F65" s="19" t="s">
        <v>37</v>
      </c>
      <c r="J65" s="19" t="s">
        <v>38</v>
      </c>
      <c r="K65" s="19" t="s">
        <v>39</v>
      </c>
      <c r="L65" s="19"/>
      <c r="V65" s="41"/>
    </row>
    <row r="66" spans="2:22" x14ac:dyDescent="0.2">
      <c r="C66" s="40"/>
      <c r="D66" s="19" t="s">
        <v>41</v>
      </c>
      <c r="E66" s="3" t="s">
        <v>23</v>
      </c>
      <c r="F66" s="19" t="s">
        <v>42</v>
      </c>
      <c r="J66" s="19" t="s">
        <v>43</v>
      </c>
      <c r="K66" s="19" t="s">
        <v>44</v>
      </c>
      <c r="L66" s="19"/>
      <c r="O66" s="19"/>
      <c r="V66" s="41"/>
    </row>
    <row r="67" spans="2:22" x14ac:dyDescent="0.2">
      <c r="C67" s="40"/>
      <c r="D67" s="19" t="s">
        <v>45</v>
      </c>
      <c r="E67" s="3" t="s">
        <v>23</v>
      </c>
      <c r="F67" s="19" t="s">
        <v>46</v>
      </c>
      <c r="J67" s="19" t="s">
        <v>47</v>
      </c>
      <c r="K67" s="19" t="s">
        <v>48</v>
      </c>
      <c r="L67" s="19"/>
      <c r="O67" s="19"/>
      <c r="V67" s="41"/>
    </row>
    <row r="68" spans="2:22" x14ac:dyDescent="0.2">
      <c r="C68" s="40"/>
      <c r="D68" s="19" t="s">
        <v>49</v>
      </c>
      <c r="E68" s="3" t="s">
        <v>23</v>
      </c>
      <c r="F68" s="19" t="s">
        <v>50</v>
      </c>
      <c r="J68" s="19" t="s">
        <v>51</v>
      </c>
      <c r="K68" s="19" t="s">
        <v>52</v>
      </c>
      <c r="L68" s="19"/>
      <c r="O68" s="19"/>
      <c r="V68" s="41"/>
    </row>
    <row r="69" spans="2:22" x14ac:dyDescent="0.2">
      <c r="C69" s="40"/>
      <c r="D69" s="19" t="s">
        <v>53</v>
      </c>
      <c r="E69" s="3" t="s">
        <v>23</v>
      </c>
      <c r="F69" s="19" t="s">
        <v>54</v>
      </c>
      <c r="J69" s="19" t="s">
        <v>55</v>
      </c>
      <c r="K69" s="19" t="s">
        <v>56</v>
      </c>
      <c r="L69" s="19"/>
      <c r="O69" s="19"/>
      <c r="V69" s="41"/>
    </row>
    <row r="70" spans="2:22" x14ac:dyDescent="0.2">
      <c r="C70" s="40"/>
      <c r="D70" s="19" t="s">
        <v>57</v>
      </c>
      <c r="E70" s="3" t="s">
        <v>23</v>
      </c>
      <c r="F70" s="19" t="s">
        <v>58</v>
      </c>
      <c r="J70" s="19" t="s">
        <v>59</v>
      </c>
      <c r="K70" s="19" t="s">
        <v>60</v>
      </c>
      <c r="L70" s="19"/>
      <c r="O70" s="19"/>
      <c r="V70" s="41"/>
    </row>
    <row r="71" spans="2:22" x14ac:dyDescent="0.2">
      <c r="C71" s="40"/>
      <c r="D71" s="19" t="s">
        <v>61</v>
      </c>
      <c r="E71" s="3" t="s">
        <v>23</v>
      </c>
      <c r="F71" s="19" t="s">
        <v>62</v>
      </c>
      <c r="L71" s="19"/>
      <c r="M71" s="19"/>
      <c r="N71" s="19"/>
      <c r="O71" s="19"/>
      <c r="V71" s="41"/>
    </row>
    <row r="72" spans="2:22" x14ac:dyDescent="0.2">
      <c r="C72" s="40"/>
      <c r="D72" s="19" t="s">
        <v>63</v>
      </c>
      <c r="E72" s="3" t="s">
        <v>23</v>
      </c>
      <c r="F72" s="19" t="s">
        <v>64</v>
      </c>
      <c r="L72" s="19"/>
      <c r="M72" s="19"/>
      <c r="N72" s="19"/>
      <c r="O72" s="19"/>
      <c r="V72" s="41"/>
    </row>
    <row r="73" spans="2:22" x14ac:dyDescent="0.2">
      <c r="C73" s="40"/>
      <c r="D73" s="19" t="s">
        <v>65</v>
      </c>
      <c r="E73" s="3" t="s">
        <v>23</v>
      </c>
      <c r="F73" s="19" t="s">
        <v>66</v>
      </c>
      <c r="L73" s="19"/>
      <c r="M73" s="19"/>
      <c r="N73" s="19"/>
      <c r="O73" s="19"/>
      <c r="V73" s="41"/>
    </row>
    <row r="74" spans="2:22" x14ac:dyDescent="0.2">
      <c r="C74" s="40"/>
      <c r="D74" s="19" t="s">
        <v>67</v>
      </c>
      <c r="E74" s="3" t="s">
        <v>23</v>
      </c>
      <c r="F74" s="19" t="s">
        <v>68</v>
      </c>
      <c r="L74" s="19"/>
      <c r="M74" s="19"/>
      <c r="N74" s="19"/>
      <c r="O74" s="19"/>
      <c r="V74" s="41"/>
    </row>
    <row r="75" spans="2:22" x14ac:dyDescent="0.2">
      <c r="C75" s="40"/>
      <c r="D75" s="19" t="s">
        <v>69</v>
      </c>
      <c r="E75" s="3" t="s">
        <v>23</v>
      </c>
      <c r="F75" s="19" t="s">
        <v>70</v>
      </c>
      <c r="L75" s="19"/>
      <c r="M75" s="19"/>
      <c r="N75" s="19"/>
      <c r="O75" s="19"/>
      <c r="V75" s="41"/>
    </row>
    <row r="76" spans="2:22" x14ac:dyDescent="0.2">
      <c r="C76" s="40"/>
      <c r="D76" s="19" t="s">
        <v>71</v>
      </c>
      <c r="E76" s="3" t="s">
        <v>23</v>
      </c>
      <c r="F76" s="19" t="s">
        <v>72</v>
      </c>
      <c r="L76" s="19"/>
      <c r="M76" s="19"/>
      <c r="N76" s="19"/>
      <c r="O76" s="19"/>
      <c r="V76" s="41"/>
    </row>
    <row r="77" spans="2:22" x14ac:dyDescent="0.2">
      <c r="C77" s="40"/>
      <c r="D77" s="19" t="s">
        <v>73</v>
      </c>
      <c r="E77" s="3" t="s">
        <v>23</v>
      </c>
      <c r="F77" s="19" t="s">
        <v>74</v>
      </c>
      <c r="L77" s="19"/>
      <c r="M77" s="19"/>
      <c r="N77" s="19"/>
      <c r="O77" s="19"/>
      <c r="V77" s="41"/>
    </row>
    <row r="78" spans="2:22" ht="17" thickBot="1" x14ac:dyDescent="0.25">
      <c r="C78" s="42"/>
      <c r="D78" s="43"/>
      <c r="E78" s="44"/>
      <c r="F78" s="45"/>
      <c r="G78" s="44"/>
      <c r="H78" s="44"/>
      <c r="I78" s="44"/>
      <c r="J78" s="44"/>
      <c r="K78" s="44"/>
      <c r="L78" s="44"/>
      <c r="M78" s="44"/>
      <c r="N78" s="44"/>
      <c r="O78" s="44"/>
      <c r="P78" s="44"/>
      <c r="Q78" s="44"/>
      <c r="R78" s="44"/>
      <c r="S78" s="44"/>
      <c r="T78" s="44"/>
      <c r="U78" s="44"/>
      <c r="V78" s="46"/>
    </row>
    <row r="80" spans="2:22" ht="15" x14ac:dyDescent="0.2">
      <c r="B80" s="328" t="s">
        <v>1766</v>
      </c>
      <c r="C80" s="19" t="s">
        <v>1767</v>
      </c>
      <c r="D80" s="210"/>
    </row>
    <row r="81" spans="3:19" x14ac:dyDescent="0.2">
      <c r="C81" s="327" t="s">
        <v>1768</v>
      </c>
      <c r="D81" s="210"/>
    </row>
    <row r="82" spans="3:19" x14ac:dyDescent="0.2">
      <c r="C82" s="327" t="s">
        <v>1769</v>
      </c>
      <c r="D82" s="210"/>
    </row>
    <row r="83" spans="3:19" x14ac:dyDescent="0.2">
      <c r="C83" s="327" t="s">
        <v>1770</v>
      </c>
      <c r="D83" s="210"/>
    </row>
    <row r="84" spans="3:19" x14ac:dyDescent="0.2">
      <c r="C84" s="397" t="s">
        <v>1765</v>
      </c>
      <c r="D84" s="397"/>
      <c r="E84" s="397"/>
      <c r="F84" s="397"/>
      <c r="G84" s="397"/>
      <c r="H84" s="397"/>
      <c r="I84" s="397"/>
      <c r="J84" s="397"/>
      <c r="K84" s="397"/>
      <c r="L84" s="397"/>
      <c r="M84" s="397"/>
      <c r="N84" s="397"/>
      <c r="O84" s="397"/>
      <c r="P84" s="397"/>
      <c r="Q84" s="397"/>
      <c r="R84" s="397"/>
      <c r="S84" s="397"/>
    </row>
    <row r="85" spans="3:19" x14ac:dyDescent="0.2">
      <c r="C85" s="397"/>
      <c r="D85" s="397"/>
      <c r="E85" s="397"/>
      <c r="F85" s="397"/>
      <c r="G85" s="397"/>
      <c r="H85" s="397"/>
      <c r="I85" s="397"/>
      <c r="J85" s="397"/>
      <c r="K85" s="397"/>
      <c r="L85" s="397"/>
      <c r="M85" s="397"/>
      <c r="N85" s="397"/>
      <c r="O85" s="397"/>
      <c r="P85" s="397"/>
      <c r="Q85" s="397"/>
      <c r="R85" s="397"/>
      <c r="S85" s="397"/>
    </row>
  </sheetData>
  <mergeCells count="9">
    <mergeCell ref="C84:S85"/>
    <mergeCell ref="C36:U37"/>
    <mergeCell ref="C38:U39"/>
    <mergeCell ref="C8:R9"/>
    <mergeCell ref="C14:C24"/>
    <mergeCell ref="F11:J11"/>
    <mergeCell ref="D14:D16"/>
    <mergeCell ref="D18:D20"/>
    <mergeCell ref="D22:D24"/>
  </mergeCells>
  <pageMargins left="0.7" right="0.7" top="0.75" bottom="0.75" header="0.3" footer="0.3"/>
  <pageSetup paperSize="9" orientation="portrait" horizontalDpi="4294967293" verticalDpi="0"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8EA39-A904-4852-BA9E-EA5021AA39E3}">
  <dimension ref="A1:AP163"/>
  <sheetViews>
    <sheetView zoomScale="115" zoomScaleNormal="115" workbookViewId="0">
      <pane xSplit="6" ySplit="1" topLeftCell="S2" activePane="bottomRight" state="frozen"/>
      <selection pane="topRight" activeCell="G1" sqref="G1"/>
      <selection pane="bottomLeft" activeCell="A2" sqref="A2"/>
      <selection pane="bottomRight" activeCell="W4" sqref="W4"/>
    </sheetView>
  </sheetViews>
  <sheetFormatPr baseColWidth="10" defaultColWidth="8.83203125" defaultRowHeight="15" x14ac:dyDescent="0.2"/>
  <cols>
    <col min="1" max="1" width="21.83203125" customWidth="1"/>
    <col min="2" max="2" width="9" style="210" customWidth="1"/>
    <col min="3" max="3" width="5.83203125" style="210" customWidth="1"/>
    <col min="4" max="4" width="4.6640625" style="210" customWidth="1"/>
    <col min="5" max="5" width="20.83203125" style="210" customWidth="1"/>
    <col min="6" max="6" width="14.5" style="210" bestFit="1" customWidth="1"/>
    <col min="7" max="7" width="11.5" customWidth="1"/>
    <col min="8" max="8" width="38" bestFit="1" customWidth="1"/>
    <col min="9" max="9" width="10.83203125" style="210" customWidth="1"/>
    <col min="10" max="10" width="11" customWidth="1"/>
    <col min="11" max="11" width="14.6640625" style="210" bestFit="1" customWidth="1"/>
    <col min="12" max="12" width="7.83203125" customWidth="1"/>
    <col min="13" max="13" width="7" customWidth="1"/>
    <col min="14" max="14" width="18.5" customWidth="1"/>
    <col min="15" max="15" width="8.83203125" customWidth="1"/>
    <col min="16" max="16" width="8" customWidth="1"/>
    <col min="17" max="17" width="6.5" customWidth="1"/>
    <col min="18" max="18" width="14" customWidth="1"/>
    <col min="19" max="19" width="22.1640625" bestFit="1" customWidth="1"/>
    <col min="20" max="20" width="10.6640625" customWidth="1"/>
    <col min="21" max="21" width="20.5" bestFit="1" customWidth="1"/>
    <col min="22" max="22" width="12.5" customWidth="1"/>
    <col min="23" max="23" width="15" style="20" bestFit="1" customWidth="1"/>
    <col min="24" max="24" width="28" bestFit="1" customWidth="1"/>
    <col min="25" max="25" width="17.1640625" bestFit="1" customWidth="1"/>
    <col min="26" max="26" width="15.5" bestFit="1" customWidth="1"/>
    <col min="27" max="27" width="28.5" bestFit="1" customWidth="1"/>
    <col min="28" max="28" width="18.1640625" bestFit="1" customWidth="1"/>
    <col min="29" max="29" width="9.5" customWidth="1"/>
    <col min="30" max="30" width="8" customWidth="1"/>
    <col min="31" max="31" width="9.5" customWidth="1"/>
    <col min="32" max="32" width="11.1640625" customWidth="1"/>
    <col min="33" max="33" width="12.6640625" customWidth="1"/>
    <col min="34" max="34" width="17.5" customWidth="1"/>
    <col min="35" max="35" width="11.1640625" customWidth="1"/>
    <col min="36" max="36" width="12" customWidth="1"/>
    <col min="37" max="37" width="9.5" customWidth="1"/>
    <col min="38" max="38" width="13.5" customWidth="1"/>
    <col min="39" max="39" width="11.33203125" customWidth="1"/>
    <col min="40" max="40" width="11.1640625" customWidth="1"/>
    <col min="41" max="41" width="14.33203125" customWidth="1"/>
    <col min="42" max="42" width="21.5" customWidth="1"/>
  </cols>
  <sheetData>
    <row r="1" spans="1:42" s="240" customFormat="1" ht="35.25" customHeight="1" x14ac:dyDescent="0.2">
      <c r="A1" s="240" t="s">
        <v>309</v>
      </c>
      <c r="B1" s="336" t="s">
        <v>310</v>
      </c>
      <c r="C1" s="336" t="s">
        <v>181</v>
      </c>
      <c r="D1" s="336" t="s">
        <v>311</v>
      </c>
      <c r="E1" s="336" t="s">
        <v>312</v>
      </c>
      <c r="F1" s="336" t="s">
        <v>313</v>
      </c>
      <c r="G1" s="240" t="s">
        <v>314</v>
      </c>
      <c r="H1" s="240" t="s">
        <v>315</v>
      </c>
      <c r="I1" s="336" t="s">
        <v>316</v>
      </c>
      <c r="J1" s="240" t="s">
        <v>317</v>
      </c>
      <c r="K1" s="336" t="s">
        <v>318</v>
      </c>
      <c r="L1" s="240" t="s">
        <v>319</v>
      </c>
      <c r="M1" s="240" t="s">
        <v>1609</v>
      </c>
      <c r="N1" s="240" t="s">
        <v>320</v>
      </c>
      <c r="O1" s="240" t="s">
        <v>321</v>
      </c>
      <c r="P1" s="240" t="s">
        <v>322</v>
      </c>
      <c r="Q1" s="240" t="s">
        <v>323</v>
      </c>
      <c r="R1" s="240" t="s">
        <v>324</v>
      </c>
      <c r="S1" s="240" t="s">
        <v>325</v>
      </c>
      <c r="T1" s="240" t="s">
        <v>326</v>
      </c>
      <c r="U1" s="103" t="s">
        <v>1782</v>
      </c>
      <c r="V1" s="337" t="s">
        <v>327</v>
      </c>
      <c r="W1" s="338" t="s">
        <v>328</v>
      </c>
      <c r="X1" s="240" t="s">
        <v>329</v>
      </c>
      <c r="Y1" s="240" t="s">
        <v>330</v>
      </c>
      <c r="Z1" s="240" t="s">
        <v>331</v>
      </c>
      <c r="AA1" s="240" t="s">
        <v>332</v>
      </c>
      <c r="AB1" s="240" t="s">
        <v>333</v>
      </c>
      <c r="AC1" s="339" t="s">
        <v>334</v>
      </c>
      <c r="AD1" s="339" t="s">
        <v>335</v>
      </c>
      <c r="AE1" s="339" t="s">
        <v>336</v>
      </c>
      <c r="AF1" s="339" t="s">
        <v>1760</v>
      </c>
      <c r="AG1" s="339" t="s">
        <v>338</v>
      </c>
      <c r="AH1" s="339" t="s">
        <v>1761</v>
      </c>
      <c r="AI1" s="339" t="s">
        <v>1608</v>
      </c>
      <c r="AJ1" s="339" t="s">
        <v>340</v>
      </c>
      <c r="AK1" s="339" t="s">
        <v>341</v>
      </c>
      <c r="AL1" s="339" t="s">
        <v>342</v>
      </c>
      <c r="AM1" s="339" t="s">
        <v>1762</v>
      </c>
      <c r="AN1" s="339" t="s">
        <v>344</v>
      </c>
      <c r="AO1" s="339" t="s">
        <v>345</v>
      </c>
      <c r="AP1" s="339" t="s">
        <v>346</v>
      </c>
    </row>
    <row r="2" spans="1:42" x14ac:dyDescent="0.2">
      <c r="A2" t="s">
        <v>482</v>
      </c>
      <c r="B2" s="210" t="str">
        <f t="array" ref="B2">INDEX(ECOMOD_input_estimate!$A$2:$A$55, MATCH(CFT_input!$A2, ECOMOD_input_estimate!$B:$B, 0))</f>
        <v>FF_01.2</v>
      </c>
      <c r="C2" s="210">
        <v>2020</v>
      </c>
      <c r="D2" s="395" t="s">
        <v>731</v>
      </c>
      <c r="E2" s="210" t="str">
        <f>A2</f>
        <v>N.heavy.H-Dsty.H-Res</v>
      </c>
      <c r="F2" s="210" t="str">
        <f t="array" ref="F2">_xlfn.SINGLE(IF(OR(ISNUMBER(SEARCH("heavy",A2))=TRUE,ISNUMBER(SEARCH("medium",A2))=TRUE),
INDEX('Focus Data Crop Rotations'!$D$4:$P$9,MATCH(D2,'Focus Data Crop Rotations'!$C$4:$C$9,0),_xlfn.SINGLE(_xlfn.IFS(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INDEX('Focus Data Crop Rotations'!$D$12:$P$17,MATCH(D2,'Focus Data Crop Rotations'!$C$12:$C$17,0),_xlfn.SINGLE(_xlfn.IFS(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setaside</v>
      </c>
      <c r="G2">
        <v>7.2</v>
      </c>
      <c r="H2" s="227">
        <f>VLOOKUP(F2,'CFT Specific Data'!$F$4:$H$19,3,FALSE)*G2*
IF(B2=B1,
IF(AND(ISNUMBER(SEARCH("wheat",F2))=TRUE,ISNUMBER(SEARCH("Barley",F1))=TRUE),0.89,
IF(AND(ISNUMBER(SEARCH("wheat",F2))=TRUE,F1="setaside"),0.94,
IF(AND(ISNUMBER(SEARCH("barley",F2))=TRUE,ISNUMBER(SEARCH("wheat",F1))=TRUE),0.89,
IF(AND(F2="winterbarley",F1="setaside"),0.94,
IF(AND(F2="sugarbeet",F1="warepotatoes"),0.95,
IF(AND((OR(ISNUMBER(SEARCH("beans",F2)),ISNUMBER(SEARCH("driedpeas",F2)),ISNUMBER(SEARCH("sugarbeet",F2)))=TRUE),ISNUMBER(SEARCH("osr",F1))=TRUE),0,
IF(AND((OR((ISNUMBER(SEARCH("wheat",F2))),ISNUMBER(SEARCH("linseed",F2)),ISNUMBER(SEARCH("driedpeas",F2)),ISNUMBER(SEARCH("osr",F2)))=TRUE),F1="sugarbeet"),0,
IF(AND((OR((ISNUMBER(SEARCH("osr",F2))),ISNUMBER(SEARCH("linseed",F2)))=TRUE),ISNUMBER(SEARCH("beans",F1))=TRUE),0,
IF(AND(F2="wosr",ISNUMBER(SEARCH("linseed",F1))=TRUE),0,
IF(AND(F2="sugarbeet",F1="warepotatoes"),0,
1)))))))))),
IF(AND(ISNUMBER(SEARCH("wheat",F2))=TRUE,ISNUMBER(SEARCH("Barley",F7))=TRUE),0.89,
IF(AND(ISNUMBER(SEARCH("wheat",F2))=TRUE,F7="setaside"),0.94,
IF(AND(ISNUMBER(SEARCH("barley",F2))=TRUE,ISNUMBER(SEARCH("wheat",F7))=TRUE),0.89,
IF(AND(F2="winterbarley",F7="setaside"),0.94,
IF(AND(F2="sugarbeet",F7="warepotatoes"),0.95,
IF(AND((OR(ISNUMBER(SEARCH("beans",F2)),ISNUMBER(SEARCH("driedpeas",F2)),ISNUMBER(SEARCH("sugarbeet",F2)))=TRUE),ISNUMBER(SEARCH("osr",F7))=TRUE),0,
IF(AND((OR((ISNUMBER(SEARCH("wheat",F2))),ISNUMBER(SEARCH("linseed",F2)),ISNUMBER(SEARCH("driedpeas",F2)),ISNUMBER(SEARCH("osr",F2)))=TRUE),F7="sugarbeet"),0,
IF(AND((OR((ISNUMBER(SEARCH("osr",F2))),ISNUMBER(SEARCH("linseed",F2)))=TRUE),ISNUMBER(SEARCH("beans",F7))=TRUE),0,
IF(AND(F2="wosr",ISNUMBER(SEARCH("linseed",F7))=TRUE),0,
IF(AND(F2="sugarbeet",F7="warepotatoes"),0,
1)))))))))))
*IF(OR(ISNUMBER(SEARCH("wheat",F2)),ISNUMBER(SEARCH("barley",F2)),ISNUMBER(SEARCH("driedpeas",F2)),ISNUMBER(SEARCH("warepotatoes",F2)),ISNUMBER(SEARCH("osr",F2)),ISNUMBER(SEARCH("linseed",F2)),ISNUMBER(SEARCH("sugarbeet",F2))),
IF(COUNTIF(B1:B1,B2)=5,
INDEX('CFT Specific Data'!$G$24:$L$39,MATCH(F2,'CFT Specific Data'!$F$24:$F$39,0),IF(COUNTIF(F1:F1,F2)=5,6,IF(COUNTIF(F1:F1,F2)=4,5,IF(COUNTIF(F1:F1,F2)=3,4,IF(COUNTIF(F1:F1,F2)=2,3,IF(F1=F2,2,1)))))),
IF(COUNTIF(B1:B1,B2)=4,
INDEX('CFT Specific Data'!$G$24:$L$39,MATCH(F2,'CFT Specific Data'!$F$24:$F$39,0),IF(SUM(COUNTIF(F1:F1,F2),COUNTIF(F3,F2))=5,6,IF(COUNTIF(F1:F1,F2)=4,5,IF(COUNTIF(F1:F1,F2)=3,4,IF(COUNTIF(F1:F1,F2)=2,3,IF(F1=F2,2,1)))))),
IF(COUNTIF(B1:B1,B2)=3,
INDEX('CFT Specific Data'!$G$24:$L$39,MATCH(F2,'CFT Specific Data'!$F$24:$F$39,0),IF(SUM(COUNTIF(F1:F1,F2),COUNTIF(F3:F4,F2))=5,6,IF(SUM(COUNTIF(F1:F1,F2),COUNTIF(F4,F2))=4,5,IF(COUNTIF(F1:F1,F2)=3,4,IF(COUNTIF(F1:F1,F2)=2,3,IF(F1=F2,2,1)))))),
IF(COUNTIF(B1:B1,B2)=2,
INDEX('CFT Specific Data'!$G$24:$L$39,MATCH(F2,'CFT Specific Data'!$F$24:$F$39,0),IF(SUM(COUNTIF(F1:F1,F2),COUNTIF(F3:F5,F2))=5,6,IF(SUM(COUNTIF(F1:F1,F2),COUNTIF(F4:F5,F2))=4,5,IF(SUM(COUNTIF(F1:F1,F2),COUNTIF(F5,F2))=3,4,IF(COUNTIF(F1:F1,F2)=2,3,IF(F1=F2,2,1)))))),
IF(COUNTIF(B1:B1,B2)=1,
INDEX('CFT Specific Data'!$G$24:$L$39,MATCH(F2,'CFT Specific Data'!$F$24:$F$39,0),IF(SUM(COUNTIF(F1,F2),COUNTIF(F3:F6,F2))=5,6,IF(SUM(COUNTIF(F1,F2),COUNTIF(F4:F6,F2))=4,5,IF(SUM(COUNTIF(F1,F2),COUNTIF(F5:F6,F2))=3,4,IF(SUM(COUNTIF(F1,F2),COUNTIF(F6,F2))=2,3,IF(F1=F2,2,1)))))),
IF(COUNTIF(B1:B1,B2)=0,
INDEX('CFT Specific Data'!$G$24:$L$39,MATCH(F2,'CFT Specific Data'!$F$24:$F$39,0),IF(COUNTIF(F3:F7,F2)=5,6,IF(COUNTIF(F4:F7,F2)=4,5,IF(COUNTIF(F5:F7,F2)=3,4,IF(COUNTIF(F6:F7,F2)=2,3,IF(F7=F2,2,1)))))))))))),1)</f>
        <v>0</v>
      </c>
      <c r="I2" s="210" t="s">
        <v>348</v>
      </c>
      <c r="J2">
        <v>10</v>
      </c>
      <c r="K2" s="210" t="str">
        <f>VLOOKUP(F2,'CFT Specific Data'!$F$4:$G$19,2,FALSE)</f>
        <v>Perennial grass</v>
      </c>
      <c r="L2" t="str">
        <f>IF(ISNUMBER(SEARCH("heavy",$A2))=TRUE,"Fine",
IF(ISNUMBER(SEARCH("medium",$A2))=TRUE,"Medium",
IF(ISNUMBER(SEARCH("light",$A2))=TRUE,"Coarse")))</f>
        <v>Fine</v>
      </c>
      <c r="M2">
        <f>IF($L2="Fine",3.4*1.72,
IF($L2="Medium",2.6*1.72,
IF($L2="Coarse",3*1.72)))</f>
        <v>5.8479999999999999</v>
      </c>
      <c r="N2" t="str">
        <f>IF(M2&gt;10.32,"10.32 &lt; SOM",
IF(AND(M2&gt;5.16,M2&lt;=10.32),"5.16 &lt; SOM &lt;= 10.32",
IF(AND(M2&gt;1.72,M2&lt;=5.16),"1.72 &lt; SOM &lt;= 5.16",
IF(M2&lt;1.72,"SOM &lt;= 1.72"))))</f>
        <v>5.16 &lt; SOM &lt;= 10.32</v>
      </c>
      <c r="O2" t="s">
        <v>349</v>
      </c>
      <c r="P2" t="s">
        <v>350</v>
      </c>
      <c r="Q2">
        <v>7</v>
      </c>
      <c r="R2" t="str">
        <f>IF(AND(Q2&gt;5.4,Q2&lt;=7.3),"5.5 &lt; pH &lt;= 7.3",
IF(AND(Q2&gt;7.3,Q2&lt;=8.5),"7.3 &lt; pH &lt;= 8.5"))</f>
        <v>5.5 &lt; pH &lt;= 7.3</v>
      </c>
      <c r="S2" t="s">
        <v>351</v>
      </c>
      <c r="T2" s="210">
        <f t="array" ref="T2">_xlfn.SINGLE(INDEX('Focus Data NFertiliser Rate'!$D$4:$P$19,MATCH(F2,'Focus Data NFertiliser Rate'!$C$4:$C$19,0),_xlfn.SINGLE(_xlfn.IFS(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0</v>
      </c>
      <c r="U2">
        <f>IF(T2=0,0,"Apply in solution")</f>
        <v>0</v>
      </c>
      <c r="V2" s="210">
        <f t="array" ref="V2">_xlfn.SINGLE(INDEX('№ Fertiliser sprayings'!$D$4:$P$19,MATCH(F2,'№ Fertiliser sprayings'!$C$4:$C$19,0),_xlfn.SINGLE(_xlfn.IFS(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0</v>
      </c>
      <c r="W2" s="264">
        <f t="array" ref="W2">_xlfn.SINGLE(INDEX('Focus Data CFT NSpraying'!$D$4:$P$19,MATCH(F2,'Focus Data CFT NSpraying'!$C$4:$C$19,0),_xlfn.SINGLE(_xlfn.IFS(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4.4640000000000004</v>
      </c>
      <c r="X2" t="s">
        <v>363</v>
      </c>
      <c r="Y2">
        <v>0</v>
      </c>
      <c r="Z2">
        <v>100</v>
      </c>
      <c r="AA2" t="s">
        <v>352</v>
      </c>
      <c r="AB2" s="226" t="str">
        <f>IF(B2=B1,_xlfn.IFS(
AND(AA2=Lists!$L$8,AA1=Lists!$L$8),Lists!$N$5,
AND(OR(AA2=Lists!$L$5,AA2=Lists!$L$7,AA2=Lists!$L$9,AA2=Lists!$L$10,AA2=Lists!$L$6),OR(AA1=Lists!$L$5,AA1=Lists!$L$7,AA1=Lists!$L$9,AA1=Lists!$L$10,AA1=Lists!$L$6)),Lists!$N$5,
AND(AA2=Lists!$L$8,OR(AA1=Lists!$L$5,AA1=Lists!$L$7,AA1=Lists!$L$9,AA1=Lists!$L$10,AA1=Lists!$L$6)),Lists!$N$6,
AND(OR(AA2=Lists!$L$5,AA2=Lists!$L$6,AA2=Lists!$L$7,AA2=Lists!$L$9,AA2=Lists!$L$10),AA1=Lists!$L$8),Lists!$N$7),
_xlfn.IFS(
AND(AA2=Lists!$L$8,AA7=Lists!$L$8),Lists!$N$5,
AND(OR(AA2=Lists!$L$5,AA2=Lists!$L$7,AA2=Lists!$L$9,AA2=Lists!$L$10,AA2=Lists!$L$6),OR(AA7=Lists!$L$5,AA7=Lists!$L$7,AA7=Lists!$L$9,AA7=Lists!$L$10,AA7=Lists!$L$6)),Lists!$N$5,
AND(AA2=Lists!$L$8,OR(AA7=Lists!$L$5,AA7=Lists!$L$7,AA7=Lists!$L$9,AA7=Lists!$L$10,AA7=Lists!$L$6)),Lists!$N$6,
AND(OR(AA2=Lists!$L$5,AA2=Lists!$L$7,AA2=Lists!$L$9,AA2=Lists!$L$10),AA7=Lists!$L$8),Lists!$N$7))</f>
        <v>no change</v>
      </c>
      <c r="AC2">
        <v>0</v>
      </c>
      <c r="AD2">
        <v>0</v>
      </c>
      <c r="AE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"disc","")))/LEN("disc"),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"disc","")))/LEN("disc"))</f>
        <v>2</v>
      </c>
      <c r="AF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"field cultivator","")))/LEN("field cultivator"),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"field cultivator","")))/LEN("field cultivator"))</f>
        <v>0</v>
      </c>
      <c r="AG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"grain drill","")))/LEN("grain drill"),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"grain drill","")))/LEN("grain drill"))</f>
        <v>0</v>
      </c>
      <c r="AH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"minimum tillage","")))/LEN("minimum tillage"),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"minimum tillage","")))/LEN("minimum tillage"))</f>
        <v>0</v>
      </c>
      <c r="AI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"row crop planter","")))/LEN("row crop planter"),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"row crop planter","")))/LEN("row crop planter"))</f>
        <v>0</v>
      </c>
      <c r="AJ2" s="10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"plough","")))/LEN("plough"),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"plough","")))/LEN("plough"))</f>
        <v>0</v>
      </c>
      <c r="AK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harrow","")))/LEN("roller harrow"),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harrow","")))/LEN("roller harrow"))</f>
        <v>0</v>
      </c>
      <c r="AL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packer","")))/LEN("roller packer"),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"roller packer","")))/LEN("roller packer"))</f>
        <v>1</v>
      </c>
      <c r="AM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"rotary hoe","")))/LEN("rotary hoe"),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"rotary hoe","")))/LEN("rotary hoe"))</f>
        <v>0</v>
      </c>
      <c r="AN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"subsoil","")))/LEN("subsoil"),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"subsoil","")))/LEN("subsoil"))</f>
        <v>0</v>
      </c>
      <c r="AO2">
        <f>IF(OR(ISNUMBER(SEARCH("heavy",A2))=TRUE, ISNUMBER(SEARCH("medium",A2))=TRUE),
(LEN(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farm'!$D$4:$P$9,MATCH(D2,'Focus Data Tillage by farm'!$C$4:$C$9,0),_xlfn.IFS(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"tine harrow","")))/LEN("tine harrow"),
(LEN(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-LEN(SUBSTITUTE(
INDEX('Focus Data Tillage by farm'!$D$12:$P$17,MATCH(D2,'Focus Data Tillage by farm'!$C$12:$C$17,0),_xlfn.IFS(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
"tine harrow","")))/LEN("tine harrow"))</f>
        <v>0</v>
      </c>
      <c r="AP2" s="102">
        <f>INDEX('Focus Data NSpraying'!$D$4:$P$19,MATCH(F2,'Focus Data NSpraying'!$C$4:$C$19,0),_xlfn.IFS(
AND(ISNUMBER(SEARCH("H-Dsty.",A2))=TRUE,ISNUMBER(SEARCH("H-Res",A2))=TRUE,ISNUMBER(SEARCH("E.",A2))=TRUE),1,
AND(ISNUMBER(SEARCH("H-Dsty.",A2))=TRUE,ISNUMBER(SEARCH("H-Res",A2))=TRUE,OR(ISNUMBER(SEARCH("N.he",A2))=TRUE,ISNUMBER(SEARCH("N.me",A2))=TRUE,ISNUMBER(SEARCH("N.li",A2))=TRUE)),2,
AND(ISNUMBER(SEARCH("H-Dsty.",A2))=TRUE,ISNUMBER(SEARCH("H-Res",A2))=TRUE,ISNUMBER(SEARCH("C.",A2))=TRUE),3,
AND(ISNUMBER(SEARCH("L-Dsty.",A2))=TRUE,ISNUMBER(SEARCH("H-Res",A2))=TRUE,ISNUMBER(SEARCH("E.",A2))=TRUE),6,
AND(ISNUMBER(SEARCH("L-Dsty.",A2))=TRUE,ISNUMBER(SEARCH("H-Res",A2))=TRUE,OR(ISNUMBER(SEARCH("N.he",A2))=TRUE,ISNUMBER(SEARCH("N.me",A2))=TRUE,ISNUMBER(SEARCH("N.li",A2))=TRUE)),7,
AND(ISNUMBER(SEARCH("L-Dsty.",A2))=TRUE,ISNUMBER(SEARCH("H-Res",A2))=TRUE,ISNUMBER(SEARCH("C.",A2))=TRUE),8,
AND(ISNUMBER(SEARCH("L-Dsty.",A2))=TRUE,ISNUMBER(SEARCH("L-Res",A2))=TRUE,ISNUMBER(SEARCH("E.",A2))=TRUE),11,
AND(ISNUMBER(SEARCH("L-Dsty.",A2))=TRUE,ISNUMBER(SEARCH("L-Res",A2))=TRUE,OR(ISNUMBER(SEARCH("N.he",A2))=TRUE,ISNUMBER(SEARCH("N.me",A2))=TRUE,ISNUMBER(SEARCH("N.li",A2))=TRUE)),12,
AND(ISNUMBER(SEARCH("L-Dsty.",A2))=TRUE,ISNUMBER(SEARCH("L-Res",A2))=TRUE,ISNUMBER(SEARCH("C.",A2))=TRUE),13))</f>
        <v>5</v>
      </c>
    </row>
    <row r="3" spans="1:42" x14ac:dyDescent="0.2">
      <c r="A3" t="s">
        <v>482</v>
      </c>
      <c r="B3" s="210" t="str">
        <f t="array" ref="B3">INDEX(ECOMOD_input_estimate!$A$2:$A$55, MATCH(CFT_input!$A3, ECOMOD_input_estimate!$B:$B, 0))</f>
        <v>FF_01.2</v>
      </c>
      <c r="C3" s="210">
        <v>2020</v>
      </c>
      <c r="D3" s="395" t="s">
        <v>730</v>
      </c>
      <c r="E3" s="210" t="str">
        <f t="shared" ref="E3:E66" si="0">A3</f>
        <v>N.heavy.H-Dsty.H-Res</v>
      </c>
      <c r="F3" s="210" t="str">
        <f t="array" ref="F3">_xlfn.SINGLE(IF(OR(ISNUMBER(SEARCH("heavy",A3))=TRUE,ISNUMBER(SEARCH("medium",A3))=TRUE),
INDEX('Focus Data Crop Rotations'!$D$4:$P$9,MATCH(D3,'Focus Data Crop Rotations'!$C$4:$C$9,0),_xlfn.SINGLE(_xlfn.IFS(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INDEX('Focus Data Crop Rotations'!$D$12:$P$17,MATCH(D3,'Focus Data Crop Rotations'!$C$12:$C$17,0),_xlfn.SINGLE(_xlfn.IFS(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maize</v>
      </c>
      <c r="G3">
        <v>7.2</v>
      </c>
      <c r="H3" s="227">
        <f>VLOOKUP(F3,'CFT Specific Data'!$F$4:$H$19,3,FALSE)*G3*
IF(B3=B2,
IF(AND(ISNUMBER(SEARCH("wheat",F3))=TRUE,ISNUMBER(SEARCH("Barley",F2))=TRUE),0.89,
IF(AND(ISNUMBER(SEARCH("wheat",F3))=TRUE,F2="setaside"),0.94,
IF(AND(ISNUMBER(SEARCH("barley",F3))=TRUE,ISNUMBER(SEARCH("wheat",F2))=TRUE),0.89,
IF(AND(F3="winterbarley",F2="setaside"),0.94,
IF(AND(F3="sugarbeet",F2="warepotatoes"),0.95,
IF(AND((OR(ISNUMBER(SEARCH("beans",F3)),ISNUMBER(SEARCH("driedpeas",F3)),ISNUMBER(SEARCH("sugarbeet",F3)))=TRUE),ISNUMBER(SEARCH("osr",F2))=TRUE),0,
IF(AND((OR((ISNUMBER(SEARCH("wheat",F3))),ISNUMBER(SEARCH("linseed",F3)),ISNUMBER(SEARCH("driedpeas",F3)),ISNUMBER(SEARCH("osr",F3)))=TRUE),F2="sugarbeet"),0,
IF(AND((OR((ISNUMBER(SEARCH("osr",F3))),ISNUMBER(SEARCH("linseed",F3)))=TRUE),ISNUMBER(SEARCH("beans",F2))=TRUE),0,
IF(AND(F3="wosr",ISNUMBER(SEARCH("linseed",F2))=TRUE),0,
IF(AND(F3="sugarbeet",F2="warepotatoes"),0,
1)))))))))),
IF(AND(ISNUMBER(SEARCH("wheat",F3))=TRUE,ISNUMBER(SEARCH("Barley",F8))=TRUE),0.89,
IF(AND(ISNUMBER(SEARCH("wheat",F3))=TRUE,F8="setaside"),0.94,
IF(AND(ISNUMBER(SEARCH("barley",F3))=TRUE,ISNUMBER(SEARCH("wheat",F8))=TRUE),0.89,
IF(AND(F3="winterbarley",F8="setaside"),0.94,
IF(AND(F3="sugarbeet",F8="warepotatoes"),0.95,
IF(AND((OR(ISNUMBER(SEARCH("beans",F3)),ISNUMBER(SEARCH("driedpeas",F3)),ISNUMBER(SEARCH("sugarbeet",F3)))=TRUE),ISNUMBER(SEARCH("osr",F8))=TRUE),0,
IF(AND((OR((ISNUMBER(SEARCH("wheat",F3))),ISNUMBER(SEARCH("linseed",F3)),ISNUMBER(SEARCH("driedpeas",F3)),ISNUMBER(SEARCH("osr",F3)))=TRUE),F8="sugarbeet"),0,
IF(AND((OR((ISNUMBER(SEARCH("osr",F3))),ISNUMBER(SEARCH("linseed",F3)))=TRUE),ISNUMBER(SEARCH("beans",F8))=TRUE),0,
IF(AND(F3="wosr",ISNUMBER(SEARCH("linseed",F8))=TRUE),0,
IF(AND(F3="sugarbeet",F8="warepotatoes"),0,
1)))))))))))
*IF(OR(ISNUMBER(SEARCH("wheat",F3)),ISNUMBER(SEARCH("barley",F3)),ISNUMBER(SEARCH("driedpeas",F3)),ISNUMBER(SEARCH("warepotatoes",F3)),ISNUMBER(SEARCH("osr",F3)),ISNUMBER(SEARCH("linseed",F3)),ISNUMBER(SEARCH("sugarbeet",F3))),
IF(COUNTIF(B1:B2,B3)=5,
INDEX('CFT Specific Data'!$G$24:$L$39,MATCH(F3,'CFT Specific Data'!$F$24:$F$39,0),IF(COUNTIF(F1:F2,F3)=5,6,IF(COUNTIF(F1:F2,F3)=4,5,IF(COUNTIF(F1:F2,F3)=3,4,IF(COUNTIF(F1:F2,F3)=2,3,IF(F2=F3,2,1)))))),
IF(COUNTIF(B1:B2,B3)=4,
INDEX('CFT Specific Data'!$G$24:$L$39,MATCH(F3,'CFT Specific Data'!$F$24:$F$39,0),IF(SUM(COUNTIF(F1:F2,F3),COUNTIF(F4,F3))=5,6,IF(COUNTIF(F1:F2,F3)=4,5,IF(COUNTIF(F1:F2,F3)=3,4,IF(COUNTIF(F1:F2,F3)=2,3,IF(F2=F3,2,1)))))),
IF(COUNTIF(B1:B2,B3)=3,
INDEX('CFT Specific Data'!$G$24:$L$39,MATCH(F3,'CFT Specific Data'!$F$24:$F$39,0),IF(SUM(COUNTIF(F1:F2,F3),COUNTIF(F4:F5,F3))=5,6,IF(SUM(COUNTIF(F1:F2,F3),COUNTIF(F5,F3))=4,5,IF(COUNTIF(F1:F2,F3)=3,4,IF(COUNTIF(F1:F2,F3)=2,3,IF(F2=F3,2,1)))))),
IF(COUNTIF(B1:B2,B3)=2,
INDEX('CFT Specific Data'!$G$24:$L$39,MATCH(F3,'CFT Specific Data'!$F$24:$F$39,0),IF(SUM(COUNTIF(F1:F2,F3),COUNTIF(F4:F6,F3))=5,6,IF(SUM(COUNTIF(F1:F2,F3),COUNTIF(F5:F6,F3))=4,5,IF(SUM(COUNTIF(F1:F2,F3),COUNTIF(F6,F3))=3,4,IF(COUNTIF(F1:F2,F3)=2,3,IF(F2=F3,2,1)))))),
IF(COUNTIF(B1:B2,B3)=1,
INDEX('CFT Specific Data'!$G$24:$L$39,MATCH(F3,'CFT Specific Data'!$F$24:$F$39,0),IF(SUM(COUNTIF(F2,F3),COUNTIF(F4:F7,F3))=5,6,IF(SUM(COUNTIF(F2,F3),COUNTIF(F5:F7,F3))=4,5,IF(SUM(COUNTIF(F2,F3),COUNTIF(F6:F7,F3))=3,4,IF(SUM(COUNTIF(F2,F3),COUNTIF(F7,F3))=2,3,IF(F2=F3,2,1)))))),
IF(COUNTIF(B1:B2,B3)=0,
INDEX('CFT Specific Data'!$G$24:$L$39,MATCH(F3,'CFT Specific Data'!$F$24:$F$39,0),IF(COUNTIF(F4:F8,F3)=5,6,IF(COUNTIF(F5:F8,F3)=4,5,IF(COUNTIF(F6:F8,F3)=3,4,IF(COUNTIF(F7:F8,F3)=2,3,IF(F8=F3,2,1)))))))))))),1)</f>
        <v>54</v>
      </c>
      <c r="I3" s="210" t="s">
        <v>348</v>
      </c>
      <c r="J3">
        <v>10</v>
      </c>
      <c r="K3" s="210" t="str">
        <f>VLOOKUP(F3,'CFT Specific Data'!$F$4:$G$19,2,FALSE)</f>
        <v>Maize</v>
      </c>
      <c r="L3" t="str">
        <f t="shared" ref="L3:L66" si="1">IF(ISNUMBER(SEARCH("heavy",$A3))=TRUE,"Fine",
IF(ISNUMBER(SEARCH("medium",$A3))=TRUE,"Medium",
IF(ISNUMBER(SEARCH("light",$A3))=TRUE,"Coarse")))</f>
        <v>Fine</v>
      </c>
      <c r="M3">
        <f t="shared" ref="M3:M66" si="2">IF($L3="Fine",3.4*1.72,
IF($L3="Medium",2.6*1.72,
IF($L3="Coarse",3*1.72)))</f>
        <v>5.8479999999999999</v>
      </c>
      <c r="N3" t="str">
        <f t="shared" ref="N3:N66" si="3">IF(M3&gt;10.32,"10.32 &lt; SOM",
IF(AND(M3&gt;5.16,M3&lt;=10.32),"5.16 &lt; SOM &lt;= 10.32",
IF(AND(M3&gt;1.72,M3&lt;=5.16),"1.72 &lt; SOM &lt;= 5.16",
IF(M3&lt;1.72,"SOM &lt;= 1.72"))))</f>
        <v>5.16 &lt; SOM &lt;= 10.32</v>
      </c>
      <c r="O3" t="s">
        <v>349</v>
      </c>
      <c r="P3" t="s">
        <v>350</v>
      </c>
      <c r="Q3">
        <v>7</v>
      </c>
      <c r="R3" t="str">
        <f>IF(AND(Q3&gt;5.4,Q3&lt;=7.3),"5.5 &lt; pH &lt;= 7.3",
IF(AND(Q3&gt;7.3,Q3&lt;=8.5),"7.3 &lt; pH &lt;= 8.5"))</f>
        <v>5.5 &lt; pH &lt;= 7.3</v>
      </c>
      <c r="S3" t="s">
        <v>351</v>
      </c>
      <c r="T3" s="210">
        <f t="array" ref="T3">_xlfn.SINGLE(INDEX('Focus Data NFertiliser Rate'!$D$4:$P$19,MATCH(F3,'Focus Data NFertiliser Rate'!$C$4:$C$19,0),_xlfn.SINGLE(_xlfn.IFS(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100</v>
      </c>
      <c r="U3" t="str">
        <f t="shared" ref="U3:U66" si="4">IF(T3=0,0,"Apply in solution")</f>
        <v>Apply in solution</v>
      </c>
      <c r="V3" s="210">
        <f t="array" ref="V3">_xlfn.SINGLE(INDEX('№ Fertiliser sprayings'!$D$4:$P$19,MATCH(F3,'№ Fertiliser sprayings'!$C$4:$C$19,0),_xlfn.SINGLE(_xlfn.IFS(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2</v>
      </c>
      <c r="W3" s="264">
        <f t="array" ref="W3">_xlfn.SINGLE(INDEX('Focus Data CFT NSpraying'!$D$4:$P$19,MATCH(F3,'Focus Data CFT NSpraying'!$C$4:$C$19,0),_xlfn.SINGLE(_xlfn.IFS(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3.024</v>
      </c>
      <c r="X3" t="s">
        <v>363</v>
      </c>
      <c r="Y3">
        <v>0</v>
      </c>
      <c r="Z3">
        <v>100</v>
      </c>
      <c r="AA3" t="s">
        <v>352</v>
      </c>
      <c r="AB3" s="226" t="str">
        <f>IF(B3=B2,_xlfn.IFS(
AND(AA3=Lists!$L$8,AA2=Lists!$L$8),Lists!$N$5,
AND(OR(AA3=Lists!$L$5,AA3=Lists!$L$7,AA3=Lists!$L$9,AA3=Lists!$L$10,AA3=Lists!$L$6),OR(AA2=Lists!$L$5,AA2=Lists!$L$7,AA2=Lists!$L$9,AA2=Lists!$L$10,AA2=Lists!$L$6)),Lists!$N$5,
AND(AA3=Lists!$L$8,OR(AA2=Lists!$L$5,AA2=Lists!$L$7,AA2=Lists!$L$9,AA2=Lists!$L$10,AA2=Lists!$L$6)),Lists!$N$6,
AND(OR(AA3=Lists!$L$5,AA3=Lists!$L$6,AA3=Lists!$L$7,AA3=Lists!$L$9,AA3=Lists!$L$10),AA2=Lists!$L$8),Lists!$N$7),
_xlfn.IFS(
AND(AA3=Lists!$L$8,AA8=Lists!$L$8),Lists!$N$5,
AND(OR(AA3=Lists!$L$5,AA3=Lists!$L$7,AA3=Lists!$L$9,AA3=Lists!$L$10,AA3=Lists!$L$6),OR(AA8=Lists!$L$5,AA8=Lists!$L$7,AA8=Lists!$L$9,AA8=Lists!$L$10,AA8=Lists!$L$6)),Lists!$N$5,
AND(AA3=Lists!$L$8,OR(AA8=Lists!$L$5,AA8=Lists!$L$7,AA8=Lists!$L$9,AA8=Lists!$L$10,AA8=Lists!$L$6)),Lists!$N$6,
AND(OR(AA3=Lists!$L$5,AA3=Lists!$L$7,AA3=Lists!$L$9,AA3=Lists!$L$10),AA8=Lists!$L$8),Lists!$N$7))</f>
        <v>no change</v>
      </c>
      <c r="AC3">
        <v>0</v>
      </c>
      <c r="AD3">
        <v>0</v>
      </c>
      <c r="AE3" s="102">
        <f t="array" ref="AE3">IF(OR(ISNUMBER(SEARCH("heavy",A3))=TRUE, ISNUMBER(SEARCH("medium",A3))=TRUE),
(LEN(_xlfn.SINGLE(
INDEX('Focus Data Tillage by farm'!$D$4:$P$9,MATCH(D3,'Focus Data Tillage by farm'!$C$4:$C$9,0),_xlfn.SINGLE(_xlfn.IFS(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-LEN(SUBSTITUTE(_xlfn.SINGLE(
INDEX('Focus Data Tillage by farm'!$D$4:$P$9,MATCH(D3,'Focus Data Tillage by farm'!$C$4:$C$9,0),_xlfn.SINGLE(_xlfn.IFS(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"disc","")))/LEN("disc"),
(LEN(_xlfn.SINGLE(
INDEX('Focus Data Tillage by farm'!$D$12:$P$17,MATCH(D3,'Focus Data Tillage by farm'!$C$12:$C$17,0),_xlfn.SINGLE(_xlfn.IFS(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-LEN(SUBSTITUTE(_xlfn.SINGLE(
INDEX('Focus Data Tillage by farm'!$D$12:$P$17,MATCH(D3,'Focus Data Tillage by farm'!$C$12:$C$17,0),_xlfn.SINGLE(_xlfn.IFS(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"disc","")))/LEN("disc"))</f>
        <v>2</v>
      </c>
      <c r="AF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"field cultivator","")))/LEN("field cultivator"),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"field cultivator","")))/LEN("field cultivator"))</f>
        <v>0</v>
      </c>
      <c r="AG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"grain drill","")))/LEN("grain drill"),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"grain drill","")))/LEN("grain drill"))</f>
        <v>0</v>
      </c>
      <c r="AH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"minimum tillage","")))/LEN("minimum tillage"),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"minimum tillage","")))/LEN("minimum tillage"))</f>
        <v>1</v>
      </c>
      <c r="AI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"row crop planter","")))/LEN("row crop planter"),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"row crop planter","")))/LEN("row crop planter"))</f>
        <v>0</v>
      </c>
      <c r="AJ3" s="102">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"plough","")))/LEN("plough"),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"plough","")))/LEN("plough"))</f>
        <v>0</v>
      </c>
      <c r="AK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harrow","")))/LEN("roller harrow"),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harrow","")))/LEN("roller harrow"))</f>
        <v>0</v>
      </c>
      <c r="AL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packer","")))/LEN("roller packer"),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"roller packer","")))/LEN("roller packer"))</f>
        <v>2</v>
      </c>
      <c r="AM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"rotary hoe","")))/LEN("rotary hoe"),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"rotary hoe","")))/LEN("rotary hoe"))</f>
        <v>0</v>
      </c>
      <c r="AN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"subsoil","")))/LEN("subsoil"),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"subsoil","")))/LEN("subsoil"))</f>
        <v>0</v>
      </c>
      <c r="AO3">
        <f>IF(OR(ISNUMBER(SEARCH("heavy",A3))=TRUE, ISNUMBER(SEARCH("medium",A3))=TRUE),
(LEN(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farm'!$D$4:$P$9,MATCH(D3,'Focus Data Tillage by farm'!$C$4:$C$9,0),_xlfn.IFS(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"tine harrow","")))/LEN("tine harrow"),
(LEN(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-LEN(SUBSTITUTE(
INDEX('Focus Data Tillage by farm'!$D$12:$P$17,MATCH(D3,'Focus Data Tillage by farm'!$C$12:$C$17,0),_xlfn.IFS(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
"tine harrow","")))/LEN("tine harrow"))</f>
        <v>0</v>
      </c>
      <c r="AP3" s="102">
        <f>INDEX('Focus Data NSpraying'!$D$4:$P$19,MATCH(F3,'Focus Data NSpraying'!$C$4:$C$19,0),_xlfn.IFS(
AND(ISNUMBER(SEARCH("H-Dsty.",A3))=TRUE,ISNUMBER(SEARCH("H-Res",A3))=TRUE,ISNUMBER(SEARCH("E.",A3))=TRUE),1,
AND(ISNUMBER(SEARCH("H-Dsty.",A3))=TRUE,ISNUMBER(SEARCH("H-Res",A3))=TRUE,OR(ISNUMBER(SEARCH("N.he",A3))=TRUE,ISNUMBER(SEARCH("N.me",A3))=TRUE,ISNUMBER(SEARCH("N.li",A3))=TRUE)),2,
AND(ISNUMBER(SEARCH("H-Dsty.",A3))=TRUE,ISNUMBER(SEARCH("H-Res",A3))=TRUE,ISNUMBER(SEARCH("C.",A3))=TRUE),3,
AND(ISNUMBER(SEARCH("L-Dsty.",A3))=TRUE,ISNUMBER(SEARCH("H-Res",A3))=TRUE,ISNUMBER(SEARCH("E.",A3))=TRUE),6,
AND(ISNUMBER(SEARCH("L-Dsty.",A3))=TRUE,ISNUMBER(SEARCH("H-Res",A3))=TRUE,OR(ISNUMBER(SEARCH("N.he",A3))=TRUE,ISNUMBER(SEARCH("N.me",A3))=TRUE,ISNUMBER(SEARCH("N.li",A3))=TRUE)),7,
AND(ISNUMBER(SEARCH("L-Dsty.",A3))=TRUE,ISNUMBER(SEARCH("H-Res",A3))=TRUE,ISNUMBER(SEARCH("C.",A3))=TRUE),8,
AND(ISNUMBER(SEARCH("L-Dsty.",A3))=TRUE,ISNUMBER(SEARCH("L-Res",A3))=TRUE,ISNUMBER(SEARCH("E.",A3))=TRUE),11,
AND(ISNUMBER(SEARCH("L-Dsty.",A3))=TRUE,ISNUMBER(SEARCH("L-Res",A3))=TRUE,OR(ISNUMBER(SEARCH("N.he",A3))=TRUE,ISNUMBER(SEARCH("N.me",A3))=TRUE,ISNUMBER(SEARCH("N.li",A3))=TRUE)),12,
AND(ISNUMBER(SEARCH("L-Dsty.",A3))=TRUE,ISNUMBER(SEARCH("L-Res",A3))=TRUE,ISNUMBER(SEARCH("C.",A3))=TRUE),13))</f>
        <v>3</v>
      </c>
    </row>
    <row r="4" spans="1:42" x14ac:dyDescent="0.2">
      <c r="A4" t="s">
        <v>482</v>
      </c>
      <c r="B4" s="210" t="str">
        <f t="array" ref="B4">INDEX(ECOMOD_input_estimate!$A$2:$A$55, MATCH(CFT_input!$A4, ECOMOD_input_estimate!$B:$B, 0))</f>
        <v>FF_01.2</v>
      </c>
      <c r="C4" s="210">
        <v>2020</v>
      </c>
      <c r="D4" s="395" t="s">
        <v>1694</v>
      </c>
      <c r="E4" s="210" t="str">
        <f t="shared" si="0"/>
        <v>N.heavy.H-Dsty.H-Res</v>
      </c>
      <c r="F4" s="210" t="str">
        <f t="array" ref="F4">_xlfn.SINGLE(IF(OR(ISNUMBER(SEARCH("heavy",A4))=TRUE,ISNUMBER(SEARCH("medium",A4))=TRUE),
INDEX('Focus Data Crop Rotations'!$D$4:$P$9,MATCH(D4,'Focus Data Crop Rotations'!$C$4:$C$9,0),_xlfn.SINGLE(_xlfn.IFS(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INDEX('Focus Data Crop Rotations'!$D$12:$P$17,MATCH(D4,'Focus Data Crop Rotations'!$C$12:$C$17,0),_xlfn.SINGLE(_xlfn.IFS(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springbarley</v>
      </c>
      <c r="G4">
        <v>7.2</v>
      </c>
      <c r="H4" s="227">
        <f>VLOOKUP(F4,'CFT Specific Data'!$F$4:$H$19,3,FALSE)*G4*
IF(B4=B3,
IF(AND(ISNUMBER(SEARCH("wheat",F4))=TRUE,ISNUMBER(SEARCH("Barley",F3))=TRUE),0.89,
IF(AND(ISNUMBER(SEARCH("wheat",F4))=TRUE,F3="setaside"),0.94,
IF(AND(ISNUMBER(SEARCH("barley",F4))=TRUE,ISNUMBER(SEARCH("wheat",F3))=TRUE),0.89,
IF(AND(F4="winterbarley",F3="setaside"),0.94,
IF(AND(F4="sugarbeet",F3="warepotatoes"),0.95,
IF(AND((OR(ISNUMBER(SEARCH("beans",F4)),ISNUMBER(SEARCH("driedpeas",F4)),ISNUMBER(SEARCH("sugarbeet",F4)))=TRUE),ISNUMBER(SEARCH("osr",F3))=TRUE),0,
IF(AND((OR((ISNUMBER(SEARCH("wheat",F4))),ISNUMBER(SEARCH("linseed",F4)),ISNUMBER(SEARCH("driedpeas",F4)),ISNUMBER(SEARCH("osr",F4)))=TRUE),F3="sugarbeet"),0,
IF(AND((OR((ISNUMBER(SEARCH("osr",F4))),ISNUMBER(SEARCH("linseed",F4)))=TRUE),ISNUMBER(SEARCH("beans",F3))=TRUE),0,
IF(AND(F4="wosr",ISNUMBER(SEARCH("linseed",F3))=TRUE),0,
IF(AND(F4="sugarbeet",F3="warepotatoes"),0,
1)))))))))),
IF(AND(ISNUMBER(SEARCH("wheat",F4))=TRUE,ISNUMBER(SEARCH("Barley",F9))=TRUE),0.89,
IF(AND(ISNUMBER(SEARCH("wheat",F4))=TRUE,F9="setaside"),0.94,
IF(AND(ISNUMBER(SEARCH("barley",F4))=TRUE,ISNUMBER(SEARCH("wheat",F9))=TRUE),0.89,
IF(AND(F4="winterbarley",F9="setaside"),0.94,
IF(AND(F4="sugarbeet",F9="warepotatoes"),0.95,
IF(AND((OR(ISNUMBER(SEARCH("beans",F4)),ISNUMBER(SEARCH("driedpeas",F4)),ISNUMBER(SEARCH("sugarbeet",F4)))=TRUE),ISNUMBER(SEARCH("osr",F9))=TRUE),0,
IF(AND((OR((ISNUMBER(SEARCH("wheat",F4))),ISNUMBER(SEARCH("linseed",F4)),ISNUMBER(SEARCH("driedpeas",F4)),ISNUMBER(SEARCH("osr",F4)))=TRUE),F9="sugarbeet"),0,
IF(AND((OR((ISNUMBER(SEARCH("osr",F4))),ISNUMBER(SEARCH("linseed",F4)))=TRUE),ISNUMBER(SEARCH("beans",F9))=TRUE),0,
IF(AND(F4="wosr",ISNUMBER(SEARCH("linseed",F9))=TRUE),0,
IF(AND(F4="sugarbeet",F9="warepotatoes"),0,
1)))))))))))
*IF(OR(ISNUMBER(SEARCH("wheat",F4)),ISNUMBER(SEARCH("barley",F4)),ISNUMBER(SEARCH("driedpeas",F4)),ISNUMBER(SEARCH("warepotatoes",F4)),ISNUMBER(SEARCH("osr",F4)),ISNUMBER(SEARCH("linseed",F4)),ISNUMBER(SEARCH("sugarbeet",F4))),
IF(COUNTIF(B1:B3,B4)=5,
INDEX('CFT Specific Data'!$G$24:$L$39,MATCH(F4,'CFT Specific Data'!$F$24:$F$39,0),IF(COUNTIF(F1:F3,F4)=5,6,IF(COUNTIF(F1:F3,F4)=4,5,IF(COUNTIF(F1:F3,F4)=3,4,IF(COUNTIF(F2:F3,F4)=2,3,IF(F3=F4,2,1)))))),
IF(COUNTIF(B1:B3,B4)=4,
INDEX('CFT Specific Data'!$G$24:$L$39,MATCH(F4,'CFT Specific Data'!$F$24:$F$39,0),IF(SUM(COUNTIF(F1:F3,F4),COUNTIF(F5,F4))=5,6,IF(COUNTIF(F1:F3,F4)=4,5,IF(COUNTIF(F1:F3,F4)=3,4,IF(COUNTIF(F2:F3,F4)=2,3,IF(F3=F4,2,1)))))),
IF(COUNTIF(B1:B3,B4)=3,
INDEX('CFT Specific Data'!$G$24:$L$39,MATCH(F4,'CFT Specific Data'!$F$24:$F$39,0),IF(SUM(COUNTIF(F1:F3,F4),COUNTIF(F5:F6,F4))=5,6,IF(SUM(COUNTIF(F1:F3,F4),COUNTIF(F6,F4))=4,5,IF(COUNTIF(F1:F3,F4)=3,4,IF(COUNTIF(F2:F3,F4)=2,3,IF(F3=F4,2,1)))))),
IF(COUNTIF(B1:B3,B4)=2,
INDEX('CFT Specific Data'!$G$24:$L$39,MATCH(F4,'CFT Specific Data'!$F$24:$F$39,0),IF(SUM(COUNTIF(F2:F3,F4),COUNTIF(F5:F7,F4))=5,6,IF(SUM(COUNTIF(F2:F3,F4),COUNTIF(F6:F7,F4))=4,5,IF(SUM(COUNTIF(F2:F3,F4),COUNTIF(F7,F4))=3,4,IF(COUNTIF(F2:F3,F4)=2,3,IF(F3=F4,2,1)))))),
IF(COUNTIF(B1:B3,B4)=1,
INDEX('CFT Specific Data'!$G$24:$L$39,MATCH(F4,'CFT Specific Data'!$F$24:$F$39,0),IF(SUM(COUNTIF(F3,F4),COUNTIF(F5:F8,F4))=5,6,IF(SUM(COUNTIF(F3,F4),COUNTIF(F6:F8,F4))=4,5,IF(SUM(COUNTIF(F3,F4),COUNTIF(F7:F8,F4))=3,4,IF(SUM(COUNTIF(F3,F4),COUNTIF(F8,F4))=2,3,IF(F3=F4,2,1)))))),
IF(COUNTIF(B1:B3,B4)=0,
INDEX('CFT Specific Data'!$G$24:$L$39,MATCH(F4,'CFT Specific Data'!$F$24:$F$39,0),IF(COUNTIF(F5:F9,F4)=5,6,IF(COUNTIF(F6:F9,F4)=4,5,IF(COUNTIF(F7:F9,F4)=3,4,IF(COUNTIF(F8:F9,F4)=2,3,IF(F9=F4,2,1)))))))))))),1)</f>
        <v>41.04</v>
      </c>
      <c r="I4" s="210" t="s">
        <v>348</v>
      </c>
      <c r="J4">
        <v>10</v>
      </c>
      <c r="K4" s="210" t="str">
        <f>VLOOKUP(F4,'CFT Specific Data'!$F$4:$G$19,2,FALSE)</f>
        <v>Barley</v>
      </c>
      <c r="L4" t="str">
        <f t="shared" si="1"/>
        <v>Fine</v>
      </c>
      <c r="M4">
        <f t="shared" si="2"/>
        <v>5.8479999999999999</v>
      </c>
      <c r="N4" t="str">
        <f t="shared" si="3"/>
        <v>5.16 &lt; SOM &lt;= 10.32</v>
      </c>
      <c r="O4" t="s">
        <v>349</v>
      </c>
      <c r="P4" t="s">
        <v>350</v>
      </c>
      <c r="Q4">
        <v>7</v>
      </c>
      <c r="R4" t="str">
        <f t="shared" ref="R4:R57" si="5">IF(AND(Q4&gt;5.4,Q4&lt;=7.3),"5.5 &lt; pH &lt;= 7.3",
IF(AND(Q4&gt;7.3,Q4&lt;=8.5),"7.3 &lt; pH &lt;= 8.5"))</f>
        <v>5.5 &lt; pH &lt;= 7.3</v>
      </c>
      <c r="S4" t="s">
        <v>351</v>
      </c>
      <c r="T4" s="210">
        <f t="array" ref="T4">_xlfn.SINGLE(INDEX('Focus Data NFertiliser Rate'!$D$4:$P$19,MATCH(F4,'Focus Data NFertiliser Rate'!$C$4:$C$19,0),_xlfn.SINGLE(_xlfn.IFS(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110</v>
      </c>
      <c r="U4" t="str">
        <f t="shared" si="4"/>
        <v>Apply in solution</v>
      </c>
      <c r="V4" s="210">
        <f t="array" ref="V4">_xlfn.SINGLE(INDEX('№ Fertiliser sprayings'!$D$4:$P$19,MATCH(F4,'№ Fertiliser sprayings'!$C$4:$C$19,0),_xlfn.SINGLE(_xlfn.IFS(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1</v>
      </c>
      <c r="W4" s="264">
        <f t="array" ref="W4">_xlfn.SINGLE(INDEX('Focus Data CFT NSpraying'!$D$4:$P$19,MATCH(F4,'Focus Data CFT NSpraying'!$C$4:$C$19,0),_xlfn.SINGLE(_xlfn.IFS(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7.6639999999999997</v>
      </c>
      <c r="X4" t="s">
        <v>363</v>
      </c>
      <c r="Y4">
        <v>0</v>
      </c>
      <c r="Z4">
        <v>100</v>
      </c>
      <c r="AA4" t="s">
        <v>352</v>
      </c>
      <c r="AB4" s="226" t="str">
        <f>IF(B4=B3,_xlfn.IFS(
AND(AA4=Lists!$L$8,AA3=Lists!$L$8),Lists!$N$5,
AND(OR(AA4=Lists!$L$5,AA4=Lists!$L$7,AA4=Lists!$L$9,AA4=Lists!$L$10,AA4=Lists!$L$6),OR(AA3=Lists!$L$5,AA3=Lists!$L$7,AA3=Lists!$L$9,AA3=Lists!$L$10,AA3=Lists!$L$6)),Lists!$N$5,
AND(AA4=Lists!$L$8,OR(AA3=Lists!$L$5,AA3=Lists!$L$7,AA3=Lists!$L$9,AA3=Lists!$L$10,AA3=Lists!$L$6)),Lists!$N$6,
AND(OR(AA4=Lists!$L$5,AA4=Lists!$L$6,AA4=Lists!$L$7,AA4=Lists!$L$9,AA4=Lists!$L$10),AA3=Lists!$L$8),Lists!$N$7),
_xlfn.IFS(
AND(AA4=Lists!$L$8,AA9=Lists!$L$8),Lists!$N$5,
AND(OR(AA4=Lists!$L$5,AA4=Lists!$L$7,AA4=Lists!$L$9,AA4=Lists!$L$10,AA4=Lists!$L$6),OR(AA9=Lists!$L$5,AA9=Lists!$L$7,AA9=Lists!$L$9,AA9=Lists!$L$10,AA9=Lists!$L$6)),Lists!$N$5,
AND(AA4=Lists!$L$8,OR(AA9=Lists!$L$5,AA9=Lists!$L$7,AA9=Lists!$L$9,AA9=Lists!$L$10,AA9=Lists!$L$6)),Lists!$N$6,
AND(OR(AA4=Lists!$L$5,AA4=Lists!$L$7,AA4=Lists!$L$9,AA4=Lists!$L$10),AA9=Lists!$L$8),Lists!$N$7))</f>
        <v>no change</v>
      </c>
      <c r="AC4">
        <v>0</v>
      </c>
      <c r="AD4">
        <v>0</v>
      </c>
      <c r="AE4" s="102">
        <f t="array" ref="AE4">IF(OR(ISNUMBER(SEARCH("heavy",A4))=TRUE, ISNUMBER(SEARCH("medium",A4))=TRUE),
(LEN(_xlfn.SINGLE(
INDEX('Focus Data Tillage by farm'!$D$4:$P$9,MATCH(D4,'Focus Data Tillage by farm'!$C$4:$C$9,0),_xlfn.SINGLE(_xlfn.IFS(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-LEN(SUBSTITUTE(_xlfn.SINGLE(
INDEX('Focus Data Tillage by farm'!$D$4:$P$9,MATCH(D4,'Focus Data Tillage by farm'!$C$4:$C$9,0),_xlfn.SINGLE(_xlfn.IFS(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"disc","")))/LEN("disc"),
(LEN(_xlfn.SINGLE(
INDEX('Focus Data Tillage by farm'!$D$12:$P$17,MATCH(D4,'Focus Data Tillage by farm'!$C$12:$C$17,0),_xlfn.SINGLE(_xlfn.IFS(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-LEN(SUBSTITUTE(_xlfn.SINGLE(
INDEX('Focus Data Tillage by farm'!$D$12:$P$17,MATCH(D4,'Focus Data Tillage by farm'!$C$12:$C$17,0),_xlfn.SINGLE(_xlfn.IFS(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"disc","")))/LEN("disc"))</f>
        <v>2</v>
      </c>
      <c r="AF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"field cultivator","")))/LEN("field cultivator"),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"field cultivator","")))/LEN("field cultivator"))</f>
        <v>0</v>
      </c>
      <c r="AG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"grain drill","")))/LEN("grain drill"),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"grain drill","")))/LEN("grain drill"))</f>
        <v>0</v>
      </c>
      <c r="AH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"minimum tillage","")))/LEN("minimum tillage"),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"minimum tillage","")))/LEN("minimum tillage"))</f>
        <v>1</v>
      </c>
      <c r="AI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"row crop planter","")))/LEN("row crop planter"),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"row crop planter","")))/LEN("row crop planter"))</f>
        <v>0</v>
      </c>
      <c r="AJ4" s="102">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"plough","")))/LEN("plough"),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"plough","")))/LEN("plough"))</f>
        <v>0</v>
      </c>
      <c r="AK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harrow","")))/LEN("roller harrow"),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harrow","")))/LEN("roller harrow"))</f>
        <v>0</v>
      </c>
      <c r="AL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packer","")))/LEN("roller packer"),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"roller packer","")))/LEN("roller packer"))</f>
        <v>2</v>
      </c>
      <c r="AM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"rotary hoe","")))/LEN("rotary hoe"),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"rotary hoe","")))/LEN("rotary hoe"))</f>
        <v>0</v>
      </c>
      <c r="AN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"subsoil","")))/LEN("subsoil"),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"subsoil","")))/LEN("subsoil"))</f>
        <v>0</v>
      </c>
      <c r="AO4">
        <f>IF(OR(ISNUMBER(SEARCH("heavy",A4))=TRUE, ISNUMBER(SEARCH("medium",A4))=TRUE),
(LEN(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farm'!$D$4:$P$9,MATCH(D4,'Focus Data Tillage by farm'!$C$4:$C$9,0),_xlfn.IFS(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"tine harrow","")))/LEN("tine harrow"),
(LEN(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-LEN(SUBSTITUTE(
INDEX('Focus Data Tillage by farm'!$D$12:$P$17,MATCH(D4,'Focus Data Tillage by farm'!$C$12:$C$17,0),_xlfn.IFS(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
"tine harrow","")))/LEN("tine harrow"))</f>
        <v>0</v>
      </c>
      <c r="AP4" s="102">
        <f>INDEX('Focus Data NSpraying'!$D$4:$P$19,MATCH(F4,'Focus Data NSpraying'!$C$4:$C$19,0),_xlfn.IFS(
AND(ISNUMBER(SEARCH("H-Dsty.",A4))=TRUE,ISNUMBER(SEARCH("H-Res",A4))=TRUE,ISNUMBER(SEARCH("E.",A4))=TRUE),1,
AND(ISNUMBER(SEARCH("H-Dsty.",A4))=TRUE,ISNUMBER(SEARCH("H-Res",A4))=TRUE,OR(ISNUMBER(SEARCH("N.he",A4))=TRUE,ISNUMBER(SEARCH("N.me",A4))=TRUE,ISNUMBER(SEARCH("N.li",A4))=TRUE)),2,
AND(ISNUMBER(SEARCH("H-Dsty.",A4))=TRUE,ISNUMBER(SEARCH("H-Res",A4))=TRUE,ISNUMBER(SEARCH("C.",A4))=TRUE),3,
AND(ISNUMBER(SEARCH("L-Dsty.",A4))=TRUE,ISNUMBER(SEARCH("H-Res",A4))=TRUE,ISNUMBER(SEARCH("E.",A4))=TRUE),6,
AND(ISNUMBER(SEARCH("L-Dsty.",A4))=TRUE,ISNUMBER(SEARCH("H-Res",A4))=TRUE,OR(ISNUMBER(SEARCH("N.he",A4))=TRUE,ISNUMBER(SEARCH("N.me",A4))=TRUE,ISNUMBER(SEARCH("N.li",A4))=TRUE)),7,
AND(ISNUMBER(SEARCH("L-Dsty.",A4))=TRUE,ISNUMBER(SEARCH("H-Res",A4))=TRUE,ISNUMBER(SEARCH("C.",A4))=TRUE),8,
AND(ISNUMBER(SEARCH("L-Dsty.",A4))=TRUE,ISNUMBER(SEARCH("L-Res",A4))=TRUE,ISNUMBER(SEARCH("E.",A4))=TRUE),11,
AND(ISNUMBER(SEARCH("L-Dsty.",A4))=TRUE,ISNUMBER(SEARCH("L-Res",A4))=TRUE,OR(ISNUMBER(SEARCH("N.he",A4))=TRUE,ISNUMBER(SEARCH("N.me",A4))=TRUE,ISNUMBER(SEARCH("N.li",A4))=TRUE)),12,
AND(ISNUMBER(SEARCH("L-Dsty.",A4))=TRUE,ISNUMBER(SEARCH("L-Res",A4))=TRUE,ISNUMBER(SEARCH("C.",A4))=TRUE),13))</f>
        <v>5</v>
      </c>
    </row>
    <row r="5" spans="1:42" x14ac:dyDescent="0.2">
      <c r="A5" t="s">
        <v>482</v>
      </c>
      <c r="B5" s="210" t="str">
        <f t="array" ref="B5">INDEX(ECOMOD_input_estimate!$A$2:$A$55, MATCH(CFT_input!$A5, ECOMOD_input_estimate!$B:$B, 0))</f>
        <v>FF_01.2</v>
      </c>
      <c r="C5" s="210">
        <v>2020</v>
      </c>
      <c r="D5" s="395" t="s">
        <v>1695</v>
      </c>
      <c r="E5" s="210" t="str">
        <f t="shared" si="0"/>
        <v>N.heavy.H-Dsty.H-Res</v>
      </c>
      <c r="F5" s="210" t="str">
        <f t="array" ref="F5">_xlfn.SINGLE(IF(OR(ISNUMBER(SEARCH("heavy",A5))=TRUE,ISNUMBER(SEARCH("medium",A5))=TRUE),
INDEX('Focus Data Crop Rotations'!$D$4:$P$9,MATCH(D5,'Focus Data Crop Rotations'!$C$4:$C$9,0),_xlfn.SINGLE(_xlfn.IFS(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INDEX('Focus Data Crop Rotations'!$D$12:$P$17,MATCH(D5,'Focus Data Crop Rotations'!$C$12:$C$17,0),_xlfn.SINGLE(_xlfn.IFS(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winterwheat</v>
      </c>
      <c r="G5">
        <v>7.2</v>
      </c>
      <c r="H5" s="227">
        <f>VLOOKUP(F5,'CFT Specific Data'!$F$4:$H$19,3,FALSE)*G5*
IF(B5=B4,
IF(AND(ISNUMBER(SEARCH("wheat",F5))=TRUE,ISNUMBER(SEARCH("Barley",F4))=TRUE),0.89,
IF(AND(ISNUMBER(SEARCH("wheat",F5))=TRUE,F4="setaside"),0.94,
IF(AND(ISNUMBER(SEARCH("barley",F5))=TRUE,ISNUMBER(SEARCH("wheat",F4))=TRUE),0.89,
IF(AND(F5="winterbarley",F4="setaside"),0.94,
IF(AND(F5="sugarbeet",F4="warepotatoes"),0.95,
IF(AND((OR(ISNUMBER(SEARCH("beans",F5)),ISNUMBER(SEARCH("driedpeas",F5)),ISNUMBER(SEARCH("sugarbeet",F5)))=TRUE),ISNUMBER(SEARCH("osr",F4))=TRUE),0,
IF(AND((OR((ISNUMBER(SEARCH("wheat",F5))),ISNUMBER(SEARCH("linseed",F5)),ISNUMBER(SEARCH("driedpeas",F5)),ISNUMBER(SEARCH("osr",F5)))=TRUE),F4="sugarbeet"),0,
IF(AND((OR((ISNUMBER(SEARCH("osr",F5))),ISNUMBER(SEARCH("linseed",F5)))=TRUE),ISNUMBER(SEARCH("beans",F4))=TRUE),0,
IF(AND(F5="wosr",ISNUMBER(SEARCH("linseed",F4))=TRUE),0,
IF(AND(F5="sugarbeet",F4="warepotatoes"),0,
1)))))))))),
IF(AND(ISNUMBER(SEARCH("wheat",F5))=TRUE,ISNUMBER(SEARCH("Barley",F10))=TRUE),0.89,
IF(AND(ISNUMBER(SEARCH("wheat",F5))=TRUE,F10="setaside"),0.94,
IF(AND(ISNUMBER(SEARCH("barley",F5))=TRUE,ISNUMBER(SEARCH("wheat",F10))=TRUE),0.89,
IF(AND(F5="winterbarley",F10="setaside"),0.94,
IF(AND(F5="sugarbeet",F10="warepotatoes"),0.95,
IF(AND((OR(ISNUMBER(SEARCH("beans",F5)),ISNUMBER(SEARCH("driedpeas",F5)),ISNUMBER(SEARCH("sugarbeet",F5)))=TRUE),ISNUMBER(SEARCH("osr",F10))=TRUE),0,
IF(AND((OR((ISNUMBER(SEARCH("wheat",F5))),ISNUMBER(SEARCH("linseed",F5)),ISNUMBER(SEARCH("driedpeas",F5)),ISNUMBER(SEARCH("osr",F5)))=TRUE),F10="sugarbeet"),0,
IF(AND((OR((ISNUMBER(SEARCH("osr",F5))),ISNUMBER(SEARCH("linseed",F5)))=TRUE),ISNUMBER(SEARCH("beans",F10))=TRUE),0,
IF(AND(F5="wosr",ISNUMBER(SEARCH("linseed",F10))=TRUE),0,
IF(AND(F5="sugarbeet",F10="warepotatoes"),0,
1)))))))))))
*IF(OR(ISNUMBER(SEARCH("wheat",F5)),ISNUMBER(SEARCH("barley",F5)),ISNUMBER(SEARCH("driedpeas",F5)),ISNUMBER(SEARCH("warepotatoes",F5)),ISNUMBER(SEARCH("osr",F5)),ISNUMBER(SEARCH("linseed",F5)),ISNUMBER(SEARCH("sugarbeet",F5))),
IF(COUNTIF(B1:B4,B5)=5,
INDEX('CFT Specific Data'!$G$24:$L$39,MATCH(F5,'CFT Specific Data'!$F$24:$F$39,0),IF(COUNTIF(F1:F4,F5)=5,6,IF(COUNTIF(F1:F4,F5)=4,5,IF(COUNTIF(F2:F4,F5)=3,4,IF(COUNTIF(F3:F4,F5)=2,3,IF(F4=F5,2,1)))))),
IF(COUNTIF(B1:B4,B5)=4,
INDEX('CFT Specific Data'!$G$24:$L$39,MATCH(F5,'CFT Specific Data'!$F$24:$F$39,0),IF(SUM(COUNTIF(F1:F4,F5),COUNTIF(F6,F5))=5,6,IF(COUNTIF(F1:F4,F5)=4,5,IF(COUNTIF(F2:F4,F5)=3,4,IF(COUNTIF(F3:F4,F5)=2,3,IF(F4=F5,2,1)))))),
IF(COUNTIF(B1:B4,B5)=3,
INDEX('CFT Specific Data'!$G$24:$L$39,MATCH(F5,'CFT Specific Data'!$F$24:$F$39,0),IF(SUM(COUNTIF(F2:F4,F5),COUNTIF(F6:F7,F5))=5,6,IF(SUM(COUNTIF(F2:F4,F5),COUNTIF(F7,F5))=4,5,IF(COUNTIF(F2:F4,F5)=3,4,IF(COUNTIF(F3:F4,F5)=2,3,IF(F4=F5,2,1)))))),
IF(COUNTIF(B1:B4,B5)=2,
INDEX('CFT Specific Data'!$G$24:$L$39,MATCH(F5,'CFT Specific Data'!$F$24:$F$39,0),IF(SUM(COUNTIF(F3:F4,F5),COUNTIF(F6:F8,F5))=5,6,IF(SUM(COUNTIF(F3:F4,F5),COUNTIF(F7:F8,F5))=4,5,IF(SUM(COUNTIF(F3:F4,F5),COUNTIF(F8,F5))=3,4,IF(COUNTIF(F3:F4,F5)=2,3,IF(F4=F5,2,1)))))),
IF(COUNTIF(B1:B4,B5)=1,
INDEX('CFT Specific Data'!$G$24:$L$39,MATCH(F5,'CFT Specific Data'!$F$24:$F$39,0),IF(SUM(COUNTIF(F4,F5),COUNTIF(F6:F9,F5))=5,6,IF(SUM(COUNTIF(F4,F5),COUNTIF(F7:F9,F5))=4,5,IF(SUM(COUNTIF(F4,F5),COUNTIF(F8:F9,F5))=3,4,IF(SUM(COUNTIF(F4,F5),COUNTIF(F9,F5))=2,3,IF(F4=F5,2,1)))))),
IF(COUNTIF(B1:B4,B5)=0,
INDEX('CFT Specific Data'!$G$24:$L$39,MATCH(F5,'CFT Specific Data'!$F$24:$F$39,0),IF(COUNTIF(F6:F10,F5)=5,6,IF(COUNTIF(F7:F10,F5)=4,5,IF(COUNTIF(F8:F10,F5)=3,4,IF(COUNTIF(F9:F10,F5)=2,3,IF(F10=F5,2,1)))))))))))),1)</f>
        <v>55.108800000000002</v>
      </c>
      <c r="I5" s="210" t="s">
        <v>348</v>
      </c>
      <c r="J5">
        <v>10</v>
      </c>
      <c r="K5" s="210" t="str">
        <f>VLOOKUP(F5,'CFT Specific Data'!$F$4:$G$19,2,FALSE)</f>
        <v>Winter wheat</v>
      </c>
      <c r="L5" t="str">
        <f t="shared" si="1"/>
        <v>Fine</v>
      </c>
      <c r="M5">
        <f t="shared" si="2"/>
        <v>5.8479999999999999</v>
      </c>
      <c r="N5" t="str">
        <f t="shared" si="3"/>
        <v>5.16 &lt; SOM &lt;= 10.32</v>
      </c>
      <c r="O5" t="s">
        <v>349</v>
      </c>
      <c r="P5" t="s">
        <v>350</v>
      </c>
      <c r="Q5">
        <v>7</v>
      </c>
      <c r="R5" t="str">
        <f t="shared" si="5"/>
        <v>5.5 &lt; pH &lt;= 7.3</v>
      </c>
      <c r="S5" t="s">
        <v>351</v>
      </c>
      <c r="T5" s="210">
        <f t="array" ref="T5">_xlfn.SINGLE(INDEX('Focus Data NFertiliser Rate'!$D$4:$P$19,MATCH(F5,'Focus Data NFertiliser Rate'!$C$4:$C$19,0),_xlfn.SINGLE(_xlfn.IFS(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220</v>
      </c>
      <c r="U5" t="str">
        <f t="shared" si="4"/>
        <v>Apply in solution</v>
      </c>
      <c r="V5" s="210">
        <f t="array" ref="V5">_xlfn.SINGLE(INDEX('№ Fertiliser sprayings'!$D$4:$P$19,MATCH(F5,'№ Fertiliser sprayings'!$C$4:$C$19,0),_xlfn.SINGLE(_xlfn.IFS(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3</v>
      </c>
      <c r="W5" s="264">
        <f t="array" ref="W5">_xlfn.SINGLE(INDEX('Focus Data CFT NSpraying'!$D$4:$P$19,MATCH(F5,'Focus Data CFT NSpraying'!$C$4:$C$19,0),_xlfn.SINGLE(_xlfn.IFS(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9.2639999999999993</v>
      </c>
      <c r="X5" t="s">
        <v>363</v>
      </c>
      <c r="Y5">
        <v>0</v>
      </c>
      <c r="Z5">
        <v>100</v>
      </c>
      <c r="AA5" t="s">
        <v>352</v>
      </c>
      <c r="AB5" s="226" t="str">
        <f>IF(B5=B4,_xlfn.IFS(
AND(AA5=Lists!$L$8,AA4=Lists!$L$8),Lists!$N$5,
AND(OR(AA5=Lists!$L$5,AA5=Lists!$L$7,AA5=Lists!$L$9,AA5=Lists!$L$10,AA5=Lists!$L$6),OR(AA4=Lists!$L$5,AA4=Lists!$L$7,AA4=Lists!$L$9,AA4=Lists!$L$10,AA4=Lists!$L$6)),Lists!$N$5,
AND(AA5=Lists!$L$8,OR(AA4=Lists!$L$5,AA4=Lists!$L$7,AA4=Lists!$L$9,AA4=Lists!$L$10,AA4=Lists!$L$6)),Lists!$N$6,
AND(OR(AA5=Lists!$L$5,AA5=Lists!$L$6,AA5=Lists!$L$7,AA5=Lists!$L$9,AA5=Lists!$L$10),AA4=Lists!$L$8),Lists!$N$7),
_xlfn.IFS(
AND(AA5=Lists!$L$8,AA10=Lists!$L$8),Lists!$N$5,
AND(OR(AA5=Lists!$L$5,AA5=Lists!$L$7,AA5=Lists!$L$9,AA5=Lists!$L$10,AA5=Lists!$L$6),OR(AA10=Lists!$L$5,AA10=Lists!$L$7,AA10=Lists!$L$9,AA10=Lists!$L$10,AA10=Lists!$L$6)),Lists!$N$5,
AND(AA5=Lists!$L$8,OR(AA10=Lists!$L$5,AA10=Lists!$L$7,AA10=Lists!$L$9,AA10=Lists!$L$10,AA10=Lists!$L$6)),Lists!$N$6,
AND(OR(AA5=Lists!$L$5,AA5=Lists!$L$7,AA5=Lists!$L$9,AA5=Lists!$L$10),AA10=Lists!$L$8),Lists!$N$7))</f>
        <v>no change</v>
      </c>
      <c r="AC5">
        <v>0</v>
      </c>
      <c r="AD5">
        <v>0</v>
      </c>
      <c r="AE5" s="102">
        <f t="array" ref="AE5">IF(OR(ISNUMBER(SEARCH("heavy",A5))=TRUE, ISNUMBER(SEARCH("medium",A5))=TRUE),
(LEN(_xlfn.SINGLE(
INDEX('Focus Data Tillage by farm'!$D$4:$P$9,MATCH(D5,'Focus Data Tillage by farm'!$C$4:$C$9,0),_xlfn.SINGLE(_xlfn.IFS(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-LEN(SUBSTITUTE(_xlfn.SINGLE(
INDEX('Focus Data Tillage by farm'!$D$4:$P$9,MATCH(D5,'Focus Data Tillage by farm'!$C$4:$C$9,0),_xlfn.SINGLE(_xlfn.IFS(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"disc","")))/LEN("disc"),
(LEN(_xlfn.SINGLE(
INDEX('Focus Data Tillage by farm'!$D$12:$P$17,MATCH(D5,'Focus Data Tillage by farm'!$C$12:$C$17,0),_xlfn.SINGLE(_xlfn.IFS(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-LEN(SUBSTITUTE(_xlfn.SINGLE(
INDEX('Focus Data Tillage by farm'!$D$12:$P$17,MATCH(D5,'Focus Data Tillage by farm'!$C$12:$C$17,0),_xlfn.SINGLE(_xlfn.IFS(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"disc","")))/LEN("disc"))</f>
        <v>2</v>
      </c>
      <c r="AF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"field cultivator","")))/LEN("field cultivator"),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"field cultivator","")))/LEN("field cultivator"))</f>
        <v>0</v>
      </c>
      <c r="AG5" s="38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"grain drill","")))/LEN("grain drill"),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"grain drill","")))/LEN("grain drill"))</f>
        <v>0</v>
      </c>
      <c r="AH5" s="38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"minimum tillage","")))/LEN("minimum tillage"),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"minimum tillage","")))/LEN("minimum tillage"))</f>
        <v>1</v>
      </c>
      <c r="AI5" s="102">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"row crop planter","")))/LEN("row crop planter"),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"row crop planter","")))/LEN("row crop planter"))</f>
        <v>0</v>
      </c>
      <c r="AJ5" s="102">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"plough","")))/LEN("plough"),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"plough","")))/LEN("plough"))</f>
        <v>0</v>
      </c>
      <c r="AK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harrow","")))/LEN("roller harrow"),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harrow","")))/LEN("roller harrow"))</f>
        <v>0</v>
      </c>
      <c r="AL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packer","")))/LEN("roller packer"),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"roller packer","")))/LEN("roller packer"))</f>
        <v>2</v>
      </c>
      <c r="AM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"rotary hoe","")))/LEN("rotary hoe"),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"rotary hoe","")))/LEN("rotary hoe"))</f>
        <v>0</v>
      </c>
      <c r="AN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"subsoil","")))/LEN("subsoil"),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"subsoil","")))/LEN("subsoil"))</f>
        <v>0</v>
      </c>
      <c r="AO5">
        <f>IF(OR(ISNUMBER(SEARCH("heavy",A5))=TRUE, ISNUMBER(SEARCH("medium",A5))=TRUE),
(LEN(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farm'!$D$4:$P$9,MATCH(D5,'Focus Data Tillage by farm'!$C$4:$C$9,0),_xlfn.IFS(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"tine harrow","")))/LEN("tine harrow"),
(LEN(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-LEN(SUBSTITUTE(
INDEX('Focus Data Tillage by farm'!$D$12:$P$17,MATCH(D5,'Focus Data Tillage by farm'!$C$12:$C$17,0),_xlfn.IFS(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
"tine harrow","")))/LEN("tine harrow"))</f>
        <v>0</v>
      </c>
      <c r="AP5" s="102">
        <f>INDEX('Focus Data NSpraying'!$D$4:$P$19,MATCH(F5,'Focus Data NSpraying'!$C$4:$C$19,0),_xlfn.IFS(
AND(ISNUMBER(SEARCH("H-Dsty.",A5))=TRUE,ISNUMBER(SEARCH("H-Res",A5))=TRUE,ISNUMBER(SEARCH("E.",A5))=TRUE),1,
AND(ISNUMBER(SEARCH("H-Dsty.",A5))=TRUE,ISNUMBER(SEARCH("H-Res",A5))=TRUE,OR(ISNUMBER(SEARCH("N.he",A5))=TRUE,ISNUMBER(SEARCH("N.me",A5))=TRUE,ISNUMBER(SEARCH("N.li",A5))=TRUE)),2,
AND(ISNUMBER(SEARCH("H-Dsty.",A5))=TRUE,ISNUMBER(SEARCH("H-Res",A5))=TRUE,ISNUMBER(SEARCH("C.",A5))=TRUE),3,
AND(ISNUMBER(SEARCH("L-Dsty.",A5))=TRUE,ISNUMBER(SEARCH("H-Res",A5))=TRUE,ISNUMBER(SEARCH("E.",A5))=TRUE),6,
AND(ISNUMBER(SEARCH("L-Dsty.",A5))=TRUE,ISNUMBER(SEARCH("H-Res",A5))=TRUE,OR(ISNUMBER(SEARCH("N.he",A5))=TRUE,ISNUMBER(SEARCH("N.me",A5))=TRUE,ISNUMBER(SEARCH("N.li",A5))=TRUE)),7,
AND(ISNUMBER(SEARCH("L-Dsty.",A5))=TRUE,ISNUMBER(SEARCH("H-Res",A5))=TRUE,ISNUMBER(SEARCH("C.",A5))=TRUE),8,
AND(ISNUMBER(SEARCH("L-Dsty.",A5))=TRUE,ISNUMBER(SEARCH("L-Res",A5))=TRUE,ISNUMBER(SEARCH("E.",A5))=TRUE),11,
AND(ISNUMBER(SEARCH("L-Dsty.",A5))=TRUE,ISNUMBER(SEARCH("L-Res",A5))=TRUE,OR(ISNUMBER(SEARCH("N.he",A5))=TRUE,ISNUMBER(SEARCH("N.me",A5))=TRUE,ISNUMBER(SEARCH("N.li",A5))=TRUE)),12,
AND(ISNUMBER(SEARCH("L-Dsty.",A5))=TRUE,ISNUMBER(SEARCH("L-Res",A5))=TRUE,ISNUMBER(SEARCH("C.",A5))=TRUE),13))</f>
        <v>5</v>
      </c>
    </row>
    <row r="6" spans="1:42" x14ac:dyDescent="0.2">
      <c r="A6" t="s">
        <v>482</v>
      </c>
      <c r="B6" s="210" t="str">
        <f t="array" ref="B6">INDEX(ECOMOD_input_estimate!$A$2:$A$55, MATCH(CFT_input!$A6, ECOMOD_input_estimate!$B:$B, 0))</f>
        <v>FF_01.2</v>
      </c>
      <c r="C6" s="210">
        <v>2020</v>
      </c>
      <c r="D6" s="395" t="s">
        <v>1696</v>
      </c>
      <c r="E6" s="210" t="str">
        <f t="shared" si="0"/>
        <v>N.heavy.H-Dsty.H-Res</v>
      </c>
      <c r="F6" s="210" t="str">
        <f t="array" ref="F6">_xlfn.SINGLE(IF(OR(ISNUMBER(SEARCH("heavy",A6))=TRUE,ISNUMBER(SEARCH("medium",A6))=TRUE),
INDEX('Focus Data Crop Rotations'!$D$4:$P$9,MATCH(D6,'Focus Data Crop Rotations'!$C$4:$C$9,0),_xlfn.SINGLE(_xlfn.IFS(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INDEX('Focus Data Crop Rotations'!$D$12:$P$17,MATCH(D6,'Focus Data Crop Rotations'!$C$12:$C$17,0),_xlfn.SINGLE(_xlfn.IFS(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wosr</v>
      </c>
      <c r="G6">
        <v>7.2</v>
      </c>
      <c r="H6" s="227">
        <f>VLOOKUP(F6,'CFT Specific Data'!$F$4:$H$19,3,FALSE)*G6*
IF(B6=B5,
IF(AND(ISNUMBER(SEARCH("wheat",F6))=TRUE,ISNUMBER(SEARCH("Barley",F5))=TRUE),0.89,
IF(AND(ISNUMBER(SEARCH("wheat",F6))=TRUE,F5="setaside"),0.94,
IF(AND(ISNUMBER(SEARCH("barley",F6))=TRUE,ISNUMBER(SEARCH("wheat",F5))=TRUE),0.89,
IF(AND(F6="winterbarley",F5="setaside"),0.94,
IF(AND(F6="sugarbeet",F5="warepotatoes"),0.95,
IF(AND((OR(ISNUMBER(SEARCH("beans",F6)),ISNUMBER(SEARCH("driedpeas",F6)),ISNUMBER(SEARCH("sugarbeet",F6)))=TRUE),ISNUMBER(SEARCH("osr",F5))=TRUE),0,
IF(AND((OR((ISNUMBER(SEARCH("wheat",F6))),ISNUMBER(SEARCH("linseed",F6)),ISNUMBER(SEARCH("driedpeas",F6)),ISNUMBER(SEARCH("osr",F6)))=TRUE),F5="sugarbeet"),0,
IF(AND((OR((ISNUMBER(SEARCH("osr",F6))),ISNUMBER(SEARCH("linseed",F6)))=TRUE),ISNUMBER(SEARCH("beans",F5))=TRUE),0,
IF(AND(F6="wosr",ISNUMBER(SEARCH("linseed",F5))=TRUE),0,
IF(AND(F6="sugarbeet",F5="warepotatoes"),0,
1)))))))))),
IF(AND(ISNUMBER(SEARCH("wheat",F6))=TRUE,ISNUMBER(SEARCH("Barley",F11))=TRUE),0.89,
IF(AND(ISNUMBER(SEARCH("wheat",F6))=TRUE,F11="setaside"),0.94,
IF(AND(ISNUMBER(SEARCH("barley",F6))=TRUE,ISNUMBER(SEARCH("wheat",F11))=TRUE),0.89,
IF(AND(F6="winterbarley",F11="setaside"),0.94,
IF(AND(F6="sugarbeet",F11="warepotatoes"),0.95,
IF(AND((OR(ISNUMBER(SEARCH("beans",F6)),ISNUMBER(SEARCH("driedpeas",F6)),ISNUMBER(SEARCH("sugarbeet",F6)))=TRUE),ISNUMBER(SEARCH("osr",F11))=TRUE),0,
IF(AND((OR((ISNUMBER(SEARCH("wheat",F6))),ISNUMBER(SEARCH("linseed",F6)),ISNUMBER(SEARCH("driedpeas",F6)),ISNUMBER(SEARCH("osr",F6)))=TRUE),F11="sugarbeet"),0,
IF(AND((OR((ISNUMBER(SEARCH("osr",F6))),ISNUMBER(SEARCH("linseed",F6)))=TRUE),ISNUMBER(SEARCH("beans",F11))=TRUE),0,
IF(AND(F6="wosr",ISNUMBER(SEARCH("linseed",F11))=TRUE),0,
IF(AND(F6="sugarbeet",F11="warepotatoes"),0,
1)))))))))))
*IF(OR(ISNUMBER(SEARCH("wheat",F6)),ISNUMBER(SEARCH("barley",F6)),ISNUMBER(SEARCH("driedpeas",F6)),ISNUMBER(SEARCH("warepotatoes",F6)),ISNUMBER(SEARCH("osr",F6)),ISNUMBER(SEARCH("linseed",F6)),ISNUMBER(SEARCH("sugarbeet",F6))),
IF(COUNTIF(B1:B5,B6)=5,
INDEX('CFT Specific Data'!$G$24:$L$39,MATCH(F6,'CFT Specific Data'!$F$24:$F$39,0),IF(COUNTIF(F1:F5,F6)=5,6,IF(COUNTIF(F2:F5,F6)=4,5,IF(COUNTIF(F3:F5,F6)=3,4,IF(COUNTIF(F4:F5,F6)=2,3,IF(F5=F6,2,1)))))),
IF(COUNTIF(B1:B5,B6)=4,
INDEX('CFT Specific Data'!$G$24:$L$39,MATCH(F6,'CFT Specific Data'!$F$24:$F$39,0),IF(SUM(COUNTIF(F2:F5,F6),COUNTIF(F7,F6))=5,6,IF(COUNTIF(F2:F5,F6)=4,5,IF(COUNTIF(F3:F5,F6)=3,4,IF(COUNTIF(F4:F5,F6)=2,3,IF(F5=F6,2,1)))))),
IF(COUNTIF(B1:B5,B6)=3,
INDEX('CFT Specific Data'!$G$24:$L$39,MATCH(F6,'CFT Specific Data'!$F$24:$F$39,0),IF(SUM(COUNTIF(F3:F5,F6),COUNTIF(F7:F8,F6))=5,6,IF(SUM(COUNTIF(F3:F5,F6),COUNTIF(F8,F6))=4,5,IF(COUNTIF(F3:F5,F6)=3,4,IF(COUNTIF(F4:F5,F6)=2,3,IF(F5=F6,2,1)))))),
IF(COUNTIF(B1:B5,B6)=2,
INDEX('CFT Specific Data'!$G$24:$L$39,MATCH(F6,'CFT Specific Data'!$F$24:$F$39,0),IF(SUM(COUNTIF(F4:F5,F6),COUNTIF(F7:F9,F6))=5,6,IF(SUM(COUNTIF(F4:F5,F6),COUNTIF(F8:F9,F6))=4,5,IF(SUM(COUNTIF(F4:F5,F6),COUNTIF(F9,F6))=3,4,IF(COUNTIF(F4:F5,F6)=2,3,IF(F5=F6,2,1)))))),
IF(COUNTIF(B1:B5,B6)=1,
INDEX('CFT Specific Data'!$G$24:$L$39,MATCH(F6,'CFT Specific Data'!$F$24:$F$39,0),IF(SUM(COUNTIF(F5,F6),COUNTIF(F7:F10,F6))=5,6,IF(SUM(COUNTIF(F5,F6),COUNTIF(F8:F10,F6))=4,5,IF(SUM(COUNTIF(F5,F6),COUNTIF(F9:F10,F6))=3,4,IF(SUM(COUNTIF(F5,F6),COUNTIF(F10,F6))=2,3,IF(F5=F6,2,1)))))),
IF(COUNTIF(B1:B5,B6)=0,
INDEX('CFT Specific Data'!$G$24:$L$39,MATCH(F6,'CFT Specific Data'!$F$24:$F$39,0),IF(COUNTIF(F7:F11,F6)=5,6,IF(COUNTIF(F8:F11,F6)=4,5,IF(COUNTIF(F9:F11,F6)=3,4,IF(COUNTIF(F10:F11,F6)=2,3,IF(F11=F6,2,1)))))))))))),1)</f>
        <v>25.2</v>
      </c>
      <c r="I6" s="210" t="s">
        <v>348</v>
      </c>
      <c r="J6">
        <v>10</v>
      </c>
      <c r="K6" s="210" t="str">
        <f>VLOOKUP(F6,'CFT Specific Data'!$F$4:$G$19,2,FALSE)</f>
        <v>Other</v>
      </c>
      <c r="L6" t="str">
        <f t="shared" si="1"/>
        <v>Fine</v>
      </c>
      <c r="M6">
        <f t="shared" si="2"/>
        <v>5.8479999999999999</v>
      </c>
      <c r="N6" t="str">
        <f t="shared" si="3"/>
        <v>5.16 &lt; SOM &lt;= 10.32</v>
      </c>
      <c r="O6" t="s">
        <v>349</v>
      </c>
      <c r="P6" t="s">
        <v>350</v>
      </c>
      <c r="Q6">
        <v>7</v>
      </c>
      <c r="R6" t="str">
        <f t="shared" si="5"/>
        <v>5.5 &lt; pH &lt;= 7.3</v>
      </c>
      <c r="S6" t="s">
        <v>351</v>
      </c>
      <c r="T6" s="210">
        <f t="array" ref="T6">_xlfn.SINGLE(INDEX('Focus Data NFertiliser Rate'!$D$4:$P$19,MATCH(F6,'Focus Data NFertiliser Rate'!$C$4:$C$19,0),_xlfn.SINGLE(_xlfn.IFS(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180</v>
      </c>
      <c r="U6" t="str">
        <f t="shared" si="4"/>
        <v>Apply in solution</v>
      </c>
      <c r="V6" s="210">
        <f t="array" ref="V6">_xlfn.SINGLE(INDEX('№ Fertiliser sprayings'!$D$4:$P$19,MATCH(F6,'№ Fertiliser sprayings'!$C$4:$C$19,0),_xlfn.SINGLE(_xlfn.IFS(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v>
      </c>
      <c r="W6" s="264">
        <f t="array" ref="W6">_xlfn.SINGLE(INDEX('Focus Data CFT NSpraying'!$D$4:$P$19,MATCH(F6,'Focus Data CFT NSpraying'!$C$4:$C$19,0),_xlfn.SINGLE(_xlfn.IFS(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3.78</v>
      </c>
      <c r="X6" t="s">
        <v>363</v>
      </c>
      <c r="Y6">
        <v>0</v>
      </c>
      <c r="Z6">
        <v>100</v>
      </c>
      <c r="AA6" t="s">
        <v>352</v>
      </c>
      <c r="AB6" s="226" t="str">
        <f>IF(B6=B5,_xlfn.IFS(
AND(AA6=Lists!$L$8,AA5=Lists!$L$8),Lists!$N$5,
AND(OR(AA6=Lists!$L$5,AA6=Lists!$L$7,AA6=Lists!$L$9,AA6=Lists!$L$10,AA6=Lists!$L$6),OR(AA5=Lists!$L$5,AA5=Lists!$L$7,AA5=Lists!$L$9,AA5=Lists!$L$10,AA5=Lists!$L$6)),Lists!$N$5,
AND(AA6=Lists!$L$8,OR(AA5=Lists!$L$5,AA5=Lists!$L$7,AA5=Lists!$L$9,AA5=Lists!$L$10,AA5=Lists!$L$6)),Lists!$N$6,
AND(OR(AA6=Lists!$L$5,AA6=Lists!$L$6,AA6=Lists!$L$7,AA6=Lists!$L$9,AA6=Lists!$L$10),AA5=Lists!$L$8),Lists!$N$7),
_xlfn.IFS(
AND(AA6=Lists!$L$8,AA11=Lists!$L$8),Lists!$N$5,
AND(OR(AA6=Lists!$L$5,AA6=Lists!$L$7,AA6=Lists!$L$9,AA6=Lists!$L$10,AA6=Lists!$L$6),OR(AA11=Lists!$L$5,AA11=Lists!$L$7,AA11=Lists!$L$9,AA11=Lists!$L$10,AA11=Lists!$L$6)),Lists!$N$5,
AND(AA6=Lists!$L$8,OR(AA11=Lists!$L$5,AA11=Lists!$L$7,AA11=Lists!$L$9,AA11=Lists!$L$10,AA11=Lists!$L$6)),Lists!$N$6,
AND(OR(AA6=Lists!$L$5,AA6=Lists!$L$7,AA6=Lists!$L$9,AA6=Lists!$L$10),AA11=Lists!$L$8),Lists!$N$7))</f>
        <v>no change</v>
      </c>
      <c r="AC6">
        <v>0</v>
      </c>
      <c r="AD6">
        <v>0</v>
      </c>
      <c r="AE6" s="102">
        <f t="array" ref="AE6">IF(OR(ISNUMBER(SEARCH("heavy",A6))=TRUE, ISNUMBER(SEARCH("medium",A6))=TRUE),
(LEN(_xlfn.SINGLE(
INDEX('Focus Data Tillage by farm'!$D$4:$P$9,MATCH(D6,'Focus Data Tillage by farm'!$C$4:$C$9,0),_xlfn.SINGLE(_xlfn.IFS(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-LEN(SUBSTITUTE(_xlfn.SINGLE(
INDEX('Focus Data Tillage by farm'!$D$4:$P$9,MATCH(D6,'Focus Data Tillage by farm'!$C$4:$C$9,0),_xlfn.SINGLE(_xlfn.IFS(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"disc","")))/LEN("disc"),
(LEN(_xlfn.SINGLE(
INDEX('Focus Data Tillage by farm'!$D$12:$P$17,MATCH(D6,'Focus Data Tillage by farm'!$C$12:$C$17,0),_xlfn.SINGLE(_xlfn.IFS(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-LEN(SUBSTITUTE(_xlfn.SINGLE(
INDEX('Focus Data Tillage by farm'!$D$12:$P$17,MATCH(D6,'Focus Data Tillage by farm'!$C$12:$C$17,0),_xlfn.SINGLE(_xlfn.IFS(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"disc","")))/LEN("disc"))</f>
        <v>0</v>
      </c>
      <c r="AF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"field cultivator","")))/LEN("field cultivator"),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"field cultivator","")))/LEN("field cultivator"))</f>
        <v>0</v>
      </c>
      <c r="AG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"grain drill","")))/LEN("grain drill"),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"grain drill","")))/LEN("grain drill"))</f>
        <v>0</v>
      </c>
      <c r="AH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"minimum tillage","")))/LEN("minimum tillage"),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"minimum tillage","")))/LEN("minimum tillage"))</f>
        <v>1</v>
      </c>
      <c r="AI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"row crop planter","")))/LEN("row crop planter"),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"row crop planter","")))/LEN("row crop planter"))</f>
        <v>0</v>
      </c>
      <c r="AJ6" s="102">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"plough","")))/LEN("plough"),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"plough","")))/LEN("plough"))</f>
        <v>0</v>
      </c>
      <c r="AK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harrow","")))/LEN("roller harrow"),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harrow","")))/LEN("roller harrow"))</f>
        <v>0</v>
      </c>
      <c r="AL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packer","")))/LEN("roller packer"),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"roller packer","")))/LEN("roller packer"))</f>
        <v>1</v>
      </c>
      <c r="AM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"rotary hoe","")))/LEN("rotary hoe"),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"rotary hoe","")))/LEN("rotary hoe"))</f>
        <v>0</v>
      </c>
      <c r="AN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"subsoil","")))/LEN("subsoil"),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"subsoil","")))/LEN("subsoil"))</f>
        <v>0</v>
      </c>
      <c r="AO6">
        <f>IF(OR(ISNUMBER(SEARCH("heavy",A6))=TRUE, ISNUMBER(SEARCH("medium",A6))=TRUE),
(LEN(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farm'!$D$4:$P$9,MATCH(D6,'Focus Data Tillage by farm'!$C$4:$C$9,0),_xlfn.IFS(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"tine harrow","")))/LEN("tine harrow"),
(LEN(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-LEN(SUBSTITUTE(
INDEX('Focus Data Tillage by farm'!$D$12:$P$17,MATCH(D6,'Focus Data Tillage by farm'!$C$12:$C$17,0),_xlfn.IFS(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
"tine harrow","")))/LEN("tine harrow"))</f>
        <v>0</v>
      </c>
      <c r="AP6" s="102">
        <f>INDEX('Focus Data NSpraying'!$D$4:$P$19,MATCH(F6,'Focus Data NSpraying'!$C$4:$C$19,0),_xlfn.IFS(
AND(ISNUMBER(SEARCH("H-Dsty.",A6))=TRUE,ISNUMBER(SEARCH("H-Res",A6))=TRUE,ISNUMBER(SEARCH("E.",A6))=TRUE),1,
AND(ISNUMBER(SEARCH("H-Dsty.",A6))=TRUE,ISNUMBER(SEARCH("H-Res",A6))=TRUE,OR(ISNUMBER(SEARCH("N.he",A6))=TRUE,ISNUMBER(SEARCH("N.me",A6))=TRUE,ISNUMBER(SEARCH("N.li",A6))=TRUE)),2,
AND(ISNUMBER(SEARCH("H-Dsty.",A6))=TRUE,ISNUMBER(SEARCH("H-Res",A6))=TRUE,ISNUMBER(SEARCH("C.",A6))=TRUE),3,
AND(ISNUMBER(SEARCH("L-Dsty.",A6))=TRUE,ISNUMBER(SEARCH("H-Res",A6))=TRUE,ISNUMBER(SEARCH("E.",A6))=TRUE),6,
AND(ISNUMBER(SEARCH("L-Dsty.",A6))=TRUE,ISNUMBER(SEARCH("H-Res",A6))=TRUE,OR(ISNUMBER(SEARCH("N.he",A6))=TRUE,ISNUMBER(SEARCH("N.me",A6))=TRUE,ISNUMBER(SEARCH("N.li",A6))=TRUE)),7,
AND(ISNUMBER(SEARCH("L-Dsty.",A6))=TRUE,ISNUMBER(SEARCH("H-Res",A6))=TRUE,ISNUMBER(SEARCH("C.",A6))=TRUE),8,
AND(ISNUMBER(SEARCH("L-Dsty.",A6))=TRUE,ISNUMBER(SEARCH("L-Res",A6))=TRUE,ISNUMBER(SEARCH("E.",A6))=TRUE),11,
AND(ISNUMBER(SEARCH("L-Dsty.",A6))=TRUE,ISNUMBER(SEARCH("L-Res",A6))=TRUE,OR(ISNUMBER(SEARCH("N.he",A6))=TRUE,ISNUMBER(SEARCH("N.me",A6))=TRUE,ISNUMBER(SEARCH("N.li",A6))=TRUE)),12,
AND(ISNUMBER(SEARCH("L-Dsty.",A6))=TRUE,ISNUMBER(SEARCH("L-Res",A6))=TRUE,ISNUMBER(SEARCH("C.",A6))=TRUE),13))</f>
        <v>3</v>
      </c>
    </row>
    <row r="7" spans="1:42" x14ac:dyDescent="0.2">
      <c r="A7" t="s">
        <v>482</v>
      </c>
      <c r="B7" s="210" t="str">
        <f t="array" ref="B7">INDEX(ECOMOD_input_estimate!$A$2:$A$55, MATCH(CFT_input!$A7, ECOMOD_input_estimate!$B:$B, 0))</f>
        <v>FF_01.2</v>
      </c>
      <c r="C7" s="210">
        <v>2020</v>
      </c>
      <c r="D7" s="395" t="s">
        <v>735</v>
      </c>
      <c r="E7" s="210" t="str">
        <f t="shared" si="0"/>
        <v>N.heavy.H-Dsty.H-Res</v>
      </c>
      <c r="F7" s="210" t="str">
        <f t="array" ref="F7">_xlfn.SINGLE(IF(OR(ISNUMBER(SEARCH("heavy",A7))=TRUE,ISNUMBER(SEARCH("medium",A7))=TRUE),
INDEX('Focus Data Crop Rotations'!$D$4:$P$9,MATCH(D7,'Focus Data Crop Rotations'!$C$4:$C$9,0),_xlfn.SINGLE(_xlfn.IFS(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INDEX('Focus Data Crop Rotations'!$D$12:$P$17,MATCH(D7,'Focus Data Crop Rotations'!$C$12:$C$17,0),_xlfn.SINGLE(_xlfn.IFS(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winterwheat</v>
      </c>
      <c r="G7">
        <v>7.2</v>
      </c>
      <c r="H7" s="227">
        <f>VLOOKUP(F7,'CFT Specific Data'!$F$4:$H$19,3,FALSE)*G7*
IF(B7=B6,
IF(AND(ISNUMBER(SEARCH("wheat",F7))=TRUE,ISNUMBER(SEARCH("Barley",F6))=TRUE),0.89,
IF(AND(ISNUMBER(SEARCH("wheat",F7))=TRUE,F6="setaside"),0.94,
IF(AND(ISNUMBER(SEARCH("barley",F7))=TRUE,ISNUMBER(SEARCH("wheat",F6))=TRUE),0.89,
IF(AND(F7="winterbarley",F6="setaside"),0.94,
IF(AND(F7="sugarbeet",F6="warepotatoes"),0.95,
IF(AND((OR(ISNUMBER(SEARCH("beans",F7)),ISNUMBER(SEARCH("driedpeas",F7)),ISNUMBER(SEARCH("sugarbeet",F7)))=TRUE),ISNUMBER(SEARCH("osr",F6))=TRUE),0,
IF(AND((OR((ISNUMBER(SEARCH("wheat",F7))),ISNUMBER(SEARCH("linseed",F7)),ISNUMBER(SEARCH("driedpeas",F7)),ISNUMBER(SEARCH("osr",F7)))=TRUE),F6="sugarbeet"),0,
IF(AND((OR((ISNUMBER(SEARCH("osr",F7))),ISNUMBER(SEARCH("linseed",F7)))=TRUE),ISNUMBER(SEARCH("beans",F6))=TRUE),0,
IF(AND(F7="wosr",ISNUMBER(SEARCH("linseed",F6))=TRUE),0,
IF(AND(F7="sugarbeet",F6="warepotatoes"),0,
1)))))))))),
IF(AND(ISNUMBER(SEARCH("wheat",F7))=TRUE,ISNUMBER(SEARCH("Barley",F12))=TRUE),0.89,
IF(AND(ISNUMBER(SEARCH("wheat",F7))=TRUE,F12="setaside"),0.94,
IF(AND(ISNUMBER(SEARCH("barley",F7))=TRUE,ISNUMBER(SEARCH("wheat",F12))=TRUE),0.89,
IF(AND(F7="winterbarley",F12="setaside"),0.94,
IF(AND(F7="sugarbeet",F12="warepotatoes"),0.95,
IF(AND((OR(ISNUMBER(SEARCH("beans",F7)),ISNUMBER(SEARCH("driedpeas",F7)),ISNUMBER(SEARCH("sugarbeet",F7)))=TRUE),ISNUMBER(SEARCH("osr",F12))=TRUE),0,
IF(AND((OR((ISNUMBER(SEARCH("wheat",F7))),ISNUMBER(SEARCH("linseed",F7)),ISNUMBER(SEARCH("driedpeas",F7)),ISNUMBER(SEARCH("osr",F7)))=TRUE),F12="sugarbeet"),0,
IF(AND((OR((ISNUMBER(SEARCH("osr",F7))),ISNUMBER(SEARCH("linseed",F7)))=TRUE),ISNUMBER(SEARCH("beans",F12))=TRUE),0,
IF(AND(F7="wosr",ISNUMBER(SEARCH("linseed",F12))=TRUE),0,
IF(AND(F7="sugarbeet",F12="warepotatoes"),0,
1)))))))))))
*IF(OR(ISNUMBER(SEARCH("wheat",F7)),ISNUMBER(SEARCH("barley",F7)),ISNUMBER(SEARCH("driedpeas",F7)),ISNUMBER(SEARCH("warepotatoes",F7)),ISNUMBER(SEARCH("osr",F7)),ISNUMBER(SEARCH("linseed",F7)),ISNUMBER(SEARCH("sugarbeet",F7))),
IF(COUNTIF(B2:B6,B7)=5,
INDEX('CFT Specific Data'!$G$24:$L$39,MATCH(F7,'CFT Specific Data'!$F$24:$F$39,0),IF(COUNTIF(F2:F6,F7)=5,6,IF(COUNTIF(F3:F6,F7)=4,5,IF(COUNTIF(F4:F6,F7)=3,4,IF(COUNTIF(F5:F6,F7)=2,3,IF(F6=F7,2,1)))))),
IF(COUNTIF(B2:B6,B7)=4,
INDEX('CFT Specific Data'!$G$24:$L$39,MATCH(F7,'CFT Specific Data'!$F$24:$F$39,0),IF(SUM(COUNTIF(F3:F6,F7),COUNTIF(F8,F7))=5,6,IF(COUNTIF(F3:F6,F7)=4,5,IF(COUNTIF(F4:F6,F7)=3,4,IF(COUNTIF(F5:F6,F7)=2,3,IF(F6=F7,2,1)))))),
IF(COUNTIF(B2:B6,B7)=3,
INDEX('CFT Specific Data'!$G$24:$L$39,MATCH(F7,'CFT Specific Data'!$F$24:$F$39,0),IF(SUM(COUNTIF(F4:F6,F7),COUNTIF(F8:F9,F7))=5,6,IF(SUM(COUNTIF(F4:F6,F7),COUNTIF(F9,F7))=4,5,IF(COUNTIF(F4:F6,F7)=3,4,IF(COUNTIF(F5:F6,F7)=2,3,IF(F6=F7,2,1)))))),
IF(COUNTIF(B2:B6,B7)=2,
INDEX('CFT Specific Data'!$G$24:$L$39,MATCH(F7,'CFT Specific Data'!$F$24:$F$39,0),IF(SUM(COUNTIF(F5:F6,F7),COUNTIF(F8:F10,F7))=5,6,IF(SUM(COUNTIF(F5:F6,F7),COUNTIF(F9:F10,F7))=4,5,IF(SUM(COUNTIF(F5:F6,F7),COUNTIF(F10,F7))=3,4,IF(COUNTIF(F5:F6,F7)=2,3,IF(F6=F7,2,1)))))),
IF(COUNTIF(B2:B6,B7)=1,
INDEX('CFT Specific Data'!$G$24:$L$39,MATCH(F7,'CFT Specific Data'!$F$24:$F$39,0),IF(SUM(COUNTIF(F6,F7),COUNTIF(F8:F11,F7))=5,6,IF(SUM(COUNTIF(F6,F7),COUNTIF(F9:F11,F7))=4,5,IF(SUM(COUNTIF(F6,F7),COUNTIF(F10:F11,F7))=3,4,IF(SUM(COUNTIF(F6,F7),COUNTIF(F11,F7))=2,3,IF(F6=F7,2,1)))))),
IF(COUNTIF(B2:B6,B7)=0,
INDEX('CFT Specific Data'!$G$24:$L$39,MATCH(F7,'CFT Specific Data'!$F$24:$F$39,0),IF(COUNTIF(F8:F12,F7)=5,6,IF(COUNTIF(F9:F12,F7)=4,5,IF(COUNTIF(F10:F12,F7)=3,4,IF(COUNTIF(F11:F12,F7)=2,3,IF(F12=F7,2,1)))))))))))),1)</f>
        <v>61.92</v>
      </c>
      <c r="I7" s="210" t="s">
        <v>348</v>
      </c>
      <c r="J7">
        <v>10</v>
      </c>
      <c r="K7" s="210" t="str">
        <f>VLOOKUP(F7,'CFT Specific Data'!$F$4:$G$19,2,FALSE)</f>
        <v>Winter wheat</v>
      </c>
      <c r="L7" t="str">
        <f t="shared" si="1"/>
        <v>Fine</v>
      </c>
      <c r="M7">
        <f t="shared" si="2"/>
        <v>5.8479999999999999</v>
      </c>
      <c r="N7" t="str">
        <f t="shared" si="3"/>
        <v>5.16 &lt; SOM &lt;= 10.32</v>
      </c>
      <c r="O7" t="s">
        <v>349</v>
      </c>
      <c r="P7" t="s">
        <v>350</v>
      </c>
      <c r="Q7">
        <v>7</v>
      </c>
      <c r="R7" t="str">
        <f t="shared" si="5"/>
        <v>5.5 &lt; pH &lt;= 7.3</v>
      </c>
      <c r="S7" t="s">
        <v>351</v>
      </c>
      <c r="T7" s="210">
        <f t="array" ref="T7">_xlfn.SINGLE(INDEX('Focus Data NFertiliser Rate'!$D$4:$P$19,MATCH(F7,'Focus Data NFertiliser Rate'!$C$4:$C$19,0),_xlfn.SINGLE(_xlfn.IFS(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220</v>
      </c>
      <c r="U7" t="str">
        <f t="shared" si="4"/>
        <v>Apply in solution</v>
      </c>
      <c r="V7" s="210">
        <f t="array" ref="V7">_xlfn.SINGLE(INDEX('№ Fertiliser sprayings'!$D$4:$P$19,MATCH(F7,'№ Fertiliser sprayings'!$C$4:$C$19,0),_xlfn.SINGLE(_xlfn.IFS(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3</v>
      </c>
      <c r="W7" s="264">
        <f t="array" ref="W7">_xlfn.SINGLE(INDEX('Focus Data CFT NSpraying'!$D$4:$P$19,MATCH(F7,'Focus Data CFT NSpraying'!$C$4:$C$19,0),_xlfn.SINGLE(_xlfn.IFS(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9.2639999999999993</v>
      </c>
      <c r="X7" t="s">
        <v>363</v>
      </c>
      <c r="Y7">
        <v>0</v>
      </c>
      <c r="Z7">
        <v>100</v>
      </c>
      <c r="AA7" t="s">
        <v>352</v>
      </c>
      <c r="AB7" s="226" t="str">
        <f>IF(B7=B6,_xlfn.IFS(
AND(AA7=Lists!$L$8,AA6=Lists!$L$8),Lists!$N$5,
AND(OR(AA7=Lists!$L$5,AA7=Lists!$L$7,AA7=Lists!$L$9,AA7=Lists!$L$10,AA7=Lists!$L$6),OR(AA6=Lists!$L$5,AA6=Lists!$L$7,AA6=Lists!$L$9,AA6=Lists!$L$10,AA6=Lists!$L$6)),Lists!$N$5,
AND(AA7=Lists!$L$8,OR(AA6=Lists!$L$5,AA6=Lists!$L$7,AA6=Lists!$L$9,AA6=Lists!$L$10,AA6=Lists!$L$6)),Lists!$N$6,
AND(OR(AA7=Lists!$L$5,AA7=Lists!$L$6,AA7=Lists!$L$7,AA7=Lists!$L$9,AA7=Lists!$L$10),AA6=Lists!$L$8),Lists!$N$7),
_xlfn.IFS(
AND(AA7=Lists!$L$8,AA12=Lists!$L$8),Lists!$N$5,
AND(OR(AA7=Lists!$L$5,AA7=Lists!$L$7,AA7=Lists!$L$9,AA7=Lists!$L$10,AA7=Lists!$L$6),OR(AA12=Lists!$L$5,AA12=Lists!$L$7,AA12=Lists!$L$9,AA12=Lists!$L$10,AA12=Lists!$L$6)),Lists!$N$5,
AND(AA7=Lists!$L$8,OR(AA12=Lists!$L$5,AA12=Lists!$L$7,AA12=Lists!$L$9,AA12=Lists!$L$10,AA12=Lists!$L$6)),Lists!$N$6,
AND(OR(AA7=Lists!$L$5,AA7=Lists!$L$7,AA7=Lists!$L$9,AA7=Lists!$L$10),AA12=Lists!$L$8),Lists!$N$7))</f>
        <v>no change</v>
      </c>
      <c r="AC7">
        <v>0</v>
      </c>
      <c r="AD7">
        <v>0</v>
      </c>
      <c r="AE7" s="102">
        <f t="array" ref="AE7">IF(OR(ISNUMBER(SEARCH("heavy",A7))=TRUE, ISNUMBER(SEARCH("medium",A7))=TRUE),
(LEN(_xlfn.SINGLE(
INDEX('Focus Data Tillage by farm'!$D$4:$P$9,MATCH(D7,'Focus Data Tillage by farm'!$C$4:$C$9,0),_xlfn.SINGLE(_xlfn.IFS(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-LEN(SUBSTITUTE(_xlfn.SINGLE(
INDEX('Focus Data Tillage by farm'!$D$4:$P$9,MATCH(D7,'Focus Data Tillage by farm'!$C$4:$C$9,0),_xlfn.SINGLE(_xlfn.IFS(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"disc","")))/LEN("disc"),
(LEN(_xlfn.SINGLE(
INDEX('Focus Data Tillage by farm'!$D$12:$P$17,MATCH(D7,'Focus Data Tillage by farm'!$C$12:$C$17,0),_xlfn.SINGLE(_xlfn.IFS(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-LEN(SUBSTITUTE(_xlfn.SINGLE(
INDEX('Focus Data Tillage by farm'!$D$12:$P$17,MATCH(D7,'Focus Data Tillage by farm'!$C$12:$C$17,0),_xlfn.SINGLE(_xlfn.IFS(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"disc","")))/LEN("disc"))</f>
        <v>2</v>
      </c>
      <c r="AF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"field cultivator","")))/LEN("field cultivator"),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"field cultivator","")))/LEN("field cultivator"))</f>
        <v>0</v>
      </c>
      <c r="AG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"grain drill","")))/LEN("grain drill"),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"grain drill","")))/LEN("grain drill"))</f>
        <v>0</v>
      </c>
      <c r="AH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"minimum tillage","")))/LEN("minimum tillage"),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"minimum tillage","")))/LEN("minimum tillage"))</f>
        <v>1</v>
      </c>
      <c r="AI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"row crop planter","")))/LEN("row crop planter"),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"row crop planter","")))/LEN("row crop planter"))</f>
        <v>0</v>
      </c>
      <c r="AJ7" s="102">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"plough","")))/LEN("plough"),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"plough","")))/LEN("plough"))</f>
        <v>0</v>
      </c>
      <c r="AK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harrow","")))/LEN("roller harrow"),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harrow","")))/LEN("roller harrow"))</f>
        <v>0</v>
      </c>
      <c r="AL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packer","")))/LEN("roller packer"),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"roller packer","")))/LEN("roller packer"))</f>
        <v>2</v>
      </c>
      <c r="AM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"rotary hoe","")))/LEN("rotary hoe"),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"rotary hoe","")))/LEN("rotary hoe"))</f>
        <v>0</v>
      </c>
      <c r="AN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"subsoil","")))/LEN("subsoil"),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"subsoil","")))/LEN("subsoil"))</f>
        <v>0</v>
      </c>
      <c r="AO7">
        <f>IF(OR(ISNUMBER(SEARCH("heavy",A7))=TRUE, ISNUMBER(SEARCH("medium",A7))=TRUE),
(LEN(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farm'!$D$4:$P$9,MATCH(D7,'Focus Data Tillage by farm'!$C$4:$C$9,0),_xlfn.IFS(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"tine harrow","")))/LEN("tine harrow"),
(LEN(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-LEN(SUBSTITUTE(
INDEX('Focus Data Tillage by farm'!$D$12:$P$17,MATCH(D7,'Focus Data Tillage by farm'!$C$12:$C$17,0),_xlfn.IFS(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
"tine harrow","")))/LEN("tine harrow"))</f>
        <v>0</v>
      </c>
      <c r="AP7" s="102">
        <f>INDEX('Focus Data NSpraying'!$D$4:$P$19,MATCH(F7,'Focus Data NSpraying'!$C$4:$C$19,0),_xlfn.IFS(
AND(ISNUMBER(SEARCH("H-Dsty.",A7))=TRUE,ISNUMBER(SEARCH("H-Res",A7))=TRUE,ISNUMBER(SEARCH("E.",A7))=TRUE),1,
AND(ISNUMBER(SEARCH("H-Dsty.",A7))=TRUE,ISNUMBER(SEARCH("H-Res",A7))=TRUE,OR(ISNUMBER(SEARCH("N.he",A7))=TRUE,ISNUMBER(SEARCH("N.me",A7))=TRUE,ISNUMBER(SEARCH("N.li",A7))=TRUE)),2,
AND(ISNUMBER(SEARCH("H-Dsty.",A7))=TRUE,ISNUMBER(SEARCH("H-Res",A7))=TRUE,ISNUMBER(SEARCH("C.",A7))=TRUE),3,
AND(ISNUMBER(SEARCH("L-Dsty.",A7))=TRUE,ISNUMBER(SEARCH("H-Res",A7))=TRUE,ISNUMBER(SEARCH("E.",A7))=TRUE),6,
AND(ISNUMBER(SEARCH("L-Dsty.",A7))=TRUE,ISNUMBER(SEARCH("H-Res",A7))=TRUE,OR(ISNUMBER(SEARCH("N.he",A7))=TRUE,ISNUMBER(SEARCH("N.me",A7))=TRUE,ISNUMBER(SEARCH("N.li",A7))=TRUE)),7,
AND(ISNUMBER(SEARCH("L-Dsty.",A7))=TRUE,ISNUMBER(SEARCH("H-Res",A7))=TRUE,ISNUMBER(SEARCH("C.",A7))=TRUE),8,
AND(ISNUMBER(SEARCH("L-Dsty.",A7))=TRUE,ISNUMBER(SEARCH("L-Res",A7))=TRUE,ISNUMBER(SEARCH("E.",A7))=TRUE),11,
AND(ISNUMBER(SEARCH("L-Dsty.",A7))=TRUE,ISNUMBER(SEARCH("L-Res",A7))=TRUE,OR(ISNUMBER(SEARCH("N.he",A7))=TRUE,ISNUMBER(SEARCH("N.me",A7))=TRUE,ISNUMBER(SEARCH("N.li",A7))=TRUE)),12,
AND(ISNUMBER(SEARCH("L-Dsty.",A7))=TRUE,ISNUMBER(SEARCH("L-Res",A7))=TRUE,ISNUMBER(SEARCH("C.",A7))=TRUE),13))</f>
        <v>5</v>
      </c>
    </row>
    <row r="8" spans="1:42" x14ac:dyDescent="0.2">
      <c r="A8" t="s">
        <v>485</v>
      </c>
      <c r="B8" s="210" t="str">
        <f t="array" ref="B8">INDEX(ECOMOD_input_estimate!$A$2:$A$55, MATCH(CFT_input!$A8, ECOMOD_input_estimate!$B:$B, 0))</f>
        <v>FF_07.2</v>
      </c>
      <c r="C8" s="210">
        <v>2020</v>
      </c>
      <c r="D8" s="395" t="s">
        <v>731</v>
      </c>
      <c r="E8" s="210" t="str">
        <f t="shared" si="0"/>
        <v>N.heavy.L-Dsty.H-Res</v>
      </c>
      <c r="F8" s="210" t="str">
        <f t="array" ref="F8">_xlfn.SINGLE(IF(OR(ISNUMBER(SEARCH("heavy",A8))=TRUE,ISNUMBER(SEARCH("medium",A8))=TRUE),
INDEX('Focus Data Crop Rotations'!$D$4:$P$9,MATCH(D8,'Focus Data Crop Rotations'!$C$4:$C$9,0),_xlfn.SINGLE(_xlfn.IFS(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INDEX('Focus Data Crop Rotations'!$D$12:$P$17,MATCH(D8,'Focus Data Crop Rotations'!$C$12:$C$17,0),_xlfn.SINGLE(_xlfn.IFS(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winterwheat</v>
      </c>
      <c r="G8">
        <v>7.2</v>
      </c>
      <c r="H8" s="227">
        <f>VLOOKUP(F8,'CFT Specific Data'!$F$4:$H$19,3,FALSE)*G8*
IF(B8=B7,
IF(AND(ISNUMBER(SEARCH("wheat",F8))=TRUE,ISNUMBER(SEARCH("Barley",F7))=TRUE),0.89,
IF(AND(ISNUMBER(SEARCH("wheat",F8))=TRUE,F7="setaside"),0.94,
IF(AND(ISNUMBER(SEARCH("barley",F8))=TRUE,ISNUMBER(SEARCH("wheat",F7))=TRUE),0.89,
IF(AND(F8="winterbarley",F7="setaside"),0.94,
IF(AND(F8="sugarbeet",F7="warepotatoes"),0.95,
IF(AND((OR(ISNUMBER(SEARCH("beans",F8)),ISNUMBER(SEARCH("driedpeas",F8)),ISNUMBER(SEARCH("sugarbeet",F8)))=TRUE),ISNUMBER(SEARCH("osr",F7))=TRUE),0,
IF(AND((OR((ISNUMBER(SEARCH("wheat",F8))),ISNUMBER(SEARCH("linseed",F8)),ISNUMBER(SEARCH("driedpeas",F8)),ISNUMBER(SEARCH("osr",F8)))=TRUE),F7="sugarbeet"),0,
IF(AND((OR((ISNUMBER(SEARCH("osr",F8))),ISNUMBER(SEARCH("linseed",F8)))=TRUE),ISNUMBER(SEARCH("beans",F7))=TRUE),0,
IF(AND(F8="wosr",ISNUMBER(SEARCH("linseed",F7))=TRUE),0,
IF(AND(F8="sugarbeet",F7="warepotatoes"),0,
1)))))))))),
IF(AND(ISNUMBER(SEARCH("wheat",F8))=TRUE,ISNUMBER(SEARCH("Barley",F13))=TRUE),0.89,
IF(AND(ISNUMBER(SEARCH("wheat",F8))=TRUE,F13="setaside"),0.94,
IF(AND(ISNUMBER(SEARCH("barley",F8))=TRUE,ISNUMBER(SEARCH("wheat",F13))=TRUE),0.89,
IF(AND(F8="winterbarley",F13="setaside"),0.94,
IF(AND(F8="sugarbeet",F13="warepotatoes"),0.95,
IF(AND((OR(ISNUMBER(SEARCH("beans",F8)),ISNUMBER(SEARCH("driedpeas",F8)),ISNUMBER(SEARCH("sugarbeet",F8)))=TRUE),ISNUMBER(SEARCH("osr",F13))=TRUE),0,
IF(AND((OR((ISNUMBER(SEARCH("wheat",F8))),ISNUMBER(SEARCH("linseed",F8)),ISNUMBER(SEARCH("driedpeas",F8)),ISNUMBER(SEARCH("osr",F8)))=TRUE),F13="sugarbeet"),0,
IF(AND((OR((ISNUMBER(SEARCH("osr",F8))),ISNUMBER(SEARCH("linseed",F8)))=TRUE),ISNUMBER(SEARCH("beans",F13))=TRUE),0,
IF(AND(F8="wosr",ISNUMBER(SEARCH("linseed",F13))=TRUE),0,
IF(AND(F8="sugarbeet",F13="warepotatoes"),0,
1)))))))))))
*IF(OR(ISNUMBER(SEARCH("wheat",F8)),ISNUMBER(SEARCH("barley",F8)),ISNUMBER(SEARCH("driedpeas",F8)),ISNUMBER(SEARCH("warepotatoes",F8)),ISNUMBER(SEARCH("osr",F8)),ISNUMBER(SEARCH("linseed",F8)),ISNUMBER(SEARCH("sugarbeet",F8))),
IF(COUNTIF(B3:B7,B8)=5,
INDEX('CFT Specific Data'!$G$24:$L$39,MATCH(F8,'CFT Specific Data'!$F$24:$F$39,0),IF(COUNTIF(F3:F7,F8)=5,6,IF(COUNTIF(F4:F7,F8)=4,5,IF(COUNTIF(F5:F7,F8)=3,4,IF(COUNTIF(F6:F7,F8)=2,3,IF(F7=F8,2,1)))))),
IF(COUNTIF(B3:B7,B8)=4,
INDEX('CFT Specific Data'!$G$24:$L$39,MATCH(F8,'CFT Specific Data'!$F$24:$F$39,0),IF(SUM(COUNTIF(F4:F7,F8),COUNTIF(F9,F8))=5,6,IF(COUNTIF(F4:F7,F8)=4,5,IF(COUNTIF(F5:F7,F8)=3,4,IF(COUNTIF(F6:F7,F8)=2,3,IF(F7=F8,2,1)))))),
IF(COUNTIF(B3:B7,B8)=3,
INDEX('CFT Specific Data'!$G$24:$L$39,MATCH(F8,'CFT Specific Data'!$F$24:$F$39,0),IF(SUM(COUNTIF(F5:F7,F8),COUNTIF(F9:F10,F8))=5,6,IF(SUM(COUNTIF(F5:F7,F8),COUNTIF(F10,F8))=4,5,IF(COUNTIF(F5:F7,F8)=3,4,IF(COUNTIF(F6:F7,F8)=2,3,IF(F7=F8,2,1)))))),
IF(COUNTIF(B3:B7,B8)=2,
INDEX('CFT Specific Data'!$G$24:$L$39,MATCH(F8,'CFT Specific Data'!$F$24:$F$39,0),IF(SUM(COUNTIF(F6:F7,F8),COUNTIF(F9:F11,F8))=5,6,IF(SUM(COUNTIF(F6:F7,F8),COUNTIF(F10:F11,F8))=4,5,IF(SUM(COUNTIF(F6:F7,F8),COUNTIF(F11,F8))=3,4,IF(COUNTIF(F6:F7,F8)=2,3,IF(F7=F8,2,1)))))),
IF(COUNTIF(B3:B7,B8)=1,
INDEX('CFT Specific Data'!$G$24:$L$39,MATCH(F8,'CFT Specific Data'!$F$24:$F$39,0),IF(SUM(COUNTIF(F7,F8),COUNTIF(F9:F12,F8))=5,6,IF(SUM(COUNTIF(F7,F8),COUNTIF(F10:F12,F8))=4,5,IF(SUM(COUNTIF(F7,F8),COUNTIF(F11:F12,F8))=3,4,IF(SUM(COUNTIF(F7,F8),COUNTIF(F12,F8))=2,3,IF(F7=F8,2,1)))))),
IF(COUNTIF(B3:B7,B8)=0,
INDEX('CFT Specific Data'!$G$24:$L$39,MATCH(F8,'CFT Specific Data'!$F$24:$F$39,0),IF(COUNTIF(F9:F13,F8)=5,6,IF(COUNTIF(F10:F13,F8)=4,5,IF(COUNTIF(F11:F13,F8)=3,4,IF(COUNTIF(F12:F13,F8)=2,3,IF(F13=F8,2,1)))))))))))),1)</f>
        <v>61.92</v>
      </c>
      <c r="I8" s="210" t="s">
        <v>348</v>
      </c>
      <c r="J8">
        <v>10</v>
      </c>
      <c r="K8" s="210" t="str">
        <f>VLOOKUP(F8,'CFT Specific Data'!$F$4:$G$19,2,FALSE)</f>
        <v>Winter wheat</v>
      </c>
      <c r="L8" t="str">
        <f t="shared" si="1"/>
        <v>Fine</v>
      </c>
      <c r="M8">
        <f t="shared" si="2"/>
        <v>5.8479999999999999</v>
      </c>
      <c r="N8" t="str">
        <f t="shared" si="3"/>
        <v>5.16 &lt; SOM &lt;= 10.32</v>
      </c>
      <c r="O8" t="s">
        <v>349</v>
      </c>
      <c r="P8" t="s">
        <v>350</v>
      </c>
      <c r="Q8">
        <v>7</v>
      </c>
      <c r="R8" t="str">
        <f t="shared" si="5"/>
        <v>5.5 &lt; pH &lt;= 7.3</v>
      </c>
      <c r="S8" t="s">
        <v>351</v>
      </c>
      <c r="T8" s="210">
        <f t="array" ref="T8">_xlfn.SINGLE(INDEX('Focus Data NFertiliser Rate'!$D$4:$P$19,MATCH(F8,'Focus Data NFertiliser Rate'!$C$4:$C$19,0),_xlfn.SINGLE(_xlfn.IFS(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220</v>
      </c>
      <c r="U8" t="str">
        <f t="shared" si="4"/>
        <v>Apply in solution</v>
      </c>
      <c r="V8" s="210">
        <f t="array" ref="V8">_xlfn.SINGLE(INDEX('№ Fertiliser sprayings'!$D$4:$P$19,MATCH(F8,'№ Fertiliser sprayings'!$C$4:$C$19,0),_xlfn.SINGLE(_xlfn.IFS(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3</v>
      </c>
      <c r="W8" s="264">
        <f t="array" ref="W8">_xlfn.SINGLE(INDEX('Focus Data CFT NSpraying'!$D$4:$P$19,MATCH(F8,'Focus Data CFT NSpraying'!$C$4:$C$19,0),_xlfn.SINGLE(_xlfn.IFS(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9.84</v>
      </c>
      <c r="X8" t="s">
        <v>363</v>
      </c>
      <c r="Y8">
        <v>0</v>
      </c>
      <c r="Z8">
        <v>100</v>
      </c>
      <c r="AA8" t="s">
        <v>352</v>
      </c>
      <c r="AB8" s="226" t="str">
        <f>IF(B8=B7,_xlfn.IFS(
AND(AA8=Lists!$L$8,AA7=Lists!$L$8),Lists!$N$5,
AND(OR(AA8=Lists!$L$5,AA8=Lists!$L$7,AA8=Lists!$L$9,AA8=Lists!$L$10,AA8=Lists!$L$6),OR(AA7=Lists!$L$5,AA7=Lists!$L$7,AA7=Lists!$L$9,AA7=Lists!$L$10,AA7=Lists!$L$6)),Lists!$N$5,
AND(AA8=Lists!$L$8,OR(AA7=Lists!$L$5,AA7=Lists!$L$7,AA7=Lists!$L$9,AA7=Lists!$L$10,AA7=Lists!$L$6)),Lists!$N$6,
AND(OR(AA8=Lists!$L$5,AA8=Lists!$L$6,AA8=Lists!$L$7,AA8=Lists!$L$9,AA8=Lists!$L$10),AA7=Lists!$L$8),Lists!$N$7),
_xlfn.IFS(
AND(AA8=Lists!$L$8,AA13=Lists!$L$8),Lists!$N$5,
AND(OR(AA8=Lists!$L$5,AA8=Lists!$L$7,AA8=Lists!$L$9,AA8=Lists!$L$10,AA8=Lists!$L$6),OR(AA13=Lists!$L$5,AA13=Lists!$L$7,AA13=Lists!$L$9,AA13=Lists!$L$10,AA13=Lists!$L$6)),Lists!$N$5,
AND(AA8=Lists!$L$8,OR(AA13=Lists!$L$5,AA13=Lists!$L$7,AA13=Lists!$L$9,AA13=Lists!$L$10,AA13=Lists!$L$6)),Lists!$N$6,
AND(OR(AA8=Lists!$L$5,AA8=Lists!$L$7,AA8=Lists!$L$9,AA8=Lists!$L$10),AA13=Lists!$L$8),Lists!$N$7))</f>
        <v>no change</v>
      </c>
      <c r="AC8">
        <v>0</v>
      </c>
      <c r="AD8">
        <v>0</v>
      </c>
      <c r="AE8" s="102">
        <f t="array" ref="AE8">IF(OR(ISNUMBER(SEARCH("heavy",A8))=TRUE, ISNUMBER(SEARCH("medium",A8))=TRUE),
(LEN(_xlfn.SINGLE(
INDEX('Focus Data Tillage by farm'!$D$4:$P$9,MATCH(D8,'Focus Data Tillage by farm'!$C$4:$C$9,0),_xlfn.SINGLE(_xlfn.IFS(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-LEN(SUBSTITUTE(_xlfn.SINGLE(
INDEX('Focus Data Tillage by farm'!$D$4:$P$9,MATCH(D8,'Focus Data Tillage by farm'!$C$4:$C$9,0),_xlfn.SINGLE(_xlfn.IFS(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"disc","")))/LEN("disc"),
(LEN(_xlfn.SINGLE(
INDEX('Focus Data Tillage by farm'!$D$12:$P$17,MATCH(D8,'Focus Data Tillage by farm'!$C$12:$C$17,0),_xlfn.SINGLE(_xlfn.IFS(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-LEN(SUBSTITUTE(_xlfn.SINGLE(
INDEX('Focus Data Tillage by farm'!$D$12:$P$17,MATCH(D8,'Focus Data Tillage by farm'!$C$12:$C$17,0),_xlfn.SINGLE(_xlfn.IFS(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"disc","")))/LEN("disc"))</f>
        <v>2</v>
      </c>
      <c r="AF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"field cultivator","")))/LEN("field cultivator"),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"field cultivator","")))/LEN("field cultivator"))</f>
        <v>0</v>
      </c>
      <c r="AG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"grain drill","")))/LEN("grain drill"),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"grain drill","")))/LEN("grain drill"))</f>
        <v>1</v>
      </c>
      <c r="AH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"minimum tillage","")))/LEN("minimum tillage"),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"minimum tillage","")))/LEN("minimum tillage"))</f>
        <v>0</v>
      </c>
      <c r="AI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"row crop planter","")))/LEN("row crop planter"),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"row crop planter","")))/LEN("row crop planter"))</f>
        <v>0</v>
      </c>
      <c r="AJ8" s="102">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"plough","")))/LEN("plough"),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"plough","")))/LEN("plough"))</f>
        <v>0</v>
      </c>
      <c r="AK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harrow","")))/LEN("roller harrow"),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harrow","")))/LEN("roller harrow"))</f>
        <v>0</v>
      </c>
      <c r="AL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packer","")))/LEN("roller packer"),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"roller packer","")))/LEN("roller packer"))</f>
        <v>2</v>
      </c>
      <c r="AM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"rotary hoe","")))/LEN("rotary hoe"),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"rotary hoe","")))/LEN("rotary hoe"))</f>
        <v>0</v>
      </c>
      <c r="AN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"subsoil","")))/LEN("subsoil"),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"subsoil","")))/LEN("subsoil"))</f>
        <v>0</v>
      </c>
      <c r="AO8">
        <f>IF(OR(ISNUMBER(SEARCH("heavy",A8))=TRUE, ISNUMBER(SEARCH("medium",A8))=TRUE),
(LEN(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farm'!$D$4:$P$9,MATCH(D8,'Focus Data Tillage by farm'!$C$4:$C$9,0),_xlfn.IFS(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"tine harrow","")))/LEN("tine harrow"),
(LEN(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-LEN(SUBSTITUTE(
INDEX('Focus Data Tillage by farm'!$D$12:$P$17,MATCH(D8,'Focus Data Tillage by farm'!$C$12:$C$17,0),_xlfn.IFS(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
"tine harrow","")))/LEN("tine harrow"))</f>
        <v>0</v>
      </c>
      <c r="AP8" s="102">
        <f>INDEX('Focus Data NSpraying'!$D$4:$P$19,MATCH(F8,'Focus Data NSpraying'!$C$4:$C$19,0),_xlfn.IFS(
AND(ISNUMBER(SEARCH("H-Dsty.",A8))=TRUE,ISNUMBER(SEARCH("H-Res",A8))=TRUE,ISNUMBER(SEARCH("E.",A8))=TRUE),1,
AND(ISNUMBER(SEARCH("H-Dsty.",A8))=TRUE,ISNUMBER(SEARCH("H-Res",A8))=TRUE,OR(ISNUMBER(SEARCH("N.he",A8))=TRUE,ISNUMBER(SEARCH("N.me",A8))=TRUE,ISNUMBER(SEARCH("N.li",A8))=TRUE)),2,
AND(ISNUMBER(SEARCH("H-Dsty.",A8))=TRUE,ISNUMBER(SEARCH("H-Res",A8))=TRUE,ISNUMBER(SEARCH("C.",A8))=TRUE),3,
AND(ISNUMBER(SEARCH("L-Dsty.",A8))=TRUE,ISNUMBER(SEARCH("H-Res",A8))=TRUE,ISNUMBER(SEARCH("E.",A8))=TRUE),6,
AND(ISNUMBER(SEARCH("L-Dsty.",A8))=TRUE,ISNUMBER(SEARCH("H-Res",A8))=TRUE,OR(ISNUMBER(SEARCH("N.he",A8))=TRUE,ISNUMBER(SEARCH("N.me",A8))=TRUE,ISNUMBER(SEARCH("N.li",A8))=TRUE)),7,
AND(ISNUMBER(SEARCH("L-Dsty.",A8))=TRUE,ISNUMBER(SEARCH("H-Res",A8))=TRUE,ISNUMBER(SEARCH("C.",A8))=TRUE),8,
AND(ISNUMBER(SEARCH("L-Dsty.",A8))=TRUE,ISNUMBER(SEARCH("L-Res",A8))=TRUE,ISNUMBER(SEARCH("E.",A8))=TRUE),11,
AND(ISNUMBER(SEARCH("L-Dsty.",A8))=TRUE,ISNUMBER(SEARCH("L-Res",A8))=TRUE,OR(ISNUMBER(SEARCH("N.he",A8))=TRUE,ISNUMBER(SEARCH("N.me",A8))=TRUE,ISNUMBER(SEARCH("N.li",A8))=TRUE)),12,
AND(ISNUMBER(SEARCH("L-Dsty.",A8))=TRUE,ISNUMBER(SEARCH("L-Res",A8))=TRUE,ISNUMBER(SEARCH("C.",A8))=TRUE),13))</f>
        <v>4</v>
      </c>
    </row>
    <row r="9" spans="1:42" x14ac:dyDescent="0.2">
      <c r="A9" t="s">
        <v>485</v>
      </c>
      <c r="B9" s="210" t="str">
        <f t="array" ref="B9">INDEX(ECOMOD_input_estimate!$A$2:$A$55, MATCH(CFT_input!$A9, ECOMOD_input_estimate!$B:$B, 0))</f>
        <v>FF_07.2</v>
      </c>
      <c r="C9" s="210">
        <v>2020</v>
      </c>
      <c r="D9" s="395" t="s">
        <v>730</v>
      </c>
      <c r="E9" s="210" t="str">
        <f t="shared" si="0"/>
        <v>N.heavy.L-Dsty.H-Res</v>
      </c>
      <c r="F9" s="210" t="str">
        <f t="array" ref="F9">_xlfn.SINGLE(IF(OR(ISNUMBER(SEARCH("heavy",A9))=TRUE,ISNUMBER(SEARCH("medium",A9))=TRUE),
INDEX('Focus Data Crop Rotations'!$D$4:$P$9,MATCH(D9,'Focus Data Crop Rotations'!$C$4:$C$9,0),_xlfn.SINGLE(_xlfn.IFS(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INDEX('Focus Data Crop Rotations'!$D$12:$P$17,MATCH(D9,'Focus Data Crop Rotations'!$C$12:$C$17,0),_xlfn.SINGLE(_xlfn.IFS(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winterbarley</v>
      </c>
      <c r="G9">
        <v>7.2</v>
      </c>
      <c r="H9" s="227">
        <f>VLOOKUP(F9,'CFT Specific Data'!$F$4:$H$19,3,FALSE)*G9*
IF(B9=B8,
IF(AND(ISNUMBER(SEARCH("wheat",F9))=TRUE,ISNUMBER(SEARCH("Barley",F8))=TRUE),0.89,
IF(AND(ISNUMBER(SEARCH("wheat",F9))=TRUE,F8="setaside"),0.94,
IF(AND(ISNUMBER(SEARCH("barley",F9))=TRUE,ISNUMBER(SEARCH("wheat",F8))=TRUE),0.89,
IF(AND(F9="winterbarley",F8="setaside"),0.94,
IF(AND(F9="sugarbeet",F8="warepotatoes"),0.95,
IF(AND((OR(ISNUMBER(SEARCH("beans",F9)),ISNUMBER(SEARCH("driedpeas",F9)),ISNUMBER(SEARCH("sugarbeet",F9)))=TRUE),ISNUMBER(SEARCH("osr",F8))=TRUE),0,
IF(AND((OR((ISNUMBER(SEARCH("wheat",F9))),ISNUMBER(SEARCH("linseed",F9)),ISNUMBER(SEARCH("driedpeas",F9)),ISNUMBER(SEARCH("osr",F9)))=TRUE),F8="sugarbeet"),0,
IF(AND((OR((ISNUMBER(SEARCH("osr",F9))),ISNUMBER(SEARCH("linseed",F9)))=TRUE),ISNUMBER(SEARCH("beans",F8))=TRUE),0,
IF(AND(F9="wosr",ISNUMBER(SEARCH("linseed",F8))=TRUE),0,
IF(AND(F9="sugarbeet",F8="warepotatoes"),0,
1)))))))))),
IF(AND(ISNUMBER(SEARCH("wheat",F9))=TRUE,ISNUMBER(SEARCH("Barley",F14))=TRUE),0.89,
IF(AND(ISNUMBER(SEARCH("wheat",F9))=TRUE,F14="setaside"),0.94,
IF(AND(ISNUMBER(SEARCH("barley",F9))=TRUE,ISNUMBER(SEARCH("wheat",F14))=TRUE),0.89,
IF(AND(F9="winterbarley",F14="setaside"),0.94,
IF(AND(F9="sugarbeet",F14="warepotatoes"),0.95,
IF(AND((OR(ISNUMBER(SEARCH("beans",F9)),ISNUMBER(SEARCH("driedpeas",F9)),ISNUMBER(SEARCH("sugarbeet",F9)))=TRUE),ISNUMBER(SEARCH("osr",F14))=TRUE),0,
IF(AND((OR((ISNUMBER(SEARCH("wheat",F9))),ISNUMBER(SEARCH("linseed",F9)),ISNUMBER(SEARCH("driedpeas",F9)),ISNUMBER(SEARCH("osr",F9)))=TRUE),F14="sugarbeet"),0,
IF(AND((OR((ISNUMBER(SEARCH("osr",F9))),ISNUMBER(SEARCH("linseed",F9)))=TRUE),ISNUMBER(SEARCH("beans",F14))=TRUE),0,
IF(AND(F9="wosr",ISNUMBER(SEARCH("linseed",F14))=TRUE),0,
IF(AND(F9="sugarbeet",F14="warepotatoes"),0,
1)))))))))))
*IF(OR(ISNUMBER(SEARCH("wheat",F9)),ISNUMBER(SEARCH("barley",F9)),ISNUMBER(SEARCH("driedpeas",F9)),ISNUMBER(SEARCH("warepotatoes",F9)),ISNUMBER(SEARCH("osr",F9)),ISNUMBER(SEARCH("linseed",F9)),ISNUMBER(SEARCH("sugarbeet",F9))),
IF(COUNTIF(B4:B8,B9)=5,
INDEX('CFT Specific Data'!$G$24:$L$39,MATCH(F9,'CFT Specific Data'!$F$24:$F$39,0),IF(COUNTIF(F4:F8,F9)=5,6,IF(COUNTIF(F5:F8,F9)=4,5,IF(COUNTIF(F6:F8,F9)=3,4,IF(COUNTIF(F7:F8,F9)=2,3,IF(F8=F9,2,1)))))),
IF(COUNTIF(B4:B8,B9)=4,
INDEX('CFT Specific Data'!$G$24:$L$39,MATCH(F9,'CFT Specific Data'!$F$24:$F$39,0),IF(SUM(COUNTIF(F5:F8,F9),COUNTIF(F10,F9))=5,6,IF(COUNTIF(F5:F8,F9)=4,5,IF(COUNTIF(F6:F8,F9)=3,4,IF(COUNTIF(F7:F8,F9)=2,3,IF(F8=F9,2,1)))))),
IF(COUNTIF(B4:B8,B9)=3,
INDEX('CFT Specific Data'!$G$24:$L$39,MATCH(F9,'CFT Specific Data'!$F$24:$F$39,0),IF(SUM(COUNTIF(F6:F8,F9),COUNTIF(F10:F11,F9))=5,6,IF(SUM(COUNTIF(F6:F8,F9),COUNTIF(F11,F9))=4,5,IF(COUNTIF(F6:F8,F9)=3,4,IF(COUNTIF(F7:F8,F9)=2,3,IF(F8=F9,2,1)))))),
IF(COUNTIF(B4:B8,B9)=2,
INDEX('CFT Specific Data'!$G$24:$L$39,MATCH(F9,'CFT Specific Data'!$F$24:$F$39,0),IF(SUM(COUNTIF(F7:F8,F9),COUNTIF(F10:F12,F9))=5,6,IF(SUM(COUNTIF(F7:F8,F9),COUNTIF(F11:F12,F9))=4,5,IF(SUM(COUNTIF(F7:F8,F9),COUNTIF(F12,F9))=3,4,IF(COUNTIF(F7:F8,F9)=2,3,IF(F8=F9,2,1)))))),
IF(COUNTIF(B4:B8,B9)=1,
INDEX('CFT Specific Data'!$G$24:$L$39,MATCH(F9,'CFT Specific Data'!$F$24:$F$39,0),IF(SUM(COUNTIF(F8,F9),COUNTIF(F10:F13,F9))=5,6,IF(SUM(COUNTIF(F8,F9),COUNTIF(F11:F13,F9))=4,5,IF(SUM(COUNTIF(F8,F9),COUNTIF(F12:F13,F9))=3,4,IF(SUM(COUNTIF(F8,F9),COUNTIF(F13,F9))=2,3,IF(F8=F9,2,1)))))),
IF(COUNTIF(B4:B8,B9)=0,
INDEX('CFT Specific Data'!$G$24:$L$39,MATCH(F9,'CFT Specific Data'!$F$24:$F$39,0),IF(COUNTIF(F10:F14,F9)=5,6,IF(COUNTIF(F11:F14,F9)=4,5,IF(COUNTIF(F12:F14,F9)=3,4,IF(COUNTIF(F13:F14,F9)=2,3,IF(F14=F9,2,1)))))))))))),1)</f>
        <v>47.419200000000004</v>
      </c>
      <c r="I9" s="210" t="s">
        <v>348</v>
      </c>
      <c r="J9">
        <v>10</v>
      </c>
      <c r="K9" s="210" t="str">
        <f>VLOOKUP(F9,'CFT Specific Data'!$F$4:$G$19,2,FALSE)</f>
        <v>Barley</v>
      </c>
      <c r="L9" t="str">
        <f t="shared" si="1"/>
        <v>Fine</v>
      </c>
      <c r="M9">
        <f t="shared" si="2"/>
        <v>5.8479999999999999</v>
      </c>
      <c r="N9" t="str">
        <f t="shared" si="3"/>
        <v>5.16 &lt; SOM &lt;= 10.32</v>
      </c>
      <c r="O9" t="s">
        <v>349</v>
      </c>
      <c r="P9" t="s">
        <v>350</v>
      </c>
      <c r="Q9">
        <v>7</v>
      </c>
      <c r="R9" t="str">
        <f t="shared" si="5"/>
        <v>5.5 &lt; pH &lt;= 7.3</v>
      </c>
      <c r="S9" t="s">
        <v>351</v>
      </c>
      <c r="T9" s="210">
        <f t="array" ref="T9">_xlfn.SINGLE(INDEX('Focus Data NFertiliser Rate'!$D$4:$P$19,MATCH(F9,'Focus Data NFertiliser Rate'!$C$4:$C$19,0),_xlfn.SINGLE(_xlfn.IFS(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190</v>
      </c>
      <c r="U9" t="str">
        <f t="shared" si="4"/>
        <v>Apply in solution</v>
      </c>
      <c r="V9" s="210">
        <f t="array" ref="V9">_xlfn.SINGLE(INDEX('№ Fertiliser sprayings'!$D$4:$P$19,MATCH(F9,'№ Fertiliser sprayings'!$C$4:$C$19,0),_xlfn.SINGLE(_xlfn.IFS(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3</v>
      </c>
      <c r="W9" s="264">
        <f t="array" ref="W9">_xlfn.SINGLE(INDEX('Focus Data CFT NSpraying'!$D$4:$P$19,MATCH(F9,'Focus Data CFT NSpraying'!$C$4:$C$19,0),_xlfn.SINGLE(_xlfn.IFS(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9.16</v>
      </c>
      <c r="X9" t="s">
        <v>363</v>
      </c>
      <c r="Y9">
        <v>0</v>
      </c>
      <c r="Z9">
        <v>100</v>
      </c>
      <c r="AA9" t="s">
        <v>352</v>
      </c>
      <c r="AB9" s="226" t="str">
        <f>IF(B9=B8,_xlfn.IFS(
AND(AA9=Lists!$L$8,AA8=Lists!$L$8),Lists!$N$5,
AND(OR(AA9=Lists!$L$5,AA9=Lists!$L$7,AA9=Lists!$L$9,AA9=Lists!$L$10,AA9=Lists!$L$6),OR(AA8=Lists!$L$5,AA8=Lists!$L$7,AA8=Lists!$L$9,AA8=Lists!$L$10,AA8=Lists!$L$6)),Lists!$N$5,
AND(AA9=Lists!$L$8,OR(AA8=Lists!$L$5,AA8=Lists!$L$7,AA8=Lists!$L$9,AA8=Lists!$L$10,AA8=Lists!$L$6)),Lists!$N$6,
AND(OR(AA9=Lists!$L$5,AA9=Lists!$L$6,AA9=Lists!$L$7,AA9=Lists!$L$9,AA9=Lists!$L$10),AA8=Lists!$L$8),Lists!$N$7),
_xlfn.IFS(
AND(AA9=Lists!$L$8,AA14=Lists!$L$8),Lists!$N$5,
AND(OR(AA9=Lists!$L$5,AA9=Lists!$L$7,AA9=Lists!$L$9,AA9=Lists!$L$10,AA9=Lists!$L$6),OR(AA14=Lists!$L$5,AA14=Lists!$L$7,AA14=Lists!$L$9,AA14=Lists!$L$10,AA14=Lists!$L$6)),Lists!$N$5,
AND(AA9=Lists!$L$8,OR(AA14=Lists!$L$5,AA14=Lists!$L$7,AA14=Lists!$L$9,AA14=Lists!$L$10,AA14=Lists!$L$6)),Lists!$N$6,
AND(OR(AA9=Lists!$L$5,AA9=Lists!$L$7,AA9=Lists!$L$9,AA9=Lists!$L$10),AA14=Lists!$L$8),Lists!$N$7))</f>
        <v>no change</v>
      </c>
      <c r="AC9">
        <v>0</v>
      </c>
      <c r="AD9">
        <v>0</v>
      </c>
      <c r="AE9" s="102">
        <f t="array" ref="AE9">IF(OR(ISNUMBER(SEARCH("heavy",A9))=TRUE, ISNUMBER(SEARCH("medium",A9))=TRUE),
(LEN(_xlfn.SINGLE(
INDEX('Focus Data Tillage by farm'!$D$4:$P$9,MATCH(D9,'Focus Data Tillage by farm'!$C$4:$C$9,0),_xlfn.SINGLE(_xlfn.IFS(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-LEN(SUBSTITUTE(_xlfn.SINGLE(
INDEX('Focus Data Tillage by farm'!$D$4:$P$9,MATCH(D9,'Focus Data Tillage by farm'!$C$4:$C$9,0),_xlfn.SINGLE(_xlfn.IFS(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"disc","")))/LEN("disc"),
(LEN(_xlfn.SINGLE(
INDEX('Focus Data Tillage by farm'!$D$12:$P$17,MATCH(D9,'Focus Data Tillage by farm'!$C$12:$C$17,0),_xlfn.SINGLE(_xlfn.IFS(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-LEN(SUBSTITUTE(_xlfn.SINGLE(
INDEX('Focus Data Tillage by farm'!$D$12:$P$17,MATCH(D9,'Focus Data Tillage by farm'!$C$12:$C$17,0),_xlfn.SINGLE(_xlfn.IFS(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"disc","")))/LEN("disc"))</f>
        <v>2</v>
      </c>
      <c r="AF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"field cultivator","")))/LEN("field cultivator"),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"field cultivator","")))/LEN("field cultivator"))</f>
        <v>0</v>
      </c>
      <c r="AG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"grain drill","")))/LEN("grain drill"),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"grain drill","")))/LEN("grain drill"))</f>
        <v>1</v>
      </c>
      <c r="AH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"minimum tillage","")))/LEN("minimum tillage"),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"minimum tillage","")))/LEN("minimum tillage"))</f>
        <v>0</v>
      </c>
      <c r="AI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"row crop planter","")))/LEN("row crop planter"),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"row crop planter","")))/LEN("row crop planter"))</f>
        <v>0</v>
      </c>
      <c r="AJ9" s="102">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"plough","")))/LEN("plough"),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"plough","")))/LEN("plough"))</f>
        <v>0</v>
      </c>
      <c r="AK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harrow","")))/LEN("roller harrow"),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harrow","")))/LEN("roller harrow"))</f>
        <v>0</v>
      </c>
      <c r="AL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packer","")))/LEN("roller packer"),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"roller packer","")))/LEN("roller packer"))</f>
        <v>2</v>
      </c>
      <c r="AM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"rotary hoe","")))/LEN("rotary hoe"),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"rotary hoe","")))/LEN("rotary hoe"))</f>
        <v>0</v>
      </c>
      <c r="AN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"subsoil","")))/LEN("subsoil"),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"subsoil","")))/LEN("subsoil"))</f>
        <v>0</v>
      </c>
      <c r="AO9">
        <f>IF(OR(ISNUMBER(SEARCH("heavy",A9))=TRUE, ISNUMBER(SEARCH("medium",A9))=TRUE),
(LEN(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farm'!$D$4:$P$9,MATCH(D9,'Focus Data Tillage by farm'!$C$4:$C$9,0),_xlfn.IFS(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"tine harrow","")))/LEN("tine harrow"),
(LEN(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-LEN(SUBSTITUTE(
INDEX('Focus Data Tillage by farm'!$D$12:$P$17,MATCH(D9,'Focus Data Tillage by farm'!$C$12:$C$17,0),_xlfn.IFS(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
"tine harrow","")))/LEN("tine harrow"))</f>
        <v>0</v>
      </c>
      <c r="AP9" s="102">
        <f>INDEX('Focus Data NSpraying'!$D$4:$P$19,MATCH(F9,'Focus Data NSpraying'!$C$4:$C$19,0),_xlfn.IFS(
AND(ISNUMBER(SEARCH("H-Dsty.",A9))=TRUE,ISNUMBER(SEARCH("H-Res",A9))=TRUE,ISNUMBER(SEARCH("E.",A9))=TRUE),1,
AND(ISNUMBER(SEARCH("H-Dsty.",A9))=TRUE,ISNUMBER(SEARCH("H-Res",A9))=TRUE,OR(ISNUMBER(SEARCH("N.he",A9))=TRUE,ISNUMBER(SEARCH("N.me",A9))=TRUE,ISNUMBER(SEARCH("N.li",A9))=TRUE)),2,
AND(ISNUMBER(SEARCH("H-Dsty.",A9))=TRUE,ISNUMBER(SEARCH("H-Res",A9))=TRUE,ISNUMBER(SEARCH("C.",A9))=TRUE),3,
AND(ISNUMBER(SEARCH("L-Dsty.",A9))=TRUE,ISNUMBER(SEARCH("H-Res",A9))=TRUE,ISNUMBER(SEARCH("E.",A9))=TRUE),6,
AND(ISNUMBER(SEARCH("L-Dsty.",A9))=TRUE,ISNUMBER(SEARCH("H-Res",A9))=TRUE,OR(ISNUMBER(SEARCH("N.he",A9))=TRUE,ISNUMBER(SEARCH("N.me",A9))=TRUE,ISNUMBER(SEARCH("N.li",A9))=TRUE)),7,
AND(ISNUMBER(SEARCH("L-Dsty.",A9))=TRUE,ISNUMBER(SEARCH("H-Res",A9))=TRUE,ISNUMBER(SEARCH("C.",A9))=TRUE),8,
AND(ISNUMBER(SEARCH("L-Dsty.",A9))=TRUE,ISNUMBER(SEARCH("L-Res",A9))=TRUE,ISNUMBER(SEARCH("E.",A9))=TRUE),11,
AND(ISNUMBER(SEARCH("L-Dsty.",A9))=TRUE,ISNUMBER(SEARCH("L-Res",A9))=TRUE,OR(ISNUMBER(SEARCH("N.he",A9))=TRUE,ISNUMBER(SEARCH("N.me",A9))=TRUE,ISNUMBER(SEARCH("N.li",A9))=TRUE)),12,
AND(ISNUMBER(SEARCH("L-Dsty.",A9))=TRUE,ISNUMBER(SEARCH("L-Res",A9))=TRUE,ISNUMBER(SEARCH("C.",A9))=TRUE),13))</f>
        <v>3</v>
      </c>
    </row>
    <row r="10" spans="1:42" x14ac:dyDescent="0.2">
      <c r="A10" t="s">
        <v>485</v>
      </c>
      <c r="B10" s="210" t="str">
        <f t="array" ref="B10">INDEX(ECOMOD_input_estimate!$A$2:$A$55, MATCH(CFT_input!$A10, ECOMOD_input_estimate!$B:$B, 0))</f>
        <v>FF_07.2</v>
      </c>
      <c r="C10" s="210">
        <v>2020</v>
      </c>
      <c r="D10" s="395" t="s">
        <v>1694</v>
      </c>
      <c r="E10" s="210" t="str">
        <f t="shared" si="0"/>
        <v>N.heavy.L-Dsty.H-Res</v>
      </c>
      <c r="F10" s="210" t="str">
        <f t="array" ref="F10">_xlfn.SINGLE(IF(OR(ISNUMBER(SEARCH("heavy",A10))=TRUE,ISNUMBER(SEARCH("medium",A10))=TRUE),
INDEX('Focus Data Crop Rotations'!$D$4:$P$9,MATCH(D10,'Focus Data Crop Rotations'!$C$4:$C$9,0),_xlfn.SINGLE(_xlfn.IFS(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INDEX('Focus Data Crop Rotations'!$D$12:$P$17,MATCH(D10,'Focus Data Crop Rotations'!$C$12:$C$17,0),_xlfn.SINGLE(_xlfn.IFS(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springbeans</v>
      </c>
      <c r="G10">
        <v>7.2</v>
      </c>
      <c r="H10" s="227">
        <f>VLOOKUP(F10,'CFT Specific Data'!$F$4:$H$19,3,FALSE)*G10*
IF(B10=B9,
IF(AND(ISNUMBER(SEARCH("wheat",F10))=TRUE,ISNUMBER(SEARCH("Barley",F9))=TRUE),0.89,
IF(AND(ISNUMBER(SEARCH("wheat",F10))=TRUE,F9="setaside"),0.94,
IF(AND(ISNUMBER(SEARCH("barley",F10))=TRUE,ISNUMBER(SEARCH("wheat",F9))=TRUE),0.89,
IF(AND(F10="winterbarley",F9="setaside"),0.94,
IF(AND(F10="sugarbeet",F9="warepotatoes"),0.95,
IF(AND((OR(ISNUMBER(SEARCH("beans",F10)),ISNUMBER(SEARCH("driedpeas",F10)),ISNUMBER(SEARCH("sugarbeet",F10)))=TRUE),ISNUMBER(SEARCH("osr",F9))=TRUE),0,
IF(AND((OR((ISNUMBER(SEARCH("wheat",F10))),ISNUMBER(SEARCH("linseed",F10)),ISNUMBER(SEARCH("driedpeas",F10)),ISNUMBER(SEARCH("osr",F10)))=TRUE),F9="sugarbeet"),0,
IF(AND((OR((ISNUMBER(SEARCH("osr",F10))),ISNUMBER(SEARCH("linseed",F10)))=TRUE),ISNUMBER(SEARCH("beans",F9))=TRUE),0,
IF(AND(F10="wosr",ISNUMBER(SEARCH("linseed",F9))=TRUE),0,
IF(AND(F10="sugarbeet",F9="warepotatoes"),0,
1)))))))))),
IF(AND(ISNUMBER(SEARCH("wheat",F10))=TRUE,ISNUMBER(SEARCH("Barley",F15))=TRUE),0.89,
IF(AND(ISNUMBER(SEARCH("wheat",F10))=TRUE,F15="setaside"),0.94,
IF(AND(ISNUMBER(SEARCH("barley",F10))=TRUE,ISNUMBER(SEARCH("wheat",F15))=TRUE),0.89,
IF(AND(F10="winterbarley",F15="setaside"),0.94,
IF(AND(F10="sugarbeet",F15="warepotatoes"),0.95,
IF(AND((OR(ISNUMBER(SEARCH("beans",F10)),ISNUMBER(SEARCH("driedpeas",F10)),ISNUMBER(SEARCH("sugarbeet",F10)))=TRUE),ISNUMBER(SEARCH("osr",F15))=TRUE),0,
IF(AND((OR((ISNUMBER(SEARCH("wheat",F10))),ISNUMBER(SEARCH("linseed",F10)),ISNUMBER(SEARCH("driedpeas",F10)),ISNUMBER(SEARCH("osr",F10)))=TRUE),F15="sugarbeet"),0,
IF(AND((OR((ISNUMBER(SEARCH("osr",F10))),ISNUMBER(SEARCH("linseed",F10)))=TRUE),ISNUMBER(SEARCH("beans",F15))=TRUE),0,
IF(AND(F10="wosr",ISNUMBER(SEARCH("linseed",F15))=TRUE),0,
IF(AND(F10="sugarbeet",F15="warepotatoes"),0,
1)))))))))))
*IF(OR(ISNUMBER(SEARCH("wheat",F10)),ISNUMBER(SEARCH("barley",F10)),ISNUMBER(SEARCH("driedpeas",F10)),ISNUMBER(SEARCH("warepotatoes",F10)),ISNUMBER(SEARCH("osr",F10)),ISNUMBER(SEARCH("linseed",F10)),ISNUMBER(SEARCH("sugarbeet",F10))),
IF(COUNTIF(B5:B9,B10)=5,
INDEX('CFT Specific Data'!$G$24:$L$39,MATCH(F10,'CFT Specific Data'!$F$24:$F$39,0),IF(COUNTIF(F5:F9,F10)=5,6,IF(COUNTIF(F6:F9,F10)=4,5,IF(COUNTIF(F7:F9,F10)=3,4,IF(COUNTIF(F8:F9,F10)=2,3,IF(F9=F10,2,1)))))),
IF(COUNTIF(B5:B9,B10)=4,
INDEX('CFT Specific Data'!$G$24:$L$39,MATCH(F10,'CFT Specific Data'!$F$24:$F$39,0),IF(SUM(COUNTIF(F6:F9,F10),COUNTIF(F11,F10))=5,6,IF(COUNTIF(F6:F9,F10)=4,5,IF(COUNTIF(F7:F9,F10)=3,4,IF(COUNTIF(F8:F9,F10)=2,3,IF(F9=F10,2,1)))))),
IF(COUNTIF(B5:B9,B10)=3,
INDEX('CFT Specific Data'!$G$24:$L$39,MATCH(F10,'CFT Specific Data'!$F$24:$F$39,0),IF(SUM(COUNTIF(F7:F9,F10),COUNTIF(F11:F12,F10))=5,6,IF(SUM(COUNTIF(F7:F9,F10),COUNTIF(F12,F10))=4,5,IF(COUNTIF(F7:F9,F10)=3,4,IF(COUNTIF(F8:F9,F10)=2,3,IF(F9=F10,2,1)))))),
IF(COUNTIF(B5:B9,B10)=2,
INDEX('CFT Specific Data'!$G$24:$L$39,MATCH(F10,'CFT Specific Data'!$F$24:$F$39,0),IF(SUM(COUNTIF(F8:F9,F10),COUNTIF(F11:F13,F10))=5,6,IF(SUM(COUNTIF(F8:F9,F10),COUNTIF(F12:F13,F10))=4,5,IF(SUM(COUNTIF(F8:F9,F10),COUNTIF(F13,F10))=3,4,IF(COUNTIF(F8:F9,F10)=2,3,IF(F9=F10,2,1)))))),
IF(COUNTIF(B5:B9,B10)=1,
INDEX('CFT Specific Data'!$G$24:$L$39,MATCH(F10,'CFT Specific Data'!$F$24:$F$39,0),IF(SUM(COUNTIF(F9,F10),COUNTIF(F11:F14,F10))=5,6,IF(SUM(COUNTIF(F9,F10),COUNTIF(F12:F14,F10))=4,5,IF(SUM(COUNTIF(F9,F10),COUNTIF(F13:F14,F10))=3,4,IF(SUM(COUNTIF(F9,F10),COUNTIF(F14,F10))=2,3,IF(F9=F10,2,1)))))),
IF(COUNTIF(B5:B9,B10)=0,
INDEX('CFT Specific Data'!$G$24:$L$39,MATCH(F10,'CFT Specific Data'!$F$24:$F$39,0),IF(COUNTIF(F11:F15,F10)=5,6,IF(COUNTIF(F12:F15,F10)=4,5,IF(COUNTIF(F13:F15,F10)=3,4,IF(COUNTIF(F14:F15,F10)=2,3,IF(F15=F10,2,1)))))))))))),1)</f>
        <v>28.08</v>
      </c>
      <c r="I10" s="210" t="s">
        <v>348</v>
      </c>
      <c r="J10">
        <v>10</v>
      </c>
      <c r="K10" s="210" t="str">
        <f>VLOOKUP(F10,'CFT Specific Data'!$F$4:$G$19,2,FALSE)</f>
        <v>Other legume</v>
      </c>
      <c r="L10" t="str">
        <f t="shared" si="1"/>
        <v>Fine</v>
      </c>
      <c r="M10">
        <f t="shared" si="2"/>
        <v>5.8479999999999999</v>
      </c>
      <c r="N10" t="str">
        <f t="shared" si="3"/>
        <v>5.16 &lt; SOM &lt;= 10.32</v>
      </c>
      <c r="O10" t="s">
        <v>349</v>
      </c>
      <c r="P10" t="s">
        <v>350</v>
      </c>
      <c r="Q10">
        <v>7</v>
      </c>
      <c r="R10" t="str">
        <f t="shared" si="5"/>
        <v>5.5 &lt; pH &lt;= 7.3</v>
      </c>
      <c r="S10" t="s">
        <v>351</v>
      </c>
      <c r="T10" s="210">
        <f t="array" ref="T10">_xlfn.SINGLE(INDEX('Focus Data NFertiliser Rate'!$D$4:$P$19,MATCH(F10,'Focus Data NFertiliser Rate'!$C$4:$C$19,0),_xlfn.SINGLE(_xlfn.IFS(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0</v>
      </c>
      <c r="U10">
        <f t="shared" si="4"/>
        <v>0</v>
      </c>
      <c r="V10" s="210">
        <f t="array" ref="V10">_xlfn.SINGLE(INDEX('№ Fertiliser sprayings'!$D$4:$P$19,MATCH(F10,'№ Fertiliser sprayings'!$C$4:$C$19,0),_xlfn.SINGLE(_xlfn.IFS(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0</v>
      </c>
      <c r="W10" s="264">
        <f t="array" ref="W10">_xlfn.SINGLE(INDEX('Focus Data CFT NSpraying'!$D$4:$P$19,MATCH(F10,'Focus Data CFT NSpraying'!$C$4:$C$19,0),_xlfn.SINGLE(_xlfn.IFS(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6.5750000000000002</v>
      </c>
      <c r="X10" t="s">
        <v>363</v>
      </c>
      <c r="Y10">
        <v>0</v>
      </c>
      <c r="Z10">
        <v>100</v>
      </c>
      <c r="AA10" t="s">
        <v>352</v>
      </c>
      <c r="AB10" s="226" t="str">
        <f>IF(B10=B9,_xlfn.IFS(
AND(AA10=Lists!$L$8,AA9=Lists!$L$8),Lists!$N$5,
AND(OR(AA10=Lists!$L$5,AA10=Lists!$L$7,AA10=Lists!$L$9,AA10=Lists!$L$10,AA10=Lists!$L$6),OR(AA9=Lists!$L$5,AA9=Lists!$L$7,AA9=Lists!$L$9,AA9=Lists!$L$10,AA9=Lists!$L$6)),Lists!$N$5,
AND(AA10=Lists!$L$8,OR(AA9=Lists!$L$5,AA9=Lists!$L$7,AA9=Lists!$L$9,AA9=Lists!$L$10,AA9=Lists!$L$6)),Lists!$N$6,
AND(OR(AA10=Lists!$L$5,AA10=Lists!$L$6,AA10=Lists!$L$7,AA10=Lists!$L$9,AA10=Lists!$L$10),AA9=Lists!$L$8),Lists!$N$7),
_xlfn.IFS(
AND(AA10=Lists!$L$8,AA15=Lists!$L$8),Lists!$N$5,
AND(OR(AA10=Lists!$L$5,AA10=Lists!$L$7,AA10=Lists!$L$9,AA10=Lists!$L$10,AA10=Lists!$L$6),OR(AA15=Lists!$L$5,AA15=Lists!$L$7,AA15=Lists!$L$9,AA15=Lists!$L$10,AA15=Lists!$L$6)),Lists!$N$5,
AND(AA10=Lists!$L$8,OR(AA15=Lists!$L$5,AA15=Lists!$L$7,AA15=Lists!$L$9,AA15=Lists!$L$10,AA15=Lists!$L$6)),Lists!$N$6,
AND(OR(AA10=Lists!$L$5,AA10=Lists!$L$7,AA10=Lists!$L$9,AA10=Lists!$L$10),AA15=Lists!$L$8),Lists!$N$7))</f>
        <v>no change</v>
      </c>
      <c r="AC10">
        <v>0</v>
      </c>
      <c r="AD10">
        <v>0</v>
      </c>
      <c r="AE10" s="102">
        <f t="array" ref="AE10">IF(OR(ISNUMBER(SEARCH("heavy",A10))=TRUE, ISNUMBER(SEARCH("medium",A10))=TRUE),
(LEN(_xlfn.SINGLE(
INDEX('Focus Data Tillage by farm'!$D$4:$P$9,MATCH(D10,'Focus Data Tillage by farm'!$C$4:$C$9,0),_xlfn.SINGLE(_xlfn.IFS(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-LEN(SUBSTITUTE(_xlfn.SINGLE(
INDEX('Focus Data Tillage by farm'!$D$4:$P$9,MATCH(D10,'Focus Data Tillage by farm'!$C$4:$C$9,0),_xlfn.SINGLE(_xlfn.IFS(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"disc","")))/LEN("disc"),
(LEN(_xlfn.SINGLE(
INDEX('Focus Data Tillage by farm'!$D$12:$P$17,MATCH(D10,'Focus Data Tillage by farm'!$C$12:$C$17,0),_xlfn.SINGLE(_xlfn.IFS(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-LEN(SUBSTITUTE(_xlfn.SINGLE(
INDEX('Focus Data Tillage by farm'!$D$12:$P$17,MATCH(D10,'Focus Data Tillage by farm'!$C$12:$C$17,0),_xlfn.SINGLE(_xlfn.IFS(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"disc","")))/LEN("disc"))</f>
        <v>2</v>
      </c>
      <c r="AF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"field cultivator","")))/LEN("field cultivator"),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"field cultivator","")))/LEN("field cultivator"))</f>
        <v>0</v>
      </c>
      <c r="AG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"grain drill","")))/LEN("grain drill"),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"grain drill","")))/LEN("grain drill"))</f>
        <v>1</v>
      </c>
      <c r="AH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"minimum tillage","")))/LEN("minimum tillage"),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"minimum tillage","")))/LEN("minimum tillage"))</f>
        <v>0</v>
      </c>
      <c r="AI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"row crop planter","")))/LEN("row crop planter"),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"row crop planter","")))/LEN("row crop planter"))</f>
        <v>0</v>
      </c>
      <c r="AJ10" s="102">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"plough","")))/LEN("plough"),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"plough","")))/LEN("plough"))</f>
        <v>0</v>
      </c>
      <c r="AK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harrow","")))/LEN("roller harrow"),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harrow","")))/LEN("roller harrow"))</f>
        <v>0</v>
      </c>
      <c r="AL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packer","")))/LEN("roller packer"),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"roller packer","")))/LEN("roller packer"))</f>
        <v>2</v>
      </c>
      <c r="AM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"rotary hoe","")))/LEN("rotary hoe"),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"rotary hoe","")))/LEN("rotary hoe"))</f>
        <v>0</v>
      </c>
      <c r="AN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"subsoil","")))/LEN("subsoil"),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"subsoil","")))/LEN("subsoil"))</f>
        <v>0</v>
      </c>
      <c r="AO10">
        <f>IF(OR(ISNUMBER(SEARCH("heavy",A10))=TRUE, ISNUMBER(SEARCH("medium",A10))=TRUE),
(LEN(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farm'!$D$4:$P$9,MATCH(D10,'Focus Data Tillage by farm'!$C$4:$C$9,0),_xlfn.IFS(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"tine harrow","")))/LEN("tine harrow"),
(LEN(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-LEN(SUBSTITUTE(
INDEX('Focus Data Tillage by farm'!$D$12:$P$17,MATCH(D10,'Focus Data Tillage by farm'!$C$12:$C$17,0),_xlfn.IFS(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
"tine harrow","")))/LEN("tine harrow"))</f>
        <v>0</v>
      </c>
      <c r="AP10" s="102">
        <f>INDEX('Focus Data NSpraying'!$D$4:$P$19,MATCH(F10,'Focus Data NSpraying'!$C$4:$C$19,0),_xlfn.IFS(
AND(ISNUMBER(SEARCH("H-Dsty.",A10))=TRUE,ISNUMBER(SEARCH("H-Res",A10))=TRUE,ISNUMBER(SEARCH("E.",A10))=TRUE),1,
AND(ISNUMBER(SEARCH("H-Dsty.",A10))=TRUE,ISNUMBER(SEARCH("H-Res",A10))=TRUE,OR(ISNUMBER(SEARCH("N.he",A10))=TRUE,ISNUMBER(SEARCH("N.me",A10))=TRUE,ISNUMBER(SEARCH("N.li",A10))=TRUE)),2,
AND(ISNUMBER(SEARCH("H-Dsty.",A10))=TRUE,ISNUMBER(SEARCH("H-Res",A10))=TRUE,ISNUMBER(SEARCH("C.",A10))=TRUE),3,
AND(ISNUMBER(SEARCH("L-Dsty.",A10))=TRUE,ISNUMBER(SEARCH("H-Res",A10))=TRUE,ISNUMBER(SEARCH("E.",A10))=TRUE),6,
AND(ISNUMBER(SEARCH("L-Dsty.",A10))=TRUE,ISNUMBER(SEARCH("H-Res",A10))=TRUE,OR(ISNUMBER(SEARCH("N.he",A10))=TRUE,ISNUMBER(SEARCH("N.me",A10))=TRUE,ISNUMBER(SEARCH("N.li",A10))=TRUE)),7,
AND(ISNUMBER(SEARCH("L-Dsty.",A10))=TRUE,ISNUMBER(SEARCH("H-Res",A10))=TRUE,ISNUMBER(SEARCH("C.",A10))=TRUE),8,
AND(ISNUMBER(SEARCH("L-Dsty.",A10))=TRUE,ISNUMBER(SEARCH("L-Res",A10))=TRUE,ISNUMBER(SEARCH("E.",A10))=TRUE),11,
AND(ISNUMBER(SEARCH("L-Dsty.",A10))=TRUE,ISNUMBER(SEARCH("L-Res",A10))=TRUE,OR(ISNUMBER(SEARCH("N.he",A10))=TRUE,ISNUMBER(SEARCH("N.me",A10))=TRUE,ISNUMBER(SEARCH("N.li",A10))=TRUE)),12,
AND(ISNUMBER(SEARCH("L-Dsty.",A10))=TRUE,ISNUMBER(SEARCH("L-Res",A10))=TRUE,ISNUMBER(SEARCH("C.",A10))=TRUE),13))</f>
        <v>3</v>
      </c>
    </row>
    <row r="11" spans="1:42" x14ac:dyDescent="0.2">
      <c r="A11" t="s">
        <v>485</v>
      </c>
      <c r="B11" s="210" t="str">
        <f t="array" ref="B11">INDEX(ECOMOD_input_estimate!$A$2:$A$55, MATCH(CFT_input!$A11, ECOMOD_input_estimate!$B:$B, 0))</f>
        <v>FF_07.2</v>
      </c>
      <c r="C11" s="210">
        <v>2020</v>
      </c>
      <c r="D11" s="395" t="s">
        <v>1695</v>
      </c>
      <c r="E11" s="210" t="str">
        <f t="shared" si="0"/>
        <v>N.heavy.L-Dsty.H-Res</v>
      </c>
      <c r="F11" s="210" t="str">
        <f t="array" ref="F11">_xlfn.SINGLE(IF(OR(ISNUMBER(SEARCH("heavy",A11))=TRUE,ISNUMBER(SEARCH("medium",A11))=TRUE),
INDEX('Focus Data Crop Rotations'!$D$4:$P$9,MATCH(D11,'Focus Data Crop Rotations'!$C$4:$C$9,0),_xlfn.SINGLE(_xlfn.IFS(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INDEX('Focus Data Crop Rotations'!$D$12:$P$17,MATCH(D11,'Focus Data Crop Rotations'!$C$12:$C$17,0),_xlfn.SINGLE(_xlfn.IFS(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winterwheat</v>
      </c>
      <c r="G11">
        <v>7.2</v>
      </c>
      <c r="H11" s="227">
        <f>VLOOKUP(F11,'CFT Specific Data'!$F$4:$H$19,3,FALSE)*G11*
IF(B11=B10,
IF(AND(ISNUMBER(SEARCH("wheat",F11))=TRUE,ISNUMBER(SEARCH("Barley",F10))=TRUE),0.89,
IF(AND(ISNUMBER(SEARCH("wheat",F11))=TRUE,F10="setaside"),0.94,
IF(AND(ISNUMBER(SEARCH("barley",F11))=TRUE,ISNUMBER(SEARCH("wheat",F10))=TRUE),0.89,
IF(AND(F11="winterbarley",F10="setaside"),0.94,
IF(AND(F11="sugarbeet",F10="warepotatoes"),0.95,
IF(AND((OR(ISNUMBER(SEARCH("beans",F11)),ISNUMBER(SEARCH("driedpeas",F11)),ISNUMBER(SEARCH("sugarbeet",F11)))=TRUE),ISNUMBER(SEARCH("osr",F10))=TRUE),0,
IF(AND((OR((ISNUMBER(SEARCH("wheat",F11))),ISNUMBER(SEARCH("linseed",F11)),ISNUMBER(SEARCH("driedpeas",F11)),ISNUMBER(SEARCH("osr",F11)))=TRUE),F10="sugarbeet"),0,
IF(AND((OR((ISNUMBER(SEARCH("osr",F11))),ISNUMBER(SEARCH("linseed",F11)))=TRUE),ISNUMBER(SEARCH("beans",F10))=TRUE),0,
IF(AND(F11="wosr",ISNUMBER(SEARCH("linseed",F10))=TRUE),0,
IF(AND(F11="sugarbeet",F10="warepotatoes"),0,
1)))))))))),
IF(AND(ISNUMBER(SEARCH("wheat",F11))=TRUE,ISNUMBER(SEARCH("Barley",F16))=TRUE),0.89,
IF(AND(ISNUMBER(SEARCH("wheat",F11))=TRUE,F16="setaside"),0.94,
IF(AND(ISNUMBER(SEARCH("barley",F11))=TRUE,ISNUMBER(SEARCH("wheat",F16))=TRUE),0.89,
IF(AND(F11="winterbarley",F16="setaside"),0.94,
IF(AND(F11="sugarbeet",F16="warepotatoes"),0.95,
IF(AND((OR(ISNUMBER(SEARCH("beans",F11)),ISNUMBER(SEARCH("driedpeas",F11)),ISNUMBER(SEARCH("sugarbeet",F11)))=TRUE),ISNUMBER(SEARCH("osr",F16))=TRUE),0,
IF(AND((OR((ISNUMBER(SEARCH("wheat",F11))),ISNUMBER(SEARCH("linseed",F11)),ISNUMBER(SEARCH("driedpeas",F11)),ISNUMBER(SEARCH("osr",F11)))=TRUE),F16="sugarbeet"),0,
IF(AND((OR((ISNUMBER(SEARCH("osr",F11))),ISNUMBER(SEARCH("linseed",F11)))=TRUE),ISNUMBER(SEARCH("beans",F16))=TRUE),0,
IF(AND(F11="wosr",ISNUMBER(SEARCH("linseed",F16))=TRUE),0,
IF(AND(F11="sugarbeet",F16="warepotatoes"),0,
1)))))))))))
*IF(OR(ISNUMBER(SEARCH("wheat",F11)),ISNUMBER(SEARCH("barley",F11)),ISNUMBER(SEARCH("driedpeas",F11)),ISNUMBER(SEARCH("warepotatoes",F11)),ISNUMBER(SEARCH("osr",F11)),ISNUMBER(SEARCH("linseed",F11)),ISNUMBER(SEARCH("sugarbeet",F11))),
IF(COUNTIF(B6:B10,B11)=5,
INDEX('CFT Specific Data'!$G$24:$L$39,MATCH(F11,'CFT Specific Data'!$F$24:$F$39,0),IF(COUNTIF(F6:F10,F11)=5,6,IF(COUNTIF(F7:F10,F11)=4,5,IF(COUNTIF(F8:F10,F11)=3,4,IF(COUNTIF(F9:F10,F11)=2,3,IF(F10=F11,2,1)))))),
IF(COUNTIF(B6:B10,B11)=4,
INDEX('CFT Specific Data'!$G$24:$L$39,MATCH(F11,'CFT Specific Data'!$F$24:$F$39,0),IF(SUM(COUNTIF(F7:F10,F11),COUNTIF(F12,F11))=5,6,IF(COUNTIF(F7:F10,F11)=4,5,IF(COUNTIF(F8:F10,F11)=3,4,IF(COUNTIF(F9:F10,F11)=2,3,IF(F10=F11,2,1)))))),
IF(COUNTIF(B6:B10,B11)=3,
INDEX('CFT Specific Data'!$G$24:$L$39,MATCH(F11,'CFT Specific Data'!$F$24:$F$39,0),IF(SUM(COUNTIF(F8:F10,F11),COUNTIF(F12:F13,F11))=5,6,IF(SUM(COUNTIF(F8:F10,F11),COUNTIF(F13,F11))=4,5,IF(COUNTIF(F8:F10,F11)=3,4,IF(COUNTIF(F9:F10,F11)=2,3,IF(F10=F11,2,1)))))),
IF(COUNTIF(B6:B10,B11)=2,
INDEX('CFT Specific Data'!$G$24:$L$39,MATCH(F11,'CFT Specific Data'!$F$24:$F$39,0),IF(SUM(COUNTIF(F9:F10,F11),COUNTIF(F12:F14,F11))=5,6,IF(SUM(COUNTIF(F9:F10,F11),COUNTIF(F13:F14,F11))=4,5,IF(SUM(COUNTIF(F9:F10,F11),COUNTIF(F14,F11))=3,4,IF(COUNTIF(F9:F10,F11)=2,3,IF(F10=F11,2,1)))))),
IF(COUNTIF(B6:B10,B11)=1,
INDEX('CFT Specific Data'!$G$24:$L$39,MATCH(F11,'CFT Specific Data'!$F$24:$F$39,0),IF(SUM(COUNTIF(F10,F11),COUNTIF(F12:F15,F11))=5,6,IF(SUM(COUNTIF(F10,F11),COUNTIF(F13:F15,F11))=4,5,IF(SUM(COUNTIF(F10,F11),COUNTIF(F14:F15,F11))=3,4,IF(SUM(COUNTIF(F10,F11),COUNTIF(F15,F11))=2,3,IF(F10=F11,2,1)))))),
IF(COUNTIF(B6:B10,B11)=0,
INDEX('CFT Specific Data'!$G$24:$L$39,MATCH(F11,'CFT Specific Data'!$F$24:$F$39,0),IF(COUNTIF(F12:F16,F11)=5,6,IF(COUNTIF(F13:F16,F11)=4,5,IF(COUNTIF(F14:F16,F11)=3,4,IF(COUNTIF(F15:F16,F11)=2,3,IF(F16=F11,2,1)))))))))))),1)</f>
        <v>61.92</v>
      </c>
      <c r="I11" s="210" t="s">
        <v>348</v>
      </c>
      <c r="J11">
        <v>10</v>
      </c>
      <c r="K11" s="210" t="str">
        <f>VLOOKUP(F11,'CFT Specific Data'!$F$4:$G$19,2,FALSE)</f>
        <v>Winter wheat</v>
      </c>
      <c r="L11" t="str">
        <f t="shared" si="1"/>
        <v>Fine</v>
      </c>
      <c r="M11">
        <f t="shared" si="2"/>
        <v>5.8479999999999999</v>
      </c>
      <c r="N11" t="str">
        <f t="shared" si="3"/>
        <v>5.16 &lt; SOM &lt;= 10.32</v>
      </c>
      <c r="O11" t="s">
        <v>349</v>
      </c>
      <c r="P11" t="s">
        <v>350</v>
      </c>
      <c r="Q11">
        <v>7</v>
      </c>
      <c r="R11" t="str">
        <f t="shared" si="5"/>
        <v>5.5 &lt; pH &lt;= 7.3</v>
      </c>
      <c r="S11" t="s">
        <v>351</v>
      </c>
      <c r="T11" s="210">
        <f t="array" ref="T11">_xlfn.SINGLE(INDEX('Focus Data NFertiliser Rate'!$D$4:$P$19,MATCH(F11,'Focus Data NFertiliser Rate'!$C$4:$C$19,0),_xlfn.SINGLE(_xlfn.IFS(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220</v>
      </c>
      <c r="U11" t="str">
        <f t="shared" si="4"/>
        <v>Apply in solution</v>
      </c>
      <c r="V11" s="210">
        <f t="array" ref="V11">_xlfn.SINGLE(INDEX('№ Fertiliser sprayings'!$D$4:$P$19,MATCH(F11,'№ Fertiliser sprayings'!$C$4:$C$19,0),_xlfn.SINGLE(_xlfn.IFS(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3</v>
      </c>
      <c r="W11" s="264">
        <f t="array" ref="W11">_xlfn.SINGLE(INDEX('Focus Data CFT NSpraying'!$D$4:$P$19,MATCH(F11,'Focus Data CFT NSpraying'!$C$4:$C$19,0),_xlfn.SINGLE(_xlfn.IFS(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9.84</v>
      </c>
      <c r="X11" t="s">
        <v>363</v>
      </c>
      <c r="Y11">
        <v>0</v>
      </c>
      <c r="Z11">
        <v>100</v>
      </c>
      <c r="AA11" t="s">
        <v>352</v>
      </c>
      <c r="AB11" s="226" t="str">
        <f>IF(B11=B10,_xlfn.IFS(
AND(AA11=Lists!$L$8,AA10=Lists!$L$8),Lists!$N$5,
AND(OR(AA11=Lists!$L$5,AA11=Lists!$L$7,AA11=Lists!$L$9,AA11=Lists!$L$10,AA11=Lists!$L$6),OR(AA10=Lists!$L$5,AA10=Lists!$L$7,AA10=Lists!$L$9,AA10=Lists!$L$10,AA10=Lists!$L$6)),Lists!$N$5,
AND(AA11=Lists!$L$8,OR(AA10=Lists!$L$5,AA10=Lists!$L$7,AA10=Lists!$L$9,AA10=Lists!$L$10,AA10=Lists!$L$6)),Lists!$N$6,
AND(OR(AA11=Lists!$L$5,AA11=Lists!$L$6,AA11=Lists!$L$7,AA11=Lists!$L$9,AA11=Lists!$L$10),AA10=Lists!$L$8),Lists!$N$7),
_xlfn.IFS(
AND(AA11=Lists!$L$8,AA16=Lists!$L$8),Lists!$N$5,
AND(OR(AA11=Lists!$L$5,AA11=Lists!$L$7,AA11=Lists!$L$9,AA11=Lists!$L$10,AA11=Lists!$L$6),OR(AA16=Lists!$L$5,AA16=Lists!$L$7,AA16=Lists!$L$9,AA16=Lists!$L$10,AA16=Lists!$L$6)),Lists!$N$5,
AND(AA11=Lists!$L$8,OR(AA16=Lists!$L$5,AA16=Lists!$L$7,AA16=Lists!$L$9,AA16=Lists!$L$10,AA16=Lists!$L$6)),Lists!$N$6,
AND(OR(AA11=Lists!$L$5,AA11=Lists!$L$7,AA11=Lists!$L$9,AA11=Lists!$L$10),AA16=Lists!$L$8),Lists!$N$7))</f>
        <v>no change</v>
      </c>
      <c r="AC11">
        <v>0</v>
      </c>
      <c r="AD11">
        <v>0</v>
      </c>
      <c r="AE11" s="102">
        <f t="array" ref="AE11">IF(OR(ISNUMBER(SEARCH("heavy",A11))=TRUE, ISNUMBER(SEARCH("medium",A11))=TRUE),
(LEN(_xlfn.SINGLE(
INDEX('Focus Data Tillage by farm'!$D$4:$P$9,MATCH(D11,'Focus Data Tillage by farm'!$C$4:$C$9,0),_xlfn.SINGLE(_xlfn.IFS(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-LEN(SUBSTITUTE(_xlfn.SINGLE(
INDEX('Focus Data Tillage by farm'!$D$4:$P$9,MATCH(D11,'Focus Data Tillage by farm'!$C$4:$C$9,0),_xlfn.SINGLE(_xlfn.IFS(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"disc","")))/LEN("disc"),
(LEN(_xlfn.SINGLE(
INDEX('Focus Data Tillage by farm'!$D$12:$P$17,MATCH(D11,'Focus Data Tillage by farm'!$C$12:$C$17,0),_xlfn.SINGLE(_xlfn.IFS(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-LEN(SUBSTITUTE(_xlfn.SINGLE(
INDEX('Focus Data Tillage by farm'!$D$12:$P$17,MATCH(D11,'Focus Data Tillage by farm'!$C$12:$C$17,0),_xlfn.SINGLE(_xlfn.IFS(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"disc","")))/LEN("disc"))</f>
        <v>2</v>
      </c>
      <c r="AF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"field cultivator","")))/LEN("field cultivator"),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"field cultivator","")))/LEN("field cultivator"))</f>
        <v>0</v>
      </c>
      <c r="AG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"grain drill","")))/LEN("grain drill"),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"grain drill","")))/LEN("grain drill"))</f>
        <v>1</v>
      </c>
      <c r="AH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"minimum tillage","")))/LEN("minimum tillage"),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"minimum tillage","")))/LEN("minimum tillage"))</f>
        <v>0</v>
      </c>
      <c r="AI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"row crop planter","")))/LEN("row crop planter"),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"row crop planter","")))/LEN("row crop planter"))</f>
        <v>0</v>
      </c>
      <c r="AJ11" s="102">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"plough","")))/LEN("plough"),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"plough","")))/LEN("plough"))</f>
        <v>0</v>
      </c>
      <c r="AK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harrow","")))/LEN("roller harrow"),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harrow","")))/LEN("roller harrow"))</f>
        <v>0</v>
      </c>
      <c r="AL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packer","")))/LEN("roller packer"),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"roller packer","")))/LEN("roller packer"))</f>
        <v>2</v>
      </c>
      <c r="AM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"rotary hoe","")))/LEN("rotary hoe"),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"rotary hoe","")))/LEN("rotary hoe"))</f>
        <v>0</v>
      </c>
      <c r="AN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"subsoil","")))/LEN("subsoil"),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"subsoil","")))/LEN("subsoil"))</f>
        <v>0</v>
      </c>
      <c r="AO11">
        <f>IF(OR(ISNUMBER(SEARCH("heavy",A11))=TRUE, ISNUMBER(SEARCH("medium",A11))=TRUE),
(LEN(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farm'!$D$4:$P$9,MATCH(D11,'Focus Data Tillage by farm'!$C$4:$C$9,0),_xlfn.IFS(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"tine harrow","")))/LEN("tine harrow"),
(LEN(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-LEN(SUBSTITUTE(
INDEX('Focus Data Tillage by farm'!$D$12:$P$17,MATCH(D11,'Focus Data Tillage by farm'!$C$12:$C$17,0),_xlfn.IFS(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
"tine harrow","")))/LEN("tine harrow"))</f>
        <v>0</v>
      </c>
      <c r="AP11" s="102">
        <f>INDEX('Focus Data NSpraying'!$D$4:$P$19,MATCH(F11,'Focus Data NSpraying'!$C$4:$C$19,0),_xlfn.IFS(
AND(ISNUMBER(SEARCH("H-Dsty.",A11))=TRUE,ISNUMBER(SEARCH("H-Res",A11))=TRUE,ISNUMBER(SEARCH("E.",A11))=TRUE),1,
AND(ISNUMBER(SEARCH("H-Dsty.",A11))=TRUE,ISNUMBER(SEARCH("H-Res",A11))=TRUE,OR(ISNUMBER(SEARCH("N.he",A11))=TRUE,ISNUMBER(SEARCH("N.me",A11))=TRUE,ISNUMBER(SEARCH("N.li",A11))=TRUE)),2,
AND(ISNUMBER(SEARCH("H-Dsty.",A11))=TRUE,ISNUMBER(SEARCH("H-Res",A11))=TRUE,ISNUMBER(SEARCH("C.",A11))=TRUE),3,
AND(ISNUMBER(SEARCH("L-Dsty.",A11))=TRUE,ISNUMBER(SEARCH("H-Res",A11))=TRUE,ISNUMBER(SEARCH("E.",A11))=TRUE),6,
AND(ISNUMBER(SEARCH("L-Dsty.",A11))=TRUE,ISNUMBER(SEARCH("H-Res",A11))=TRUE,OR(ISNUMBER(SEARCH("N.he",A11))=TRUE,ISNUMBER(SEARCH("N.me",A11))=TRUE,ISNUMBER(SEARCH("N.li",A11))=TRUE)),7,
AND(ISNUMBER(SEARCH("L-Dsty.",A11))=TRUE,ISNUMBER(SEARCH("H-Res",A11))=TRUE,ISNUMBER(SEARCH("C.",A11))=TRUE),8,
AND(ISNUMBER(SEARCH("L-Dsty.",A11))=TRUE,ISNUMBER(SEARCH("L-Res",A11))=TRUE,ISNUMBER(SEARCH("E.",A11))=TRUE),11,
AND(ISNUMBER(SEARCH("L-Dsty.",A11))=TRUE,ISNUMBER(SEARCH("L-Res",A11))=TRUE,OR(ISNUMBER(SEARCH("N.he",A11))=TRUE,ISNUMBER(SEARCH("N.me",A11))=TRUE,ISNUMBER(SEARCH("N.li",A11))=TRUE)),12,
AND(ISNUMBER(SEARCH("L-Dsty.",A11))=TRUE,ISNUMBER(SEARCH("L-Res",A11))=TRUE,ISNUMBER(SEARCH("C.",A11))=TRUE),13))</f>
        <v>4</v>
      </c>
    </row>
    <row r="12" spans="1:42" x14ac:dyDescent="0.2">
      <c r="A12" t="s">
        <v>485</v>
      </c>
      <c r="B12" s="210" t="str">
        <f t="array" ref="B12">INDEX(ECOMOD_input_estimate!$A$2:$A$55, MATCH(CFT_input!$A12, ECOMOD_input_estimate!$B:$B, 0))</f>
        <v>FF_07.2</v>
      </c>
      <c r="C12" s="210">
        <v>2020</v>
      </c>
      <c r="D12" s="395" t="s">
        <v>1696</v>
      </c>
      <c r="E12" s="210" t="str">
        <f t="shared" si="0"/>
        <v>N.heavy.L-Dsty.H-Res</v>
      </c>
      <c r="F12" s="210" t="str">
        <f t="array" ref="F12">_xlfn.SINGLE(IF(OR(ISNUMBER(SEARCH("heavy",A12))=TRUE,ISNUMBER(SEARCH("medium",A12))=TRUE),
INDEX('Focus Data Crop Rotations'!$D$4:$P$9,MATCH(D12,'Focus Data Crop Rotations'!$C$4:$C$9,0),_xlfn.SINGLE(_xlfn.IFS(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INDEX('Focus Data Crop Rotations'!$D$12:$P$17,MATCH(D12,'Focus Data Crop Rotations'!$C$12:$C$17,0),_xlfn.SINGLE(_xlfn.IFS(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winterbarley</v>
      </c>
      <c r="G12">
        <v>7.2</v>
      </c>
      <c r="H12" s="227">
        <f>VLOOKUP(F12,'CFT Specific Data'!$F$4:$H$19,3,FALSE)*G12*
IF(B12=B11,
IF(AND(ISNUMBER(SEARCH("wheat",F12))=TRUE,ISNUMBER(SEARCH("Barley",F11))=TRUE),0.89,
IF(AND(ISNUMBER(SEARCH("wheat",F12))=TRUE,F11="setaside"),0.94,
IF(AND(ISNUMBER(SEARCH("barley",F12))=TRUE,ISNUMBER(SEARCH("wheat",F11))=TRUE),0.89,
IF(AND(F12="winterbarley",F11="setaside"),0.94,
IF(AND(F12="sugarbeet",F11="warepotatoes"),0.95,
IF(AND((OR(ISNUMBER(SEARCH("beans",F12)),ISNUMBER(SEARCH("driedpeas",F12)),ISNUMBER(SEARCH("sugarbeet",F12)))=TRUE),ISNUMBER(SEARCH("osr",F11))=TRUE),0,
IF(AND((OR((ISNUMBER(SEARCH("wheat",F12))),ISNUMBER(SEARCH("linseed",F12)),ISNUMBER(SEARCH("driedpeas",F12)),ISNUMBER(SEARCH("osr",F12)))=TRUE),F11="sugarbeet"),0,
IF(AND((OR((ISNUMBER(SEARCH("osr",F12))),ISNUMBER(SEARCH("linseed",F12)))=TRUE),ISNUMBER(SEARCH("beans",F11))=TRUE),0,
IF(AND(F12="wosr",ISNUMBER(SEARCH("linseed",F11))=TRUE),0,
IF(AND(F12="sugarbeet",F11="warepotatoes"),0,
1)))))))))),
IF(AND(ISNUMBER(SEARCH("wheat",F12))=TRUE,ISNUMBER(SEARCH("Barley",F17))=TRUE),0.89,
IF(AND(ISNUMBER(SEARCH("wheat",F12))=TRUE,F17="setaside"),0.94,
IF(AND(ISNUMBER(SEARCH("barley",F12))=TRUE,ISNUMBER(SEARCH("wheat",F17))=TRUE),0.89,
IF(AND(F12="winterbarley",F17="setaside"),0.94,
IF(AND(F12="sugarbeet",F17="warepotatoes"),0.95,
IF(AND((OR(ISNUMBER(SEARCH("beans",F12)),ISNUMBER(SEARCH("driedpeas",F12)),ISNUMBER(SEARCH("sugarbeet",F12)))=TRUE),ISNUMBER(SEARCH("osr",F17))=TRUE),0,
IF(AND((OR((ISNUMBER(SEARCH("wheat",F12))),ISNUMBER(SEARCH("linseed",F12)),ISNUMBER(SEARCH("driedpeas",F12)),ISNUMBER(SEARCH("osr",F12)))=TRUE),F17="sugarbeet"),0,
IF(AND((OR((ISNUMBER(SEARCH("osr",F12))),ISNUMBER(SEARCH("linseed",F12)))=TRUE),ISNUMBER(SEARCH("beans",F17))=TRUE),0,
IF(AND(F12="wosr",ISNUMBER(SEARCH("linseed",F17))=TRUE),0,
IF(AND(F12="sugarbeet",F17="warepotatoes"),0,
1)))))))))))
*IF(OR(ISNUMBER(SEARCH("wheat",F12)),ISNUMBER(SEARCH("barley",F12)),ISNUMBER(SEARCH("driedpeas",F12)),ISNUMBER(SEARCH("warepotatoes",F12)),ISNUMBER(SEARCH("osr",F12)),ISNUMBER(SEARCH("linseed",F12)),ISNUMBER(SEARCH("sugarbeet",F12))),
IF(COUNTIF(B7:B11,B12)=5,
INDEX('CFT Specific Data'!$G$24:$L$39,MATCH(F12,'CFT Specific Data'!$F$24:$F$39,0),IF(COUNTIF(F7:F11,F12)=5,6,IF(COUNTIF(F8:F11,F12)=4,5,IF(COUNTIF(F9:F11,F12)=3,4,IF(COUNTIF(F10:F11,F12)=2,3,IF(F11=F12,2,1)))))),
IF(COUNTIF(B7:B11,B12)=4,
INDEX('CFT Specific Data'!$G$24:$L$39,MATCH(F12,'CFT Specific Data'!$F$24:$F$39,0),IF(SUM(COUNTIF(F8:F11,F12),COUNTIF(F13,F12))=5,6,IF(COUNTIF(F8:F11,F12)=4,5,IF(COUNTIF(F9:F11,F12)=3,4,IF(COUNTIF(F10:F11,F12)=2,3,IF(F11=F12,2,1)))))),
IF(COUNTIF(B7:B11,B12)=3,
INDEX('CFT Specific Data'!$G$24:$L$39,MATCH(F12,'CFT Specific Data'!$F$24:$F$39,0),IF(SUM(COUNTIF(F9:F11,F12),COUNTIF(F13:F14,F12))=5,6,IF(SUM(COUNTIF(F9:F11,F12),COUNTIF(F14,F12))=4,5,IF(COUNTIF(F9:F11,F12)=3,4,IF(COUNTIF(F10:F11,F12)=2,3,IF(F11=F12,2,1)))))),
IF(COUNTIF(B7:B11,B12)=2,
INDEX('CFT Specific Data'!$G$24:$L$39,MATCH(F12,'CFT Specific Data'!$F$24:$F$39,0),IF(SUM(COUNTIF(F10:F11,F12),COUNTIF(F13:F15,F12))=5,6,IF(SUM(COUNTIF(F10:F11,F12),COUNTIF(F14:F15,F12))=4,5,IF(SUM(COUNTIF(F10:F11,F12),COUNTIF(F15,F12))=3,4,IF(COUNTIF(F10:F11,F12)=2,3,IF(F11=F12,2,1)))))),
IF(COUNTIF(B7:B11,B12)=1,
INDEX('CFT Specific Data'!$G$24:$L$39,MATCH(F12,'CFT Specific Data'!$F$24:$F$39,0),IF(SUM(COUNTIF(F11,F12),COUNTIF(F13:F16,F12))=5,6,IF(SUM(COUNTIF(F11,F12),COUNTIF(F14:F16,F12))=4,5,IF(SUM(COUNTIF(F11,F12),COUNTIF(F15:F16,F12))=3,4,IF(SUM(COUNTIF(F11,F12),COUNTIF(F16,F12))=2,3,IF(F11=F12,2,1)))))),
IF(COUNTIF(B7:B11,B12)=0,
INDEX('CFT Specific Data'!$G$24:$L$39,MATCH(F12,'CFT Specific Data'!$F$24:$F$39,0),IF(COUNTIF(F13:F17,F12)=5,6,IF(COUNTIF(F14:F17,F12)=4,5,IF(COUNTIF(F15:F17,F12)=3,4,IF(COUNTIF(F16:F17,F12)=2,3,IF(F17=F12,2,1)))))))))))),1)</f>
        <v>47.419200000000004</v>
      </c>
      <c r="I12" s="210" t="s">
        <v>348</v>
      </c>
      <c r="J12">
        <v>10</v>
      </c>
      <c r="K12" s="210" t="str">
        <f>VLOOKUP(F12,'CFT Specific Data'!$F$4:$G$19,2,FALSE)</f>
        <v>Barley</v>
      </c>
      <c r="L12" t="str">
        <f t="shared" si="1"/>
        <v>Fine</v>
      </c>
      <c r="M12">
        <f t="shared" si="2"/>
        <v>5.8479999999999999</v>
      </c>
      <c r="N12" t="str">
        <f t="shared" si="3"/>
        <v>5.16 &lt; SOM &lt;= 10.32</v>
      </c>
      <c r="O12" t="s">
        <v>349</v>
      </c>
      <c r="P12" t="s">
        <v>350</v>
      </c>
      <c r="Q12">
        <v>7</v>
      </c>
      <c r="R12" t="str">
        <f t="shared" si="5"/>
        <v>5.5 &lt; pH &lt;= 7.3</v>
      </c>
      <c r="S12" t="s">
        <v>351</v>
      </c>
      <c r="T12" s="210">
        <f t="array" ref="T12">_xlfn.SINGLE(INDEX('Focus Data NFertiliser Rate'!$D$4:$P$19,MATCH(F12,'Focus Data NFertiliser Rate'!$C$4:$C$19,0),_xlfn.SINGLE(_xlfn.IFS(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190</v>
      </c>
      <c r="U12" t="str">
        <f t="shared" si="4"/>
        <v>Apply in solution</v>
      </c>
      <c r="V12" s="210">
        <f t="array" ref="V12">_xlfn.SINGLE(INDEX('№ Fertiliser sprayings'!$D$4:$P$19,MATCH(F12,'№ Fertiliser sprayings'!$C$4:$C$19,0),_xlfn.SINGLE(_xlfn.IFS(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3</v>
      </c>
      <c r="W12" s="264">
        <f t="array" ref="W12">_xlfn.SINGLE(INDEX('Focus Data CFT NSpraying'!$D$4:$P$19,MATCH(F12,'Focus Data CFT NSpraying'!$C$4:$C$19,0),_xlfn.SINGLE(_xlfn.IFS(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9.16</v>
      </c>
      <c r="X12" t="s">
        <v>363</v>
      </c>
      <c r="Y12">
        <v>0</v>
      </c>
      <c r="Z12">
        <v>100</v>
      </c>
      <c r="AA12" t="s">
        <v>352</v>
      </c>
      <c r="AB12" s="226" t="str">
        <f>IF(B12=B11,_xlfn.IFS(
AND(AA12=Lists!$L$8,AA11=Lists!$L$8),Lists!$N$5,
AND(OR(AA12=Lists!$L$5,AA12=Lists!$L$7,AA12=Lists!$L$9,AA12=Lists!$L$10,AA12=Lists!$L$6),OR(AA11=Lists!$L$5,AA11=Lists!$L$7,AA11=Lists!$L$9,AA11=Lists!$L$10,AA11=Lists!$L$6)),Lists!$N$5,
AND(AA12=Lists!$L$8,OR(AA11=Lists!$L$5,AA11=Lists!$L$7,AA11=Lists!$L$9,AA11=Lists!$L$10,AA11=Lists!$L$6)),Lists!$N$6,
AND(OR(AA12=Lists!$L$5,AA12=Lists!$L$6,AA12=Lists!$L$7,AA12=Lists!$L$9,AA12=Lists!$L$10),AA11=Lists!$L$8),Lists!$N$7),
_xlfn.IFS(
AND(AA12=Lists!$L$8,AA17=Lists!$L$8),Lists!$N$5,
AND(OR(AA12=Lists!$L$5,AA12=Lists!$L$7,AA12=Lists!$L$9,AA12=Lists!$L$10,AA12=Lists!$L$6),OR(AA17=Lists!$L$5,AA17=Lists!$L$7,AA17=Lists!$L$9,AA17=Lists!$L$10,AA17=Lists!$L$6)),Lists!$N$5,
AND(AA12=Lists!$L$8,OR(AA17=Lists!$L$5,AA17=Lists!$L$7,AA17=Lists!$L$9,AA17=Lists!$L$10,AA17=Lists!$L$6)),Lists!$N$6,
AND(OR(AA12=Lists!$L$5,AA12=Lists!$L$7,AA12=Lists!$L$9,AA12=Lists!$L$10),AA17=Lists!$L$8),Lists!$N$7))</f>
        <v>no change</v>
      </c>
      <c r="AC12">
        <v>0</v>
      </c>
      <c r="AD12">
        <v>0</v>
      </c>
      <c r="AE12" s="102">
        <f t="array" ref="AE12">IF(OR(ISNUMBER(SEARCH("heavy",A12))=TRUE, ISNUMBER(SEARCH("medium",A12))=TRUE),
(LEN(_xlfn.SINGLE(
INDEX('Focus Data Tillage by farm'!$D$4:$P$9,MATCH(D12,'Focus Data Tillage by farm'!$C$4:$C$9,0),_xlfn.SINGLE(_xlfn.IFS(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-LEN(SUBSTITUTE(_xlfn.SINGLE(
INDEX('Focus Data Tillage by farm'!$D$4:$P$9,MATCH(D12,'Focus Data Tillage by farm'!$C$4:$C$9,0),_xlfn.SINGLE(_xlfn.IFS(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"disc","")))/LEN("disc"),
(LEN(_xlfn.SINGLE(
INDEX('Focus Data Tillage by farm'!$D$12:$P$17,MATCH(D12,'Focus Data Tillage by farm'!$C$12:$C$17,0),_xlfn.SINGLE(_xlfn.IFS(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-LEN(SUBSTITUTE(_xlfn.SINGLE(
INDEX('Focus Data Tillage by farm'!$D$12:$P$17,MATCH(D12,'Focus Data Tillage by farm'!$C$12:$C$17,0),_xlfn.SINGLE(_xlfn.IFS(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"disc","")))/LEN("disc"))</f>
        <v>2</v>
      </c>
      <c r="AF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"field cultivator","")))/LEN("field cultivator"),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"field cultivator","")))/LEN("field cultivator"))</f>
        <v>0</v>
      </c>
      <c r="AG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"grain drill","")))/LEN("grain drill"),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"grain drill","")))/LEN("grain drill"))</f>
        <v>1</v>
      </c>
      <c r="AH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"minimum tillage","")))/LEN("minimum tillage"),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"minimum tillage","")))/LEN("minimum tillage"))</f>
        <v>0</v>
      </c>
      <c r="AI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"row crop planter","")))/LEN("row crop planter"),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"row crop planter","")))/LEN("row crop planter"))</f>
        <v>0</v>
      </c>
      <c r="AJ12" s="10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"plough","")))/LEN("plough"),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"plough","")))/LEN("plough"))</f>
        <v>0</v>
      </c>
      <c r="AK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harrow","")))/LEN("roller harrow"),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harrow","")))/LEN("roller harrow"))</f>
        <v>0</v>
      </c>
      <c r="AL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packer","")))/LEN("roller packer"),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"roller packer","")))/LEN("roller packer"))</f>
        <v>2</v>
      </c>
      <c r="AM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"rotary hoe","")))/LEN("rotary hoe"),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"rotary hoe","")))/LEN("rotary hoe"))</f>
        <v>0</v>
      </c>
      <c r="AN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"subsoil","")))/LEN("subsoil"),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"subsoil","")))/LEN("subsoil"))</f>
        <v>0</v>
      </c>
      <c r="AO12">
        <f>IF(OR(ISNUMBER(SEARCH("heavy",A12))=TRUE, ISNUMBER(SEARCH("medium",A12))=TRUE),
(LEN(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farm'!$D$4:$P$9,MATCH(D12,'Focus Data Tillage by farm'!$C$4:$C$9,0),_xlfn.IFS(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"tine harrow","")))/LEN("tine harrow"),
(LEN(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-LEN(SUBSTITUTE(
INDEX('Focus Data Tillage by farm'!$D$12:$P$17,MATCH(D12,'Focus Data Tillage by farm'!$C$12:$C$17,0),_xlfn.IFS(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
"tine harrow","")))/LEN("tine harrow"))</f>
        <v>0</v>
      </c>
      <c r="AP12" s="102">
        <f>INDEX('Focus Data NSpraying'!$D$4:$P$19,MATCH(F12,'Focus Data NSpraying'!$C$4:$C$19,0),_xlfn.IFS(
AND(ISNUMBER(SEARCH("H-Dsty.",A12))=TRUE,ISNUMBER(SEARCH("H-Res",A12))=TRUE,ISNUMBER(SEARCH("E.",A12))=TRUE),1,
AND(ISNUMBER(SEARCH("H-Dsty.",A12))=TRUE,ISNUMBER(SEARCH("H-Res",A12))=TRUE,OR(ISNUMBER(SEARCH("N.he",A12))=TRUE,ISNUMBER(SEARCH("N.me",A12))=TRUE,ISNUMBER(SEARCH("N.li",A12))=TRUE)),2,
AND(ISNUMBER(SEARCH("H-Dsty.",A12))=TRUE,ISNUMBER(SEARCH("H-Res",A12))=TRUE,ISNUMBER(SEARCH("C.",A12))=TRUE),3,
AND(ISNUMBER(SEARCH("L-Dsty.",A12))=TRUE,ISNUMBER(SEARCH("H-Res",A12))=TRUE,ISNUMBER(SEARCH("E.",A12))=TRUE),6,
AND(ISNUMBER(SEARCH("L-Dsty.",A12))=TRUE,ISNUMBER(SEARCH("H-Res",A12))=TRUE,OR(ISNUMBER(SEARCH("N.he",A12))=TRUE,ISNUMBER(SEARCH("N.me",A12))=TRUE,ISNUMBER(SEARCH("N.li",A12))=TRUE)),7,
AND(ISNUMBER(SEARCH("L-Dsty.",A12))=TRUE,ISNUMBER(SEARCH("H-Res",A12))=TRUE,ISNUMBER(SEARCH("C.",A12))=TRUE),8,
AND(ISNUMBER(SEARCH("L-Dsty.",A12))=TRUE,ISNUMBER(SEARCH("L-Res",A12))=TRUE,ISNUMBER(SEARCH("E.",A12))=TRUE),11,
AND(ISNUMBER(SEARCH("L-Dsty.",A12))=TRUE,ISNUMBER(SEARCH("L-Res",A12))=TRUE,OR(ISNUMBER(SEARCH("N.he",A12))=TRUE,ISNUMBER(SEARCH("N.me",A12))=TRUE,ISNUMBER(SEARCH("N.li",A12))=TRUE)),12,
AND(ISNUMBER(SEARCH("L-Dsty.",A12))=TRUE,ISNUMBER(SEARCH("L-Res",A12))=TRUE,ISNUMBER(SEARCH("C.",A12))=TRUE),13))</f>
        <v>3</v>
      </c>
    </row>
    <row r="13" spans="1:42" x14ac:dyDescent="0.2">
      <c r="A13" t="s">
        <v>485</v>
      </c>
      <c r="B13" s="210" t="str">
        <f t="array" ref="B13">INDEX(ECOMOD_input_estimate!$A$2:$A$55, MATCH(CFT_input!$A13, ECOMOD_input_estimate!$B:$B, 0))</f>
        <v>FF_07.2</v>
      </c>
      <c r="C13" s="210">
        <v>2020</v>
      </c>
      <c r="D13" s="395" t="s">
        <v>735</v>
      </c>
      <c r="E13" s="210" t="str">
        <f t="shared" si="0"/>
        <v>N.heavy.L-Dsty.H-Res</v>
      </c>
      <c r="F13" s="210" t="str">
        <f t="array" ref="F13">_xlfn.SINGLE(IF(OR(ISNUMBER(SEARCH("heavy",A13))=TRUE,ISNUMBER(SEARCH("medium",A13))=TRUE),
INDEX('Focus Data Crop Rotations'!$D$4:$P$9,MATCH(D13,'Focus Data Crop Rotations'!$C$4:$C$9,0),_xlfn.SINGLE(_xlfn.IFS(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INDEX('Focus Data Crop Rotations'!$D$12:$P$17,MATCH(D13,'Focus Data Crop Rotations'!$C$12:$C$17,0),_xlfn.SINGLE(_xlfn.IFS(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springbeans</v>
      </c>
      <c r="G13">
        <v>7.2</v>
      </c>
      <c r="H13" s="227">
        <f>VLOOKUP(F13,'CFT Specific Data'!$F$4:$H$19,3,FALSE)*G13*
IF(B13=B12,
IF(AND(ISNUMBER(SEARCH("wheat",F13))=TRUE,ISNUMBER(SEARCH("Barley",F12))=TRUE),0.89,
IF(AND(ISNUMBER(SEARCH("wheat",F13))=TRUE,F12="setaside"),0.94,
IF(AND(ISNUMBER(SEARCH("barley",F13))=TRUE,ISNUMBER(SEARCH("wheat",F12))=TRUE),0.89,
IF(AND(F13="winterbarley",F12="setaside"),0.94,
IF(AND(F13="sugarbeet",F12="warepotatoes"),0.95,
IF(AND((OR(ISNUMBER(SEARCH("beans",F13)),ISNUMBER(SEARCH("driedpeas",F13)),ISNUMBER(SEARCH("sugarbeet",F13)))=TRUE),ISNUMBER(SEARCH("osr",F12))=TRUE),0,
IF(AND((OR((ISNUMBER(SEARCH("wheat",F13))),ISNUMBER(SEARCH("linseed",F13)),ISNUMBER(SEARCH("driedpeas",F13)),ISNUMBER(SEARCH("osr",F13)))=TRUE),F12="sugarbeet"),0,
IF(AND((OR((ISNUMBER(SEARCH("osr",F13))),ISNUMBER(SEARCH("linseed",F13)))=TRUE),ISNUMBER(SEARCH("beans",F12))=TRUE),0,
IF(AND(F13="wosr",ISNUMBER(SEARCH("linseed",F12))=TRUE),0,
IF(AND(F13="sugarbeet",F12="warepotatoes"),0,
1)))))))))),
IF(AND(ISNUMBER(SEARCH("wheat",F13))=TRUE,ISNUMBER(SEARCH("Barley",F18))=TRUE),0.89,
IF(AND(ISNUMBER(SEARCH("wheat",F13))=TRUE,F18="setaside"),0.94,
IF(AND(ISNUMBER(SEARCH("barley",F13))=TRUE,ISNUMBER(SEARCH("wheat",F18))=TRUE),0.89,
IF(AND(F13="winterbarley",F18="setaside"),0.94,
IF(AND(F13="sugarbeet",F18="warepotatoes"),0.95,
IF(AND((OR(ISNUMBER(SEARCH("beans",F13)),ISNUMBER(SEARCH("driedpeas",F13)),ISNUMBER(SEARCH("sugarbeet",F13)))=TRUE),ISNUMBER(SEARCH("osr",F18))=TRUE),0,
IF(AND((OR((ISNUMBER(SEARCH("wheat",F13))),ISNUMBER(SEARCH("linseed",F13)),ISNUMBER(SEARCH("driedpeas",F13)),ISNUMBER(SEARCH("osr",F13)))=TRUE),F18="sugarbeet"),0,
IF(AND((OR((ISNUMBER(SEARCH("osr",F13))),ISNUMBER(SEARCH("linseed",F13)))=TRUE),ISNUMBER(SEARCH("beans",F18))=TRUE),0,
IF(AND(F13="wosr",ISNUMBER(SEARCH("linseed",F18))=TRUE),0,
IF(AND(F13="sugarbeet",F18="warepotatoes"),0,
1)))))))))))
*IF(OR(ISNUMBER(SEARCH("wheat",F13)),ISNUMBER(SEARCH("barley",F13)),ISNUMBER(SEARCH("driedpeas",F13)),ISNUMBER(SEARCH("warepotatoes",F13)),ISNUMBER(SEARCH("osr",F13)),ISNUMBER(SEARCH("linseed",F13)),ISNUMBER(SEARCH("sugarbeet",F13))),
IF(COUNTIF(B8:B12,B13)=5,
INDEX('CFT Specific Data'!$G$24:$L$39,MATCH(F13,'CFT Specific Data'!$F$24:$F$39,0),IF(COUNTIF(F8:F12,F13)=5,6,IF(COUNTIF(F9:F12,F13)=4,5,IF(COUNTIF(F10:F12,F13)=3,4,IF(COUNTIF(F11:F12,F13)=2,3,IF(F12=F13,2,1)))))),
IF(COUNTIF(B8:B12,B13)=4,
INDEX('CFT Specific Data'!$G$24:$L$39,MATCH(F13,'CFT Specific Data'!$F$24:$F$39,0),IF(SUM(COUNTIF(F9:F12,F13),COUNTIF(F14,F13))=5,6,IF(COUNTIF(F9:F12,F13)=4,5,IF(COUNTIF(F10:F12,F13)=3,4,IF(COUNTIF(F11:F12,F13)=2,3,IF(F12=F13,2,1)))))),
IF(COUNTIF(B8:B12,B13)=3,
INDEX('CFT Specific Data'!$G$24:$L$39,MATCH(F13,'CFT Specific Data'!$F$24:$F$39,0),IF(SUM(COUNTIF(F10:F12,F13),COUNTIF(F14:F15,F13))=5,6,IF(SUM(COUNTIF(F10:F12,F13),COUNTIF(F15,F13))=4,5,IF(COUNTIF(F10:F12,F13)=3,4,IF(COUNTIF(F11:F12,F13)=2,3,IF(F12=F13,2,1)))))),
IF(COUNTIF(B8:B12,B13)=2,
INDEX('CFT Specific Data'!$G$24:$L$39,MATCH(F13,'CFT Specific Data'!$F$24:$F$39,0),IF(SUM(COUNTIF(F11:F12,F13),COUNTIF(F14:F16,F13))=5,6,IF(SUM(COUNTIF(F11:F12,F13),COUNTIF(F15:F16,F13))=4,5,IF(SUM(COUNTIF(F11:F12,F13),COUNTIF(F16,F13))=3,4,IF(COUNTIF(F11:F12,F13)=2,3,IF(F12=F13,2,1)))))),
IF(COUNTIF(B8:B12,B13)=1,
INDEX('CFT Specific Data'!$G$24:$L$39,MATCH(F13,'CFT Specific Data'!$F$24:$F$39,0),IF(SUM(COUNTIF(F12,F13),COUNTIF(F14:F17,F13))=5,6,IF(SUM(COUNTIF(F12,F13),COUNTIF(F15:F17,F13))=4,5,IF(SUM(COUNTIF(F12,F13),COUNTIF(F16:F17,F13))=3,4,IF(SUM(COUNTIF(F12,F13),COUNTIF(F17,F13))=2,3,IF(F12=F13,2,1)))))),
IF(COUNTIF(B8:B12,B13)=0,
INDEX('CFT Specific Data'!$G$24:$L$39,MATCH(F13,'CFT Specific Data'!$F$24:$F$39,0),IF(COUNTIF(F14:F18,F13)=5,6,IF(COUNTIF(F15:F18,F13)=4,5,IF(COUNTIF(F16:F18,F13)=3,4,IF(COUNTIF(F17:F18,F13)=2,3,IF(F18=F13,2,1)))))))))))),1)</f>
        <v>28.08</v>
      </c>
      <c r="I13" s="210" t="s">
        <v>348</v>
      </c>
      <c r="J13">
        <v>10</v>
      </c>
      <c r="K13" s="210" t="str">
        <f>VLOOKUP(F13,'CFT Specific Data'!$F$4:$G$19,2,FALSE)</f>
        <v>Other legume</v>
      </c>
      <c r="L13" t="str">
        <f t="shared" si="1"/>
        <v>Fine</v>
      </c>
      <c r="M13">
        <f t="shared" si="2"/>
        <v>5.8479999999999999</v>
      </c>
      <c r="N13" t="str">
        <f t="shared" si="3"/>
        <v>5.16 &lt; SOM &lt;= 10.32</v>
      </c>
      <c r="O13" t="s">
        <v>349</v>
      </c>
      <c r="P13" t="s">
        <v>350</v>
      </c>
      <c r="Q13">
        <v>7</v>
      </c>
      <c r="R13" t="str">
        <f t="shared" si="5"/>
        <v>5.5 &lt; pH &lt;= 7.3</v>
      </c>
      <c r="S13" t="s">
        <v>351</v>
      </c>
      <c r="T13" s="210">
        <f t="array" ref="T13">_xlfn.SINGLE(INDEX('Focus Data NFertiliser Rate'!$D$4:$P$19,MATCH(F13,'Focus Data NFertiliser Rate'!$C$4:$C$19,0),_xlfn.SINGLE(_xlfn.IFS(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0</v>
      </c>
      <c r="U13">
        <f t="shared" si="4"/>
        <v>0</v>
      </c>
      <c r="V13" s="210">
        <f t="array" ref="V13">_xlfn.SINGLE(INDEX('№ Fertiliser sprayings'!$D$4:$P$19,MATCH(F13,'№ Fertiliser sprayings'!$C$4:$C$19,0),_xlfn.SINGLE(_xlfn.IFS(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0</v>
      </c>
      <c r="W13" s="264">
        <f t="array" ref="W13">_xlfn.SINGLE(INDEX('Focus Data CFT NSpraying'!$D$4:$P$19,MATCH(F13,'Focus Data CFT NSpraying'!$C$4:$C$19,0),_xlfn.SINGLE(_xlfn.IFS(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6.5750000000000002</v>
      </c>
      <c r="X13" t="s">
        <v>363</v>
      </c>
      <c r="Y13">
        <v>0</v>
      </c>
      <c r="Z13">
        <v>100</v>
      </c>
      <c r="AA13" t="s">
        <v>352</v>
      </c>
      <c r="AB13" s="226" t="str">
        <f>IF(B13=B12,_xlfn.IFS(
AND(AA13=Lists!$L$8,AA12=Lists!$L$8),Lists!$N$5,
AND(OR(AA13=Lists!$L$5,AA13=Lists!$L$7,AA13=Lists!$L$9,AA13=Lists!$L$10,AA13=Lists!$L$6),OR(AA12=Lists!$L$5,AA12=Lists!$L$7,AA12=Lists!$L$9,AA12=Lists!$L$10,AA12=Lists!$L$6)),Lists!$N$5,
AND(AA13=Lists!$L$8,OR(AA12=Lists!$L$5,AA12=Lists!$L$7,AA12=Lists!$L$9,AA12=Lists!$L$10,AA12=Lists!$L$6)),Lists!$N$6,
AND(OR(AA13=Lists!$L$5,AA13=Lists!$L$6,AA13=Lists!$L$7,AA13=Lists!$L$9,AA13=Lists!$L$10),AA12=Lists!$L$8),Lists!$N$7),
_xlfn.IFS(
AND(AA13=Lists!$L$8,AA18=Lists!$L$8),Lists!$N$5,
AND(OR(AA13=Lists!$L$5,AA13=Lists!$L$7,AA13=Lists!$L$9,AA13=Lists!$L$10,AA13=Lists!$L$6),OR(AA18=Lists!$L$5,AA18=Lists!$L$7,AA18=Lists!$L$9,AA18=Lists!$L$10,AA18=Lists!$L$6)),Lists!$N$5,
AND(AA13=Lists!$L$8,OR(AA18=Lists!$L$5,AA18=Lists!$L$7,AA18=Lists!$L$9,AA18=Lists!$L$10,AA18=Lists!$L$6)),Lists!$N$6,
AND(OR(AA13=Lists!$L$5,AA13=Lists!$L$7,AA13=Lists!$L$9,AA13=Lists!$L$10),AA18=Lists!$L$8),Lists!$N$7))</f>
        <v>no change</v>
      </c>
      <c r="AC13">
        <v>0</v>
      </c>
      <c r="AD13">
        <v>0</v>
      </c>
      <c r="AE13" s="102">
        <f t="array" ref="AE13">IF(OR(ISNUMBER(SEARCH("heavy",A13))=TRUE, ISNUMBER(SEARCH("medium",A13))=TRUE),
(LEN(_xlfn.SINGLE(
INDEX('Focus Data Tillage by farm'!$D$4:$P$9,MATCH(D13,'Focus Data Tillage by farm'!$C$4:$C$9,0),_xlfn.SINGLE(_xlfn.IFS(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-LEN(SUBSTITUTE(_xlfn.SINGLE(
INDEX('Focus Data Tillage by farm'!$D$4:$P$9,MATCH(D13,'Focus Data Tillage by farm'!$C$4:$C$9,0),_xlfn.SINGLE(_xlfn.IFS(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"disc","")))/LEN("disc"),
(LEN(_xlfn.SINGLE(
INDEX('Focus Data Tillage by farm'!$D$12:$P$17,MATCH(D13,'Focus Data Tillage by farm'!$C$12:$C$17,0),_xlfn.SINGLE(_xlfn.IFS(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-LEN(SUBSTITUTE(_xlfn.SINGLE(
INDEX('Focus Data Tillage by farm'!$D$12:$P$17,MATCH(D13,'Focus Data Tillage by farm'!$C$12:$C$17,0),_xlfn.SINGLE(_xlfn.IFS(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"disc","")))/LEN("disc"))</f>
        <v>2</v>
      </c>
      <c r="AF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"field cultivator","")))/LEN("field cultivator"),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"field cultivator","")))/LEN("field cultivator"))</f>
        <v>0</v>
      </c>
      <c r="AG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"grain drill","")))/LEN("grain drill"),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"grain drill","")))/LEN("grain drill"))</f>
        <v>1</v>
      </c>
      <c r="AH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"minimum tillage","")))/LEN("minimum tillage"),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"minimum tillage","")))/LEN("minimum tillage"))</f>
        <v>0</v>
      </c>
      <c r="AI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"row crop planter","")))/LEN("row crop planter"),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"row crop planter","")))/LEN("row crop planter"))</f>
        <v>0</v>
      </c>
      <c r="AJ13" s="102">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"plough","")))/LEN("plough"),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"plough","")))/LEN("plough"))</f>
        <v>0</v>
      </c>
      <c r="AK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harrow","")))/LEN("roller harrow"),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harrow","")))/LEN("roller harrow"))</f>
        <v>0</v>
      </c>
      <c r="AL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packer","")))/LEN("roller packer"),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"roller packer","")))/LEN("roller packer"))</f>
        <v>2</v>
      </c>
      <c r="AM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"rotary hoe","")))/LEN("rotary hoe"),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"rotary hoe","")))/LEN("rotary hoe"))</f>
        <v>0</v>
      </c>
      <c r="AN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"subsoil","")))/LEN("subsoil"),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"subsoil","")))/LEN("subsoil"))</f>
        <v>0</v>
      </c>
      <c r="AO13">
        <f>IF(OR(ISNUMBER(SEARCH("heavy",A13))=TRUE, ISNUMBER(SEARCH("medium",A13))=TRUE),
(LEN(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farm'!$D$4:$P$9,MATCH(D13,'Focus Data Tillage by farm'!$C$4:$C$9,0),_xlfn.IFS(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"tine harrow","")))/LEN("tine harrow"),
(LEN(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-LEN(SUBSTITUTE(
INDEX('Focus Data Tillage by farm'!$D$12:$P$17,MATCH(D13,'Focus Data Tillage by farm'!$C$12:$C$17,0),_xlfn.IFS(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
"tine harrow","")))/LEN("tine harrow"))</f>
        <v>0</v>
      </c>
      <c r="AP13" s="102">
        <f>INDEX('Focus Data NSpraying'!$D$4:$P$19,MATCH(F13,'Focus Data NSpraying'!$C$4:$C$19,0),_xlfn.IFS(
AND(ISNUMBER(SEARCH("H-Dsty.",A13))=TRUE,ISNUMBER(SEARCH("H-Res",A13))=TRUE,ISNUMBER(SEARCH("E.",A13))=TRUE),1,
AND(ISNUMBER(SEARCH("H-Dsty.",A13))=TRUE,ISNUMBER(SEARCH("H-Res",A13))=TRUE,OR(ISNUMBER(SEARCH("N.he",A13))=TRUE,ISNUMBER(SEARCH("N.me",A13))=TRUE,ISNUMBER(SEARCH("N.li",A13))=TRUE)),2,
AND(ISNUMBER(SEARCH("H-Dsty.",A13))=TRUE,ISNUMBER(SEARCH("H-Res",A13))=TRUE,ISNUMBER(SEARCH("C.",A13))=TRUE),3,
AND(ISNUMBER(SEARCH("L-Dsty.",A13))=TRUE,ISNUMBER(SEARCH("H-Res",A13))=TRUE,ISNUMBER(SEARCH("E.",A13))=TRUE),6,
AND(ISNUMBER(SEARCH("L-Dsty.",A13))=TRUE,ISNUMBER(SEARCH("H-Res",A13))=TRUE,OR(ISNUMBER(SEARCH("N.he",A13))=TRUE,ISNUMBER(SEARCH("N.me",A13))=TRUE,ISNUMBER(SEARCH("N.li",A13))=TRUE)),7,
AND(ISNUMBER(SEARCH("L-Dsty.",A13))=TRUE,ISNUMBER(SEARCH("H-Res",A13))=TRUE,ISNUMBER(SEARCH("C.",A13))=TRUE),8,
AND(ISNUMBER(SEARCH("L-Dsty.",A13))=TRUE,ISNUMBER(SEARCH("L-Res",A13))=TRUE,ISNUMBER(SEARCH("E.",A13))=TRUE),11,
AND(ISNUMBER(SEARCH("L-Dsty.",A13))=TRUE,ISNUMBER(SEARCH("L-Res",A13))=TRUE,OR(ISNUMBER(SEARCH("N.he",A13))=TRUE,ISNUMBER(SEARCH("N.me",A13))=TRUE,ISNUMBER(SEARCH("N.li",A13))=TRUE)),12,
AND(ISNUMBER(SEARCH("L-Dsty.",A13))=TRUE,ISNUMBER(SEARCH("L-Res",A13))=TRUE,ISNUMBER(SEARCH("C.",A13))=TRUE),13))</f>
        <v>3</v>
      </c>
    </row>
    <row r="14" spans="1:42" x14ac:dyDescent="0.2">
      <c r="A14" t="s">
        <v>486</v>
      </c>
      <c r="B14" s="210" t="str">
        <f t="array" ref="B14">INDEX(ECOMOD_input_estimate!$A$2:$A$55, MATCH(CFT_input!$A14, ECOMOD_input_estimate!$B:$B, 0))</f>
        <v>FF_13.2</v>
      </c>
      <c r="C14" s="210">
        <v>2020</v>
      </c>
      <c r="D14" s="395" t="s">
        <v>731</v>
      </c>
      <c r="E14" s="210" t="str">
        <f t="shared" si="0"/>
        <v>N.heavy.L-Dsty.L-Res</v>
      </c>
      <c r="F14" s="210" t="str">
        <f t="array" ref="F14">_xlfn.SINGLE(IF(OR(ISNUMBER(SEARCH("heavy",A14))=TRUE,ISNUMBER(SEARCH("medium",A14))=TRUE),
INDEX('Focus Data Crop Rotations'!$D$4:$P$9,MATCH(D14,'Focus Data Crop Rotations'!$C$4:$C$9,0),_xlfn.SINGLE(_xlfn.IFS(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INDEX('Focus Data Crop Rotations'!$D$12:$P$17,MATCH(D14,'Focus Data Crop Rotations'!$C$12:$C$17,0),_xlfn.SINGLE(_xlfn.IFS(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winterwheat</v>
      </c>
      <c r="G14">
        <v>7.2</v>
      </c>
      <c r="H14" s="227">
        <f>VLOOKUP(F14,'CFT Specific Data'!$F$4:$H$19,3,FALSE)*G14*
IF(B14=B13,
IF(AND(ISNUMBER(SEARCH("wheat",F14))=TRUE,ISNUMBER(SEARCH("Barley",F13))=TRUE),0.89,
IF(AND(ISNUMBER(SEARCH("wheat",F14))=TRUE,F13="setaside"),0.94,
IF(AND(ISNUMBER(SEARCH("barley",F14))=TRUE,ISNUMBER(SEARCH("wheat",F13))=TRUE),0.89,
IF(AND(F14="winterbarley",F13="setaside"),0.94,
IF(AND(F14="sugarbeet",F13="warepotatoes"),0.95,
IF(AND((OR(ISNUMBER(SEARCH("beans",F14)),ISNUMBER(SEARCH("driedpeas",F14)),ISNUMBER(SEARCH("sugarbeet",F14)))=TRUE),ISNUMBER(SEARCH("osr",F13))=TRUE),0,
IF(AND((OR((ISNUMBER(SEARCH("wheat",F14))),ISNUMBER(SEARCH("linseed",F14)),ISNUMBER(SEARCH("driedpeas",F14)),ISNUMBER(SEARCH("osr",F14)))=TRUE),F13="sugarbeet"),0,
IF(AND((OR((ISNUMBER(SEARCH("osr",F14))),ISNUMBER(SEARCH("linseed",F14)))=TRUE),ISNUMBER(SEARCH("beans",F13))=TRUE),0,
IF(AND(F14="wosr",ISNUMBER(SEARCH("linseed",F13))=TRUE),0,
IF(AND(F14="sugarbeet",F13="warepotatoes"),0,
1)))))))))),
IF(AND(ISNUMBER(SEARCH("wheat",F14))=TRUE,ISNUMBER(SEARCH("Barley",F19))=TRUE),0.89,
IF(AND(ISNUMBER(SEARCH("wheat",F14))=TRUE,F19="setaside"),0.94,
IF(AND(ISNUMBER(SEARCH("barley",F14))=TRUE,ISNUMBER(SEARCH("wheat",F19))=TRUE),0.89,
IF(AND(F14="winterbarley",F19="setaside"),0.94,
IF(AND(F14="sugarbeet",F19="warepotatoes"),0.95,
IF(AND((OR(ISNUMBER(SEARCH("beans",F14)),ISNUMBER(SEARCH("driedpeas",F14)),ISNUMBER(SEARCH("sugarbeet",F14)))=TRUE),ISNUMBER(SEARCH("osr",F19))=TRUE),0,
IF(AND((OR((ISNUMBER(SEARCH("wheat",F14))),ISNUMBER(SEARCH("linseed",F14)),ISNUMBER(SEARCH("driedpeas",F14)),ISNUMBER(SEARCH("osr",F14)))=TRUE),F19="sugarbeet"),0,
IF(AND((OR((ISNUMBER(SEARCH("osr",F14))),ISNUMBER(SEARCH("linseed",F14)))=TRUE),ISNUMBER(SEARCH("beans",F19))=TRUE),0,
IF(AND(F14="wosr",ISNUMBER(SEARCH("linseed",F19))=TRUE),0,
IF(AND(F14="sugarbeet",F19="warepotatoes"),0,
1)))))))))))
*IF(OR(ISNUMBER(SEARCH("wheat",F14)),ISNUMBER(SEARCH("barley",F14)),ISNUMBER(SEARCH("driedpeas",F14)),ISNUMBER(SEARCH("warepotatoes",F14)),ISNUMBER(SEARCH("osr",F14)),ISNUMBER(SEARCH("linseed",F14)),ISNUMBER(SEARCH("sugarbeet",F14))),
IF(COUNTIF(B9:B13,B14)=5,
INDEX('CFT Specific Data'!$G$24:$L$39,MATCH(F14,'CFT Specific Data'!$F$24:$F$39,0),IF(COUNTIF(F9:F13,F14)=5,6,IF(COUNTIF(F10:F13,F14)=4,5,IF(COUNTIF(F11:F13,F14)=3,4,IF(COUNTIF(F12:F13,F14)=2,3,IF(F13=F14,2,1)))))),
IF(COUNTIF(B9:B13,B14)=4,
INDEX('CFT Specific Data'!$G$24:$L$39,MATCH(F14,'CFT Specific Data'!$F$24:$F$39,0),IF(SUM(COUNTIF(F10:F13,F14),COUNTIF(F15,F14))=5,6,IF(COUNTIF(F10:F13,F14)=4,5,IF(COUNTIF(F11:F13,F14)=3,4,IF(COUNTIF(F12:F13,F14)=2,3,IF(F13=F14,2,1)))))),
IF(COUNTIF(B9:B13,B14)=3,
INDEX('CFT Specific Data'!$G$24:$L$39,MATCH(F14,'CFT Specific Data'!$F$24:$F$39,0),IF(SUM(COUNTIF(F11:F13,F14),COUNTIF(F15:F16,F14))=5,6,IF(SUM(COUNTIF(F11:F13,F14),COUNTIF(F16,F14))=4,5,IF(COUNTIF(F11:F13,F14)=3,4,IF(COUNTIF(F12:F13,F14)=2,3,IF(F13=F14,2,1)))))),
IF(COUNTIF(B9:B13,B14)=2,
INDEX('CFT Specific Data'!$G$24:$L$39,MATCH(F14,'CFT Specific Data'!$F$24:$F$39,0),IF(SUM(COUNTIF(F12:F13,F14),COUNTIF(F15:F17,F14))=5,6,IF(SUM(COUNTIF(F12:F13,F14),COUNTIF(F16:F17,F14))=4,5,IF(SUM(COUNTIF(F12:F13,F14),COUNTIF(F17,F14))=3,4,IF(COUNTIF(F12:F13,F14)=2,3,IF(F13=F14,2,1)))))),
IF(COUNTIF(B9:B13,B14)=1,
INDEX('CFT Specific Data'!$G$24:$L$39,MATCH(F14,'CFT Specific Data'!$F$24:$F$39,0),IF(SUM(COUNTIF(F13,F14),COUNTIF(F15:F18,F14))=5,6,IF(SUM(COUNTIF(F13,F14),COUNTIF(F16:F18,F14))=4,5,IF(SUM(COUNTIF(F13,F14),COUNTIF(F17:F18,F14))=3,4,IF(SUM(COUNTIF(F13,F14),COUNTIF(F18,F14))=2,3,IF(F13=F14,2,1)))))),
IF(COUNTIF(B9:B13,B14)=0,
INDEX('CFT Specific Data'!$G$24:$L$39,MATCH(F14,'CFT Specific Data'!$F$24:$F$39,0),IF(COUNTIF(F15:F19,F14)=5,6,IF(COUNTIF(F16:F19,F14)=4,5,IF(COUNTIF(F17:F19,F14)=3,4,IF(COUNTIF(F18:F19,F14)=2,3,IF(F19=F14,2,1)))))))))))),1)</f>
        <v>55.728000000000002</v>
      </c>
      <c r="I14" s="210" t="s">
        <v>348</v>
      </c>
      <c r="J14">
        <v>10</v>
      </c>
      <c r="K14" s="210" t="str">
        <f>VLOOKUP(F14,'CFT Specific Data'!$F$4:$G$19,2,FALSE)</f>
        <v>Winter wheat</v>
      </c>
      <c r="L14" t="str">
        <f t="shared" si="1"/>
        <v>Fine</v>
      </c>
      <c r="M14">
        <f t="shared" si="2"/>
        <v>5.8479999999999999</v>
      </c>
      <c r="N14" t="str">
        <f t="shared" si="3"/>
        <v>5.16 &lt; SOM &lt;= 10.32</v>
      </c>
      <c r="O14" t="s">
        <v>349</v>
      </c>
      <c r="P14" t="s">
        <v>350</v>
      </c>
      <c r="Q14">
        <v>7</v>
      </c>
      <c r="R14" t="str">
        <f t="shared" si="5"/>
        <v>5.5 &lt; pH &lt;= 7.3</v>
      </c>
      <c r="S14" t="s">
        <v>351</v>
      </c>
      <c r="T14" s="210">
        <f t="array" ref="T14">_xlfn.SINGLE(INDEX('Focus Data NFertiliser Rate'!$D$4:$P$19,MATCH(F14,'Focus Data NFertiliser Rate'!$C$4:$C$19,0),_xlfn.SINGLE(_xlfn.IFS(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220</v>
      </c>
      <c r="U14" t="str">
        <f t="shared" si="4"/>
        <v>Apply in solution</v>
      </c>
      <c r="V14" s="210">
        <f t="array" ref="V14">_xlfn.SINGLE(INDEX('№ Fertiliser sprayings'!$D$4:$P$19,MATCH(F14,'№ Fertiliser sprayings'!$C$4:$C$19,0),_xlfn.SINGLE(_xlfn.IFS(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3</v>
      </c>
      <c r="W14" s="264">
        <f t="array" ref="W14">_xlfn.SINGLE(INDEX('Focus Data CFT NSpraying'!$D$4:$P$19,MATCH(F14,'Focus Data CFT NSpraying'!$C$4:$C$19,0),_xlfn.SINGLE(_xlfn.IFS(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2.7888000000000002</v>
      </c>
      <c r="X14" t="s">
        <v>363</v>
      </c>
      <c r="Y14">
        <v>0</v>
      </c>
      <c r="Z14">
        <v>100</v>
      </c>
      <c r="AA14" t="s">
        <v>352</v>
      </c>
      <c r="AB14" s="226" t="str">
        <f>IF(B14=B13,_xlfn.IFS(
AND(AA14=Lists!$L$8,AA13=Lists!$L$8),Lists!$N$5,
AND(OR(AA14=Lists!$L$5,AA14=Lists!$L$7,AA14=Lists!$L$9,AA14=Lists!$L$10,AA14=Lists!$L$6),OR(AA13=Lists!$L$5,AA13=Lists!$L$7,AA13=Lists!$L$9,AA13=Lists!$L$10,AA13=Lists!$L$6)),Lists!$N$5,
AND(AA14=Lists!$L$8,OR(AA13=Lists!$L$5,AA13=Lists!$L$7,AA13=Lists!$L$9,AA13=Lists!$L$10,AA13=Lists!$L$6)),Lists!$N$6,
AND(OR(AA14=Lists!$L$5,AA14=Lists!$L$6,AA14=Lists!$L$7,AA14=Lists!$L$9,AA14=Lists!$L$10),AA13=Lists!$L$8),Lists!$N$7),
_xlfn.IFS(
AND(AA14=Lists!$L$8,AA19=Lists!$L$8),Lists!$N$5,
AND(OR(AA14=Lists!$L$5,AA14=Lists!$L$7,AA14=Lists!$L$9,AA14=Lists!$L$10,AA14=Lists!$L$6),OR(AA19=Lists!$L$5,AA19=Lists!$L$7,AA19=Lists!$L$9,AA19=Lists!$L$10,AA19=Lists!$L$6)),Lists!$N$5,
AND(AA14=Lists!$L$8,OR(AA19=Lists!$L$5,AA19=Lists!$L$7,AA19=Lists!$L$9,AA19=Lists!$L$10,AA19=Lists!$L$6)),Lists!$N$6,
AND(OR(AA14=Lists!$L$5,AA14=Lists!$L$7,AA14=Lists!$L$9,AA14=Lists!$L$10),AA19=Lists!$L$8),Lists!$N$7))</f>
        <v>no change</v>
      </c>
      <c r="AC14">
        <v>0</v>
      </c>
      <c r="AD14">
        <v>0</v>
      </c>
      <c r="AE14" s="102">
        <f t="array" ref="AE14">IF(OR(ISNUMBER(SEARCH("heavy",A14))=TRUE, ISNUMBER(SEARCH("medium",A14))=TRUE),
(LEN(_xlfn.SINGLE(
INDEX('Focus Data Tillage by farm'!$D$4:$P$9,MATCH(D14,'Focus Data Tillage by farm'!$C$4:$C$9,0),_xlfn.SINGLE(_xlfn.IFS(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-LEN(SUBSTITUTE(_xlfn.SINGLE(
INDEX('Focus Data Tillage by farm'!$D$4:$P$9,MATCH(D14,'Focus Data Tillage by farm'!$C$4:$C$9,0),_xlfn.SINGLE(_xlfn.IFS(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"disc","")))/LEN("disc"),
(LEN(_xlfn.SINGLE(
INDEX('Focus Data Tillage by farm'!$D$12:$P$17,MATCH(D14,'Focus Data Tillage by farm'!$C$12:$C$17,0),_xlfn.SINGLE(_xlfn.IFS(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-LEN(SUBSTITUTE(_xlfn.SINGLE(
INDEX('Focus Data Tillage by farm'!$D$12:$P$17,MATCH(D14,'Focus Data Tillage by farm'!$C$12:$C$17,0),_xlfn.SINGLE(_xlfn.IFS(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"disc","")))/LEN("disc"))</f>
        <v>1</v>
      </c>
      <c r="AF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"field cultivator","")))/LEN("field cultivator"),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"field cultivator","")))/LEN("field cultivator"))</f>
        <v>0</v>
      </c>
      <c r="AG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"grain drill","")))/LEN("grain drill"),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"grain drill","")))/LEN("grain drill"))</f>
        <v>1</v>
      </c>
      <c r="AH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"minimum tillage","")))/LEN("minimum tillage"),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"minimum tillage","")))/LEN("minimum tillage"))</f>
        <v>0</v>
      </c>
      <c r="AI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"row crop planter","")))/LEN("row crop planter"),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"row crop planter","")))/LEN("row crop planter"))</f>
        <v>0</v>
      </c>
      <c r="AJ14" s="102">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"plough","")))/LEN("plough"),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"plough","")))/LEN("plough"))</f>
        <v>0</v>
      </c>
      <c r="AK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harrow","")))/LEN("roller harrow"),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harrow","")))/LEN("roller harrow"))</f>
        <v>0</v>
      </c>
      <c r="AL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packer","")))/LEN("roller packer"),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"roller packer","")))/LEN("roller packer"))</f>
        <v>2</v>
      </c>
      <c r="AM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"rotary hoe","")))/LEN("rotary hoe"),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"rotary hoe","")))/LEN("rotary hoe"))</f>
        <v>0</v>
      </c>
      <c r="AN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"subsoil","")))/LEN("subsoil"),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"subsoil","")))/LEN("subsoil"))</f>
        <v>0</v>
      </c>
      <c r="AO14">
        <f>IF(OR(ISNUMBER(SEARCH("heavy",A14))=TRUE, ISNUMBER(SEARCH("medium",A14))=TRUE),
(LEN(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farm'!$D$4:$P$9,MATCH(D14,'Focus Data Tillage by farm'!$C$4:$C$9,0),_xlfn.IFS(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"tine harrow","")))/LEN("tine harrow"),
(LEN(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-LEN(SUBSTITUTE(
INDEX('Focus Data Tillage by farm'!$D$12:$P$17,MATCH(D14,'Focus Data Tillage by farm'!$C$12:$C$17,0),_xlfn.IFS(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
"tine harrow","")))/LEN("tine harrow"))</f>
        <v>0</v>
      </c>
      <c r="AP14" s="102">
        <f>INDEX('Focus Data NSpraying'!$D$4:$P$19,MATCH(F14,'Focus Data NSpraying'!$C$4:$C$19,0),_xlfn.IFS(
AND(ISNUMBER(SEARCH("H-Dsty.",A14))=TRUE,ISNUMBER(SEARCH("H-Res",A14))=TRUE,ISNUMBER(SEARCH("E.",A14))=TRUE),1,
AND(ISNUMBER(SEARCH("H-Dsty.",A14))=TRUE,ISNUMBER(SEARCH("H-Res",A14))=TRUE,OR(ISNUMBER(SEARCH("N.he",A14))=TRUE,ISNUMBER(SEARCH("N.me",A14))=TRUE,ISNUMBER(SEARCH("N.li",A14))=TRUE)),2,
AND(ISNUMBER(SEARCH("H-Dsty.",A14))=TRUE,ISNUMBER(SEARCH("H-Res",A14))=TRUE,ISNUMBER(SEARCH("C.",A14))=TRUE),3,
AND(ISNUMBER(SEARCH("L-Dsty.",A14))=TRUE,ISNUMBER(SEARCH("H-Res",A14))=TRUE,ISNUMBER(SEARCH("E.",A14))=TRUE),6,
AND(ISNUMBER(SEARCH("L-Dsty.",A14))=TRUE,ISNUMBER(SEARCH("H-Res",A14))=TRUE,OR(ISNUMBER(SEARCH("N.he",A14))=TRUE,ISNUMBER(SEARCH("N.me",A14))=TRUE,ISNUMBER(SEARCH("N.li",A14))=TRUE)),7,
AND(ISNUMBER(SEARCH("L-Dsty.",A14))=TRUE,ISNUMBER(SEARCH("H-Res",A14))=TRUE,ISNUMBER(SEARCH("C.",A14))=TRUE),8,
AND(ISNUMBER(SEARCH("L-Dsty.",A14))=TRUE,ISNUMBER(SEARCH("L-Res",A14))=TRUE,ISNUMBER(SEARCH("E.",A14))=TRUE),11,
AND(ISNUMBER(SEARCH("L-Dsty.",A14))=TRUE,ISNUMBER(SEARCH("L-Res",A14))=TRUE,OR(ISNUMBER(SEARCH("N.he",A14))=TRUE,ISNUMBER(SEARCH("N.me",A14))=TRUE,ISNUMBER(SEARCH("N.li",A14))=TRUE)),12,
AND(ISNUMBER(SEARCH("L-Dsty.",A14))=TRUE,ISNUMBER(SEARCH("L-Res",A14))=TRUE,ISNUMBER(SEARCH("C.",A14))=TRUE),13))</f>
        <v>3</v>
      </c>
    </row>
    <row r="15" spans="1:42" x14ac:dyDescent="0.2">
      <c r="A15" t="s">
        <v>486</v>
      </c>
      <c r="B15" s="210" t="str">
        <f t="array" ref="B15">INDEX(ECOMOD_input_estimate!$A$2:$A$55, MATCH(CFT_input!$A15, ECOMOD_input_estimate!$B:$B, 0))</f>
        <v>FF_13.2</v>
      </c>
      <c r="C15" s="210">
        <v>2020</v>
      </c>
      <c r="D15" s="395" t="s">
        <v>730</v>
      </c>
      <c r="E15" s="210" t="str">
        <f t="shared" si="0"/>
        <v>N.heavy.L-Dsty.L-Res</v>
      </c>
      <c r="F15" s="210" t="str">
        <f t="array" ref="F15">_xlfn.SINGLE(IF(OR(ISNUMBER(SEARCH("heavy",A15))=TRUE,ISNUMBER(SEARCH("medium",A15))=TRUE),
INDEX('Focus Data Crop Rotations'!$D$4:$P$9,MATCH(D15,'Focus Data Crop Rotations'!$C$4:$C$9,0),_xlfn.SINGLE(_xlfn.IFS(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INDEX('Focus Data Crop Rotations'!$D$12:$P$17,MATCH(D15,'Focus Data Crop Rotations'!$C$12:$C$17,0),_xlfn.SINGLE(_xlfn.IFS(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winterbarley</v>
      </c>
      <c r="G15">
        <v>7.2</v>
      </c>
      <c r="H15" s="227">
        <f>VLOOKUP(F15,'CFT Specific Data'!$F$4:$H$19,3,FALSE)*G15*
IF(B15=B14,
IF(AND(ISNUMBER(SEARCH("wheat",F15))=TRUE,ISNUMBER(SEARCH("Barley",F14))=TRUE),0.89,
IF(AND(ISNUMBER(SEARCH("wheat",F15))=TRUE,F14="setaside"),0.94,
IF(AND(ISNUMBER(SEARCH("barley",F15))=TRUE,ISNUMBER(SEARCH("wheat",F14))=TRUE),0.89,
IF(AND(F15="winterbarley",F14="setaside"),0.94,
IF(AND(F15="sugarbeet",F14="warepotatoes"),0.95,
IF(AND((OR(ISNUMBER(SEARCH("beans",F15)),ISNUMBER(SEARCH("driedpeas",F15)),ISNUMBER(SEARCH("sugarbeet",F15)))=TRUE),ISNUMBER(SEARCH("osr",F14))=TRUE),0,
IF(AND((OR((ISNUMBER(SEARCH("wheat",F15))),ISNUMBER(SEARCH("linseed",F15)),ISNUMBER(SEARCH("driedpeas",F15)),ISNUMBER(SEARCH("osr",F15)))=TRUE),F14="sugarbeet"),0,
IF(AND((OR((ISNUMBER(SEARCH("osr",F15))),ISNUMBER(SEARCH("linseed",F15)))=TRUE),ISNUMBER(SEARCH("beans",F14))=TRUE),0,
IF(AND(F15="wosr",ISNUMBER(SEARCH("linseed",F14))=TRUE),0,
IF(AND(F15="sugarbeet",F14="warepotatoes"),0,
1)))))))))),
IF(AND(ISNUMBER(SEARCH("wheat",F15))=TRUE,ISNUMBER(SEARCH("Barley",F20))=TRUE),0.89,
IF(AND(ISNUMBER(SEARCH("wheat",F15))=TRUE,F20="setaside"),0.94,
IF(AND(ISNUMBER(SEARCH("barley",F15))=TRUE,ISNUMBER(SEARCH("wheat",F20))=TRUE),0.89,
IF(AND(F15="winterbarley",F20="setaside"),0.94,
IF(AND(F15="sugarbeet",F20="warepotatoes"),0.95,
IF(AND((OR(ISNUMBER(SEARCH("beans",F15)),ISNUMBER(SEARCH("driedpeas",F15)),ISNUMBER(SEARCH("sugarbeet",F15)))=TRUE),ISNUMBER(SEARCH("osr",F20))=TRUE),0,
IF(AND((OR((ISNUMBER(SEARCH("wheat",F15))),ISNUMBER(SEARCH("linseed",F15)),ISNUMBER(SEARCH("driedpeas",F15)),ISNUMBER(SEARCH("osr",F15)))=TRUE),F20="sugarbeet"),0,
IF(AND((OR((ISNUMBER(SEARCH("osr",F15))),ISNUMBER(SEARCH("linseed",F15)))=TRUE),ISNUMBER(SEARCH("beans",F20))=TRUE),0,
IF(AND(F15="wosr",ISNUMBER(SEARCH("linseed",F20))=TRUE),0,
IF(AND(F15="sugarbeet",F20="warepotatoes"),0,
1)))))))))))
*IF(OR(ISNUMBER(SEARCH("wheat",F15)),ISNUMBER(SEARCH("barley",F15)),ISNUMBER(SEARCH("driedpeas",F15)),ISNUMBER(SEARCH("warepotatoes",F15)),ISNUMBER(SEARCH("osr",F15)),ISNUMBER(SEARCH("linseed",F15)),ISNUMBER(SEARCH("sugarbeet",F15))),
IF(COUNTIF(B10:B14,B15)=5,
INDEX('CFT Specific Data'!$G$24:$L$39,MATCH(F15,'CFT Specific Data'!$F$24:$F$39,0),IF(COUNTIF(F10:F14,F15)=5,6,IF(COUNTIF(F11:F14,F15)=4,5,IF(COUNTIF(F12:F14,F15)=3,4,IF(COUNTIF(F13:F14,F15)=2,3,IF(F14=F15,2,1)))))),
IF(COUNTIF(B10:B14,B15)=4,
INDEX('CFT Specific Data'!$G$24:$L$39,MATCH(F15,'CFT Specific Data'!$F$24:$F$39,0),IF(SUM(COUNTIF(F11:F14,F15),COUNTIF(F16,F15))=5,6,IF(COUNTIF(F11:F14,F15)=4,5,IF(COUNTIF(F12:F14,F15)=3,4,IF(COUNTIF(F13:F14,F15)=2,3,IF(F14=F15,2,1)))))),
IF(COUNTIF(B10:B14,B15)=3,
INDEX('CFT Specific Data'!$G$24:$L$39,MATCH(F15,'CFT Specific Data'!$F$24:$F$39,0),IF(SUM(COUNTIF(F12:F14,F15),COUNTIF(F16:F17,F15))=5,6,IF(SUM(COUNTIF(F12:F14,F15),COUNTIF(F17,F15))=4,5,IF(COUNTIF(F12:F14,F15)=3,4,IF(COUNTIF(F13:F14,F15)=2,3,IF(F14=F15,2,1)))))),
IF(COUNTIF(B10:B14,B15)=2,
INDEX('CFT Specific Data'!$G$24:$L$39,MATCH(F15,'CFT Specific Data'!$F$24:$F$39,0),IF(SUM(COUNTIF(F13:F14,F15),COUNTIF(F16:F18,F15))=5,6,IF(SUM(COUNTIF(F13:F14,F15),COUNTIF(F17:F18,F15))=4,5,IF(SUM(COUNTIF(F13:F14,F15),COUNTIF(F18,F15))=3,4,IF(COUNTIF(F13:F14,F15)=2,3,IF(F14=F15,2,1)))))),
IF(COUNTIF(B10:B14,B15)=1,
INDEX('CFT Specific Data'!$G$24:$L$39,MATCH(F15,'CFT Specific Data'!$F$24:$F$39,0),IF(SUM(COUNTIF(F14,F15),COUNTIF(F16:F19,F15))=5,6,IF(SUM(COUNTIF(F14,F15),COUNTIF(F17:F19,F15))=4,5,IF(SUM(COUNTIF(F14,F15),COUNTIF(F18:F19,F15))=3,4,IF(SUM(COUNTIF(F14,F15),COUNTIF(F19,F15))=2,3,IF(F14=F15,2,1)))))),
IF(COUNTIF(B10:B14,B15)=0,
INDEX('CFT Specific Data'!$G$24:$L$39,MATCH(F15,'CFT Specific Data'!$F$24:$F$39,0),IF(COUNTIF(F16:F20,F15)=5,6,IF(COUNTIF(F17:F20,F15)=4,5,IF(COUNTIF(F18:F20,F15)=3,4,IF(COUNTIF(F19:F20,F15)=2,3,IF(F20=F15,2,1)))))))))))),1)</f>
        <v>47.419200000000004</v>
      </c>
      <c r="I15" s="210" t="s">
        <v>348</v>
      </c>
      <c r="J15">
        <v>10</v>
      </c>
      <c r="K15" s="210" t="str">
        <f>VLOOKUP(F15,'CFT Specific Data'!$F$4:$G$19,2,FALSE)</f>
        <v>Barley</v>
      </c>
      <c r="L15" t="str">
        <f t="shared" si="1"/>
        <v>Fine</v>
      </c>
      <c r="M15">
        <f t="shared" si="2"/>
        <v>5.8479999999999999</v>
      </c>
      <c r="N15" t="str">
        <f t="shared" si="3"/>
        <v>5.16 &lt; SOM &lt;= 10.32</v>
      </c>
      <c r="O15" t="s">
        <v>349</v>
      </c>
      <c r="P15" t="s">
        <v>350</v>
      </c>
      <c r="Q15">
        <v>7</v>
      </c>
      <c r="R15" t="str">
        <f t="shared" si="5"/>
        <v>5.5 &lt; pH &lt;= 7.3</v>
      </c>
      <c r="S15" t="s">
        <v>351</v>
      </c>
      <c r="T15" s="210">
        <f t="array" ref="T15">_xlfn.SINGLE(INDEX('Focus Data NFertiliser Rate'!$D$4:$P$19,MATCH(F15,'Focus Data NFertiliser Rate'!$C$4:$C$19,0),_xlfn.SINGLE(_xlfn.IFS(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190</v>
      </c>
      <c r="U15" t="str">
        <f t="shared" si="4"/>
        <v>Apply in solution</v>
      </c>
      <c r="V15" s="210">
        <f t="array" ref="V15">_xlfn.SINGLE(INDEX('№ Fertiliser sprayings'!$D$4:$P$19,MATCH(F15,'№ Fertiliser sprayings'!$C$4:$C$19,0),_xlfn.SINGLE(_xlfn.IFS(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3</v>
      </c>
      <c r="W15" s="264">
        <f t="array" ref="W15">_xlfn.SINGLE(INDEX('Focus Data CFT NSpraying'!$D$4:$P$19,MATCH(F15,'Focus Data CFT NSpraying'!$C$4:$C$19,0),_xlfn.SINGLE(_xlfn.IFS(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2.56</v>
      </c>
      <c r="X15" t="s">
        <v>363</v>
      </c>
      <c r="Y15">
        <v>0</v>
      </c>
      <c r="Z15">
        <v>100</v>
      </c>
      <c r="AA15" t="s">
        <v>352</v>
      </c>
      <c r="AB15" s="226" t="str">
        <f>IF(B15=B14,_xlfn.IFS(
AND(AA15=Lists!$L$8,AA14=Lists!$L$8),Lists!$N$5,
AND(OR(AA15=Lists!$L$5,AA15=Lists!$L$7,AA15=Lists!$L$9,AA15=Lists!$L$10,AA15=Lists!$L$6),OR(AA14=Lists!$L$5,AA14=Lists!$L$7,AA14=Lists!$L$9,AA14=Lists!$L$10,AA14=Lists!$L$6)),Lists!$N$5,
AND(AA15=Lists!$L$8,OR(AA14=Lists!$L$5,AA14=Lists!$L$7,AA14=Lists!$L$9,AA14=Lists!$L$10,AA14=Lists!$L$6)),Lists!$N$6,
AND(OR(AA15=Lists!$L$5,AA15=Lists!$L$6,AA15=Lists!$L$7,AA15=Lists!$L$9,AA15=Lists!$L$10),AA14=Lists!$L$8),Lists!$N$7),
_xlfn.IFS(
AND(AA15=Lists!$L$8,AA20=Lists!$L$8),Lists!$N$5,
AND(OR(AA15=Lists!$L$5,AA15=Lists!$L$7,AA15=Lists!$L$9,AA15=Lists!$L$10,AA15=Lists!$L$6),OR(AA20=Lists!$L$5,AA20=Lists!$L$7,AA20=Lists!$L$9,AA20=Lists!$L$10,AA20=Lists!$L$6)),Lists!$N$5,
AND(AA15=Lists!$L$8,OR(AA20=Lists!$L$5,AA20=Lists!$L$7,AA20=Lists!$L$9,AA20=Lists!$L$10,AA20=Lists!$L$6)),Lists!$N$6,
AND(OR(AA15=Lists!$L$5,AA15=Lists!$L$7,AA15=Lists!$L$9,AA15=Lists!$L$10),AA20=Lists!$L$8),Lists!$N$7))</f>
        <v>no change</v>
      </c>
      <c r="AC15">
        <v>0</v>
      </c>
      <c r="AD15">
        <v>0</v>
      </c>
      <c r="AE15" s="102">
        <f t="array" ref="AE15">IF(OR(ISNUMBER(SEARCH("heavy",A15))=TRUE, ISNUMBER(SEARCH("medium",A15))=TRUE),
(LEN(_xlfn.SINGLE(
INDEX('Focus Data Tillage by farm'!$D$4:$P$9,MATCH(D15,'Focus Data Tillage by farm'!$C$4:$C$9,0),_xlfn.SINGLE(_xlfn.IFS(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-LEN(SUBSTITUTE(_xlfn.SINGLE(
INDEX('Focus Data Tillage by farm'!$D$4:$P$9,MATCH(D15,'Focus Data Tillage by farm'!$C$4:$C$9,0),_xlfn.SINGLE(_xlfn.IFS(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"disc","")))/LEN("disc"),
(LEN(_xlfn.SINGLE(
INDEX('Focus Data Tillage by farm'!$D$12:$P$17,MATCH(D15,'Focus Data Tillage by farm'!$C$12:$C$17,0),_xlfn.SINGLE(_xlfn.IFS(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-LEN(SUBSTITUTE(_xlfn.SINGLE(
INDEX('Focus Data Tillage by farm'!$D$12:$P$17,MATCH(D15,'Focus Data Tillage by farm'!$C$12:$C$17,0),_xlfn.SINGLE(_xlfn.IFS(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"disc","")))/LEN("disc"))</f>
        <v>1</v>
      </c>
      <c r="AF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"field cultivator","")))/LEN("field cultivator"),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"field cultivator","")))/LEN("field cultivator"))</f>
        <v>0</v>
      </c>
      <c r="AG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"grain drill","")))/LEN("grain drill"),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"grain drill","")))/LEN("grain drill"))</f>
        <v>1</v>
      </c>
      <c r="AH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"minimum tillage","")))/LEN("minimum tillage"),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"minimum tillage","")))/LEN("minimum tillage"))</f>
        <v>0</v>
      </c>
      <c r="AI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"row crop planter","")))/LEN("row crop planter"),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"row crop planter","")))/LEN("row crop planter"))</f>
        <v>0</v>
      </c>
      <c r="AJ15" s="102">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"plough","")))/LEN("plough"),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"plough","")))/LEN("plough"))</f>
        <v>0</v>
      </c>
      <c r="AK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harrow","")))/LEN("roller harrow"),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harrow","")))/LEN("roller harrow"))</f>
        <v>0</v>
      </c>
      <c r="AL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packer","")))/LEN("roller packer"),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"roller packer","")))/LEN("roller packer"))</f>
        <v>2</v>
      </c>
      <c r="AM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"rotary hoe","")))/LEN("rotary hoe"),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"rotary hoe","")))/LEN("rotary hoe"))</f>
        <v>0</v>
      </c>
      <c r="AN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"subsoil","")))/LEN("subsoil"),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"subsoil","")))/LEN("subsoil"))</f>
        <v>0</v>
      </c>
      <c r="AO15">
        <f>IF(OR(ISNUMBER(SEARCH("heavy",A15))=TRUE, ISNUMBER(SEARCH("medium",A15))=TRUE),
(LEN(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farm'!$D$4:$P$9,MATCH(D15,'Focus Data Tillage by farm'!$C$4:$C$9,0),_xlfn.IFS(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"tine harrow","")))/LEN("tine harrow"),
(LEN(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-LEN(SUBSTITUTE(
INDEX('Focus Data Tillage by farm'!$D$12:$P$17,MATCH(D15,'Focus Data Tillage by farm'!$C$12:$C$17,0),_xlfn.IFS(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
"tine harrow","")))/LEN("tine harrow"))</f>
        <v>0</v>
      </c>
      <c r="AP15" s="102">
        <f>INDEX('Focus Data NSpraying'!$D$4:$P$19,MATCH(F15,'Focus Data NSpraying'!$C$4:$C$19,0),_xlfn.IFS(
AND(ISNUMBER(SEARCH("H-Dsty.",A15))=TRUE,ISNUMBER(SEARCH("H-Res",A15))=TRUE,ISNUMBER(SEARCH("E.",A15))=TRUE),1,
AND(ISNUMBER(SEARCH("H-Dsty.",A15))=TRUE,ISNUMBER(SEARCH("H-Res",A15))=TRUE,OR(ISNUMBER(SEARCH("N.he",A15))=TRUE,ISNUMBER(SEARCH("N.me",A15))=TRUE,ISNUMBER(SEARCH("N.li",A15))=TRUE)),2,
AND(ISNUMBER(SEARCH("H-Dsty.",A15))=TRUE,ISNUMBER(SEARCH("H-Res",A15))=TRUE,ISNUMBER(SEARCH("C.",A15))=TRUE),3,
AND(ISNUMBER(SEARCH("L-Dsty.",A15))=TRUE,ISNUMBER(SEARCH("H-Res",A15))=TRUE,ISNUMBER(SEARCH("E.",A15))=TRUE),6,
AND(ISNUMBER(SEARCH("L-Dsty.",A15))=TRUE,ISNUMBER(SEARCH("H-Res",A15))=TRUE,OR(ISNUMBER(SEARCH("N.he",A15))=TRUE,ISNUMBER(SEARCH("N.me",A15))=TRUE,ISNUMBER(SEARCH("N.li",A15))=TRUE)),7,
AND(ISNUMBER(SEARCH("L-Dsty.",A15))=TRUE,ISNUMBER(SEARCH("H-Res",A15))=TRUE,ISNUMBER(SEARCH("C.",A15))=TRUE),8,
AND(ISNUMBER(SEARCH("L-Dsty.",A15))=TRUE,ISNUMBER(SEARCH("L-Res",A15))=TRUE,ISNUMBER(SEARCH("E.",A15))=TRUE),11,
AND(ISNUMBER(SEARCH("L-Dsty.",A15))=TRUE,ISNUMBER(SEARCH("L-Res",A15))=TRUE,OR(ISNUMBER(SEARCH("N.he",A15))=TRUE,ISNUMBER(SEARCH("N.me",A15))=TRUE,ISNUMBER(SEARCH("N.li",A15))=TRUE)),12,
AND(ISNUMBER(SEARCH("L-Dsty.",A15))=TRUE,ISNUMBER(SEARCH("L-Res",A15))=TRUE,ISNUMBER(SEARCH("C.",A15))=TRUE),13))</f>
        <v>2</v>
      </c>
    </row>
    <row r="16" spans="1:42" x14ac:dyDescent="0.2">
      <c r="A16" t="s">
        <v>486</v>
      </c>
      <c r="B16" s="210" t="str">
        <f t="array" ref="B16">INDEX(ECOMOD_input_estimate!$A$2:$A$55, MATCH(CFT_input!$A16, ECOMOD_input_estimate!$B:$B, 0))</f>
        <v>FF_13.2</v>
      </c>
      <c r="C16" s="210">
        <v>2020</v>
      </c>
      <c r="D16" s="395" t="s">
        <v>1694</v>
      </c>
      <c r="E16" s="210" t="str">
        <f t="shared" si="0"/>
        <v>N.heavy.L-Dsty.L-Res</v>
      </c>
      <c r="F16" s="210" t="str">
        <f t="array" ref="F16">_xlfn.SINGLE(IF(OR(ISNUMBER(SEARCH("heavy",A16))=TRUE,ISNUMBER(SEARCH("medium",A16))=TRUE),
INDEX('Focus Data Crop Rotations'!$D$4:$P$9,MATCH(D16,'Focus Data Crop Rotations'!$C$4:$C$9,0),_xlfn.SINGLE(_xlfn.IFS(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INDEX('Focus Data Crop Rotations'!$D$12:$P$17,MATCH(D16,'Focus Data Crop Rotations'!$C$12:$C$17,0),_xlfn.SINGLE(_xlfn.IFS(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wosr</v>
      </c>
      <c r="G16">
        <v>7.2</v>
      </c>
      <c r="H16" s="227">
        <f>VLOOKUP(F16,'CFT Specific Data'!$F$4:$H$19,3,FALSE)*G16*
IF(B16=B15,
IF(AND(ISNUMBER(SEARCH("wheat",F16))=TRUE,ISNUMBER(SEARCH("Barley",F15))=TRUE),0.89,
IF(AND(ISNUMBER(SEARCH("wheat",F16))=TRUE,F15="setaside"),0.94,
IF(AND(ISNUMBER(SEARCH("barley",F16))=TRUE,ISNUMBER(SEARCH("wheat",F15))=TRUE),0.89,
IF(AND(F16="winterbarley",F15="setaside"),0.94,
IF(AND(F16="sugarbeet",F15="warepotatoes"),0.95,
IF(AND((OR(ISNUMBER(SEARCH("beans",F16)),ISNUMBER(SEARCH("driedpeas",F16)),ISNUMBER(SEARCH("sugarbeet",F16)))=TRUE),ISNUMBER(SEARCH("osr",F15))=TRUE),0,
IF(AND((OR((ISNUMBER(SEARCH("wheat",F16))),ISNUMBER(SEARCH("linseed",F16)),ISNUMBER(SEARCH("driedpeas",F16)),ISNUMBER(SEARCH("osr",F16)))=TRUE),F15="sugarbeet"),0,
IF(AND((OR((ISNUMBER(SEARCH("osr",F16))),ISNUMBER(SEARCH("linseed",F16)))=TRUE),ISNUMBER(SEARCH("beans",F15))=TRUE),0,
IF(AND(F16="wosr",ISNUMBER(SEARCH("linseed",F15))=TRUE),0,
IF(AND(F16="sugarbeet",F15="warepotatoes"),0,
1)))))))))),
IF(AND(ISNUMBER(SEARCH("wheat",F16))=TRUE,ISNUMBER(SEARCH("Barley",F21))=TRUE),0.89,
IF(AND(ISNUMBER(SEARCH("wheat",F16))=TRUE,F21="setaside"),0.94,
IF(AND(ISNUMBER(SEARCH("barley",F16))=TRUE,ISNUMBER(SEARCH("wheat",F21))=TRUE),0.89,
IF(AND(F16="winterbarley",F21="setaside"),0.94,
IF(AND(F16="sugarbeet",F21="warepotatoes"),0.95,
IF(AND((OR(ISNUMBER(SEARCH("beans",F16)),ISNUMBER(SEARCH("driedpeas",F16)),ISNUMBER(SEARCH("sugarbeet",F16)))=TRUE),ISNUMBER(SEARCH("osr",F21))=TRUE),0,
IF(AND((OR((ISNUMBER(SEARCH("wheat",F16))),ISNUMBER(SEARCH("linseed",F16)),ISNUMBER(SEARCH("driedpeas",F16)),ISNUMBER(SEARCH("osr",F16)))=TRUE),F21="sugarbeet"),0,
IF(AND((OR((ISNUMBER(SEARCH("osr",F16))),ISNUMBER(SEARCH("linseed",F16)))=TRUE),ISNUMBER(SEARCH("beans",F21))=TRUE),0,
IF(AND(F16="wosr",ISNUMBER(SEARCH("linseed",F21))=TRUE),0,
IF(AND(F16="sugarbeet",F21="warepotatoes"),0,
1)))))))))))
*IF(OR(ISNUMBER(SEARCH("wheat",F16)),ISNUMBER(SEARCH("barley",F16)),ISNUMBER(SEARCH("driedpeas",F16)),ISNUMBER(SEARCH("warepotatoes",F16)),ISNUMBER(SEARCH("osr",F16)),ISNUMBER(SEARCH("linseed",F16)),ISNUMBER(SEARCH("sugarbeet",F16))),
IF(COUNTIF(B11:B15,B16)=5,
INDEX('CFT Specific Data'!$G$24:$L$39,MATCH(F16,'CFT Specific Data'!$F$24:$F$39,0),IF(COUNTIF(F11:F15,F16)=5,6,IF(COUNTIF(F12:F15,F16)=4,5,IF(COUNTIF(F13:F15,F16)=3,4,IF(COUNTIF(F14:F15,F16)=2,3,IF(F15=F16,2,1)))))),
IF(COUNTIF(B11:B15,B16)=4,
INDEX('CFT Specific Data'!$G$24:$L$39,MATCH(F16,'CFT Specific Data'!$F$24:$F$39,0),IF(SUM(COUNTIF(F12:F15,F16),COUNTIF(F17,F16))=5,6,IF(COUNTIF(F12:F15,F16)=4,5,IF(COUNTIF(F13:F15,F16)=3,4,IF(COUNTIF(F14:F15,F16)=2,3,IF(F15=F16,2,1)))))),
IF(COUNTIF(B11:B15,B16)=3,
INDEX('CFT Specific Data'!$G$24:$L$39,MATCH(F16,'CFT Specific Data'!$F$24:$F$39,0),IF(SUM(COUNTIF(F13:F15,F16),COUNTIF(F17:F18,F16))=5,6,IF(SUM(COUNTIF(F13:F15,F16),COUNTIF(F18,F16))=4,5,IF(COUNTIF(F13:F15,F16)=3,4,IF(COUNTIF(F14:F15,F16)=2,3,IF(F15=F16,2,1)))))),
IF(COUNTIF(B11:B15,B16)=2,
INDEX('CFT Specific Data'!$G$24:$L$39,MATCH(F16,'CFT Specific Data'!$F$24:$F$39,0),IF(SUM(COUNTIF(F14:F15,F16),COUNTIF(F17:F19,F16))=5,6,IF(SUM(COUNTIF(F14:F15,F16),COUNTIF(F18:F19,F16))=4,5,IF(SUM(COUNTIF(F14:F15,F16),COUNTIF(F19,F16))=3,4,IF(COUNTIF(F14:F15,F16)=2,3,IF(F15=F16,2,1)))))),
IF(COUNTIF(B11:B15,B16)=1,
INDEX('CFT Specific Data'!$G$24:$L$39,MATCH(F16,'CFT Specific Data'!$F$24:$F$39,0),IF(SUM(COUNTIF(F15,F16),COUNTIF(F17:F20,F16))=5,6,IF(SUM(COUNTIF(F15,F16),COUNTIF(F18:F20,F16))=4,5,IF(SUM(COUNTIF(F15,F16),COUNTIF(F19:F20,F16))=3,4,IF(SUM(COUNTIF(F15,F16),COUNTIF(F20,F16))=2,3,IF(F15=F16,2,1)))))),
IF(COUNTIF(B11:B15,B16)=0,
INDEX('CFT Specific Data'!$G$24:$L$39,MATCH(F16,'CFT Specific Data'!$F$24:$F$39,0),IF(COUNTIF(F17:F21,F16)=5,6,IF(COUNTIF(F18:F21,F16)=4,5,IF(COUNTIF(F19:F21,F16)=3,4,IF(COUNTIF(F20:F21,F16)=2,3,IF(F21=F16,2,1)))))))))))),1)</f>
        <v>25.2</v>
      </c>
      <c r="I16" s="210" t="s">
        <v>348</v>
      </c>
      <c r="J16">
        <v>10</v>
      </c>
      <c r="K16" s="210" t="str">
        <f>VLOOKUP(F16,'CFT Specific Data'!$F$4:$G$19,2,FALSE)</f>
        <v>Other</v>
      </c>
      <c r="L16" t="str">
        <f t="shared" si="1"/>
        <v>Fine</v>
      </c>
      <c r="M16">
        <f t="shared" si="2"/>
        <v>5.8479999999999999</v>
      </c>
      <c r="N16" t="str">
        <f t="shared" si="3"/>
        <v>5.16 &lt; SOM &lt;= 10.32</v>
      </c>
      <c r="O16" t="s">
        <v>349</v>
      </c>
      <c r="P16" t="s">
        <v>350</v>
      </c>
      <c r="Q16">
        <v>7</v>
      </c>
      <c r="R16" t="str">
        <f t="shared" si="5"/>
        <v>5.5 &lt; pH &lt;= 7.3</v>
      </c>
      <c r="S16" t="s">
        <v>351</v>
      </c>
      <c r="T16" s="210">
        <f t="array" ref="T16">_xlfn.SINGLE(INDEX('Focus Data NFertiliser Rate'!$D$4:$P$19,MATCH(F16,'Focus Data NFertiliser Rate'!$C$4:$C$19,0),_xlfn.SINGLE(_xlfn.IFS(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180</v>
      </c>
      <c r="U16" t="str">
        <f t="shared" si="4"/>
        <v>Apply in solution</v>
      </c>
      <c r="V16" s="210">
        <f t="array" ref="V16">_xlfn.SINGLE(INDEX('№ Fertiliser sprayings'!$D$4:$P$19,MATCH(F16,'№ Fertiliser sprayings'!$C$4:$C$19,0),_xlfn.SINGLE(_xlfn.IFS(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3</v>
      </c>
      <c r="W16" s="264">
        <f t="array" ref="W16">_xlfn.SINGLE(INDEX('Focus Data CFT NSpraying'!$D$4:$P$19,MATCH(F16,'Focus Data CFT NSpraying'!$C$4:$C$19,0),_xlfn.SINGLE(_xlfn.IFS(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1.4</v>
      </c>
      <c r="X16" t="s">
        <v>363</v>
      </c>
      <c r="Y16">
        <v>0</v>
      </c>
      <c r="Z16">
        <v>100</v>
      </c>
      <c r="AA16" t="s">
        <v>352</v>
      </c>
      <c r="AB16" s="226" t="str">
        <f>IF(B16=B15,_xlfn.IFS(
AND(AA16=Lists!$L$8,AA15=Lists!$L$8),Lists!$N$5,
AND(OR(AA16=Lists!$L$5,AA16=Lists!$L$7,AA16=Lists!$L$9,AA16=Lists!$L$10,AA16=Lists!$L$6),OR(AA15=Lists!$L$5,AA15=Lists!$L$7,AA15=Lists!$L$9,AA15=Lists!$L$10,AA15=Lists!$L$6)),Lists!$N$5,
AND(AA16=Lists!$L$8,OR(AA15=Lists!$L$5,AA15=Lists!$L$7,AA15=Lists!$L$9,AA15=Lists!$L$10,AA15=Lists!$L$6)),Lists!$N$6,
AND(OR(AA16=Lists!$L$5,AA16=Lists!$L$6,AA16=Lists!$L$7,AA16=Lists!$L$9,AA16=Lists!$L$10),AA15=Lists!$L$8),Lists!$N$7),
_xlfn.IFS(
AND(AA16=Lists!$L$8,AA21=Lists!$L$8),Lists!$N$5,
AND(OR(AA16=Lists!$L$5,AA16=Lists!$L$7,AA16=Lists!$L$9,AA16=Lists!$L$10,AA16=Lists!$L$6),OR(AA21=Lists!$L$5,AA21=Lists!$L$7,AA21=Lists!$L$9,AA21=Lists!$L$10,AA21=Lists!$L$6)),Lists!$N$5,
AND(AA16=Lists!$L$8,OR(AA21=Lists!$L$5,AA21=Lists!$L$7,AA21=Lists!$L$9,AA21=Lists!$L$10,AA21=Lists!$L$6)),Lists!$N$6,
AND(OR(AA16=Lists!$L$5,AA16=Lists!$L$7,AA16=Lists!$L$9,AA16=Lists!$L$10),AA21=Lists!$L$8),Lists!$N$7))</f>
        <v>no change</v>
      </c>
      <c r="AC16">
        <v>0</v>
      </c>
      <c r="AD16">
        <v>0</v>
      </c>
      <c r="AE16" s="102">
        <f t="array" ref="AE16">IF(OR(ISNUMBER(SEARCH("heavy",A16))=TRUE, ISNUMBER(SEARCH("medium",A16))=TRUE),
(LEN(_xlfn.SINGLE(
INDEX('Focus Data Tillage by farm'!$D$4:$P$9,MATCH(D16,'Focus Data Tillage by farm'!$C$4:$C$9,0),_xlfn.SINGLE(_xlfn.IFS(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-LEN(SUBSTITUTE(_xlfn.SINGLE(
INDEX('Focus Data Tillage by farm'!$D$4:$P$9,MATCH(D16,'Focus Data Tillage by farm'!$C$4:$C$9,0),_xlfn.SINGLE(_xlfn.IFS(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"disc","")))/LEN("disc"),
(LEN(_xlfn.SINGLE(
INDEX('Focus Data Tillage by farm'!$D$12:$P$17,MATCH(D16,'Focus Data Tillage by farm'!$C$12:$C$17,0),_xlfn.SINGLE(_xlfn.IFS(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-LEN(SUBSTITUTE(_xlfn.SINGLE(
INDEX('Focus Data Tillage by farm'!$D$12:$P$17,MATCH(D16,'Focus Data Tillage by farm'!$C$12:$C$17,0),_xlfn.SINGLE(_xlfn.IFS(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"disc","")))/LEN("disc"))</f>
        <v>0</v>
      </c>
      <c r="AF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"field cultivator","")))/LEN("field cultivator"),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"field cultivator","")))/LEN("field cultivator"))</f>
        <v>0</v>
      </c>
      <c r="AG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"grain drill","")))/LEN("grain drill"),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"grain drill","")))/LEN("grain drill"))</f>
        <v>0</v>
      </c>
      <c r="AH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"minimum tillage","")))/LEN("minimum tillage"),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"minimum tillage","")))/LEN("minimum tillage"))</f>
        <v>0</v>
      </c>
      <c r="AI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"row crop planter","")))/LEN("row crop planter"),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"row crop planter","")))/LEN("row crop planter"))</f>
        <v>0</v>
      </c>
      <c r="AJ16" s="102">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"plough","")))/LEN("plough"),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"plough","")))/LEN("plough"))</f>
        <v>0</v>
      </c>
      <c r="AK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harrow","")))/LEN("roller harrow"),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harrow","")))/LEN("roller harrow"))</f>
        <v>0</v>
      </c>
      <c r="AL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packer","")))/LEN("roller packer"),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"roller packer","")))/LEN("roller packer"))</f>
        <v>1</v>
      </c>
      <c r="AM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"rotary hoe","")))/LEN("rotary hoe"),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"rotary hoe","")))/LEN("rotary hoe"))</f>
        <v>0</v>
      </c>
      <c r="AN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"subsoil","")))/LEN("subsoil"),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"subsoil","")))/LEN("subsoil"))</f>
        <v>1</v>
      </c>
      <c r="AO16">
        <f>IF(OR(ISNUMBER(SEARCH("heavy",A16))=TRUE, ISNUMBER(SEARCH("medium",A16))=TRUE),
(LEN(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farm'!$D$4:$P$9,MATCH(D16,'Focus Data Tillage by farm'!$C$4:$C$9,0),_xlfn.IFS(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"tine harrow","")))/LEN("tine harrow"),
(LEN(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-LEN(SUBSTITUTE(
INDEX('Focus Data Tillage by farm'!$D$12:$P$17,MATCH(D16,'Focus Data Tillage by farm'!$C$12:$C$17,0),_xlfn.IFS(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
"tine harrow","")))/LEN("tine harrow"))</f>
        <v>0</v>
      </c>
      <c r="AP16" s="102">
        <f>INDEX('Focus Data NSpraying'!$D$4:$P$19,MATCH(F16,'Focus Data NSpraying'!$C$4:$C$19,0),_xlfn.IFS(
AND(ISNUMBER(SEARCH("H-Dsty.",A16))=TRUE,ISNUMBER(SEARCH("H-Res",A16))=TRUE,ISNUMBER(SEARCH("E.",A16))=TRUE),1,
AND(ISNUMBER(SEARCH("H-Dsty.",A16))=TRUE,ISNUMBER(SEARCH("H-Res",A16))=TRUE,OR(ISNUMBER(SEARCH("N.he",A16))=TRUE,ISNUMBER(SEARCH("N.me",A16))=TRUE,ISNUMBER(SEARCH("N.li",A16))=TRUE)),2,
AND(ISNUMBER(SEARCH("H-Dsty.",A16))=TRUE,ISNUMBER(SEARCH("H-Res",A16))=TRUE,ISNUMBER(SEARCH("C.",A16))=TRUE),3,
AND(ISNUMBER(SEARCH("L-Dsty.",A16))=TRUE,ISNUMBER(SEARCH("H-Res",A16))=TRUE,ISNUMBER(SEARCH("E.",A16))=TRUE),6,
AND(ISNUMBER(SEARCH("L-Dsty.",A16))=TRUE,ISNUMBER(SEARCH("H-Res",A16))=TRUE,OR(ISNUMBER(SEARCH("N.he",A16))=TRUE,ISNUMBER(SEARCH("N.me",A16))=TRUE,ISNUMBER(SEARCH("N.li",A16))=TRUE)),7,
AND(ISNUMBER(SEARCH("L-Dsty.",A16))=TRUE,ISNUMBER(SEARCH("H-Res",A16))=TRUE,ISNUMBER(SEARCH("C.",A16))=TRUE),8,
AND(ISNUMBER(SEARCH("L-Dsty.",A16))=TRUE,ISNUMBER(SEARCH("L-Res",A16))=TRUE,ISNUMBER(SEARCH("E.",A16))=TRUE),11,
AND(ISNUMBER(SEARCH("L-Dsty.",A16))=TRUE,ISNUMBER(SEARCH("L-Res",A16))=TRUE,OR(ISNUMBER(SEARCH("N.he",A16))=TRUE,ISNUMBER(SEARCH("N.me",A16))=TRUE,ISNUMBER(SEARCH("N.li",A16))=TRUE)),12,
AND(ISNUMBER(SEARCH("L-Dsty.",A16))=TRUE,ISNUMBER(SEARCH("L-Res",A16))=TRUE,ISNUMBER(SEARCH("C.",A16))=TRUE),13))</f>
        <v>2</v>
      </c>
    </row>
    <row r="17" spans="1:42" x14ac:dyDescent="0.2">
      <c r="A17" t="s">
        <v>486</v>
      </c>
      <c r="B17" s="210" t="str">
        <f t="array" ref="B17">INDEX(ECOMOD_input_estimate!$A$2:$A$55, MATCH(CFT_input!$A17, ECOMOD_input_estimate!$B:$B, 0))</f>
        <v>FF_13.2</v>
      </c>
      <c r="C17" s="210">
        <v>2020</v>
      </c>
      <c r="D17" s="395" t="s">
        <v>1695</v>
      </c>
      <c r="E17" s="210" t="str">
        <f t="shared" si="0"/>
        <v>N.heavy.L-Dsty.L-Res</v>
      </c>
      <c r="F17" s="210" t="str">
        <f t="array" ref="F17">_xlfn.SINGLE(IF(OR(ISNUMBER(SEARCH("heavy",A17))=TRUE,ISNUMBER(SEARCH("medium",A17))=TRUE),
INDEX('Focus Data Crop Rotations'!$D$4:$P$9,MATCH(D17,'Focus Data Crop Rotations'!$C$4:$C$9,0),_xlfn.SINGLE(_xlfn.IFS(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INDEX('Focus Data Crop Rotations'!$D$12:$P$17,MATCH(D17,'Focus Data Crop Rotations'!$C$12:$C$17,0),_xlfn.SINGLE(_xlfn.IFS(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winterwheat</v>
      </c>
      <c r="G17">
        <v>7.2</v>
      </c>
      <c r="H17" s="227">
        <f>VLOOKUP(F17,'CFT Specific Data'!$F$4:$H$19,3,FALSE)*G17*
IF(B17=B16,
IF(AND(ISNUMBER(SEARCH("wheat",F17))=TRUE,ISNUMBER(SEARCH("Barley",F16))=TRUE),0.89,
IF(AND(ISNUMBER(SEARCH("wheat",F17))=TRUE,F16="setaside"),0.94,
IF(AND(ISNUMBER(SEARCH("barley",F17))=TRUE,ISNUMBER(SEARCH("wheat",F16))=TRUE),0.89,
IF(AND(F17="winterbarley",F16="setaside"),0.94,
IF(AND(F17="sugarbeet",F16="warepotatoes"),0.95,
IF(AND((OR(ISNUMBER(SEARCH("beans",F17)),ISNUMBER(SEARCH("driedpeas",F17)),ISNUMBER(SEARCH("sugarbeet",F17)))=TRUE),ISNUMBER(SEARCH("osr",F16))=TRUE),0,
IF(AND((OR((ISNUMBER(SEARCH("wheat",F17))),ISNUMBER(SEARCH("linseed",F17)),ISNUMBER(SEARCH("driedpeas",F17)),ISNUMBER(SEARCH("osr",F17)))=TRUE),F16="sugarbeet"),0,
IF(AND((OR((ISNUMBER(SEARCH("osr",F17))),ISNUMBER(SEARCH("linseed",F17)))=TRUE),ISNUMBER(SEARCH("beans",F16))=TRUE),0,
IF(AND(F17="wosr",ISNUMBER(SEARCH("linseed",F16))=TRUE),0,
IF(AND(F17="sugarbeet",F16="warepotatoes"),0,
1)))))))))),
IF(AND(ISNUMBER(SEARCH("wheat",F17))=TRUE,ISNUMBER(SEARCH("Barley",F22))=TRUE),0.89,
IF(AND(ISNUMBER(SEARCH("wheat",F17))=TRUE,F22="setaside"),0.94,
IF(AND(ISNUMBER(SEARCH("barley",F17))=TRUE,ISNUMBER(SEARCH("wheat",F22))=TRUE),0.89,
IF(AND(F17="winterbarley",F22="setaside"),0.94,
IF(AND(F17="sugarbeet",F22="warepotatoes"),0.95,
IF(AND((OR(ISNUMBER(SEARCH("beans",F17)),ISNUMBER(SEARCH("driedpeas",F17)),ISNUMBER(SEARCH("sugarbeet",F17)))=TRUE),ISNUMBER(SEARCH("osr",F22))=TRUE),0,
IF(AND((OR((ISNUMBER(SEARCH("wheat",F17))),ISNUMBER(SEARCH("linseed",F17)),ISNUMBER(SEARCH("driedpeas",F17)),ISNUMBER(SEARCH("osr",F17)))=TRUE),F22="sugarbeet"),0,
IF(AND((OR((ISNUMBER(SEARCH("osr",F17))),ISNUMBER(SEARCH("linseed",F17)))=TRUE),ISNUMBER(SEARCH("beans",F22))=TRUE),0,
IF(AND(F17="wosr",ISNUMBER(SEARCH("linseed",F22))=TRUE),0,
IF(AND(F17="sugarbeet",F22="warepotatoes"),0,
1)))))))))))
*IF(OR(ISNUMBER(SEARCH("wheat",F17)),ISNUMBER(SEARCH("barley",F17)),ISNUMBER(SEARCH("driedpeas",F17)),ISNUMBER(SEARCH("warepotatoes",F17)),ISNUMBER(SEARCH("osr",F17)),ISNUMBER(SEARCH("linseed",F17)),ISNUMBER(SEARCH("sugarbeet",F17))),
IF(COUNTIF(B12:B16,B17)=5,
INDEX('CFT Specific Data'!$G$24:$L$39,MATCH(F17,'CFT Specific Data'!$F$24:$F$39,0),IF(COUNTIF(F12:F16,F17)=5,6,IF(COUNTIF(F13:F16,F17)=4,5,IF(COUNTIF(F14:F16,F17)=3,4,IF(COUNTIF(F15:F16,F17)=2,3,IF(F16=F17,2,1)))))),
IF(COUNTIF(B12:B16,B17)=4,
INDEX('CFT Specific Data'!$G$24:$L$39,MATCH(F17,'CFT Specific Data'!$F$24:$F$39,0),IF(SUM(COUNTIF(F13:F16,F17),COUNTIF(F18,F17))=5,6,IF(COUNTIF(F13:F16,F17)=4,5,IF(COUNTIF(F14:F16,F17)=3,4,IF(COUNTIF(F15:F16,F17)=2,3,IF(F16=F17,2,1)))))),
IF(COUNTIF(B12:B16,B17)=3,
INDEX('CFT Specific Data'!$G$24:$L$39,MATCH(F17,'CFT Specific Data'!$F$24:$F$39,0),IF(SUM(COUNTIF(F14:F16,F17),COUNTIF(F18:F19,F17))=5,6,IF(SUM(COUNTIF(F14:F16,F17),COUNTIF(F19,F17))=4,5,IF(COUNTIF(F14:F16,F17)=3,4,IF(COUNTIF(F15:F16,F17)=2,3,IF(F16=F17,2,1)))))),
IF(COUNTIF(B12:B16,B17)=2,
INDEX('CFT Specific Data'!$G$24:$L$39,MATCH(F17,'CFT Specific Data'!$F$24:$F$39,0),IF(SUM(COUNTIF(F15:F16,F17),COUNTIF(F18:F20,F17))=5,6,IF(SUM(COUNTIF(F15:F16,F17),COUNTIF(F19:F20,F17))=4,5,IF(SUM(COUNTIF(F15:F16,F17),COUNTIF(F20,F17))=3,4,IF(COUNTIF(F15:F16,F17)=2,3,IF(F16=F17,2,1)))))),
IF(COUNTIF(B12:B16,B17)=1,
INDEX('CFT Specific Data'!$G$24:$L$39,MATCH(F17,'CFT Specific Data'!$F$24:$F$39,0),IF(SUM(COUNTIF(F16,F17),COUNTIF(F18:F21,F17))=5,6,IF(SUM(COUNTIF(F16,F17),COUNTIF(F19:F21,F17))=4,5,IF(SUM(COUNTIF(F16,F17),COUNTIF(F20:F21,F17))=3,4,IF(SUM(COUNTIF(F16,F17),COUNTIF(F21,F17))=2,3,IF(F16=F17,2,1)))))),
IF(COUNTIF(B12:B16,B17)=0,
INDEX('CFT Specific Data'!$G$24:$L$39,MATCH(F17,'CFT Specific Data'!$F$24:$F$39,0),IF(COUNTIF(F18:F22,F17)=5,6,IF(COUNTIF(F19:F22,F17)=4,5,IF(COUNTIF(F20:F22,F17)=3,4,IF(COUNTIF(F21:F22,F17)=2,3,IF(F22=F17,2,1)))))))))))),1)</f>
        <v>61.92</v>
      </c>
      <c r="I17" s="210" t="s">
        <v>348</v>
      </c>
      <c r="J17">
        <v>10</v>
      </c>
      <c r="K17" s="210" t="str">
        <f>VLOOKUP(F17,'CFT Specific Data'!$F$4:$G$19,2,FALSE)</f>
        <v>Winter wheat</v>
      </c>
      <c r="L17" t="str">
        <f t="shared" si="1"/>
        <v>Fine</v>
      </c>
      <c r="M17">
        <f t="shared" si="2"/>
        <v>5.8479999999999999</v>
      </c>
      <c r="N17" t="str">
        <f t="shared" si="3"/>
        <v>5.16 &lt; SOM &lt;= 10.32</v>
      </c>
      <c r="O17" t="s">
        <v>349</v>
      </c>
      <c r="P17" t="s">
        <v>350</v>
      </c>
      <c r="Q17">
        <v>7</v>
      </c>
      <c r="R17" t="str">
        <f t="shared" si="5"/>
        <v>5.5 &lt; pH &lt;= 7.3</v>
      </c>
      <c r="S17" t="s">
        <v>351</v>
      </c>
      <c r="T17" s="210">
        <f t="array" ref="T17">_xlfn.SINGLE(INDEX('Focus Data NFertiliser Rate'!$D$4:$P$19,MATCH(F17,'Focus Data NFertiliser Rate'!$C$4:$C$19,0),_xlfn.SINGLE(_xlfn.IFS(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220</v>
      </c>
      <c r="U17" t="str">
        <f t="shared" si="4"/>
        <v>Apply in solution</v>
      </c>
      <c r="V17" s="210">
        <f t="array" ref="V17">_xlfn.SINGLE(INDEX('№ Fertiliser sprayings'!$D$4:$P$19,MATCH(F17,'№ Fertiliser sprayings'!$C$4:$C$19,0),_xlfn.SINGLE(_xlfn.IFS(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3</v>
      </c>
      <c r="W17" s="264">
        <f t="array" ref="W17">_xlfn.SINGLE(INDEX('Focus Data CFT NSpraying'!$D$4:$P$19,MATCH(F17,'Focus Data CFT NSpraying'!$C$4:$C$19,0),_xlfn.SINGLE(_xlfn.IFS(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2.7888000000000002</v>
      </c>
      <c r="X17" t="s">
        <v>363</v>
      </c>
      <c r="Y17">
        <v>0</v>
      </c>
      <c r="Z17">
        <v>100</v>
      </c>
      <c r="AA17" t="s">
        <v>352</v>
      </c>
      <c r="AB17" s="226" t="str">
        <f>IF(B17=B16,_xlfn.IFS(
AND(AA17=Lists!$L$8,AA16=Lists!$L$8),Lists!$N$5,
AND(OR(AA17=Lists!$L$5,AA17=Lists!$L$7,AA17=Lists!$L$9,AA17=Lists!$L$10,AA17=Lists!$L$6),OR(AA16=Lists!$L$5,AA16=Lists!$L$7,AA16=Lists!$L$9,AA16=Lists!$L$10,AA16=Lists!$L$6)),Lists!$N$5,
AND(AA17=Lists!$L$8,OR(AA16=Lists!$L$5,AA16=Lists!$L$7,AA16=Lists!$L$9,AA16=Lists!$L$10,AA16=Lists!$L$6)),Lists!$N$6,
AND(OR(AA17=Lists!$L$5,AA17=Lists!$L$6,AA17=Lists!$L$7,AA17=Lists!$L$9,AA17=Lists!$L$10),AA16=Lists!$L$8),Lists!$N$7),
_xlfn.IFS(
AND(AA17=Lists!$L$8,AA22=Lists!$L$8),Lists!$N$5,
AND(OR(AA17=Lists!$L$5,AA17=Lists!$L$7,AA17=Lists!$L$9,AA17=Lists!$L$10,AA17=Lists!$L$6),OR(AA22=Lists!$L$5,AA22=Lists!$L$7,AA22=Lists!$L$9,AA22=Lists!$L$10,AA22=Lists!$L$6)),Lists!$N$5,
AND(AA17=Lists!$L$8,OR(AA22=Lists!$L$5,AA22=Lists!$L$7,AA22=Lists!$L$9,AA22=Lists!$L$10,AA22=Lists!$L$6)),Lists!$N$6,
AND(OR(AA17=Lists!$L$5,AA17=Lists!$L$7,AA17=Lists!$L$9,AA17=Lists!$L$10),AA22=Lists!$L$8),Lists!$N$7))</f>
        <v>no change</v>
      </c>
      <c r="AC17">
        <v>0</v>
      </c>
      <c r="AD17">
        <v>0</v>
      </c>
      <c r="AE17" s="102">
        <f t="array" ref="AE17">IF(OR(ISNUMBER(SEARCH("heavy",A17))=TRUE, ISNUMBER(SEARCH("medium",A17))=TRUE),
(LEN(_xlfn.SINGLE(
INDEX('Focus Data Tillage by farm'!$D$4:$P$9,MATCH(D17,'Focus Data Tillage by farm'!$C$4:$C$9,0),_xlfn.SINGLE(_xlfn.IFS(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-LEN(SUBSTITUTE(_xlfn.SINGLE(
INDEX('Focus Data Tillage by farm'!$D$4:$P$9,MATCH(D17,'Focus Data Tillage by farm'!$C$4:$C$9,0),_xlfn.SINGLE(_xlfn.IFS(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"disc","")))/LEN("disc"),
(LEN(_xlfn.SINGLE(
INDEX('Focus Data Tillage by farm'!$D$12:$P$17,MATCH(D17,'Focus Data Tillage by farm'!$C$12:$C$17,0),_xlfn.SINGLE(_xlfn.IFS(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-LEN(SUBSTITUTE(_xlfn.SINGLE(
INDEX('Focus Data Tillage by farm'!$D$12:$P$17,MATCH(D17,'Focus Data Tillage by farm'!$C$12:$C$17,0),_xlfn.SINGLE(_xlfn.IFS(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"disc","")))/LEN("disc"))</f>
        <v>1</v>
      </c>
      <c r="AF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"field cultivator","")))/LEN("field cultivator"),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"field cultivator","")))/LEN("field cultivator"))</f>
        <v>0</v>
      </c>
      <c r="AG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"grain drill","")))/LEN("grain drill"),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"grain drill","")))/LEN("grain drill"))</f>
        <v>1</v>
      </c>
      <c r="AH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"minimum tillage","")))/LEN("minimum tillage"),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"minimum tillage","")))/LEN("minimum tillage"))</f>
        <v>0</v>
      </c>
      <c r="AI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"row crop planter","")))/LEN("row crop planter"),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"row crop planter","")))/LEN("row crop planter"))</f>
        <v>0</v>
      </c>
      <c r="AJ17" s="102">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"plough","")))/LEN("plough"),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"plough","")))/LEN("plough"))</f>
        <v>0</v>
      </c>
      <c r="AK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harrow","")))/LEN("roller harrow"),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harrow","")))/LEN("roller harrow"))</f>
        <v>0</v>
      </c>
      <c r="AL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packer","")))/LEN("roller packer"),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"roller packer","")))/LEN("roller packer"))</f>
        <v>2</v>
      </c>
      <c r="AM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"rotary hoe","")))/LEN("rotary hoe"),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"rotary hoe","")))/LEN("rotary hoe"))</f>
        <v>0</v>
      </c>
      <c r="AN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"subsoil","")))/LEN("subsoil"),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"subsoil","")))/LEN("subsoil"))</f>
        <v>0</v>
      </c>
      <c r="AO17">
        <f>IF(OR(ISNUMBER(SEARCH("heavy",A17))=TRUE, ISNUMBER(SEARCH("medium",A17))=TRUE),
(LEN(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farm'!$D$4:$P$9,MATCH(D17,'Focus Data Tillage by farm'!$C$4:$C$9,0),_xlfn.IFS(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"tine harrow","")))/LEN("tine harrow"),
(LEN(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-LEN(SUBSTITUTE(
INDEX('Focus Data Tillage by farm'!$D$12:$P$17,MATCH(D17,'Focus Data Tillage by farm'!$C$12:$C$17,0),_xlfn.IFS(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
"tine harrow","")))/LEN("tine harrow"))</f>
        <v>0</v>
      </c>
      <c r="AP17" s="102">
        <f>INDEX('Focus Data NSpraying'!$D$4:$P$19,MATCH(F17,'Focus Data NSpraying'!$C$4:$C$19,0),_xlfn.IFS(
AND(ISNUMBER(SEARCH("H-Dsty.",A17))=TRUE,ISNUMBER(SEARCH("H-Res",A17))=TRUE,ISNUMBER(SEARCH("E.",A17))=TRUE),1,
AND(ISNUMBER(SEARCH("H-Dsty.",A17))=TRUE,ISNUMBER(SEARCH("H-Res",A17))=TRUE,OR(ISNUMBER(SEARCH("N.he",A17))=TRUE,ISNUMBER(SEARCH("N.me",A17))=TRUE,ISNUMBER(SEARCH("N.li",A17))=TRUE)),2,
AND(ISNUMBER(SEARCH("H-Dsty.",A17))=TRUE,ISNUMBER(SEARCH("H-Res",A17))=TRUE,ISNUMBER(SEARCH("C.",A17))=TRUE),3,
AND(ISNUMBER(SEARCH("L-Dsty.",A17))=TRUE,ISNUMBER(SEARCH("H-Res",A17))=TRUE,ISNUMBER(SEARCH("E.",A17))=TRUE),6,
AND(ISNUMBER(SEARCH("L-Dsty.",A17))=TRUE,ISNUMBER(SEARCH("H-Res",A17))=TRUE,OR(ISNUMBER(SEARCH("N.he",A17))=TRUE,ISNUMBER(SEARCH("N.me",A17))=TRUE,ISNUMBER(SEARCH("N.li",A17))=TRUE)),7,
AND(ISNUMBER(SEARCH("L-Dsty.",A17))=TRUE,ISNUMBER(SEARCH("H-Res",A17))=TRUE,ISNUMBER(SEARCH("C.",A17))=TRUE),8,
AND(ISNUMBER(SEARCH("L-Dsty.",A17))=TRUE,ISNUMBER(SEARCH("L-Res",A17))=TRUE,ISNUMBER(SEARCH("E.",A17))=TRUE),11,
AND(ISNUMBER(SEARCH("L-Dsty.",A17))=TRUE,ISNUMBER(SEARCH("L-Res",A17))=TRUE,OR(ISNUMBER(SEARCH("N.he",A17))=TRUE,ISNUMBER(SEARCH("N.me",A17))=TRUE,ISNUMBER(SEARCH("N.li",A17))=TRUE)),12,
AND(ISNUMBER(SEARCH("L-Dsty.",A17))=TRUE,ISNUMBER(SEARCH("L-Res",A17))=TRUE,ISNUMBER(SEARCH("C.",A17))=TRUE),13))</f>
        <v>3</v>
      </c>
    </row>
    <row r="18" spans="1:42" x14ac:dyDescent="0.2">
      <c r="A18" t="s">
        <v>486</v>
      </c>
      <c r="B18" s="210" t="str">
        <f t="array" ref="B18">INDEX(ECOMOD_input_estimate!$A$2:$A$55, MATCH(CFT_input!$A18, ECOMOD_input_estimate!$B:$B, 0))</f>
        <v>FF_13.2</v>
      </c>
      <c r="C18" s="210">
        <v>2020</v>
      </c>
      <c r="D18" s="395" t="s">
        <v>1696</v>
      </c>
      <c r="E18" s="210" t="str">
        <f t="shared" si="0"/>
        <v>N.heavy.L-Dsty.L-Res</v>
      </c>
      <c r="F18" s="210" t="str">
        <f t="array" ref="F18">_xlfn.SINGLE(IF(OR(ISNUMBER(SEARCH("heavy",A18))=TRUE,ISNUMBER(SEARCH("medium",A18))=TRUE),
INDEX('Focus Data Crop Rotations'!$D$4:$P$9,MATCH(D18,'Focus Data Crop Rotations'!$C$4:$C$9,0),_xlfn.SINGLE(_xlfn.IFS(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INDEX('Focus Data Crop Rotations'!$D$12:$P$17,MATCH(D18,'Focus Data Crop Rotations'!$C$12:$C$17,0),_xlfn.SINGLE(_xlfn.IFS(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springbeans</v>
      </c>
      <c r="G18">
        <v>7.2</v>
      </c>
      <c r="H18" s="227">
        <f>VLOOKUP(F18,'CFT Specific Data'!$F$4:$H$19,3,FALSE)*G18*
IF(B18=B17,
IF(AND(ISNUMBER(SEARCH("wheat",F18))=TRUE,ISNUMBER(SEARCH("Barley",F17))=TRUE),0.89,
IF(AND(ISNUMBER(SEARCH("wheat",F18))=TRUE,F17="setaside"),0.94,
IF(AND(ISNUMBER(SEARCH("barley",F18))=TRUE,ISNUMBER(SEARCH("wheat",F17))=TRUE),0.89,
IF(AND(F18="winterbarley",F17="setaside"),0.94,
IF(AND(F18="sugarbeet",F17="warepotatoes"),0.95,
IF(AND((OR(ISNUMBER(SEARCH("beans",F18)),ISNUMBER(SEARCH("driedpeas",F18)),ISNUMBER(SEARCH("sugarbeet",F18)))=TRUE),ISNUMBER(SEARCH("osr",F17))=TRUE),0,
IF(AND((OR((ISNUMBER(SEARCH("wheat",F18))),ISNUMBER(SEARCH("linseed",F18)),ISNUMBER(SEARCH("driedpeas",F18)),ISNUMBER(SEARCH("osr",F18)))=TRUE),F17="sugarbeet"),0,
IF(AND((OR((ISNUMBER(SEARCH("osr",F18))),ISNUMBER(SEARCH("linseed",F18)))=TRUE),ISNUMBER(SEARCH("beans",F17))=TRUE),0,
IF(AND(F18="wosr",ISNUMBER(SEARCH("linseed",F17))=TRUE),0,
IF(AND(F18="sugarbeet",F17="warepotatoes"),0,
1)))))))))),
IF(AND(ISNUMBER(SEARCH("wheat",F18))=TRUE,ISNUMBER(SEARCH("Barley",F23))=TRUE),0.89,
IF(AND(ISNUMBER(SEARCH("wheat",F18))=TRUE,F23="setaside"),0.94,
IF(AND(ISNUMBER(SEARCH("barley",F18))=TRUE,ISNUMBER(SEARCH("wheat",F23))=TRUE),0.89,
IF(AND(F18="winterbarley",F23="setaside"),0.94,
IF(AND(F18="sugarbeet",F23="warepotatoes"),0.95,
IF(AND((OR(ISNUMBER(SEARCH("beans",F18)),ISNUMBER(SEARCH("driedpeas",F18)),ISNUMBER(SEARCH("sugarbeet",F18)))=TRUE),ISNUMBER(SEARCH("osr",F23))=TRUE),0,
IF(AND((OR((ISNUMBER(SEARCH("wheat",F18))),ISNUMBER(SEARCH("linseed",F18)),ISNUMBER(SEARCH("driedpeas",F18)),ISNUMBER(SEARCH("osr",F18)))=TRUE),F23="sugarbeet"),0,
IF(AND((OR((ISNUMBER(SEARCH("osr",F18))),ISNUMBER(SEARCH("linseed",F18)))=TRUE),ISNUMBER(SEARCH("beans",F23))=TRUE),0,
IF(AND(F18="wosr",ISNUMBER(SEARCH("linseed",F23))=TRUE),0,
IF(AND(F18="sugarbeet",F23="warepotatoes"),0,
1)))))))))))
*IF(OR(ISNUMBER(SEARCH("wheat",F18)),ISNUMBER(SEARCH("barley",F18)),ISNUMBER(SEARCH("driedpeas",F18)),ISNUMBER(SEARCH("warepotatoes",F18)),ISNUMBER(SEARCH("osr",F18)),ISNUMBER(SEARCH("linseed",F18)),ISNUMBER(SEARCH("sugarbeet",F18))),
IF(COUNTIF(B13:B17,B18)=5,
INDEX('CFT Specific Data'!$G$24:$L$39,MATCH(F18,'CFT Specific Data'!$F$24:$F$39,0),IF(COUNTIF(F13:F17,F18)=5,6,IF(COUNTIF(F14:F17,F18)=4,5,IF(COUNTIF(F15:F17,F18)=3,4,IF(COUNTIF(F16:F17,F18)=2,3,IF(F17=F18,2,1)))))),
IF(COUNTIF(B13:B17,B18)=4,
INDEX('CFT Specific Data'!$G$24:$L$39,MATCH(F18,'CFT Specific Data'!$F$24:$F$39,0),IF(SUM(COUNTIF(F14:F17,F18),COUNTIF(F19,F18))=5,6,IF(COUNTIF(F14:F17,F18)=4,5,IF(COUNTIF(F15:F17,F18)=3,4,IF(COUNTIF(F16:F17,F18)=2,3,IF(F17=F18,2,1)))))),
IF(COUNTIF(B13:B17,B18)=3,
INDEX('CFT Specific Data'!$G$24:$L$39,MATCH(F18,'CFT Specific Data'!$F$24:$F$39,0),IF(SUM(COUNTIF(F15:F17,F18),COUNTIF(F19:F20,F18))=5,6,IF(SUM(COUNTIF(F15:F17,F18),COUNTIF(F20,F18))=4,5,IF(COUNTIF(F15:F17,F18)=3,4,IF(COUNTIF(F16:F17,F18)=2,3,IF(F17=F18,2,1)))))),
IF(COUNTIF(B13:B17,B18)=2,
INDEX('CFT Specific Data'!$G$24:$L$39,MATCH(F18,'CFT Specific Data'!$F$24:$F$39,0),IF(SUM(COUNTIF(F16:F17,F18),COUNTIF(F19:F21,F18))=5,6,IF(SUM(COUNTIF(F16:F17,F18),COUNTIF(F20:F21,F18))=4,5,IF(SUM(COUNTIF(F16:F17,F18),COUNTIF(F21,F18))=3,4,IF(COUNTIF(F16:F17,F18)=2,3,IF(F17=F18,2,1)))))),
IF(COUNTIF(B13:B17,B18)=1,
INDEX('CFT Specific Data'!$G$24:$L$39,MATCH(F18,'CFT Specific Data'!$F$24:$F$39,0),IF(SUM(COUNTIF(F17,F18),COUNTIF(F19:F22,F18))=5,6,IF(SUM(COUNTIF(F17,F18),COUNTIF(F20:F22,F18))=4,5,IF(SUM(COUNTIF(F17,F18),COUNTIF(F21:F22,F18))=3,4,IF(SUM(COUNTIF(F17,F18),COUNTIF(F22,F18))=2,3,IF(F17=F18,2,1)))))),
IF(COUNTIF(B13:B17,B18)=0,
INDEX('CFT Specific Data'!$G$24:$L$39,MATCH(F18,'CFT Specific Data'!$F$24:$F$39,0),IF(COUNTIF(F19:F23,F18)=5,6,IF(COUNTIF(F20:F23,F18)=4,5,IF(COUNTIF(F21:F23,F18)=3,4,IF(COUNTIF(F22:F23,F18)=2,3,IF(F23=F18,2,1)))))))))))),1)</f>
        <v>28.08</v>
      </c>
      <c r="I18" s="210" t="s">
        <v>348</v>
      </c>
      <c r="J18">
        <v>10</v>
      </c>
      <c r="K18" s="210" t="str">
        <f>VLOOKUP(F18,'CFT Specific Data'!$F$4:$G$19,2,FALSE)</f>
        <v>Other legume</v>
      </c>
      <c r="L18" t="str">
        <f t="shared" si="1"/>
        <v>Fine</v>
      </c>
      <c r="M18">
        <f t="shared" si="2"/>
        <v>5.8479999999999999</v>
      </c>
      <c r="N18" t="str">
        <f t="shared" si="3"/>
        <v>5.16 &lt; SOM &lt;= 10.32</v>
      </c>
      <c r="O18" t="s">
        <v>349</v>
      </c>
      <c r="P18" t="s">
        <v>350</v>
      </c>
      <c r="Q18">
        <v>7</v>
      </c>
      <c r="R18" t="str">
        <f t="shared" si="5"/>
        <v>5.5 &lt; pH &lt;= 7.3</v>
      </c>
      <c r="S18" t="s">
        <v>351</v>
      </c>
      <c r="T18" s="210">
        <f t="array" ref="T18">_xlfn.SINGLE(INDEX('Focus Data NFertiliser Rate'!$D$4:$P$19,MATCH(F18,'Focus Data NFertiliser Rate'!$C$4:$C$19,0),_xlfn.SINGLE(_xlfn.IFS(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0</v>
      </c>
      <c r="U18">
        <f t="shared" si="4"/>
        <v>0</v>
      </c>
      <c r="V18" s="210">
        <f t="array" ref="V18">_xlfn.SINGLE(INDEX('№ Fertiliser sprayings'!$D$4:$P$19,MATCH(F18,'№ Fertiliser sprayings'!$C$4:$C$19,0),_xlfn.SINGLE(_xlfn.IFS(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0</v>
      </c>
      <c r="W18" s="264">
        <f t="array" ref="W18">_xlfn.SINGLE(INDEX('Focus Data CFT NSpraying'!$D$4:$P$19,MATCH(F18,'Focus Data CFT NSpraying'!$C$4:$C$19,0),_xlfn.SINGLE(_xlfn.IFS(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6.4536000000000007</v>
      </c>
      <c r="X18" t="s">
        <v>363</v>
      </c>
      <c r="Y18">
        <v>0</v>
      </c>
      <c r="Z18">
        <v>100</v>
      </c>
      <c r="AA18" t="s">
        <v>352</v>
      </c>
      <c r="AB18" s="226" t="str">
        <f>IF(B18=B17,_xlfn.IFS(
AND(AA18=Lists!$L$8,AA17=Lists!$L$8),Lists!$N$5,
AND(OR(AA18=Lists!$L$5,AA18=Lists!$L$7,AA18=Lists!$L$9,AA18=Lists!$L$10,AA18=Lists!$L$6),OR(AA17=Lists!$L$5,AA17=Lists!$L$7,AA17=Lists!$L$9,AA17=Lists!$L$10,AA17=Lists!$L$6)),Lists!$N$5,
AND(AA18=Lists!$L$8,OR(AA17=Lists!$L$5,AA17=Lists!$L$7,AA17=Lists!$L$9,AA17=Lists!$L$10,AA17=Lists!$L$6)),Lists!$N$6,
AND(OR(AA18=Lists!$L$5,AA18=Lists!$L$6,AA18=Lists!$L$7,AA18=Lists!$L$9,AA18=Lists!$L$10),AA17=Lists!$L$8),Lists!$N$7),
_xlfn.IFS(
AND(AA18=Lists!$L$8,AA23=Lists!$L$8),Lists!$N$5,
AND(OR(AA18=Lists!$L$5,AA18=Lists!$L$7,AA18=Lists!$L$9,AA18=Lists!$L$10,AA18=Lists!$L$6),OR(AA23=Lists!$L$5,AA23=Lists!$L$7,AA23=Lists!$L$9,AA23=Lists!$L$10,AA23=Lists!$L$6)),Lists!$N$5,
AND(AA18=Lists!$L$8,OR(AA23=Lists!$L$5,AA23=Lists!$L$7,AA23=Lists!$L$9,AA23=Lists!$L$10,AA23=Lists!$L$6)),Lists!$N$6,
AND(OR(AA18=Lists!$L$5,AA18=Lists!$L$7,AA18=Lists!$L$9,AA18=Lists!$L$10),AA23=Lists!$L$8),Lists!$N$7))</f>
        <v>no change</v>
      </c>
      <c r="AC18">
        <v>0</v>
      </c>
      <c r="AD18">
        <v>0</v>
      </c>
      <c r="AE18" s="102">
        <f t="array" ref="AE18">IF(OR(ISNUMBER(SEARCH("heavy",A18))=TRUE, ISNUMBER(SEARCH("medium",A18))=TRUE),
(LEN(_xlfn.SINGLE(
INDEX('Focus Data Tillage by farm'!$D$4:$P$9,MATCH(D18,'Focus Data Tillage by farm'!$C$4:$C$9,0),_xlfn.SINGLE(_xlfn.IFS(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-LEN(SUBSTITUTE(_xlfn.SINGLE(
INDEX('Focus Data Tillage by farm'!$D$4:$P$9,MATCH(D18,'Focus Data Tillage by farm'!$C$4:$C$9,0),_xlfn.SINGLE(_xlfn.IFS(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"disc","")))/LEN("disc"),
(LEN(_xlfn.SINGLE(
INDEX('Focus Data Tillage by farm'!$D$12:$P$17,MATCH(D18,'Focus Data Tillage by farm'!$C$12:$C$17,0),_xlfn.SINGLE(_xlfn.IFS(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-LEN(SUBSTITUTE(_xlfn.SINGLE(
INDEX('Focus Data Tillage by farm'!$D$12:$P$17,MATCH(D18,'Focus Data Tillage by farm'!$C$12:$C$17,0),_xlfn.SINGLE(_xlfn.IFS(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"disc","")))/LEN("disc"))</f>
        <v>2</v>
      </c>
      <c r="AF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"field cultivator","")))/LEN("field cultivator"),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"field cultivator","")))/LEN("field cultivator"))</f>
        <v>0</v>
      </c>
      <c r="AG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"grain drill","")))/LEN("grain drill"),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"grain drill","")))/LEN("grain drill"))</f>
        <v>1</v>
      </c>
      <c r="AH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"minimum tillage","")))/LEN("minimum tillage"),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"minimum tillage","")))/LEN("minimum tillage"))</f>
        <v>0</v>
      </c>
      <c r="AI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"row crop planter","")))/LEN("row crop planter"),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"row crop planter","")))/LEN("row crop planter"))</f>
        <v>0</v>
      </c>
      <c r="AJ18" s="102">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"plough","")))/LEN("plough"),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"plough","")))/LEN("plough"))</f>
        <v>0</v>
      </c>
      <c r="AK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harrow","")))/LEN("roller harrow"),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harrow","")))/LEN("roller harrow"))</f>
        <v>0</v>
      </c>
      <c r="AL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packer","")))/LEN("roller packer"),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"roller packer","")))/LEN("roller packer"))</f>
        <v>2</v>
      </c>
      <c r="AM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"rotary hoe","")))/LEN("rotary hoe"),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"rotary hoe","")))/LEN("rotary hoe"))</f>
        <v>0</v>
      </c>
      <c r="AN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"subsoil","")))/LEN("subsoil"),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"subsoil","")))/LEN("subsoil"))</f>
        <v>0</v>
      </c>
      <c r="AO18">
        <f>IF(OR(ISNUMBER(SEARCH("heavy",A18))=TRUE, ISNUMBER(SEARCH("medium",A18))=TRUE),
(LEN(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farm'!$D$4:$P$9,MATCH(D18,'Focus Data Tillage by farm'!$C$4:$C$9,0),_xlfn.IFS(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"tine harrow","")))/LEN("tine harrow"),
(LEN(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-LEN(SUBSTITUTE(
INDEX('Focus Data Tillage by farm'!$D$12:$P$17,MATCH(D18,'Focus Data Tillage by farm'!$C$12:$C$17,0),_xlfn.IFS(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
"tine harrow","")))/LEN("tine harrow"))</f>
        <v>0</v>
      </c>
      <c r="AP18" s="102">
        <f>INDEX('Focus Data NSpraying'!$D$4:$P$19,MATCH(F18,'Focus Data NSpraying'!$C$4:$C$19,0),_xlfn.IFS(
AND(ISNUMBER(SEARCH("H-Dsty.",A18))=TRUE,ISNUMBER(SEARCH("H-Res",A18))=TRUE,ISNUMBER(SEARCH("E.",A18))=TRUE),1,
AND(ISNUMBER(SEARCH("H-Dsty.",A18))=TRUE,ISNUMBER(SEARCH("H-Res",A18))=TRUE,OR(ISNUMBER(SEARCH("N.he",A18))=TRUE,ISNUMBER(SEARCH("N.me",A18))=TRUE,ISNUMBER(SEARCH("N.li",A18))=TRUE)),2,
AND(ISNUMBER(SEARCH("H-Dsty.",A18))=TRUE,ISNUMBER(SEARCH("H-Res",A18))=TRUE,ISNUMBER(SEARCH("C.",A18))=TRUE),3,
AND(ISNUMBER(SEARCH("L-Dsty.",A18))=TRUE,ISNUMBER(SEARCH("H-Res",A18))=TRUE,ISNUMBER(SEARCH("E.",A18))=TRUE),6,
AND(ISNUMBER(SEARCH("L-Dsty.",A18))=TRUE,ISNUMBER(SEARCH("H-Res",A18))=TRUE,OR(ISNUMBER(SEARCH("N.he",A18))=TRUE,ISNUMBER(SEARCH("N.me",A18))=TRUE,ISNUMBER(SEARCH("N.li",A18))=TRUE)),7,
AND(ISNUMBER(SEARCH("L-Dsty.",A18))=TRUE,ISNUMBER(SEARCH("H-Res",A18))=TRUE,ISNUMBER(SEARCH("C.",A18))=TRUE),8,
AND(ISNUMBER(SEARCH("L-Dsty.",A18))=TRUE,ISNUMBER(SEARCH("L-Res",A18))=TRUE,ISNUMBER(SEARCH("E.",A18))=TRUE),11,
AND(ISNUMBER(SEARCH("L-Dsty.",A18))=TRUE,ISNUMBER(SEARCH("L-Res",A18))=TRUE,OR(ISNUMBER(SEARCH("N.he",A18))=TRUE,ISNUMBER(SEARCH("N.me",A18))=TRUE,ISNUMBER(SEARCH("N.li",A18))=TRUE)),12,
AND(ISNUMBER(SEARCH("L-Dsty.",A18))=TRUE,ISNUMBER(SEARCH("L-Res",A18))=TRUE,ISNUMBER(SEARCH("C.",A18))=TRUE),13))</f>
        <v>3</v>
      </c>
    </row>
    <row r="19" spans="1:42" x14ac:dyDescent="0.2">
      <c r="A19" t="s">
        <v>486</v>
      </c>
      <c r="B19" s="210" t="str">
        <f t="array" ref="B19">INDEX(ECOMOD_input_estimate!$A$2:$A$55, MATCH(CFT_input!$A19, ECOMOD_input_estimate!$B:$B, 0))</f>
        <v>FF_13.2</v>
      </c>
      <c r="C19" s="210">
        <v>2020</v>
      </c>
      <c r="D19" s="395" t="s">
        <v>735</v>
      </c>
      <c r="E19" s="210" t="str">
        <f t="shared" si="0"/>
        <v>N.heavy.L-Dsty.L-Res</v>
      </c>
      <c r="F19" s="210" t="str">
        <f t="array" ref="F19">_xlfn.SINGLE(IF(OR(ISNUMBER(SEARCH("heavy",A19))=TRUE,ISNUMBER(SEARCH("medium",A19))=TRUE),
INDEX('Focus Data Crop Rotations'!$D$4:$P$9,MATCH(D19,'Focus Data Crop Rotations'!$C$4:$C$9,0),_xlfn.SINGLE(_xlfn.IFS(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INDEX('Focus Data Crop Rotations'!$D$12:$P$17,MATCH(D19,'Focus Data Crop Rotations'!$C$12:$C$17,0),_xlfn.SINGLE(_xlfn.IFS(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winterwheat</v>
      </c>
      <c r="G19">
        <v>7.2</v>
      </c>
      <c r="H19" s="227">
        <f>VLOOKUP(F19,'CFT Specific Data'!$F$4:$H$19,3,FALSE)*G19*
IF(B19=B18,
IF(AND(ISNUMBER(SEARCH("wheat",F19))=TRUE,ISNUMBER(SEARCH("Barley",F18))=TRUE),0.89,
IF(AND(ISNUMBER(SEARCH("wheat",F19))=TRUE,F18="setaside"),0.94,
IF(AND(ISNUMBER(SEARCH("barley",F19))=TRUE,ISNUMBER(SEARCH("wheat",F18))=TRUE),0.89,
IF(AND(F19="winterbarley",F18="setaside"),0.94,
IF(AND(F19="sugarbeet",F18="warepotatoes"),0.95,
IF(AND((OR(ISNUMBER(SEARCH("beans",F19)),ISNUMBER(SEARCH("driedpeas",F19)),ISNUMBER(SEARCH("sugarbeet",F19)))=TRUE),ISNUMBER(SEARCH("osr",F18))=TRUE),0,
IF(AND((OR((ISNUMBER(SEARCH("wheat",F19))),ISNUMBER(SEARCH("linseed",F19)),ISNUMBER(SEARCH("driedpeas",F19)),ISNUMBER(SEARCH("osr",F19)))=TRUE),F18="sugarbeet"),0,
IF(AND((OR((ISNUMBER(SEARCH("osr",F19))),ISNUMBER(SEARCH("linseed",F19)))=TRUE),ISNUMBER(SEARCH("beans",F18))=TRUE),0,
IF(AND(F19="wosr",ISNUMBER(SEARCH("linseed",F18))=TRUE),0,
IF(AND(F19="sugarbeet",F18="warepotatoes"),0,
1)))))))))),
IF(AND(ISNUMBER(SEARCH("wheat",F19))=TRUE,ISNUMBER(SEARCH("Barley",F24))=TRUE),0.89,
IF(AND(ISNUMBER(SEARCH("wheat",F19))=TRUE,F24="setaside"),0.94,
IF(AND(ISNUMBER(SEARCH("barley",F19))=TRUE,ISNUMBER(SEARCH("wheat",F24))=TRUE),0.89,
IF(AND(F19="winterbarley",F24="setaside"),0.94,
IF(AND(F19="sugarbeet",F24="warepotatoes"),0.95,
IF(AND((OR(ISNUMBER(SEARCH("beans",F19)),ISNUMBER(SEARCH("driedpeas",F19)),ISNUMBER(SEARCH("sugarbeet",F19)))=TRUE),ISNUMBER(SEARCH("osr",F24))=TRUE),0,
IF(AND((OR((ISNUMBER(SEARCH("wheat",F19))),ISNUMBER(SEARCH("linseed",F19)),ISNUMBER(SEARCH("driedpeas",F19)),ISNUMBER(SEARCH("osr",F19)))=TRUE),F24="sugarbeet"),0,
IF(AND((OR((ISNUMBER(SEARCH("osr",F19))),ISNUMBER(SEARCH("linseed",F19)))=TRUE),ISNUMBER(SEARCH("beans",F24))=TRUE),0,
IF(AND(F19="wosr",ISNUMBER(SEARCH("linseed",F24))=TRUE),0,
IF(AND(F19="sugarbeet",F24="warepotatoes"),0,
1)))))))))))
*IF(OR(ISNUMBER(SEARCH("wheat",F19)),ISNUMBER(SEARCH("barley",F19)),ISNUMBER(SEARCH("driedpeas",F19)),ISNUMBER(SEARCH("warepotatoes",F19)),ISNUMBER(SEARCH("osr",F19)),ISNUMBER(SEARCH("linseed",F19)),ISNUMBER(SEARCH("sugarbeet",F19))),
IF(COUNTIF(B14:B18,B19)=5,
INDEX('CFT Specific Data'!$G$24:$L$39,MATCH(F19,'CFT Specific Data'!$F$24:$F$39,0),IF(COUNTIF(F14:F18,F19)=5,6,IF(COUNTIF(F15:F18,F19)=4,5,IF(COUNTIF(F16:F18,F19)=3,4,IF(COUNTIF(F17:F18,F19)=2,3,IF(F18=F19,2,1)))))),
IF(COUNTIF(B14:B18,B19)=4,
INDEX('CFT Specific Data'!$G$24:$L$39,MATCH(F19,'CFT Specific Data'!$F$24:$F$39,0),IF(SUM(COUNTIF(F15:F18,F19),COUNTIF(F20,F19))=5,6,IF(COUNTIF(F15:F18,F19)=4,5,IF(COUNTIF(F16:F18,F19)=3,4,IF(COUNTIF(F17:F18,F19)=2,3,IF(F18=F19,2,1)))))),
IF(COUNTIF(B14:B18,B19)=3,
INDEX('CFT Specific Data'!$G$24:$L$39,MATCH(F19,'CFT Specific Data'!$F$24:$F$39,0),IF(SUM(COUNTIF(F16:F18,F19),COUNTIF(F20:F21,F19))=5,6,IF(SUM(COUNTIF(F16:F18,F19),COUNTIF(F21,F19))=4,5,IF(COUNTIF(F16:F18,F19)=3,4,IF(COUNTIF(F17:F18,F19)=2,3,IF(F18=F19,2,1)))))),
IF(COUNTIF(B14:B18,B19)=2,
INDEX('CFT Specific Data'!$G$24:$L$39,MATCH(F19,'CFT Specific Data'!$F$24:$F$39,0),IF(SUM(COUNTIF(F17:F18,F19),COUNTIF(F20:F22,F19))=5,6,IF(SUM(COUNTIF(F17:F18,F19),COUNTIF(F21:F22,F19))=4,5,IF(SUM(COUNTIF(F17:F18,F19),COUNTIF(F22,F19))=3,4,IF(COUNTIF(F17:F18,F19)=2,3,IF(F18=F19,2,1)))))),
IF(COUNTIF(B14:B18,B19)=1,
INDEX('CFT Specific Data'!$G$24:$L$39,MATCH(F19,'CFT Specific Data'!$F$24:$F$39,0),IF(SUM(COUNTIF(F18,F19),COUNTIF(F20:F23,F19))=5,6,IF(SUM(COUNTIF(F18,F19),COUNTIF(F21:F23,F19))=4,5,IF(SUM(COUNTIF(F18,F19),COUNTIF(F22:F23,F19))=3,4,IF(SUM(COUNTIF(F18,F19),COUNTIF(F23,F19))=2,3,IF(F18=F19,2,1)))))),
IF(COUNTIF(B14:B18,B19)=0,
INDEX('CFT Specific Data'!$G$24:$L$39,MATCH(F19,'CFT Specific Data'!$F$24:$F$39,0),IF(COUNTIF(F20:F24,F19)=5,6,IF(COUNTIF(F21:F24,F19)=4,5,IF(COUNTIF(F22:F24,F19)=3,4,IF(COUNTIF(F23:F24,F19)=2,3,IF(F24=F19,2,1)))))))))))),1)</f>
        <v>61.92</v>
      </c>
      <c r="I19" s="210" t="s">
        <v>348</v>
      </c>
      <c r="J19">
        <v>10</v>
      </c>
      <c r="K19" s="210" t="str">
        <f>VLOOKUP(F19,'CFT Specific Data'!$F$4:$G$19,2,FALSE)</f>
        <v>Winter wheat</v>
      </c>
      <c r="L19" t="str">
        <f t="shared" si="1"/>
        <v>Fine</v>
      </c>
      <c r="M19">
        <f t="shared" si="2"/>
        <v>5.8479999999999999</v>
      </c>
      <c r="N19" t="str">
        <f t="shared" si="3"/>
        <v>5.16 &lt; SOM &lt;= 10.32</v>
      </c>
      <c r="O19" t="s">
        <v>349</v>
      </c>
      <c r="P19" t="s">
        <v>350</v>
      </c>
      <c r="Q19">
        <v>7</v>
      </c>
      <c r="R19" t="str">
        <f t="shared" si="5"/>
        <v>5.5 &lt; pH &lt;= 7.3</v>
      </c>
      <c r="S19" t="s">
        <v>351</v>
      </c>
      <c r="T19" s="210">
        <f t="array" ref="T19">_xlfn.SINGLE(INDEX('Focus Data NFertiliser Rate'!$D$4:$P$19,MATCH(F19,'Focus Data NFertiliser Rate'!$C$4:$C$19,0),_xlfn.SINGLE(_xlfn.IFS(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220</v>
      </c>
      <c r="U19" t="str">
        <f t="shared" si="4"/>
        <v>Apply in solution</v>
      </c>
      <c r="V19" s="210">
        <f t="array" ref="V19">_xlfn.SINGLE(INDEX('№ Fertiliser sprayings'!$D$4:$P$19,MATCH(F19,'№ Fertiliser sprayings'!$C$4:$C$19,0),_xlfn.SINGLE(_xlfn.IFS(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3</v>
      </c>
      <c r="W19" s="264">
        <f t="array" ref="W19">_xlfn.SINGLE(INDEX('Focus Data CFT NSpraying'!$D$4:$P$19,MATCH(F19,'Focus Data CFT NSpraying'!$C$4:$C$19,0),_xlfn.SINGLE(_xlfn.IFS(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2.7888000000000002</v>
      </c>
      <c r="X19" t="s">
        <v>363</v>
      </c>
      <c r="Y19">
        <v>0</v>
      </c>
      <c r="Z19">
        <v>100</v>
      </c>
      <c r="AA19" t="s">
        <v>352</v>
      </c>
      <c r="AB19" s="226" t="str">
        <f>IF(B19=B18,_xlfn.IFS(
AND(AA19=Lists!$L$8,AA18=Lists!$L$8),Lists!$N$5,
AND(OR(AA19=Lists!$L$5,AA19=Lists!$L$7,AA19=Lists!$L$9,AA19=Lists!$L$10,AA19=Lists!$L$6),OR(AA18=Lists!$L$5,AA18=Lists!$L$7,AA18=Lists!$L$9,AA18=Lists!$L$10,AA18=Lists!$L$6)),Lists!$N$5,
AND(AA19=Lists!$L$8,OR(AA18=Lists!$L$5,AA18=Lists!$L$7,AA18=Lists!$L$9,AA18=Lists!$L$10,AA18=Lists!$L$6)),Lists!$N$6,
AND(OR(AA19=Lists!$L$5,AA19=Lists!$L$6,AA19=Lists!$L$7,AA19=Lists!$L$9,AA19=Lists!$L$10),AA18=Lists!$L$8),Lists!$N$7),
_xlfn.IFS(
AND(AA19=Lists!$L$8,AA24=Lists!$L$8),Lists!$N$5,
AND(OR(AA19=Lists!$L$5,AA19=Lists!$L$7,AA19=Lists!$L$9,AA19=Lists!$L$10,AA19=Lists!$L$6),OR(AA24=Lists!$L$5,AA24=Lists!$L$7,AA24=Lists!$L$9,AA24=Lists!$L$10,AA24=Lists!$L$6)),Lists!$N$5,
AND(AA19=Lists!$L$8,OR(AA24=Lists!$L$5,AA24=Lists!$L$7,AA24=Lists!$L$9,AA24=Lists!$L$10,AA24=Lists!$L$6)),Lists!$N$6,
AND(OR(AA19=Lists!$L$5,AA19=Lists!$L$7,AA19=Lists!$L$9,AA19=Lists!$L$10),AA24=Lists!$L$8),Lists!$N$7))</f>
        <v>no change</v>
      </c>
      <c r="AC19">
        <v>0</v>
      </c>
      <c r="AD19">
        <v>0</v>
      </c>
      <c r="AE19" s="102">
        <f t="array" ref="AE19">IF(OR(ISNUMBER(SEARCH("heavy",A19))=TRUE, ISNUMBER(SEARCH("medium",A19))=TRUE),
(LEN(_xlfn.SINGLE(
INDEX('Focus Data Tillage by farm'!$D$4:$P$9,MATCH(D19,'Focus Data Tillage by farm'!$C$4:$C$9,0),_xlfn.SINGLE(_xlfn.IFS(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-LEN(SUBSTITUTE(_xlfn.SINGLE(
INDEX('Focus Data Tillage by farm'!$D$4:$P$9,MATCH(D19,'Focus Data Tillage by farm'!$C$4:$C$9,0),_xlfn.SINGLE(_xlfn.IFS(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"disc","")))/LEN("disc"),
(LEN(_xlfn.SINGLE(
INDEX('Focus Data Tillage by farm'!$D$12:$P$17,MATCH(D19,'Focus Data Tillage by farm'!$C$12:$C$17,0),_xlfn.SINGLE(_xlfn.IFS(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-LEN(SUBSTITUTE(_xlfn.SINGLE(
INDEX('Focus Data Tillage by farm'!$D$12:$P$17,MATCH(D19,'Focus Data Tillage by farm'!$C$12:$C$17,0),_xlfn.SINGLE(_xlfn.IFS(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"disc","")))/LEN("disc"))</f>
        <v>1</v>
      </c>
      <c r="AF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"field cultivator","")))/LEN("field cultivator"),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"field cultivator","")))/LEN("field cultivator"))</f>
        <v>0</v>
      </c>
      <c r="AG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"grain drill","")))/LEN("grain drill"),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"grain drill","")))/LEN("grain drill"))</f>
        <v>1</v>
      </c>
      <c r="AH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"minimum tillage","")))/LEN("minimum tillage"),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"minimum tillage","")))/LEN("minimum tillage"))</f>
        <v>0</v>
      </c>
      <c r="AI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"row crop planter","")))/LEN("row crop planter"),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"row crop planter","")))/LEN("row crop planter"))</f>
        <v>0</v>
      </c>
      <c r="AJ19" s="102">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"plough","")))/LEN("plough"),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"plough","")))/LEN("plough"))</f>
        <v>0</v>
      </c>
      <c r="AK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harrow","")))/LEN("roller harrow"),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harrow","")))/LEN("roller harrow"))</f>
        <v>0</v>
      </c>
      <c r="AL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packer","")))/LEN("roller packer"),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"roller packer","")))/LEN("roller packer"))</f>
        <v>2</v>
      </c>
      <c r="AM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"rotary hoe","")))/LEN("rotary hoe"),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"rotary hoe","")))/LEN("rotary hoe"))</f>
        <v>0</v>
      </c>
      <c r="AN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"subsoil","")))/LEN("subsoil"),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"subsoil","")))/LEN("subsoil"))</f>
        <v>0</v>
      </c>
      <c r="AO19">
        <f>IF(OR(ISNUMBER(SEARCH("heavy",A19))=TRUE, ISNUMBER(SEARCH("medium",A19))=TRUE),
(LEN(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farm'!$D$4:$P$9,MATCH(D19,'Focus Data Tillage by farm'!$C$4:$C$9,0),_xlfn.IFS(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"tine harrow","")))/LEN("tine harrow"),
(LEN(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-LEN(SUBSTITUTE(
INDEX('Focus Data Tillage by farm'!$D$12:$P$17,MATCH(D19,'Focus Data Tillage by farm'!$C$12:$C$17,0),_xlfn.IFS(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
"tine harrow","")))/LEN("tine harrow"))</f>
        <v>0</v>
      </c>
      <c r="AP19" s="102">
        <f>INDEX('Focus Data NSpraying'!$D$4:$P$19,MATCH(F19,'Focus Data NSpraying'!$C$4:$C$19,0),_xlfn.IFS(
AND(ISNUMBER(SEARCH("H-Dsty.",A19))=TRUE,ISNUMBER(SEARCH("H-Res",A19))=TRUE,ISNUMBER(SEARCH("E.",A19))=TRUE),1,
AND(ISNUMBER(SEARCH("H-Dsty.",A19))=TRUE,ISNUMBER(SEARCH("H-Res",A19))=TRUE,OR(ISNUMBER(SEARCH("N.he",A19))=TRUE,ISNUMBER(SEARCH("N.me",A19))=TRUE,ISNUMBER(SEARCH("N.li",A19))=TRUE)),2,
AND(ISNUMBER(SEARCH("H-Dsty.",A19))=TRUE,ISNUMBER(SEARCH("H-Res",A19))=TRUE,ISNUMBER(SEARCH("C.",A19))=TRUE),3,
AND(ISNUMBER(SEARCH("L-Dsty.",A19))=TRUE,ISNUMBER(SEARCH("H-Res",A19))=TRUE,ISNUMBER(SEARCH("E.",A19))=TRUE),6,
AND(ISNUMBER(SEARCH("L-Dsty.",A19))=TRUE,ISNUMBER(SEARCH("H-Res",A19))=TRUE,OR(ISNUMBER(SEARCH("N.he",A19))=TRUE,ISNUMBER(SEARCH("N.me",A19))=TRUE,ISNUMBER(SEARCH("N.li",A19))=TRUE)),7,
AND(ISNUMBER(SEARCH("L-Dsty.",A19))=TRUE,ISNUMBER(SEARCH("H-Res",A19))=TRUE,ISNUMBER(SEARCH("C.",A19))=TRUE),8,
AND(ISNUMBER(SEARCH("L-Dsty.",A19))=TRUE,ISNUMBER(SEARCH("L-Res",A19))=TRUE,ISNUMBER(SEARCH("E.",A19))=TRUE),11,
AND(ISNUMBER(SEARCH("L-Dsty.",A19))=TRUE,ISNUMBER(SEARCH("L-Res",A19))=TRUE,OR(ISNUMBER(SEARCH("N.he",A19))=TRUE,ISNUMBER(SEARCH("N.me",A19))=TRUE,ISNUMBER(SEARCH("N.li",A19))=TRUE)),12,
AND(ISNUMBER(SEARCH("L-Dsty.",A19))=TRUE,ISNUMBER(SEARCH("L-Res",A19))=TRUE,ISNUMBER(SEARCH("C.",A19))=TRUE),13))</f>
        <v>3</v>
      </c>
    </row>
    <row r="20" spans="1:42" x14ac:dyDescent="0.2">
      <c r="A20" t="s">
        <v>487</v>
      </c>
      <c r="B20" s="210" t="str">
        <f t="array" ref="B20">INDEX(ECOMOD_input_estimate!$A$2:$A$55, MATCH(CFT_input!$A20, ECOMOD_input_estimate!$B:$B, 0))</f>
        <v>FF_01.4</v>
      </c>
      <c r="C20" s="210">
        <v>2020</v>
      </c>
      <c r="D20" s="395" t="s">
        <v>731</v>
      </c>
      <c r="E20" s="210" t="str">
        <f t="shared" si="0"/>
        <v>N.medium.H-Dsty.H-Res</v>
      </c>
      <c r="F20" s="210" t="str">
        <f t="array" ref="F20">_xlfn.SINGLE(IF(OR(ISNUMBER(SEARCH("heavy",A20))=TRUE,ISNUMBER(SEARCH("medium",A20))=TRUE),
INDEX('Focus Data Crop Rotations'!$D$4:$P$9,MATCH(D20,'Focus Data Crop Rotations'!$C$4:$C$9,0),_xlfn.SINGLE(_xlfn.IFS(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INDEX('Focus Data Crop Rotations'!$D$12:$P$17,MATCH(D20,'Focus Data Crop Rotations'!$C$12:$C$17,0),_xlfn.SINGLE(_xlfn.IFS(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setaside</v>
      </c>
      <c r="G20">
        <v>7.2</v>
      </c>
      <c r="H20" s="227">
        <f>VLOOKUP(F20,'CFT Specific Data'!$F$4:$H$19,3,FALSE)*G20*
IF(B20=B19,
IF(AND(ISNUMBER(SEARCH("wheat",F20))=TRUE,ISNUMBER(SEARCH("Barley",F19))=TRUE),0.89,
IF(AND(ISNUMBER(SEARCH("wheat",F20))=TRUE,F19="setaside"),0.94,
IF(AND(ISNUMBER(SEARCH("barley",F20))=TRUE,ISNUMBER(SEARCH("wheat",F19))=TRUE),0.89,
IF(AND(F20="winterbarley",F19="setaside"),0.94,
IF(AND(F20="sugarbeet",F19="warepotatoes"),0.95,
IF(AND((OR(ISNUMBER(SEARCH("beans",F20)),ISNUMBER(SEARCH("driedpeas",F20)),ISNUMBER(SEARCH("sugarbeet",F20)))=TRUE),ISNUMBER(SEARCH("osr",F19))=TRUE),0,
IF(AND((OR((ISNUMBER(SEARCH("wheat",F20))),ISNUMBER(SEARCH("linseed",F20)),ISNUMBER(SEARCH("driedpeas",F20)),ISNUMBER(SEARCH("osr",F20)))=TRUE),F19="sugarbeet"),0,
IF(AND((OR((ISNUMBER(SEARCH("osr",F20))),ISNUMBER(SEARCH("linseed",F20)))=TRUE),ISNUMBER(SEARCH("beans",F19))=TRUE),0,
IF(AND(F20="wosr",ISNUMBER(SEARCH("linseed",F19))=TRUE),0,
IF(AND(F20="sugarbeet",F19="warepotatoes"),0,
1)))))))))),
IF(AND(ISNUMBER(SEARCH("wheat",F20))=TRUE,ISNUMBER(SEARCH("Barley",F25))=TRUE),0.89,
IF(AND(ISNUMBER(SEARCH("wheat",F20))=TRUE,F25="setaside"),0.94,
IF(AND(ISNUMBER(SEARCH("barley",F20))=TRUE,ISNUMBER(SEARCH("wheat",F25))=TRUE),0.89,
IF(AND(F20="winterbarley",F25="setaside"),0.94,
IF(AND(F20="sugarbeet",F25="warepotatoes"),0.95,
IF(AND((OR(ISNUMBER(SEARCH("beans",F20)),ISNUMBER(SEARCH("driedpeas",F20)),ISNUMBER(SEARCH("sugarbeet",F20)))=TRUE),ISNUMBER(SEARCH("osr",F25))=TRUE),0,
IF(AND((OR((ISNUMBER(SEARCH("wheat",F20))),ISNUMBER(SEARCH("linseed",F20)),ISNUMBER(SEARCH("driedpeas",F20)),ISNUMBER(SEARCH("osr",F20)))=TRUE),F25="sugarbeet"),0,
IF(AND((OR((ISNUMBER(SEARCH("osr",F20))),ISNUMBER(SEARCH("linseed",F20)))=TRUE),ISNUMBER(SEARCH("beans",F25))=TRUE),0,
IF(AND(F20="wosr",ISNUMBER(SEARCH("linseed",F25))=TRUE),0,
IF(AND(F20="sugarbeet",F25="warepotatoes"),0,
1)))))))))))
*IF(OR(ISNUMBER(SEARCH("wheat",F20)),ISNUMBER(SEARCH("barley",F20)),ISNUMBER(SEARCH("driedpeas",F20)),ISNUMBER(SEARCH("warepotatoes",F20)),ISNUMBER(SEARCH("osr",F20)),ISNUMBER(SEARCH("linseed",F20)),ISNUMBER(SEARCH("sugarbeet",F20))),
IF(COUNTIF(B15:B19,B20)=5,
INDEX('CFT Specific Data'!$G$24:$L$39,MATCH(F20,'CFT Specific Data'!$F$24:$F$39,0),IF(COUNTIF(F15:F19,F20)=5,6,IF(COUNTIF(F16:F19,F20)=4,5,IF(COUNTIF(F17:F19,F20)=3,4,IF(COUNTIF(F18:F19,F20)=2,3,IF(F19=F20,2,1)))))),
IF(COUNTIF(B15:B19,B20)=4,
INDEX('CFT Specific Data'!$G$24:$L$39,MATCH(F20,'CFT Specific Data'!$F$24:$F$39,0),IF(SUM(COUNTIF(F16:F19,F20),COUNTIF(F21,F20))=5,6,IF(COUNTIF(F16:F19,F20)=4,5,IF(COUNTIF(F17:F19,F20)=3,4,IF(COUNTIF(F18:F19,F20)=2,3,IF(F19=F20,2,1)))))),
IF(COUNTIF(B15:B19,B20)=3,
INDEX('CFT Specific Data'!$G$24:$L$39,MATCH(F20,'CFT Specific Data'!$F$24:$F$39,0),IF(SUM(COUNTIF(F17:F19,F20),COUNTIF(F21:F22,F20))=5,6,IF(SUM(COUNTIF(F17:F19,F20),COUNTIF(F22,F20))=4,5,IF(COUNTIF(F17:F19,F20)=3,4,IF(COUNTIF(F18:F19,F20)=2,3,IF(F19=F20,2,1)))))),
IF(COUNTIF(B15:B19,B20)=2,
INDEX('CFT Specific Data'!$G$24:$L$39,MATCH(F20,'CFT Specific Data'!$F$24:$F$39,0),IF(SUM(COUNTIF(F18:F19,F20),COUNTIF(F21:F23,F20))=5,6,IF(SUM(COUNTIF(F18:F19,F20),COUNTIF(F22:F23,F20))=4,5,IF(SUM(COUNTIF(F18:F19,F20),COUNTIF(F23,F20))=3,4,IF(COUNTIF(F18:F19,F20)=2,3,IF(F19=F20,2,1)))))),
IF(COUNTIF(B15:B19,B20)=1,
INDEX('CFT Specific Data'!$G$24:$L$39,MATCH(F20,'CFT Specific Data'!$F$24:$F$39,0),IF(SUM(COUNTIF(F19,F20),COUNTIF(F21:F24,F20))=5,6,IF(SUM(COUNTIF(F19,F20),COUNTIF(F22:F24,F20))=4,5,IF(SUM(COUNTIF(F19,F20),COUNTIF(F23:F24,F20))=3,4,IF(SUM(COUNTIF(F19,F20),COUNTIF(F24,F20))=2,3,IF(F19=F20,2,1)))))),
IF(COUNTIF(B15:B19,B20)=0,
INDEX('CFT Specific Data'!$G$24:$L$39,MATCH(F20,'CFT Specific Data'!$F$24:$F$39,0),IF(COUNTIF(F21:F25,F20)=5,6,IF(COUNTIF(F22:F25,F20)=4,5,IF(COUNTIF(F23:F25,F20)=3,4,IF(COUNTIF(F24:F25,F20)=2,3,IF(F25=F20,2,1)))))))))))),1)</f>
        <v>0</v>
      </c>
      <c r="I20" s="210" t="s">
        <v>348</v>
      </c>
      <c r="J20">
        <v>10</v>
      </c>
      <c r="K20" s="210" t="str">
        <f>VLOOKUP(F20,'CFT Specific Data'!$F$4:$G$19,2,FALSE)</f>
        <v>Perennial grass</v>
      </c>
      <c r="L20" t="str">
        <f t="shared" si="1"/>
        <v>Medium</v>
      </c>
      <c r="M20">
        <f t="shared" si="2"/>
        <v>4.4720000000000004</v>
      </c>
      <c r="N20" t="str">
        <f t="shared" si="3"/>
        <v>1.72 &lt; SOM &lt;= 5.16</v>
      </c>
      <c r="O20" t="s">
        <v>349</v>
      </c>
      <c r="P20" t="s">
        <v>350</v>
      </c>
      <c r="Q20">
        <v>7</v>
      </c>
      <c r="R20" t="str">
        <f t="shared" si="5"/>
        <v>5.5 &lt; pH &lt;= 7.3</v>
      </c>
      <c r="S20" t="s">
        <v>351</v>
      </c>
      <c r="T20" s="210">
        <f t="array" ref="T20">_xlfn.SINGLE(INDEX('Focus Data NFertiliser Rate'!$D$4:$P$19,MATCH(F20,'Focus Data NFertiliser Rate'!$C$4:$C$19,0),_xlfn.SINGLE(_xlfn.IFS(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0</v>
      </c>
      <c r="U20">
        <f t="shared" si="4"/>
        <v>0</v>
      </c>
      <c r="V20" s="210">
        <f t="array" ref="V20">_xlfn.SINGLE(INDEX('№ Fertiliser sprayings'!$D$4:$P$19,MATCH(F20,'№ Fertiliser sprayings'!$C$4:$C$19,0),_xlfn.SINGLE(_xlfn.IFS(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0</v>
      </c>
      <c r="W20" s="264">
        <f t="array" ref="W20">_xlfn.SINGLE(INDEX('Focus Data CFT NSpraying'!$D$4:$P$19,MATCH(F20,'Focus Data CFT NSpraying'!$C$4:$C$19,0),_xlfn.SINGLE(_xlfn.IFS(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4.4640000000000004</v>
      </c>
      <c r="X20" t="s">
        <v>363</v>
      </c>
      <c r="Y20">
        <v>0</v>
      </c>
      <c r="Z20">
        <v>100</v>
      </c>
      <c r="AA20" t="s">
        <v>352</v>
      </c>
      <c r="AB20" s="226" t="str">
        <f>IF(B20=B19,_xlfn.IFS(
AND(AA20=Lists!$L$8,AA19=Lists!$L$8),Lists!$N$5,
AND(OR(AA20=Lists!$L$5,AA20=Lists!$L$7,AA20=Lists!$L$9,AA20=Lists!$L$10,AA20=Lists!$L$6),OR(AA19=Lists!$L$5,AA19=Lists!$L$7,AA19=Lists!$L$9,AA19=Lists!$L$10,AA19=Lists!$L$6)),Lists!$N$5,
AND(AA20=Lists!$L$8,OR(AA19=Lists!$L$5,AA19=Lists!$L$7,AA19=Lists!$L$9,AA19=Lists!$L$10,AA19=Lists!$L$6)),Lists!$N$6,
AND(OR(AA20=Lists!$L$5,AA20=Lists!$L$6,AA20=Lists!$L$7,AA20=Lists!$L$9,AA20=Lists!$L$10),AA19=Lists!$L$8),Lists!$N$7),
_xlfn.IFS(
AND(AA20=Lists!$L$8,AA25=Lists!$L$8),Lists!$N$5,
AND(OR(AA20=Lists!$L$5,AA20=Lists!$L$7,AA20=Lists!$L$9,AA20=Lists!$L$10,AA20=Lists!$L$6),OR(AA25=Lists!$L$5,AA25=Lists!$L$7,AA25=Lists!$L$9,AA25=Lists!$L$10,AA25=Lists!$L$6)),Lists!$N$5,
AND(AA20=Lists!$L$8,OR(AA25=Lists!$L$5,AA25=Lists!$L$7,AA25=Lists!$L$9,AA25=Lists!$L$10,AA25=Lists!$L$6)),Lists!$N$6,
AND(OR(AA20=Lists!$L$5,AA20=Lists!$L$7,AA20=Lists!$L$9,AA20=Lists!$L$10),AA25=Lists!$L$8),Lists!$N$7))</f>
        <v>no change</v>
      </c>
      <c r="AC20">
        <v>0</v>
      </c>
      <c r="AD20">
        <v>0</v>
      </c>
      <c r="AE20" s="102">
        <f t="array" ref="AE20">IF(OR(ISNUMBER(SEARCH("heavy",A20))=TRUE, ISNUMBER(SEARCH("medium",A20))=TRUE),
(LEN(_xlfn.SINGLE(
INDEX('Focus Data Tillage by farm'!$D$4:$P$9,MATCH(D20,'Focus Data Tillage by farm'!$C$4:$C$9,0),_xlfn.SINGLE(_xlfn.IFS(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-LEN(SUBSTITUTE(_xlfn.SINGLE(
INDEX('Focus Data Tillage by farm'!$D$4:$P$9,MATCH(D20,'Focus Data Tillage by farm'!$C$4:$C$9,0),_xlfn.SINGLE(_xlfn.IFS(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"disc","")))/LEN("disc"),
(LEN(_xlfn.SINGLE(
INDEX('Focus Data Tillage by farm'!$D$12:$P$17,MATCH(D20,'Focus Data Tillage by farm'!$C$12:$C$17,0),_xlfn.SINGLE(_xlfn.IFS(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-LEN(SUBSTITUTE(_xlfn.SINGLE(
INDEX('Focus Data Tillage by farm'!$D$12:$P$17,MATCH(D20,'Focus Data Tillage by farm'!$C$12:$C$17,0),_xlfn.SINGLE(_xlfn.IFS(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"disc","")))/LEN("disc"))</f>
        <v>2</v>
      </c>
      <c r="AF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"field cultivator","")))/LEN("field cultivator"),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"field cultivator","")))/LEN("field cultivator"))</f>
        <v>0</v>
      </c>
      <c r="AG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"grain drill","")))/LEN("grain drill"),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"grain drill","")))/LEN("grain drill"))</f>
        <v>0</v>
      </c>
      <c r="AH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"minimum tillage","")))/LEN("minimum tillage"),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"minimum tillage","")))/LEN("minimum tillage"))</f>
        <v>0</v>
      </c>
      <c r="AI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"row crop planter","")))/LEN("row crop planter"),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"row crop planter","")))/LEN("row crop planter"))</f>
        <v>0</v>
      </c>
      <c r="AJ20" s="102">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"plough","")))/LEN("plough"),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"plough","")))/LEN("plough"))</f>
        <v>0</v>
      </c>
      <c r="AK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harrow","")))/LEN("roller harrow"),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harrow","")))/LEN("roller harrow"))</f>
        <v>0</v>
      </c>
      <c r="AL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packer","")))/LEN("roller packer"),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"roller packer","")))/LEN("roller packer"))</f>
        <v>1</v>
      </c>
      <c r="AM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"rotary hoe","")))/LEN("rotary hoe"),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"rotary hoe","")))/LEN("rotary hoe"))</f>
        <v>0</v>
      </c>
      <c r="AN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"subsoil","")))/LEN("subsoil"),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"subsoil","")))/LEN("subsoil"))</f>
        <v>0</v>
      </c>
      <c r="AO20">
        <f>IF(OR(ISNUMBER(SEARCH("heavy",A20))=TRUE, ISNUMBER(SEARCH("medium",A20))=TRUE),
(LEN(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farm'!$D$4:$P$9,MATCH(D20,'Focus Data Tillage by farm'!$C$4:$C$9,0),_xlfn.IFS(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"tine harrow","")))/LEN("tine harrow"),
(LEN(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-LEN(SUBSTITUTE(
INDEX('Focus Data Tillage by farm'!$D$12:$P$17,MATCH(D20,'Focus Data Tillage by farm'!$C$12:$C$17,0),_xlfn.IFS(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
"tine harrow","")))/LEN("tine harrow"))</f>
        <v>0</v>
      </c>
      <c r="AP20" s="102">
        <f>INDEX('Focus Data NSpraying'!$D$4:$P$19,MATCH(F20,'Focus Data NSpraying'!$C$4:$C$19,0),_xlfn.IFS(
AND(ISNUMBER(SEARCH("H-Dsty.",A20))=TRUE,ISNUMBER(SEARCH("H-Res",A20))=TRUE,ISNUMBER(SEARCH("E.",A20))=TRUE),1,
AND(ISNUMBER(SEARCH("H-Dsty.",A20))=TRUE,ISNUMBER(SEARCH("H-Res",A20))=TRUE,OR(ISNUMBER(SEARCH("N.he",A20))=TRUE,ISNUMBER(SEARCH("N.me",A20))=TRUE,ISNUMBER(SEARCH("N.li",A20))=TRUE)),2,
AND(ISNUMBER(SEARCH("H-Dsty.",A20))=TRUE,ISNUMBER(SEARCH("H-Res",A20))=TRUE,ISNUMBER(SEARCH("C.",A20))=TRUE),3,
AND(ISNUMBER(SEARCH("L-Dsty.",A20))=TRUE,ISNUMBER(SEARCH("H-Res",A20))=TRUE,ISNUMBER(SEARCH("E.",A20))=TRUE),6,
AND(ISNUMBER(SEARCH("L-Dsty.",A20))=TRUE,ISNUMBER(SEARCH("H-Res",A20))=TRUE,OR(ISNUMBER(SEARCH("N.he",A20))=TRUE,ISNUMBER(SEARCH("N.me",A20))=TRUE,ISNUMBER(SEARCH("N.li",A20))=TRUE)),7,
AND(ISNUMBER(SEARCH("L-Dsty.",A20))=TRUE,ISNUMBER(SEARCH("H-Res",A20))=TRUE,ISNUMBER(SEARCH("C.",A20))=TRUE),8,
AND(ISNUMBER(SEARCH("L-Dsty.",A20))=TRUE,ISNUMBER(SEARCH("L-Res",A20))=TRUE,ISNUMBER(SEARCH("E.",A20))=TRUE),11,
AND(ISNUMBER(SEARCH("L-Dsty.",A20))=TRUE,ISNUMBER(SEARCH("L-Res",A20))=TRUE,OR(ISNUMBER(SEARCH("N.he",A20))=TRUE,ISNUMBER(SEARCH("N.me",A20))=TRUE,ISNUMBER(SEARCH("N.li",A20))=TRUE)),12,
AND(ISNUMBER(SEARCH("L-Dsty.",A20))=TRUE,ISNUMBER(SEARCH("L-Res",A20))=TRUE,ISNUMBER(SEARCH("C.",A20))=TRUE),13))</f>
        <v>5</v>
      </c>
    </row>
    <row r="21" spans="1:42" x14ac:dyDescent="0.2">
      <c r="A21" t="s">
        <v>487</v>
      </c>
      <c r="B21" s="210" t="str">
        <f t="array" ref="B21">INDEX(ECOMOD_input_estimate!$A$2:$A$55, MATCH(CFT_input!$A21, ECOMOD_input_estimate!$B:$B, 0))</f>
        <v>FF_01.4</v>
      </c>
      <c r="C21" s="210">
        <v>2020</v>
      </c>
      <c r="D21" s="395" t="s">
        <v>730</v>
      </c>
      <c r="E21" s="210" t="str">
        <f t="shared" si="0"/>
        <v>N.medium.H-Dsty.H-Res</v>
      </c>
      <c r="F21" s="210" t="str">
        <f t="array" ref="F21">_xlfn.SINGLE(IF(OR(ISNUMBER(SEARCH("heavy",A21))=TRUE,ISNUMBER(SEARCH("medium",A21))=TRUE),
INDEX('Focus Data Crop Rotations'!$D$4:$P$9,MATCH(D21,'Focus Data Crop Rotations'!$C$4:$C$9,0),_xlfn.SINGLE(_xlfn.IFS(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INDEX('Focus Data Crop Rotations'!$D$12:$P$17,MATCH(D21,'Focus Data Crop Rotations'!$C$12:$C$17,0),_xlfn.SINGLE(_xlfn.IFS(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maize</v>
      </c>
      <c r="G21">
        <v>7.2</v>
      </c>
      <c r="H21" s="227">
        <f>VLOOKUP(F21,'CFT Specific Data'!$F$4:$H$19,3,FALSE)*G21*
IF(B21=B20,
IF(AND(ISNUMBER(SEARCH("wheat",F21))=TRUE,ISNUMBER(SEARCH("Barley",F20))=TRUE),0.89,
IF(AND(ISNUMBER(SEARCH("wheat",F21))=TRUE,F20="setaside"),0.94,
IF(AND(ISNUMBER(SEARCH("barley",F21))=TRUE,ISNUMBER(SEARCH("wheat",F20))=TRUE),0.89,
IF(AND(F21="winterbarley",F20="setaside"),0.94,
IF(AND(F21="sugarbeet",F20="warepotatoes"),0.95,
IF(AND((OR(ISNUMBER(SEARCH("beans",F21)),ISNUMBER(SEARCH("driedpeas",F21)),ISNUMBER(SEARCH("sugarbeet",F21)))=TRUE),ISNUMBER(SEARCH("osr",F20))=TRUE),0,
IF(AND((OR((ISNUMBER(SEARCH("wheat",F21))),ISNUMBER(SEARCH("linseed",F21)),ISNUMBER(SEARCH("driedpeas",F21)),ISNUMBER(SEARCH("osr",F21)))=TRUE),F20="sugarbeet"),0,
IF(AND((OR((ISNUMBER(SEARCH("osr",F21))),ISNUMBER(SEARCH("linseed",F21)))=TRUE),ISNUMBER(SEARCH("beans",F20))=TRUE),0,
IF(AND(F21="wosr",ISNUMBER(SEARCH("linseed",F20))=TRUE),0,
IF(AND(F21="sugarbeet",F20="warepotatoes"),0,
1)))))))))),
IF(AND(ISNUMBER(SEARCH("wheat",F21))=TRUE,ISNUMBER(SEARCH("Barley",F26))=TRUE),0.89,
IF(AND(ISNUMBER(SEARCH("wheat",F21))=TRUE,F26="setaside"),0.94,
IF(AND(ISNUMBER(SEARCH("barley",F21))=TRUE,ISNUMBER(SEARCH("wheat",F26))=TRUE),0.89,
IF(AND(F21="winterbarley",F26="setaside"),0.94,
IF(AND(F21="sugarbeet",F26="warepotatoes"),0.95,
IF(AND((OR(ISNUMBER(SEARCH("beans",F21)),ISNUMBER(SEARCH("driedpeas",F21)),ISNUMBER(SEARCH("sugarbeet",F21)))=TRUE),ISNUMBER(SEARCH("osr",F26))=TRUE),0,
IF(AND((OR((ISNUMBER(SEARCH("wheat",F21))),ISNUMBER(SEARCH("linseed",F21)),ISNUMBER(SEARCH("driedpeas",F21)),ISNUMBER(SEARCH("osr",F21)))=TRUE),F26="sugarbeet"),0,
IF(AND((OR((ISNUMBER(SEARCH("osr",F21))),ISNUMBER(SEARCH("linseed",F21)))=TRUE),ISNUMBER(SEARCH("beans",F26))=TRUE),0,
IF(AND(F21="wosr",ISNUMBER(SEARCH("linseed",F26))=TRUE),0,
IF(AND(F21="sugarbeet",F26="warepotatoes"),0,
1)))))))))))
*IF(OR(ISNUMBER(SEARCH("wheat",F21)),ISNUMBER(SEARCH("barley",F21)),ISNUMBER(SEARCH("driedpeas",F21)),ISNUMBER(SEARCH("warepotatoes",F21)),ISNUMBER(SEARCH("osr",F21)),ISNUMBER(SEARCH("linseed",F21)),ISNUMBER(SEARCH("sugarbeet",F21))),
IF(COUNTIF(B16:B20,B21)=5,
INDEX('CFT Specific Data'!$G$24:$L$39,MATCH(F21,'CFT Specific Data'!$F$24:$F$39,0),IF(COUNTIF(F16:F20,F21)=5,6,IF(COUNTIF(F17:F20,F21)=4,5,IF(COUNTIF(F18:F20,F21)=3,4,IF(COUNTIF(F19:F20,F21)=2,3,IF(F20=F21,2,1)))))),
IF(COUNTIF(B16:B20,B21)=4,
INDEX('CFT Specific Data'!$G$24:$L$39,MATCH(F21,'CFT Specific Data'!$F$24:$F$39,0),IF(SUM(COUNTIF(F17:F20,F21),COUNTIF(F22,F21))=5,6,IF(COUNTIF(F17:F20,F21)=4,5,IF(COUNTIF(F18:F20,F21)=3,4,IF(COUNTIF(F19:F20,F21)=2,3,IF(F20=F21,2,1)))))),
IF(COUNTIF(B16:B20,B21)=3,
INDEX('CFT Specific Data'!$G$24:$L$39,MATCH(F21,'CFT Specific Data'!$F$24:$F$39,0),IF(SUM(COUNTIF(F18:F20,F21),COUNTIF(F22:F23,F21))=5,6,IF(SUM(COUNTIF(F18:F20,F21),COUNTIF(F23,F21))=4,5,IF(COUNTIF(F18:F20,F21)=3,4,IF(COUNTIF(F19:F20,F21)=2,3,IF(F20=F21,2,1)))))),
IF(COUNTIF(B16:B20,B21)=2,
INDEX('CFT Specific Data'!$G$24:$L$39,MATCH(F21,'CFT Specific Data'!$F$24:$F$39,0),IF(SUM(COUNTIF(F19:F20,F21),COUNTIF(F22:F24,F21))=5,6,IF(SUM(COUNTIF(F19:F20,F21),COUNTIF(F23:F24,F21))=4,5,IF(SUM(COUNTIF(F19:F20,F21),COUNTIF(F24,F21))=3,4,IF(COUNTIF(F19:F20,F21)=2,3,IF(F20=F21,2,1)))))),
IF(COUNTIF(B16:B20,B21)=1,
INDEX('CFT Specific Data'!$G$24:$L$39,MATCH(F21,'CFT Specific Data'!$F$24:$F$39,0),IF(SUM(COUNTIF(F20,F21),COUNTIF(F22:F25,F21))=5,6,IF(SUM(COUNTIF(F20,F21),COUNTIF(F23:F25,F21))=4,5,IF(SUM(COUNTIF(F20,F21),COUNTIF(F24:F25,F21))=3,4,IF(SUM(COUNTIF(F20,F21),COUNTIF(F25,F21))=2,3,IF(F20=F21,2,1)))))),
IF(COUNTIF(B16:B20,B21)=0,
INDEX('CFT Specific Data'!$G$24:$L$39,MATCH(F21,'CFT Specific Data'!$F$24:$F$39,0),IF(COUNTIF(F22:F26,F21)=5,6,IF(COUNTIF(F23:F26,F21)=4,5,IF(COUNTIF(F24:F26,F21)=3,4,IF(COUNTIF(F25:F26,F21)=2,3,IF(F26=F21,2,1)))))))))))),1)</f>
        <v>54</v>
      </c>
      <c r="I21" s="210" t="s">
        <v>348</v>
      </c>
      <c r="J21">
        <v>10</v>
      </c>
      <c r="K21" s="210" t="str">
        <f>VLOOKUP(F21,'CFT Specific Data'!$F$4:$G$19,2,FALSE)</f>
        <v>Maize</v>
      </c>
      <c r="L21" t="str">
        <f t="shared" si="1"/>
        <v>Medium</v>
      </c>
      <c r="M21">
        <f t="shared" si="2"/>
        <v>4.4720000000000004</v>
      </c>
      <c r="N21" t="str">
        <f t="shared" si="3"/>
        <v>1.72 &lt; SOM &lt;= 5.16</v>
      </c>
      <c r="O21" t="s">
        <v>349</v>
      </c>
      <c r="P21" t="s">
        <v>350</v>
      </c>
      <c r="Q21">
        <v>7</v>
      </c>
      <c r="R21" t="str">
        <f t="shared" si="5"/>
        <v>5.5 &lt; pH &lt;= 7.3</v>
      </c>
      <c r="S21" t="s">
        <v>351</v>
      </c>
      <c r="T21" s="210">
        <f t="array" ref="T21">_xlfn.SINGLE(INDEX('Focus Data NFertiliser Rate'!$D$4:$P$19,MATCH(F21,'Focus Data NFertiliser Rate'!$C$4:$C$19,0),_xlfn.SINGLE(_xlfn.IFS(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100</v>
      </c>
      <c r="U21" t="str">
        <f t="shared" si="4"/>
        <v>Apply in solution</v>
      </c>
      <c r="V21" s="210">
        <f t="array" ref="V21">_xlfn.SINGLE(INDEX('№ Fertiliser sprayings'!$D$4:$P$19,MATCH(F21,'№ Fertiliser sprayings'!$C$4:$C$19,0),_xlfn.SINGLE(_xlfn.IFS(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2</v>
      </c>
      <c r="W21" s="264">
        <f t="array" ref="W21">_xlfn.SINGLE(INDEX('Focus Data CFT NSpraying'!$D$4:$P$19,MATCH(F21,'Focus Data CFT NSpraying'!$C$4:$C$19,0),_xlfn.SINGLE(_xlfn.IFS(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3.024</v>
      </c>
      <c r="X21" t="s">
        <v>363</v>
      </c>
      <c r="Y21">
        <v>0</v>
      </c>
      <c r="Z21">
        <v>100</v>
      </c>
      <c r="AA21" t="s">
        <v>352</v>
      </c>
      <c r="AB21" s="226" t="str">
        <f>IF(B21=B20,_xlfn.IFS(
AND(AA21=Lists!$L$8,AA20=Lists!$L$8),Lists!$N$5,
AND(OR(AA21=Lists!$L$5,AA21=Lists!$L$7,AA21=Lists!$L$9,AA21=Lists!$L$10,AA21=Lists!$L$6),OR(AA20=Lists!$L$5,AA20=Lists!$L$7,AA20=Lists!$L$9,AA20=Lists!$L$10,AA20=Lists!$L$6)),Lists!$N$5,
AND(AA21=Lists!$L$8,OR(AA20=Lists!$L$5,AA20=Lists!$L$7,AA20=Lists!$L$9,AA20=Lists!$L$10,AA20=Lists!$L$6)),Lists!$N$6,
AND(OR(AA21=Lists!$L$5,AA21=Lists!$L$6,AA21=Lists!$L$7,AA21=Lists!$L$9,AA21=Lists!$L$10),AA20=Lists!$L$8),Lists!$N$7),
_xlfn.IFS(
AND(AA21=Lists!$L$8,AA26=Lists!$L$8),Lists!$N$5,
AND(OR(AA21=Lists!$L$5,AA21=Lists!$L$7,AA21=Lists!$L$9,AA21=Lists!$L$10,AA21=Lists!$L$6),OR(AA26=Lists!$L$5,AA26=Lists!$L$7,AA26=Lists!$L$9,AA26=Lists!$L$10,AA26=Lists!$L$6)),Lists!$N$5,
AND(AA21=Lists!$L$8,OR(AA26=Lists!$L$5,AA26=Lists!$L$7,AA26=Lists!$L$9,AA26=Lists!$L$10,AA26=Lists!$L$6)),Lists!$N$6,
AND(OR(AA21=Lists!$L$5,AA21=Lists!$L$7,AA21=Lists!$L$9,AA21=Lists!$L$10),AA26=Lists!$L$8),Lists!$N$7))</f>
        <v>no change</v>
      </c>
      <c r="AC21">
        <v>0</v>
      </c>
      <c r="AD21">
        <v>0</v>
      </c>
      <c r="AE21" s="102">
        <f t="array" ref="AE21">IF(OR(ISNUMBER(SEARCH("heavy",A21))=TRUE, ISNUMBER(SEARCH("medium",A21))=TRUE),
(LEN(_xlfn.SINGLE(
INDEX('Focus Data Tillage by farm'!$D$4:$P$9,MATCH(D21,'Focus Data Tillage by farm'!$C$4:$C$9,0),_xlfn.SINGLE(_xlfn.IFS(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-LEN(SUBSTITUTE(_xlfn.SINGLE(
INDEX('Focus Data Tillage by farm'!$D$4:$P$9,MATCH(D21,'Focus Data Tillage by farm'!$C$4:$C$9,0),_xlfn.SINGLE(_xlfn.IFS(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"disc","")))/LEN("disc"),
(LEN(_xlfn.SINGLE(
INDEX('Focus Data Tillage by farm'!$D$12:$P$17,MATCH(D21,'Focus Data Tillage by farm'!$C$12:$C$17,0),_xlfn.SINGLE(_xlfn.IFS(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-LEN(SUBSTITUTE(_xlfn.SINGLE(
INDEX('Focus Data Tillage by farm'!$D$12:$P$17,MATCH(D21,'Focus Data Tillage by farm'!$C$12:$C$17,0),_xlfn.SINGLE(_xlfn.IFS(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"disc","")))/LEN("disc"))</f>
        <v>2</v>
      </c>
      <c r="AF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"field cultivator","")))/LEN("field cultivator"),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"field cultivator","")))/LEN("field cultivator"))</f>
        <v>0</v>
      </c>
      <c r="AG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"grain drill","")))/LEN("grain drill"),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"grain drill","")))/LEN("grain drill"))</f>
        <v>0</v>
      </c>
      <c r="AH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"minimum tillage","")))/LEN("minimum tillage"),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"minimum tillage","")))/LEN("minimum tillage"))</f>
        <v>1</v>
      </c>
      <c r="AI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"row crop planter","")))/LEN("row crop planter"),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"row crop planter","")))/LEN("row crop planter"))</f>
        <v>0</v>
      </c>
      <c r="AJ21" s="102">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"plough","")))/LEN("plough"),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"plough","")))/LEN("plough"))</f>
        <v>0</v>
      </c>
      <c r="AK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harrow","")))/LEN("roller harrow"),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harrow","")))/LEN("roller harrow"))</f>
        <v>0</v>
      </c>
      <c r="AL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packer","")))/LEN("roller packer"),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"roller packer","")))/LEN("roller packer"))</f>
        <v>2</v>
      </c>
      <c r="AM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"rotary hoe","")))/LEN("rotary hoe"),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"rotary hoe","")))/LEN("rotary hoe"))</f>
        <v>0</v>
      </c>
      <c r="AN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"subsoil","")))/LEN("subsoil"),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"subsoil","")))/LEN("subsoil"))</f>
        <v>0</v>
      </c>
      <c r="AO21">
        <f>IF(OR(ISNUMBER(SEARCH("heavy",A21))=TRUE, ISNUMBER(SEARCH("medium",A21))=TRUE),
(LEN(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farm'!$D$4:$P$9,MATCH(D21,'Focus Data Tillage by farm'!$C$4:$C$9,0),_xlfn.IFS(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"tine harrow","")))/LEN("tine harrow"),
(LEN(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-LEN(SUBSTITUTE(
INDEX('Focus Data Tillage by farm'!$D$12:$P$17,MATCH(D21,'Focus Data Tillage by farm'!$C$12:$C$17,0),_xlfn.IFS(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
"tine harrow","")))/LEN("tine harrow"))</f>
        <v>0</v>
      </c>
      <c r="AP21" s="102">
        <f>INDEX('Focus Data NSpraying'!$D$4:$P$19,MATCH(F21,'Focus Data NSpraying'!$C$4:$C$19,0),_xlfn.IFS(
AND(ISNUMBER(SEARCH("H-Dsty.",A21))=TRUE,ISNUMBER(SEARCH("H-Res",A21))=TRUE,ISNUMBER(SEARCH("E.",A21))=TRUE),1,
AND(ISNUMBER(SEARCH("H-Dsty.",A21))=TRUE,ISNUMBER(SEARCH("H-Res",A21))=TRUE,OR(ISNUMBER(SEARCH("N.he",A21))=TRUE,ISNUMBER(SEARCH("N.me",A21))=TRUE,ISNUMBER(SEARCH("N.li",A21))=TRUE)),2,
AND(ISNUMBER(SEARCH("H-Dsty.",A21))=TRUE,ISNUMBER(SEARCH("H-Res",A21))=TRUE,ISNUMBER(SEARCH("C.",A21))=TRUE),3,
AND(ISNUMBER(SEARCH("L-Dsty.",A21))=TRUE,ISNUMBER(SEARCH("H-Res",A21))=TRUE,ISNUMBER(SEARCH("E.",A21))=TRUE),6,
AND(ISNUMBER(SEARCH("L-Dsty.",A21))=TRUE,ISNUMBER(SEARCH("H-Res",A21))=TRUE,OR(ISNUMBER(SEARCH("N.he",A21))=TRUE,ISNUMBER(SEARCH("N.me",A21))=TRUE,ISNUMBER(SEARCH("N.li",A21))=TRUE)),7,
AND(ISNUMBER(SEARCH("L-Dsty.",A21))=TRUE,ISNUMBER(SEARCH("H-Res",A21))=TRUE,ISNUMBER(SEARCH("C.",A21))=TRUE),8,
AND(ISNUMBER(SEARCH("L-Dsty.",A21))=TRUE,ISNUMBER(SEARCH("L-Res",A21))=TRUE,ISNUMBER(SEARCH("E.",A21))=TRUE),11,
AND(ISNUMBER(SEARCH("L-Dsty.",A21))=TRUE,ISNUMBER(SEARCH("L-Res",A21))=TRUE,OR(ISNUMBER(SEARCH("N.he",A21))=TRUE,ISNUMBER(SEARCH("N.me",A21))=TRUE,ISNUMBER(SEARCH("N.li",A21))=TRUE)),12,
AND(ISNUMBER(SEARCH("L-Dsty.",A21))=TRUE,ISNUMBER(SEARCH("L-Res",A21))=TRUE,ISNUMBER(SEARCH("C.",A21))=TRUE),13))</f>
        <v>3</v>
      </c>
    </row>
    <row r="22" spans="1:42" x14ac:dyDescent="0.2">
      <c r="A22" t="s">
        <v>487</v>
      </c>
      <c r="B22" s="210" t="str">
        <f t="array" ref="B22">INDEX(ECOMOD_input_estimate!$A$2:$A$55, MATCH(CFT_input!$A22, ECOMOD_input_estimate!$B:$B, 0))</f>
        <v>FF_01.4</v>
      </c>
      <c r="C22" s="210">
        <v>2020</v>
      </c>
      <c r="D22" s="395" t="s">
        <v>1694</v>
      </c>
      <c r="E22" s="210" t="str">
        <f t="shared" si="0"/>
        <v>N.medium.H-Dsty.H-Res</v>
      </c>
      <c r="F22" s="210" t="str">
        <f t="array" ref="F22">_xlfn.SINGLE(IF(OR(ISNUMBER(SEARCH("heavy",A22))=TRUE,ISNUMBER(SEARCH("medium",A22))=TRUE),
INDEX('Focus Data Crop Rotations'!$D$4:$P$9,MATCH(D22,'Focus Data Crop Rotations'!$C$4:$C$9,0),_xlfn.SINGLE(_xlfn.IFS(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INDEX('Focus Data Crop Rotations'!$D$12:$P$17,MATCH(D22,'Focus Data Crop Rotations'!$C$12:$C$17,0),_xlfn.SINGLE(_xlfn.IFS(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springbarley</v>
      </c>
      <c r="G22">
        <v>7.2</v>
      </c>
      <c r="H22" s="227">
        <f>VLOOKUP(F22,'CFT Specific Data'!$F$4:$H$19,3,FALSE)*G22*
IF(B22=B21,
IF(AND(ISNUMBER(SEARCH("wheat",F22))=TRUE,ISNUMBER(SEARCH("Barley",F21))=TRUE),0.89,
IF(AND(ISNUMBER(SEARCH("wheat",F22))=TRUE,F21="setaside"),0.94,
IF(AND(ISNUMBER(SEARCH("barley",F22))=TRUE,ISNUMBER(SEARCH("wheat",F21))=TRUE),0.89,
IF(AND(F22="winterbarley",F21="setaside"),0.94,
IF(AND(F22="sugarbeet",F21="warepotatoes"),0.95,
IF(AND((OR(ISNUMBER(SEARCH("beans",F22)),ISNUMBER(SEARCH("driedpeas",F22)),ISNUMBER(SEARCH("sugarbeet",F22)))=TRUE),ISNUMBER(SEARCH("osr",F21))=TRUE),0,
IF(AND((OR((ISNUMBER(SEARCH("wheat",F22))),ISNUMBER(SEARCH("linseed",F22)),ISNUMBER(SEARCH("driedpeas",F22)),ISNUMBER(SEARCH("osr",F22)))=TRUE),F21="sugarbeet"),0,
IF(AND((OR((ISNUMBER(SEARCH("osr",F22))),ISNUMBER(SEARCH("linseed",F22)))=TRUE),ISNUMBER(SEARCH("beans",F21))=TRUE),0,
IF(AND(F22="wosr",ISNUMBER(SEARCH("linseed",F21))=TRUE),0,
IF(AND(F22="sugarbeet",F21="warepotatoes"),0,
1)))))))))),
IF(AND(ISNUMBER(SEARCH("wheat",F22))=TRUE,ISNUMBER(SEARCH("Barley",F27))=TRUE),0.89,
IF(AND(ISNUMBER(SEARCH("wheat",F22))=TRUE,F27="setaside"),0.94,
IF(AND(ISNUMBER(SEARCH("barley",F22))=TRUE,ISNUMBER(SEARCH("wheat",F27))=TRUE),0.89,
IF(AND(F22="winterbarley",F27="setaside"),0.94,
IF(AND(F22="sugarbeet",F27="warepotatoes"),0.95,
IF(AND((OR(ISNUMBER(SEARCH("beans",F22)),ISNUMBER(SEARCH("driedpeas",F22)),ISNUMBER(SEARCH("sugarbeet",F22)))=TRUE),ISNUMBER(SEARCH("osr",F27))=TRUE),0,
IF(AND((OR((ISNUMBER(SEARCH("wheat",F22))),ISNUMBER(SEARCH("linseed",F22)),ISNUMBER(SEARCH("driedpeas",F22)),ISNUMBER(SEARCH("osr",F22)))=TRUE),F27="sugarbeet"),0,
IF(AND((OR((ISNUMBER(SEARCH("osr",F22))),ISNUMBER(SEARCH("linseed",F22)))=TRUE),ISNUMBER(SEARCH("beans",F27))=TRUE),0,
IF(AND(F22="wosr",ISNUMBER(SEARCH("linseed",F27))=TRUE),0,
IF(AND(F22="sugarbeet",F27="warepotatoes"),0,
1)))))))))))
*IF(OR(ISNUMBER(SEARCH("wheat",F22)),ISNUMBER(SEARCH("barley",F22)),ISNUMBER(SEARCH("driedpeas",F22)),ISNUMBER(SEARCH("warepotatoes",F22)),ISNUMBER(SEARCH("osr",F22)),ISNUMBER(SEARCH("linseed",F22)),ISNUMBER(SEARCH("sugarbeet",F22))),
IF(COUNTIF(B17:B21,B22)=5,
INDEX('CFT Specific Data'!$G$24:$L$39,MATCH(F22,'CFT Specific Data'!$F$24:$F$39,0),IF(COUNTIF(F17:F21,F22)=5,6,IF(COUNTIF(F18:F21,F22)=4,5,IF(COUNTIF(F19:F21,F22)=3,4,IF(COUNTIF(F20:F21,F22)=2,3,IF(F21=F22,2,1)))))),
IF(COUNTIF(B17:B21,B22)=4,
INDEX('CFT Specific Data'!$G$24:$L$39,MATCH(F22,'CFT Specific Data'!$F$24:$F$39,0),IF(SUM(COUNTIF(F18:F21,F22),COUNTIF(F23,F22))=5,6,IF(COUNTIF(F18:F21,F22)=4,5,IF(COUNTIF(F19:F21,F22)=3,4,IF(COUNTIF(F20:F21,F22)=2,3,IF(F21=F22,2,1)))))),
IF(COUNTIF(B17:B21,B22)=3,
INDEX('CFT Specific Data'!$G$24:$L$39,MATCH(F22,'CFT Specific Data'!$F$24:$F$39,0),IF(SUM(COUNTIF(F19:F21,F22),COUNTIF(F23:F24,F22))=5,6,IF(SUM(COUNTIF(F19:F21,F22),COUNTIF(F24,F22))=4,5,IF(COUNTIF(F19:F21,F22)=3,4,IF(COUNTIF(F20:F21,F22)=2,3,IF(F21=F22,2,1)))))),
IF(COUNTIF(B17:B21,B22)=2,
INDEX('CFT Specific Data'!$G$24:$L$39,MATCH(F22,'CFT Specific Data'!$F$24:$F$39,0),IF(SUM(COUNTIF(F20:F21,F22),COUNTIF(F23:F25,F22))=5,6,IF(SUM(COUNTIF(F20:F21,F22),COUNTIF(F24:F25,F22))=4,5,IF(SUM(COUNTIF(F20:F21,F22),COUNTIF(F25,F22))=3,4,IF(COUNTIF(F20:F21,F22)=2,3,IF(F21=F22,2,1)))))),
IF(COUNTIF(B17:B21,B22)=1,
INDEX('CFT Specific Data'!$G$24:$L$39,MATCH(F22,'CFT Specific Data'!$F$24:$F$39,0),IF(SUM(COUNTIF(F21,F22),COUNTIF(F23:F26,F22))=5,6,IF(SUM(COUNTIF(F21,F22),COUNTIF(F24:F26,F22))=4,5,IF(SUM(COUNTIF(F21,F22),COUNTIF(F25:F26,F22))=3,4,IF(SUM(COUNTIF(F21,F22),COUNTIF(F26,F22))=2,3,IF(F21=F22,2,1)))))),
IF(COUNTIF(B17:B21,B22)=0,
INDEX('CFT Specific Data'!$G$24:$L$39,MATCH(F22,'CFT Specific Data'!$F$24:$F$39,0),IF(COUNTIF(F23:F27,F22)=5,6,IF(COUNTIF(F24:F27,F22)=4,5,IF(COUNTIF(F25:F27,F22)=3,4,IF(COUNTIF(F26:F27,F22)=2,3,IF(F27=F22,2,1)))))))))))),1)</f>
        <v>41.04</v>
      </c>
      <c r="I22" s="210" t="s">
        <v>348</v>
      </c>
      <c r="J22">
        <v>10</v>
      </c>
      <c r="K22" s="210" t="str">
        <f>VLOOKUP(F22,'CFT Specific Data'!$F$4:$G$19,2,FALSE)</f>
        <v>Barley</v>
      </c>
      <c r="L22" t="str">
        <f t="shared" si="1"/>
        <v>Medium</v>
      </c>
      <c r="M22">
        <f t="shared" si="2"/>
        <v>4.4720000000000004</v>
      </c>
      <c r="N22" t="str">
        <f t="shared" si="3"/>
        <v>1.72 &lt; SOM &lt;= 5.16</v>
      </c>
      <c r="O22" t="s">
        <v>349</v>
      </c>
      <c r="P22" t="s">
        <v>350</v>
      </c>
      <c r="Q22">
        <v>7</v>
      </c>
      <c r="R22" t="str">
        <f t="shared" si="5"/>
        <v>5.5 &lt; pH &lt;= 7.3</v>
      </c>
      <c r="S22" t="s">
        <v>351</v>
      </c>
      <c r="T22" s="210">
        <f t="array" ref="T22">_xlfn.SINGLE(INDEX('Focus Data NFertiliser Rate'!$D$4:$P$19,MATCH(F22,'Focus Data NFertiliser Rate'!$C$4:$C$19,0),_xlfn.SINGLE(_xlfn.IFS(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110</v>
      </c>
      <c r="U22" t="str">
        <f t="shared" si="4"/>
        <v>Apply in solution</v>
      </c>
      <c r="V22" s="210">
        <f t="array" ref="V22">_xlfn.SINGLE(INDEX('№ Fertiliser sprayings'!$D$4:$P$19,MATCH(F22,'№ Fertiliser sprayings'!$C$4:$C$19,0),_xlfn.SINGLE(_xlfn.IFS(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1</v>
      </c>
      <c r="W22" s="264">
        <f t="array" ref="W22">_xlfn.SINGLE(INDEX('Focus Data CFT NSpraying'!$D$4:$P$19,MATCH(F22,'Focus Data CFT NSpraying'!$C$4:$C$19,0),_xlfn.SINGLE(_xlfn.IFS(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7.6639999999999997</v>
      </c>
      <c r="X22" t="s">
        <v>363</v>
      </c>
      <c r="Y22">
        <v>0</v>
      </c>
      <c r="Z22">
        <v>100</v>
      </c>
      <c r="AA22" t="s">
        <v>352</v>
      </c>
      <c r="AB22" s="226" t="str">
        <f>IF(B22=B21,_xlfn.IFS(
AND(AA22=Lists!$L$8,AA21=Lists!$L$8),Lists!$N$5,
AND(OR(AA22=Lists!$L$5,AA22=Lists!$L$7,AA22=Lists!$L$9,AA22=Lists!$L$10,AA22=Lists!$L$6),OR(AA21=Lists!$L$5,AA21=Lists!$L$7,AA21=Lists!$L$9,AA21=Lists!$L$10,AA21=Lists!$L$6)),Lists!$N$5,
AND(AA22=Lists!$L$8,OR(AA21=Lists!$L$5,AA21=Lists!$L$7,AA21=Lists!$L$9,AA21=Lists!$L$10,AA21=Lists!$L$6)),Lists!$N$6,
AND(OR(AA22=Lists!$L$5,AA22=Lists!$L$6,AA22=Lists!$L$7,AA22=Lists!$L$9,AA22=Lists!$L$10),AA21=Lists!$L$8),Lists!$N$7),
_xlfn.IFS(
AND(AA22=Lists!$L$8,AA27=Lists!$L$8),Lists!$N$5,
AND(OR(AA22=Lists!$L$5,AA22=Lists!$L$7,AA22=Lists!$L$9,AA22=Lists!$L$10,AA22=Lists!$L$6),OR(AA27=Lists!$L$5,AA27=Lists!$L$7,AA27=Lists!$L$9,AA27=Lists!$L$10,AA27=Lists!$L$6)),Lists!$N$5,
AND(AA22=Lists!$L$8,OR(AA27=Lists!$L$5,AA27=Lists!$L$7,AA27=Lists!$L$9,AA27=Lists!$L$10,AA27=Lists!$L$6)),Lists!$N$6,
AND(OR(AA22=Lists!$L$5,AA22=Lists!$L$7,AA22=Lists!$L$9,AA22=Lists!$L$10),AA27=Lists!$L$8),Lists!$N$7))</f>
        <v>no change</v>
      </c>
      <c r="AC22">
        <v>0</v>
      </c>
      <c r="AD22">
        <v>0</v>
      </c>
      <c r="AE22" s="102">
        <f t="array" ref="AE22">IF(OR(ISNUMBER(SEARCH("heavy",A22))=TRUE, ISNUMBER(SEARCH("medium",A22))=TRUE),
(LEN(_xlfn.SINGLE(
INDEX('Focus Data Tillage by farm'!$D$4:$P$9,MATCH(D22,'Focus Data Tillage by farm'!$C$4:$C$9,0),_xlfn.SINGLE(_xlfn.IFS(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-LEN(SUBSTITUTE(_xlfn.SINGLE(
INDEX('Focus Data Tillage by farm'!$D$4:$P$9,MATCH(D22,'Focus Data Tillage by farm'!$C$4:$C$9,0),_xlfn.SINGLE(_xlfn.IFS(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"disc","")))/LEN("disc"),
(LEN(_xlfn.SINGLE(
INDEX('Focus Data Tillage by farm'!$D$12:$P$17,MATCH(D22,'Focus Data Tillage by farm'!$C$12:$C$17,0),_xlfn.SINGLE(_xlfn.IFS(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-LEN(SUBSTITUTE(_xlfn.SINGLE(
INDEX('Focus Data Tillage by farm'!$D$12:$P$17,MATCH(D22,'Focus Data Tillage by farm'!$C$12:$C$17,0),_xlfn.SINGLE(_xlfn.IFS(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"disc","")))/LEN("disc"))</f>
        <v>2</v>
      </c>
      <c r="AF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"field cultivator","")))/LEN("field cultivator"),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"field cultivator","")))/LEN("field cultivator"))</f>
        <v>0</v>
      </c>
      <c r="AG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"grain drill","")))/LEN("grain drill"),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"grain drill","")))/LEN("grain drill"))</f>
        <v>0</v>
      </c>
      <c r="AH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"minimum tillage","")))/LEN("minimum tillage"),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"minimum tillage","")))/LEN("minimum tillage"))</f>
        <v>1</v>
      </c>
      <c r="AI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"row crop planter","")))/LEN("row crop planter"),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"row crop planter","")))/LEN("row crop planter"))</f>
        <v>0</v>
      </c>
      <c r="AJ22" s="10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"plough","")))/LEN("plough"),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"plough","")))/LEN("plough"))</f>
        <v>0</v>
      </c>
      <c r="AK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harrow","")))/LEN("roller harrow"),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harrow","")))/LEN("roller harrow"))</f>
        <v>0</v>
      </c>
      <c r="AL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packer","")))/LEN("roller packer"),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"roller packer","")))/LEN("roller packer"))</f>
        <v>2</v>
      </c>
      <c r="AM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"rotary hoe","")))/LEN("rotary hoe"),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"rotary hoe","")))/LEN("rotary hoe"))</f>
        <v>0</v>
      </c>
      <c r="AN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"subsoil","")))/LEN("subsoil"),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"subsoil","")))/LEN("subsoil"))</f>
        <v>0</v>
      </c>
      <c r="AO22">
        <f>IF(OR(ISNUMBER(SEARCH("heavy",A22))=TRUE, ISNUMBER(SEARCH("medium",A22))=TRUE),
(LEN(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farm'!$D$4:$P$9,MATCH(D22,'Focus Data Tillage by farm'!$C$4:$C$9,0),_xlfn.IFS(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"tine harrow","")))/LEN("tine harrow"),
(LEN(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-LEN(SUBSTITUTE(
INDEX('Focus Data Tillage by farm'!$D$12:$P$17,MATCH(D22,'Focus Data Tillage by farm'!$C$12:$C$17,0),_xlfn.IFS(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
"tine harrow","")))/LEN("tine harrow"))</f>
        <v>0</v>
      </c>
      <c r="AP22" s="102">
        <f>INDEX('Focus Data NSpraying'!$D$4:$P$19,MATCH(F22,'Focus Data NSpraying'!$C$4:$C$19,0),_xlfn.IFS(
AND(ISNUMBER(SEARCH("H-Dsty.",A22))=TRUE,ISNUMBER(SEARCH("H-Res",A22))=TRUE,ISNUMBER(SEARCH("E.",A22))=TRUE),1,
AND(ISNUMBER(SEARCH("H-Dsty.",A22))=TRUE,ISNUMBER(SEARCH("H-Res",A22))=TRUE,OR(ISNUMBER(SEARCH("N.he",A22))=TRUE,ISNUMBER(SEARCH("N.me",A22))=TRUE,ISNUMBER(SEARCH("N.li",A22))=TRUE)),2,
AND(ISNUMBER(SEARCH("H-Dsty.",A22))=TRUE,ISNUMBER(SEARCH("H-Res",A22))=TRUE,ISNUMBER(SEARCH("C.",A22))=TRUE),3,
AND(ISNUMBER(SEARCH("L-Dsty.",A22))=TRUE,ISNUMBER(SEARCH("H-Res",A22))=TRUE,ISNUMBER(SEARCH("E.",A22))=TRUE),6,
AND(ISNUMBER(SEARCH("L-Dsty.",A22))=TRUE,ISNUMBER(SEARCH("H-Res",A22))=TRUE,OR(ISNUMBER(SEARCH("N.he",A22))=TRUE,ISNUMBER(SEARCH("N.me",A22))=TRUE,ISNUMBER(SEARCH("N.li",A22))=TRUE)),7,
AND(ISNUMBER(SEARCH("L-Dsty.",A22))=TRUE,ISNUMBER(SEARCH("H-Res",A22))=TRUE,ISNUMBER(SEARCH("C.",A22))=TRUE),8,
AND(ISNUMBER(SEARCH("L-Dsty.",A22))=TRUE,ISNUMBER(SEARCH("L-Res",A22))=TRUE,ISNUMBER(SEARCH("E.",A22))=TRUE),11,
AND(ISNUMBER(SEARCH("L-Dsty.",A22))=TRUE,ISNUMBER(SEARCH("L-Res",A22))=TRUE,OR(ISNUMBER(SEARCH("N.he",A22))=TRUE,ISNUMBER(SEARCH("N.me",A22))=TRUE,ISNUMBER(SEARCH("N.li",A22))=TRUE)),12,
AND(ISNUMBER(SEARCH("L-Dsty.",A22))=TRUE,ISNUMBER(SEARCH("L-Res",A22))=TRUE,ISNUMBER(SEARCH("C.",A22))=TRUE),13))</f>
        <v>5</v>
      </c>
    </row>
    <row r="23" spans="1:42" x14ac:dyDescent="0.2">
      <c r="A23" t="s">
        <v>487</v>
      </c>
      <c r="B23" s="210" t="str">
        <f t="array" ref="B23">INDEX(ECOMOD_input_estimate!$A$2:$A$55, MATCH(CFT_input!$A23, ECOMOD_input_estimate!$B:$B, 0))</f>
        <v>FF_01.4</v>
      </c>
      <c r="C23" s="210">
        <v>2020</v>
      </c>
      <c r="D23" s="395" t="s">
        <v>1695</v>
      </c>
      <c r="E23" s="210" t="str">
        <f t="shared" si="0"/>
        <v>N.medium.H-Dsty.H-Res</v>
      </c>
      <c r="F23" s="210" t="str">
        <f t="array" ref="F23">_xlfn.SINGLE(IF(OR(ISNUMBER(SEARCH("heavy",A23))=TRUE,ISNUMBER(SEARCH("medium",A23))=TRUE),
INDEX('Focus Data Crop Rotations'!$D$4:$P$9,MATCH(D23,'Focus Data Crop Rotations'!$C$4:$C$9,0),_xlfn.SINGLE(_xlfn.IFS(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INDEX('Focus Data Crop Rotations'!$D$12:$P$17,MATCH(D23,'Focus Data Crop Rotations'!$C$12:$C$17,0),_xlfn.SINGLE(_xlfn.IFS(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winterwheat</v>
      </c>
      <c r="G23">
        <v>7.2</v>
      </c>
      <c r="H23" s="227">
        <f>VLOOKUP(F23,'CFT Specific Data'!$F$4:$H$19,3,FALSE)*G23*
IF(B23=B22,
IF(AND(ISNUMBER(SEARCH("wheat",F23))=TRUE,ISNUMBER(SEARCH("Barley",F22))=TRUE),0.89,
IF(AND(ISNUMBER(SEARCH("wheat",F23))=TRUE,F22="setaside"),0.94,
IF(AND(ISNUMBER(SEARCH("barley",F23))=TRUE,ISNUMBER(SEARCH("wheat",F22))=TRUE),0.89,
IF(AND(F23="winterbarley",F22="setaside"),0.94,
IF(AND(F23="sugarbeet",F22="warepotatoes"),0.95,
IF(AND((OR(ISNUMBER(SEARCH("beans",F23)),ISNUMBER(SEARCH("driedpeas",F23)),ISNUMBER(SEARCH("sugarbeet",F23)))=TRUE),ISNUMBER(SEARCH("osr",F22))=TRUE),0,
IF(AND((OR((ISNUMBER(SEARCH("wheat",F23))),ISNUMBER(SEARCH("linseed",F23)),ISNUMBER(SEARCH("driedpeas",F23)),ISNUMBER(SEARCH("osr",F23)))=TRUE),F22="sugarbeet"),0,
IF(AND((OR((ISNUMBER(SEARCH("osr",F23))),ISNUMBER(SEARCH("linseed",F23)))=TRUE),ISNUMBER(SEARCH("beans",F22))=TRUE),0,
IF(AND(F23="wosr",ISNUMBER(SEARCH("linseed",F22))=TRUE),0,
IF(AND(F23="sugarbeet",F22="warepotatoes"),0,
1)))))))))),
IF(AND(ISNUMBER(SEARCH("wheat",F23))=TRUE,ISNUMBER(SEARCH("Barley",F28))=TRUE),0.89,
IF(AND(ISNUMBER(SEARCH("wheat",F23))=TRUE,F28="setaside"),0.94,
IF(AND(ISNUMBER(SEARCH("barley",F23))=TRUE,ISNUMBER(SEARCH("wheat",F28))=TRUE),0.89,
IF(AND(F23="winterbarley",F28="setaside"),0.94,
IF(AND(F23="sugarbeet",F28="warepotatoes"),0.95,
IF(AND((OR(ISNUMBER(SEARCH("beans",F23)),ISNUMBER(SEARCH("driedpeas",F23)),ISNUMBER(SEARCH("sugarbeet",F23)))=TRUE),ISNUMBER(SEARCH("osr",F28))=TRUE),0,
IF(AND((OR((ISNUMBER(SEARCH("wheat",F23))),ISNUMBER(SEARCH("linseed",F23)),ISNUMBER(SEARCH("driedpeas",F23)),ISNUMBER(SEARCH("osr",F23)))=TRUE),F28="sugarbeet"),0,
IF(AND((OR((ISNUMBER(SEARCH("osr",F23))),ISNUMBER(SEARCH("linseed",F23)))=TRUE),ISNUMBER(SEARCH("beans",F28))=TRUE),0,
IF(AND(F23="wosr",ISNUMBER(SEARCH("linseed",F28))=TRUE),0,
IF(AND(F23="sugarbeet",F28="warepotatoes"),0,
1)))))))))))
*IF(OR(ISNUMBER(SEARCH("wheat",F23)),ISNUMBER(SEARCH("barley",F23)),ISNUMBER(SEARCH("driedpeas",F23)),ISNUMBER(SEARCH("warepotatoes",F23)),ISNUMBER(SEARCH("osr",F23)),ISNUMBER(SEARCH("linseed",F23)),ISNUMBER(SEARCH("sugarbeet",F23))),
IF(COUNTIF(B18:B22,B23)=5,
INDEX('CFT Specific Data'!$G$24:$L$39,MATCH(F23,'CFT Specific Data'!$F$24:$F$39,0),IF(COUNTIF(F18:F22,F23)=5,6,IF(COUNTIF(F19:F22,F23)=4,5,IF(COUNTIF(F20:F22,F23)=3,4,IF(COUNTIF(F21:F22,F23)=2,3,IF(F22=F23,2,1)))))),
IF(COUNTIF(B18:B22,B23)=4,
INDEX('CFT Specific Data'!$G$24:$L$39,MATCH(F23,'CFT Specific Data'!$F$24:$F$39,0),IF(SUM(COUNTIF(F19:F22,F23),COUNTIF(F24,F23))=5,6,IF(COUNTIF(F19:F22,F23)=4,5,IF(COUNTIF(F20:F22,F23)=3,4,IF(COUNTIF(F21:F22,F23)=2,3,IF(F22=F23,2,1)))))),
IF(COUNTIF(B18:B22,B23)=3,
INDEX('CFT Specific Data'!$G$24:$L$39,MATCH(F23,'CFT Specific Data'!$F$24:$F$39,0),IF(SUM(COUNTIF(F20:F22,F23),COUNTIF(F24:F25,F23))=5,6,IF(SUM(COUNTIF(F20:F22,F23),COUNTIF(F25,F23))=4,5,IF(COUNTIF(F20:F22,F23)=3,4,IF(COUNTIF(F21:F22,F23)=2,3,IF(F22=F23,2,1)))))),
IF(COUNTIF(B18:B22,B23)=2,
INDEX('CFT Specific Data'!$G$24:$L$39,MATCH(F23,'CFT Specific Data'!$F$24:$F$39,0),IF(SUM(COUNTIF(F21:F22,F23),COUNTIF(F24:F26,F23))=5,6,IF(SUM(COUNTIF(F21:F22,F23),COUNTIF(F25:F26,F23))=4,5,IF(SUM(COUNTIF(F21:F22,F23),COUNTIF(F26,F23))=3,4,IF(COUNTIF(F21:F22,F23)=2,3,IF(F22=F23,2,1)))))),
IF(COUNTIF(B18:B22,B23)=1,
INDEX('CFT Specific Data'!$G$24:$L$39,MATCH(F23,'CFT Specific Data'!$F$24:$F$39,0),IF(SUM(COUNTIF(F22,F23),COUNTIF(F24:F27,F23))=5,6,IF(SUM(COUNTIF(F22,F23),COUNTIF(F25:F27,F23))=4,5,IF(SUM(COUNTIF(F22,F23),COUNTIF(F26:F27,F23))=3,4,IF(SUM(COUNTIF(F22,F23),COUNTIF(F27,F23))=2,3,IF(F22=F23,2,1)))))),
IF(COUNTIF(B18:B22,B23)=0,
INDEX('CFT Specific Data'!$G$24:$L$39,MATCH(F23,'CFT Specific Data'!$F$24:$F$39,0),IF(COUNTIF(F24:F28,F23)=5,6,IF(COUNTIF(F25:F28,F23)=4,5,IF(COUNTIF(F26:F28,F23)=3,4,IF(COUNTIF(F27:F28,F23)=2,3,IF(F28=F23,2,1)))))))))))),1)</f>
        <v>55.108800000000002</v>
      </c>
      <c r="I23" s="210" t="s">
        <v>348</v>
      </c>
      <c r="J23">
        <v>10</v>
      </c>
      <c r="K23" s="210" t="str">
        <f>VLOOKUP(F23,'CFT Specific Data'!$F$4:$G$19,2,FALSE)</f>
        <v>Winter wheat</v>
      </c>
      <c r="L23" t="str">
        <f t="shared" si="1"/>
        <v>Medium</v>
      </c>
      <c r="M23">
        <f t="shared" si="2"/>
        <v>4.4720000000000004</v>
      </c>
      <c r="N23" t="str">
        <f t="shared" si="3"/>
        <v>1.72 &lt; SOM &lt;= 5.16</v>
      </c>
      <c r="O23" t="s">
        <v>349</v>
      </c>
      <c r="P23" t="s">
        <v>350</v>
      </c>
      <c r="Q23">
        <v>7</v>
      </c>
      <c r="R23" t="str">
        <f t="shared" si="5"/>
        <v>5.5 &lt; pH &lt;= 7.3</v>
      </c>
      <c r="S23" t="s">
        <v>351</v>
      </c>
      <c r="T23" s="210">
        <f t="array" ref="T23">_xlfn.SINGLE(INDEX('Focus Data NFertiliser Rate'!$D$4:$P$19,MATCH(F23,'Focus Data NFertiliser Rate'!$C$4:$C$19,0),_xlfn.SINGLE(_xlfn.IFS(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220</v>
      </c>
      <c r="U23" t="str">
        <f t="shared" si="4"/>
        <v>Apply in solution</v>
      </c>
      <c r="V23" s="210">
        <f t="array" ref="V23">_xlfn.SINGLE(INDEX('№ Fertiliser sprayings'!$D$4:$P$19,MATCH(F23,'№ Fertiliser sprayings'!$C$4:$C$19,0),_xlfn.SINGLE(_xlfn.IFS(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3</v>
      </c>
      <c r="W23" s="264">
        <f t="array" ref="W23">_xlfn.SINGLE(INDEX('Focus Data CFT NSpraying'!$D$4:$P$19,MATCH(F23,'Focus Data CFT NSpraying'!$C$4:$C$19,0),_xlfn.SINGLE(_xlfn.IFS(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9.2639999999999993</v>
      </c>
      <c r="X23" t="s">
        <v>363</v>
      </c>
      <c r="Y23">
        <v>0</v>
      </c>
      <c r="Z23">
        <v>100</v>
      </c>
      <c r="AA23" t="s">
        <v>352</v>
      </c>
      <c r="AB23" s="226" t="str">
        <f>IF(B23=B22,_xlfn.IFS(
AND(AA23=Lists!$L$8,AA22=Lists!$L$8),Lists!$N$5,
AND(OR(AA23=Lists!$L$5,AA23=Lists!$L$7,AA23=Lists!$L$9,AA23=Lists!$L$10,AA23=Lists!$L$6),OR(AA22=Lists!$L$5,AA22=Lists!$L$7,AA22=Lists!$L$9,AA22=Lists!$L$10,AA22=Lists!$L$6)),Lists!$N$5,
AND(AA23=Lists!$L$8,OR(AA22=Lists!$L$5,AA22=Lists!$L$7,AA22=Lists!$L$9,AA22=Lists!$L$10,AA22=Lists!$L$6)),Lists!$N$6,
AND(OR(AA23=Lists!$L$5,AA23=Lists!$L$6,AA23=Lists!$L$7,AA23=Lists!$L$9,AA23=Lists!$L$10),AA22=Lists!$L$8),Lists!$N$7),
_xlfn.IFS(
AND(AA23=Lists!$L$8,AA28=Lists!$L$8),Lists!$N$5,
AND(OR(AA23=Lists!$L$5,AA23=Lists!$L$7,AA23=Lists!$L$9,AA23=Lists!$L$10,AA23=Lists!$L$6),OR(AA28=Lists!$L$5,AA28=Lists!$L$7,AA28=Lists!$L$9,AA28=Lists!$L$10,AA28=Lists!$L$6)),Lists!$N$5,
AND(AA23=Lists!$L$8,OR(AA28=Lists!$L$5,AA28=Lists!$L$7,AA28=Lists!$L$9,AA28=Lists!$L$10,AA28=Lists!$L$6)),Lists!$N$6,
AND(OR(AA23=Lists!$L$5,AA23=Lists!$L$7,AA23=Lists!$L$9,AA23=Lists!$L$10),AA28=Lists!$L$8),Lists!$N$7))</f>
        <v>no change</v>
      </c>
      <c r="AC23">
        <v>0</v>
      </c>
      <c r="AD23">
        <v>0</v>
      </c>
      <c r="AE23" s="102">
        <f t="array" ref="AE23">IF(OR(ISNUMBER(SEARCH("heavy",A23))=TRUE, ISNUMBER(SEARCH("medium",A23))=TRUE),
(LEN(_xlfn.SINGLE(
INDEX('Focus Data Tillage by farm'!$D$4:$P$9,MATCH(D23,'Focus Data Tillage by farm'!$C$4:$C$9,0),_xlfn.SINGLE(_xlfn.IFS(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-LEN(SUBSTITUTE(_xlfn.SINGLE(
INDEX('Focus Data Tillage by farm'!$D$4:$P$9,MATCH(D23,'Focus Data Tillage by farm'!$C$4:$C$9,0),_xlfn.SINGLE(_xlfn.IFS(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"disc","")))/LEN("disc"),
(LEN(_xlfn.SINGLE(
INDEX('Focus Data Tillage by farm'!$D$12:$P$17,MATCH(D23,'Focus Data Tillage by farm'!$C$12:$C$17,0),_xlfn.SINGLE(_xlfn.IFS(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-LEN(SUBSTITUTE(_xlfn.SINGLE(
INDEX('Focus Data Tillage by farm'!$D$12:$P$17,MATCH(D23,'Focus Data Tillage by farm'!$C$12:$C$17,0),_xlfn.SINGLE(_xlfn.IFS(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"disc","")))/LEN("disc"))</f>
        <v>2</v>
      </c>
      <c r="AF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"field cultivator","")))/LEN("field cultivator"),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"field cultivator","")))/LEN("field cultivator"))</f>
        <v>0</v>
      </c>
      <c r="AG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"grain drill","")))/LEN("grain drill"),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"grain drill","")))/LEN("grain drill"))</f>
        <v>0</v>
      </c>
      <c r="AH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"minimum tillage","")))/LEN("minimum tillage"),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"minimum tillage","")))/LEN("minimum tillage"))</f>
        <v>1</v>
      </c>
      <c r="AI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"row crop planter","")))/LEN("row crop planter"),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"row crop planter","")))/LEN("row crop planter"))</f>
        <v>0</v>
      </c>
      <c r="AJ23" s="102">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"plough","")))/LEN("plough"),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"plough","")))/LEN("plough"))</f>
        <v>0</v>
      </c>
      <c r="AK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harrow","")))/LEN("roller harrow"),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harrow","")))/LEN("roller harrow"))</f>
        <v>0</v>
      </c>
      <c r="AL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packer","")))/LEN("roller packer"),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"roller packer","")))/LEN("roller packer"))</f>
        <v>2</v>
      </c>
      <c r="AM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"rotary hoe","")))/LEN("rotary hoe"),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"rotary hoe","")))/LEN("rotary hoe"))</f>
        <v>0</v>
      </c>
      <c r="AN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"subsoil","")))/LEN("subsoil"),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"subsoil","")))/LEN("subsoil"))</f>
        <v>0</v>
      </c>
      <c r="AO23">
        <f>IF(OR(ISNUMBER(SEARCH("heavy",A23))=TRUE, ISNUMBER(SEARCH("medium",A23))=TRUE),
(LEN(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farm'!$D$4:$P$9,MATCH(D23,'Focus Data Tillage by farm'!$C$4:$C$9,0),_xlfn.IFS(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"tine harrow","")))/LEN("tine harrow"),
(LEN(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-LEN(SUBSTITUTE(
INDEX('Focus Data Tillage by farm'!$D$12:$P$17,MATCH(D23,'Focus Data Tillage by farm'!$C$12:$C$17,0),_xlfn.IFS(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
"tine harrow","")))/LEN("tine harrow"))</f>
        <v>0</v>
      </c>
      <c r="AP23" s="102">
        <f>INDEX('Focus Data NSpraying'!$D$4:$P$19,MATCH(F23,'Focus Data NSpraying'!$C$4:$C$19,0),_xlfn.IFS(
AND(ISNUMBER(SEARCH("H-Dsty.",A23))=TRUE,ISNUMBER(SEARCH("H-Res",A23))=TRUE,ISNUMBER(SEARCH("E.",A23))=TRUE),1,
AND(ISNUMBER(SEARCH("H-Dsty.",A23))=TRUE,ISNUMBER(SEARCH("H-Res",A23))=TRUE,OR(ISNUMBER(SEARCH("N.he",A23))=TRUE,ISNUMBER(SEARCH("N.me",A23))=TRUE,ISNUMBER(SEARCH("N.li",A23))=TRUE)),2,
AND(ISNUMBER(SEARCH("H-Dsty.",A23))=TRUE,ISNUMBER(SEARCH("H-Res",A23))=TRUE,ISNUMBER(SEARCH("C.",A23))=TRUE),3,
AND(ISNUMBER(SEARCH("L-Dsty.",A23))=TRUE,ISNUMBER(SEARCH("H-Res",A23))=TRUE,ISNUMBER(SEARCH("E.",A23))=TRUE),6,
AND(ISNUMBER(SEARCH("L-Dsty.",A23))=TRUE,ISNUMBER(SEARCH("H-Res",A23))=TRUE,OR(ISNUMBER(SEARCH("N.he",A23))=TRUE,ISNUMBER(SEARCH("N.me",A23))=TRUE,ISNUMBER(SEARCH("N.li",A23))=TRUE)),7,
AND(ISNUMBER(SEARCH("L-Dsty.",A23))=TRUE,ISNUMBER(SEARCH("H-Res",A23))=TRUE,ISNUMBER(SEARCH("C.",A23))=TRUE),8,
AND(ISNUMBER(SEARCH("L-Dsty.",A23))=TRUE,ISNUMBER(SEARCH("L-Res",A23))=TRUE,ISNUMBER(SEARCH("E.",A23))=TRUE),11,
AND(ISNUMBER(SEARCH("L-Dsty.",A23))=TRUE,ISNUMBER(SEARCH("L-Res",A23))=TRUE,OR(ISNUMBER(SEARCH("N.he",A23))=TRUE,ISNUMBER(SEARCH("N.me",A23))=TRUE,ISNUMBER(SEARCH("N.li",A23))=TRUE)),12,
AND(ISNUMBER(SEARCH("L-Dsty.",A23))=TRUE,ISNUMBER(SEARCH("L-Res",A23))=TRUE,ISNUMBER(SEARCH("C.",A23))=TRUE),13))</f>
        <v>5</v>
      </c>
    </row>
    <row r="24" spans="1:42" x14ac:dyDescent="0.2">
      <c r="A24" t="s">
        <v>487</v>
      </c>
      <c r="B24" s="210" t="str">
        <f t="array" ref="B24">INDEX(ECOMOD_input_estimate!$A$2:$A$55, MATCH(CFT_input!$A24, ECOMOD_input_estimate!$B:$B, 0))</f>
        <v>FF_01.4</v>
      </c>
      <c r="C24" s="210">
        <v>2020</v>
      </c>
      <c r="D24" s="395" t="s">
        <v>1696</v>
      </c>
      <c r="E24" s="210" t="str">
        <f t="shared" si="0"/>
        <v>N.medium.H-Dsty.H-Res</v>
      </c>
      <c r="F24" s="210" t="str">
        <f t="array" ref="F24">_xlfn.SINGLE(IF(OR(ISNUMBER(SEARCH("heavy",A24))=TRUE,ISNUMBER(SEARCH("medium",A24))=TRUE),
INDEX('Focus Data Crop Rotations'!$D$4:$P$9,MATCH(D24,'Focus Data Crop Rotations'!$C$4:$C$9,0),_xlfn.SINGLE(_xlfn.IFS(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INDEX('Focus Data Crop Rotations'!$D$12:$P$17,MATCH(D24,'Focus Data Crop Rotations'!$C$12:$C$17,0),_xlfn.SINGLE(_xlfn.IFS(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wosr</v>
      </c>
      <c r="G24">
        <v>7.2</v>
      </c>
      <c r="H24" s="227">
        <f>VLOOKUP(F24,'CFT Specific Data'!$F$4:$H$19,3,FALSE)*G24*
IF(B24=B23,
IF(AND(ISNUMBER(SEARCH("wheat",F24))=TRUE,ISNUMBER(SEARCH("Barley",F23))=TRUE),0.89,
IF(AND(ISNUMBER(SEARCH("wheat",F24))=TRUE,F23="setaside"),0.94,
IF(AND(ISNUMBER(SEARCH("barley",F24))=TRUE,ISNUMBER(SEARCH("wheat",F23))=TRUE),0.89,
IF(AND(F24="winterbarley",F23="setaside"),0.94,
IF(AND(F24="sugarbeet",F23="warepotatoes"),0.95,
IF(AND((OR(ISNUMBER(SEARCH("beans",F24)),ISNUMBER(SEARCH("driedpeas",F24)),ISNUMBER(SEARCH("sugarbeet",F24)))=TRUE),ISNUMBER(SEARCH("osr",F23))=TRUE),0,
IF(AND((OR((ISNUMBER(SEARCH("wheat",F24))),ISNUMBER(SEARCH("linseed",F24)),ISNUMBER(SEARCH("driedpeas",F24)),ISNUMBER(SEARCH("osr",F24)))=TRUE),F23="sugarbeet"),0,
IF(AND((OR((ISNUMBER(SEARCH("osr",F24))),ISNUMBER(SEARCH("linseed",F24)))=TRUE),ISNUMBER(SEARCH("beans",F23))=TRUE),0,
IF(AND(F24="wosr",ISNUMBER(SEARCH("linseed",F23))=TRUE),0,
IF(AND(F24="sugarbeet",F23="warepotatoes"),0,
1)))))))))),
IF(AND(ISNUMBER(SEARCH("wheat",F24))=TRUE,ISNUMBER(SEARCH("Barley",F29))=TRUE),0.89,
IF(AND(ISNUMBER(SEARCH("wheat",F24))=TRUE,F29="setaside"),0.94,
IF(AND(ISNUMBER(SEARCH("barley",F24))=TRUE,ISNUMBER(SEARCH("wheat",F29))=TRUE),0.89,
IF(AND(F24="winterbarley",F29="setaside"),0.94,
IF(AND(F24="sugarbeet",F29="warepotatoes"),0.95,
IF(AND((OR(ISNUMBER(SEARCH("beans",F24)),ISNUMBER(SEARCH("driedpeas",F24)),ISNUMBER(SEARCH("sugarbeet",F24)))=TRUE),ISNUMBER(SEARCH("osr",F29))=TRUE),0,
IF(AND((OR((ISNUMBER(SEARCH("wheat",F24))),ISNUMBER(SEARCH("linseed",F24)),ISNUMBER(SEARCH("driedpeas",F24)),ISNUMBER(SEARCH("osr",F24)))=TRUE),F29="sugarbeet"),0,
IF(AND((OR((ISNUMBER(SEARCH("osr",F24))),ISNUMBER(SEARCH("linseed",F24)))=TRUE),ISNUMBER(SEARCH("beans",F29))=TRUE),0,
IF(AND(F24="wosr",ISNUMBER(SEARCH("linseed",F29))=TRUE),0,
IF(AND(F24="sugarbeet",F29="warepotatoes"),0,
1)))))))))))
*IF(OR(ISNUMBER(SEARCH("wheat",F24)),ISNUMBER(SEARCH("barley",F24)),ISNUMBER(SEARCH("driedpeas",F24)),ISNUMBER(SEARCH("warepotatoes",F24)),ISNUMBER(SEARCH("osr",F24)),ISNUMBER(SEARCH("linseed",F24)),ISNUMBER(SEARCH("sugarbeet",F24))),
IF(COUNTIF(B19:B23,B24)=5,
INDEX('CFT Specific Data'!$G$24:$L$39,MATCH(F24,'CFT Specific Data'!$F$24:$F$39,0),IF(COUNTIF(F19:F23,F24)=5,6,IF(COUNTIF(F20:F23,F24)=4,5,IF(COUNTIF(F21:F23,F24)=3,4,IF(COUNTIF(F22:F23,F24)=2,3,IF(F23=F24,2,1)))))),
IF(COUNTIF(B19:B23,B24)=4,
INDEX('CFT Specific Data'!$G$24:$L$39,MATCH(F24,'CFT Specific Data'!$F$24:$F$39,0),IF(SUM(COUNTIF(F20:F23,F24),COUNTIF(F25,F24))=5,6,IF(COUNTIF(F20:F23,F24)=4,5,IF(COUNTIF(F21:F23,F24)=3,4,IF(COUNTIF(F22:F23,F24)=2,3,IF(F23=F24,2,1)))))),
IF(COUNTIF(B19:B23,B24)=3,
INDEX('CFT Specific Data'!$G$24:$L$39,MATCH(F24,'CFT Specific Data'!$F$24:$F$39,0),IF(SUM(COUNTIF(F21:F23,F24),COUNTIF(F25:F26,F24))=5,6,IF(SUM(COUNTIF(F21:F23,F24),COUNTIF(F26,F24))=4,5,IF(COUNTIF(F21:F23,F24)=3,4,IF(COUNTIF(F22:F23,F24)=2,3,IF(F23=F24,2,1)))))),
IF(COUNTIF(B19:B23,B24)=2,
INDEX('CFT Specific Data'!$G$24:$L$39,MATCH(F24,'CFT Specific Data'!$F$24:$F$39,0),IF(SUM(COUNTIF(F22:F23,F24),COUNTIF(F25:F27,F24))=5,6,IF(SUM(COUNTIF(F22:F23,F24),COUNTIF(F26:F27,F24))=4,5,IF(SUM(COUNTIF(F22:F23,F24),COUNTIF(F27,F24))=3,4,IF(COUNTIF(F22:F23,F24)=2,3,IF(F23=F24,2,1)))))),
IF(COUNTIF(B19:B23,B24)=1,
INDEX('CFT Specific Data'!$G$24:$L$39,MATCH(F24,'CFT Specific Data'!$F$24:$F$39,0),IF(SUM(COUNTIF(F23,F24),COUNTIF(F25:F28,F24))=5,6,IF(SUM(COUNTIF(F23,F24),COUNTIF(F26:F28,F24))=4,5,IF(SUM(COUNTIF(F23,F24),COUNTIF(F27:F28,F24))=3,4,IF(SUM(COUNTIF(F23,F24),COUNTIF(F28,F24))=2,3,IF(F23=F24,2,1)))))),
IF(COUNTIF(B19:B23,B24)=0,
INDEX('CFT Specific Data'!$G$24:$L$39,MATCH(F24,'CFT Specific Data'!$F$24:$F$39,0),IF(COUNTIF(F25:F29,F24)=5,6,IF(COUNTIF(F26:F29,F24)=4,5,IF(COUNTIF(F27:F29,F24)=3,4,IF(COUNTIF(F28:F29,F24)=2,3,IF(F29=F24,2,1)))))))))))),1)</f>
        <v>25.2</v>
      </c>
      <c r="I24" s="210" t="s">
        <v>348</v>
      </c>
      <c r="J24">
        <v>10</v>
      </c>
      <c r="K24" s="210" t="str">
        <f>VLOOKUP(F24,'CFT Specific Data'!$F$4:$G$19,2,FALSE)</f>
        <v>Other</v>
      </c>
      <c r="L24" t="str">
        <f t="shared" si="1"/>
        <v>Medium</v>
      </c>
      <c r="M24">
        <f t="shared" si="2"/>
        <v>4.4720000000000004</v>
      </c>
      <c r="N24" t="str">
        <f t="shared" si="3"/>
        <v>1.72 &lt; SOM &lt;= 5.16</v>
      </c>
      <c r="O24" t="s">
        <v>349</v>
      </c>
      <c r="P24" t="s">
        <v>350</v>
      </c>
      <c r="Q24">
        <v>7</v>
      </c>
      <c r="R24" t="str">
        <f t="shared" si="5"/>
        <v>5.5 &lt; pH &lt;= 7.3</v>
      </c>
      <c r="S24" t="s">
        <v>351</v>
      </c>
      <c r="T24" s="210">
        <f t="array" ref="T24">_xlfn.SINGLE(INDEX('Focus Data NFertiliser Rate'!$D$4:$P$19,MATCH(F24,'Focus Data NFertiliser Rate'!$C$4:$C$19,0),_xlfn.SINGLE(_xlfn.IFS(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180</v>
      </c>
      <c r="U24" t="str">
        <f t="shared" si="4"/>
        <v>Apply in solution</v>
      </c>
      <c r="V24" s="210">
        <f t="array" ref="V24">_xlfn.SINGLE(INDEX('№ Fertiliser sprayings'!$D$4:$P$19,MATCH(F24,'№ Fertiliser sprayings'!$C$4:$C$19,0),_xlfn.SINGLE(_xlfn.IFS(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v>
      </c>
      <c r="W24" s="264">
        <f t="array" ref="W24">_xlfn.SINGLE(INDEX('Focus Data CFT NSpraying'!$D$4:$P$19,MATCH(F24,'Focus Data CFT NSpraying'!$C$4:$C$19,0),_xlfn.SINGLE(_xlfn.IFS(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3.78</v>
      </c>
      <c r="X24" t="s">
        <v>363</v>
      </c>
      <c r="Y24">
        <v>0</v>
      </c>
      <c r="Z24">
        <v>100</v>
      </c>
      <c r="AA24" t="s">
        <v>352</v>
      </c>
      <c r="AB24" s="226" t="str">
        <f>IF(B24=B23,_xlfn.IFS(
AND(AA24=Lists!$L$8,AA23=Lists!$L$8),Lists!$N$5,
AND(OR(AA24=Lists!$L$5,AA24=Lists!$L$7,AA24=Lists!$L$9,AA24=Lists!$L$10,AA24=Lists!$L$6),OR(AA23=Lists!$L$5,AA23=Lists!$L$7,AA23=Lists!$L$9,AA23=Lists!$L$10,AA23=Lists!$L$6)),Lists!$N$5,
AND(AA24=Lists!$L$8,OR(AA23=Lists!$L$5,AA23=Lists!$L$7,AA23=Lists!$L$9,AA23=Lists!$L$10,AA23=Lists!$L$6)),Lists!$N$6,
AND(OR(AA24=Lists!$L$5,AA24=Lists!$L$6,AA24=Lists!$L$7,AA24=Lists!$L$9,AA24=Lists!$L$10),AA23=Lists!$L$8),Lists!$N$7),
_xlfn.IFS(
AND(AA24=Lists!$L$8,AA29=Lists!$L$8),Lists!$N$5,
AND(OR(AA24=Lists!$L$5,AA24=Lists!$L$7,AA24=Lists!$L$9,AA24=Lists!$L$10,AA24=Lists!$L$6),OR(AA29=Lists!$L$5,AA29=Lists!$L$7,AA29=Lists!$L$9,AA29=Lists!$L$10,AA29=Lists!$L$6)),Lists!$N$5,
AND(AA24=Lists!$L$8,OR(AA29=Lists!$L$5,AA29=Lists!$L$7,AA29=Lists!$L$9,AA29=Lists!$L$10,AA29=Lists!$L$6)),Lists!$N$6,
AND(OR(AA24=Lists!$L$5,AA24=Lists!$L$7,AA24=Lists!$L$9,AA24=Lists!$L$10),AA29=Lists!$L$8),Lists!$N$7))</f>
        <v>no change</v>
      </c>
      <c r="AC24">
        <v>0</v>
      </c>
      <c r="AD24">
        <v>0</v>
      </c>
      <c r="AE24" s="102">
        <f t="array" ref="AE24">IF(OR(ISNUMBER(SEARCH("heavy",A24))=TRUE, ISNUMBER(SEARCH("medium",A24))=TRUE),
(LEN(_xlfn.SINGLE(
INDEX('Focus Data Tillage by farm'!$D$4:$P$9,MATCH(D24,'Focus Data Tillage by farm'!$C$4:$C$9,0),_xlfn.SINGLE(_xlfn.IFS(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-LEN(SUBSTITUTE(_xlfn.SINGLE(
INDEX('Focus Data Tillage by farm'!$D$4:$P$9,MATCH(D24,'Focus Data Tillage by farm'!$C$4:$C$9,0),_xlfn.SINGLE(_xlfn.IFS(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"disc","")))/LEN("disc"),
(LEN(_xlfn.SINGLE(
INDEX('Focus Data Tillage by farm'!$D$12:$P$17,MATCH(D24,'Focus Data Tillage by farm'!$C$12:$C$17,0),_xlfn.SINGLE(_xlfn.IFS(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-LEN(SUBSTITUTE(_xlfn.SINGLE(
INDEX('Focus Data Tillage by farm'!$D$12:$P$17,MATCH(D24,'Focus Data Tillage by farm'!$C$12:$C$17,0),_xlfn.SINGLE(_xlfn.IFS(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"disc","")))/LEN("disc"))</f>
        <v>0</v>
      </c>
      <c r="AF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"field cultivator","")))/LEN("field cultivator"),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"field cultivator","")))/LEN("field cultivator"))</f>
        <v>0</v>
      </c>
      <c r="AG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"grain drill","")))/LEN("grain drill"),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"grain drill","")))/LEN("grain drill"))</f>
        <v>0</v>
      </c>
      <c r="AH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"minimum tillage","")))/LEN("minimum tillage"),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"minimum tillage","")))/LEN("minimum tillage"))</f>
        <v>1</v>
      </c>
      <c r="AI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"row crop planter","")))/LEN("row crop planter"),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"row crop planter","")))/LEN("row crop planter"))</f>
        <v>0</v>
      </c>
      <c r="AJ24" s="102">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"plough","")))/LEN("plough"),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"plough","")))/LEN("plough"))</f>
        <v>0</v>
      </c>
      <c r="AK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harrow","")))/LEN("roller harrow"),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harrow","")))/LEN("roller harrow"))</f>
        <v>0</v>
      </c>
      <c r="AL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packer","")))/LEN("roller packer"),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"roller packer","")))/LEN("roller packer"))</f>
        <v>1</v>
      </c>
      <c r="AM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"rotary hoe","")))/LEN("rotary hoe"),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"rotary hoe","")))/LEN("rotary hoe"))</f>
        <v>0</v>
      </c>
      <c r="AN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"subsoil","")))/LEN("subsoil"),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"subsoil","")))/LEN("subsoil"))</f>
        <v>0</v>
      </c>
      <c r="AO24">
        <f>IF(OR(ISNUMBER(SEARCH("heavy",A24))=TRUE, ISNUMBER(SEARCH("medium",A24))=TRUE),
(LEN(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farm'!$D$4:$P$9,MATCH(D24,'Focus Data Tillage by farm'!$C$4:$C$9,0),_xlfn.IFS(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"tine harrow","")))/LEN("tine harrow"),
(LEN(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-LEN(SUBSTITUTE(
INDEX('Focus Data Tillage by farm'!$D$12:$P$17,MATCH(D24,'Focus Data Tillage by farm'!$C$12:$C$17,0),_xlfn.IFS(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
"tine harrow","")))/LEN("tine harrow"))</f>
        <v>0</v>
      </c>
      <c r="AP24" s="102">
        <f>INDEX('Focus Data NSpraying'!$D$4:$P$19,MATCH(F24,'Focus Data NSpraying'!$C$4:$C$19,0),_xlfn.IFS(
AND(ISNUMBER(SEARCH("H-Dsty.",A24))=TRUE,ISNUMBER(SEARCH("H-Res",A24))=TRUE,ISNUMBER(SEARCH("E.",A24))=TRUE),1,
AND(ISNUMBER(SEARCH("H-Dsty.",A24))=TRUE,ISNUMBER(SEARCH("H-Res",A24))=TRUE,OR(ISNUMBER(SEARCH("N.he",A24))=TRUE,ISNUMBER(SEARCH("N.me",A24))=TRUE,ISNUMBER(SEARCH("N.li",A24))=TRUE)),2,
AND(ISNUMBER(SEARCH("H-Dsty.",A24))=TRUE,ISNUMBER(SEARCH("H-Res",A24))=TRUE,ISNUMBER(SEARCH("C.",A24))=TRUE),3,
AND(ISNUMBER(SEARCH("L-Dsty.",A24))=TRUE,ISNUMBER(SEARCH("H-Res",A24))=TRUE,ISNUMBER(SEARCH("E.",A24))=TRUE),6,
AND(ISNUMBER(SEARCH("L-Dsty.",A24))=TRUE,ISNUMBER(SEARCH("H-Res",A24))=TRUE,OR(ISNUMBER(SEARCH("N.he",A24))=TRUE,ISNUMBER(SEARCH("N.me",A24))=TRUE,ISNUMBER(SEARCH("N.li",A24))=TRUE)),7,
AND(ISNUMBER(SEARCH("L-Dsty.",A24))=TRUE,ISNUMBER(SEARCH("H-Res",A24))=TRUE,ISNUMBER(SEARCH("C.",A24))=TRUE),8,
AND(ISNUMBER(SEARCH("L-Dsty.",A24))=TRUE,ISNUMBER(SEARCH("L-Res",A24))=TRUE,ISNUMBER(SEARCH("E.",A24))=TRUE),11,
AND(ISNUMBER(SEARCH("L-Dsty.",A24))=TRUE,ISNUMBER(SEARCH("L-Res",A24))=TRUE,OR(ISNUMBER(SEARCH("N.he",A24))=TRUE,ISNUMBER(SEARCH("N.me",A24))=TRUE,ISNUMBER(SEARCH("N.li",A24))=TRUE)),12,
AND(ISNUMBER(SEARCH("L-Dsty.",A24))=TRUE,ISNUMBER(SEARCH("L-Res",A24))=TRUE,ISNUMBER(SEARCH("C.",A24))=TRUE),13))</f>
        <v>3</v>
      </c>
    </row>
    <row r="25" spans="1:42" x14ac:dyDescent="0.2">
      <c r="A25" t="s">
        <v>487</v>
      </c>
      <c r="B25" s="210" t="str">
        <f t="array" ref="B25">INDEX(ECOMOD_input_estimate!$A$2:$A$55, MATCH(CFT_input!$A25, ECOMOD_input_estimate!$B:$B, 0))</f>
        <v>FF_01.4</v>
      </c>
      <c r="C25" s="210">
        <v>2020</v>
      </c>
      <c r="D25" s="395" t="s">
        <v>735</v>
      </c>
      <c r="E25" s="210" t="str">
        <f t="shared" si="0"/>
        <v>N.medium.H-Dsty.H-Res</v>
      </c>
      <c r="F25" s="210" t="str">
        <f t="array" ref="F25">_xlfn.SINGLE(IF(OR(ISNUMBER(SEARCH("heavy",A25))=TRUE,ISNUMBER(SEARCH("medium",A25))=TRUE),
INDEX('Focus Data Crop Rotations'!$D$4:$P$9,MATCH(D25,'Focus Data Crop Rotations'!$C$4:$C$9,0),_xlfn.SINGLE(_xlfn.IFS(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INDEX('Focus Data Crop Rotations'!$D$12:$P$17,MATCH(D25,'Focus Data Crop Rotations'!$C$12:$C$17,0),_xlfn.SINGLE(_xlfn.IFS(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winterwheat</v>
      </c>
      <c r="G25">
        <v>7.2</v>
      </c>
      <c r="H25" s="227">
        <f>VLOOKUP(F25,'CFT Specific Data'!$F$4:$H$19,3,FALSE)*G25*
IF(B25=B24,
IF(AND(ISNUMBER(SEARCH("wheat",F25))=TRUE,ISNUMBER(SEARCH("Barley",F24))=TRUE),0.89,
IF(AND(ISNUMBER(SEARCH("wheat",F25))=TRUE,F24="setaside"),0.94,
IF(AND(ISNUMBER(SEARCH("barley",F25))=TRUE,ISNUMBER(SEARCH("wheat",F24))=TRUE),0.89,
IF(AND(F25="winterbarley",F24="setaside"),0.94,
IF(AND(F25="sugarbeet",F24="warepotatoes"),0.95,
IF(AND((OR(ISNUMBER(SEARCH("beans",F25)),ISNUMBER(SEARCH("driedpeas",F25)),ISNUMBER(SEARCH("sugarbeet",F25)))=TRUE),ISNUMBER(SEARCH("osr",F24))=TRUE),0,
IF(AND((OR((ISNUMBER(SEARCH("wheat",F25))),ISNUMBER(SEARCH("linseed",F25)),ISNUMBER(SEARCH("driedpeas",F25)),ISNUMBER(SEARCH("osr",F25)))=TRUE),F24="sugarbeet"),0,
IF(AND((OR((ISNUMBER(SEARCH("osr",F25))),ISNUMBER(SEARCH("linseed",F25)))=TRUE),ISNUMBER(SEARCH("beans",F24))=TRUE),0,
IF(AND(F25="wosr",ISNUMBER(SEARCH("linseed",F24))=TRUE),0,
IF(AND(F25="sugarbeet",F24="warepotatoes"),0,
1)))))))))),
IF(AND(ISNUMBER(SEARCH("wheat",F25))=TRUE,ISNUMBER(SEARCH("Barley",F30))=TRUE),0.89,
IF(AND(ISNUMBER(SEARCH("wheat",F25))=TRUE,F30="setaside"),0.94,
IF(AND(ISNUMBER(SEARCH("barley",F25))=TRUE,ISNUMBER(SEARCH("wheat",F30))=TRUE),0.89,
IF(AND(F25="winterbarley",F30="setaside"),0.94,
IF(AND(F25="sugarbeet",F30="warepotatoes"),0.95,
IF(AND((OR(ISNUMBER(SEARCH("beans",F25)),ISNUMBER(SEARCH("driedpeas",F25)),ISNUMBER(SEARCH("sugarbeet",F25)))=TRUE),ISNUMBER(SEARCH("osr",F30))=TRUE),0,
IF(AND((OR((ISNUMBER(SEARCH("wheat",F25))),ISNUMBER(SEARCH("linseed",F25)),ISNUMBER(SEARCH("driedpeas",F25)),ISNUMBER(SEARCH("osr",F25)))=TRUE),F30="sugarbeet"),0,
IF(AND((OR((ISNUMBER(SEARCH("osr",F25))),ISNUMBER(SEARCH("linseed",F25)))=TRUE),ISNUMBER(SEARCH("beans",F30))=TRUE),0,
IF(AND(F25="wosr",ISNUMBER(SEARCH("linseed",F30))=TRUE),0,
IF(AND(F25="sugarbeet",F30="warepotatoes"),0,
1)))))))))))
*IF(OR(ISNUMBER(SEARCH("wheat",F25)),ISNUMBER(SEARCH("barley",F25)),ISNUMBER(SEARCH("driedpeas",F25)),ISNUMBER(SEARCH("warepotatoes",F25)),ISNUMBER(SEARCH("osr",F25)),ISNUMBER(SEARCH("linseed",F25)),ISNUMBER(SEARCH("sugarbeet",F25))),
IF(COUNTIF(B20:B24,B25)=5,
INDEX('CFT Specific Data'!$G$24:$L$39,MATCH(F25,'CFT Specific Data'!$F$24:$F$39,0),IF(COUNTIF(F20:F24,F25)=5,6,IF(COUNTIF(F21:F24,F25)=4,5,IF(COUNTIF(F22:F24,F25)=3,4,IF(COUNTIF(F23:F24,F25)=2,3,IF(F24=F25,2,1)))))),
IF(COUNTIF(B20:B24,B25)=4,
INDEX('CFT Specific Data'!$G$24:$L$39,MATCH(F25,'CFT Specific Data'!$F$24:$F$39,0),IF(SUM(COUNTIF(F21:F24,F25),COUNTIF(F26,F25))=5,6,IF(COUNTIF(F21:F24,F25)=4,5,IF(COUNTIF(F22:F24,F25)=3,4,IF(COUNTIF(F23:F24,F25)=2,3,IF(F24=F25,2,1)))))),
IF(COUNTIF(B20:B24,B25)=3,
INDEX('CFT Specific Data'!$G$24:$L$39,MATCH(F25,'CFT Specific Data'!$F$24:$F$39,0),IF(SUM(COUNTIF(F22:F24,F25),COUNTIF(F26:F27,F25))=5,6,IF(SUM(COUNTIF(F22:F24,F25),COUNTIF(F27,F25))=4,5,IF(COUNTIF(F22:F24,F25)=3,4,IF(COUNTIF(F23:F24,F25)=2,3,IF(F24=F25,2,1)))))),
IF(COUNTIF(B20:B24,B25)=2,
INDEX('CFT Specific Data'!$G$24:$L$39,MATCH(F25,'CFT Specific Data'!$F$24:$F$39,0),IF(SUM(COUNTIF(F23:F24,F25),COUNTIF(F26:F28,F25))=5,6,IF(SUM(COUNTIF(F23:F24,F25),COUNTIF(F27:F28,F25))=4,5,IF(SUM(COUNTIF(F23:F24,F25),COUNTIF(F28,F25))=3,4,IF(COUNTIF(F23:F24,F25)=2,3,IF(F24=F25,2,1)))))),
IF(COUNTIF(B20:B24,B25)=1,
INDEX('CFT Specific Data'!$G$24:$L$39,MATCH(F25,'CFT Specific Data'!$F$24:$F$39,0),IF(SUM(COUNTIF(F24,F25),COUNTIF(F26:F29,F25))=5,6,IF(SUM(COUNTIF(F24,F25),COUNTIF(F27:F29,F25))=4,5,IF(SUM(COUNTIF(F24,F25),COUNTIF(F28:F29,F25))=3,4,IF(SUM(COUNTIF(F24,F25),COUNTIF(F29,F25))=2,3,IF(F24=F25,2,1)))))),
IF(COUNTIF(B20:B24,B25)=0,
INDEX('CFT Specific Data'!$G$24:$L$39,MATCH(F25,'CFT Specific Data'!$F$24:$F$39,0),IF(COUNTIF(F26:F30,F25)=5,6,IF(COUNTIF(F27:F30,F25)=4,5,IF(COUNTIF(F28:F30,F25)=3,4,IF(COUNTIF(F29:F30,F25)=2,3,IF(F30=F25,2,1)))))))))))),1)</f>
        <v>61.92</v>
      </c>
      <c r="I25" s="210" t="s">
        <v>348</v>
      </c>
      <c r="J25">
        <v>10</v>
      </c>
      <c r="K25" s="210" t="str">
        <f>VLOOKUP(F25,'CFT Specific Data'!$F$4:$G$19,2,FALSE)</f>
        <v>Winter wheat</v>
      </c>
      <c r="L25" t="str">
        <f t="shared" si="1"/>
        <v>Medium</v>
      </c>
      <c r="M25">
        <f t="shared" si="2"/>
        <v>4.4720000000000004</v>
      </c>
      <c r="N25" t="str">
        <f t="shared" si="3"/>
        <v>1.72 &lt; SOM &lt;= 5.16</v>
      </c>
      <c r="O25" t="s">
        <v>349</v>
      </c>
      <c r="P25" t="s">
        <v>350</v>
      </c>
      <c r="Q25">
        <v>7</v>
      </c>
      <c r="R25" t="str">
        <f t="shared" si="5"/>
        <v>5.5 &lt; pH &lt;= 7.3</v>
      </c>
      <c r="S25" t="s">
        <v>351</v>
      </c>
      <c r="T25" s="210">
        <f t="array" ref="T25">_xlfn.SINGLE(INDEX('Focus Data NFertiliser Rate'!$D$4:$P$19,MATCH(F25,'Focus Data NFertiliser Rate'!$C$4:$C$19,0),_xlfn.SINGLE(_xlfn.IFS(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220</v>
      </c>
      <c r="U25" t="str">
        <f t="shared" si="4"/>
        <v>Apply in solution</v>
      </c>
      <c r="V25" s="210">
        <f t="array" ref="V25">_xlfn.SINGLE(INDEX('№ Fertiliser sprayings'!$D$4:$P$19,MATCH(F25,'№ Fertiliser sprayings'!$C$4:$C$19,0),_xlfn.SINGLE(_xlfn.IFS(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3</v>
      </c>
      <c r="W25" s="264">
        <f t="array" ref="W25">_xlfn.SINGLE(INDEX('Focus Data CFT NSpraying'!$D$4:$P$19,MATCH(F25,'Focus Data CFT NSpraying'!$C$4:$C$19,0),_xlfn.SINGLE(_xlfn.IFS(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9.2639999999999993</v>
      </c>
      <c r="X25" t="s">
        <v>363</v>
      </c>
      <c r="Y25">
        <v>0</v>
      </c>
      <c r="Z25">
        <v>100</v>
      </c>
      <c r="AA25" t="s">
        <v>352</v>
      </c>
      <c r="AB25" s="226" t="str">
        <f>IF(B25=B24,_xlfn.IFS(
AND(AA25=Lists!$L$8,AA24=Lists!$L$8),Lists!$N$5,
AND(OR(AA25=Lists!$L$5,AA25=Lists!$L$7,AA25=Lists!$L$9,AA25=Lists!$L$10,AA25=Lists!$L$6),OR(AA24=Lists!$L$5,AA24=Lists!$L$7,AA24=Lists!$L$9,AA24=Lists!$L$10,AA24=Lists!$L$6)),Lists!$N$5,
AND(AA25=Lists!$L$8,OR(AA24=Lists!$L$5,AA24=Lists!$L$7,AA24=Lists!$L$9,AA24=Lists!$L$10,AA24=Lists!$L$6)),Lists!$N$6,
AND(OR(AA25=Lists!$L$5,AA25=Lists!$L$6,AA25=Lists!$L$7,AA25=Lists!$L$9,AA25=Lists!$L$10),AA24=Lists!$L$8),Lists!$N$7),
_xlfn.IFS(
AND(AA25=Lists!$L$8,AA30=Lists!$L$8),Lists!$N$5,
AND(OR(AA25=Lists!$L$5,AA25=Lists!$L$7,AA25=Lists!$L$9,AA25=Lists!$L$10,AA25=Lists!$L$6),OR(AA30=Lists!$L$5,AA30=Lists!$L$7,AA30=Lists!$L$9,AA30=Lists!$L$10,AA30=Lists!$L$6)),Lists!$N$5,
AND(AA25=Lists!$L$8,OR(AA30=Lists!$L$5,AA30=Lists!$L$7,AA30=Lists!$L$9,AA30=Lists!$L$10,AA30=Lists!$L$6)),Lists!$N$6,
AND(OR(AA25=Lists!$L$5,AA25=Lists!$L$7,AA25=Lists!$L$9,AA25=Lists!$L$10),AA30=Lists!$L$8),Lists!$N$7))</f>
        <v>no change</v>
      </c>
      <c r="AC25">
        <v>0</v>
      </c>
      <c r="AD25">
        <v>0</v>
      </c>
      <c r="AE25" s="102">
        <f t="array" ref="AE25">IF(OR(ISNUMBER(SEARCH("heavy",A25))=TRUE, ISNUMBER(SEARCH("medium",A25))=TRUE),
(LEN(_xlfn.SINGLE(
INDEX('Focus Data Tillage by farm'!$D$4:$P$9,MATCH(D25,'Focus Data Tillage by farm'!$C$4:$C$9,0),_xlfn.SINGLE(_xlfn.IFS(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-LEN(SUBSTITUTE(_xlfn.SINGLE(
INDEX('Focus Data Tillage by farm'!$D$4:$P$9,MATCH(D25,'Focus Data Tillage by farm'!$C$4:$C$9,0),_xlfn.SINGLE(_xlfn.IFS(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"disc","")))/LEN("disc"),
(LEN(_xlfn.SINGLE(
INDEX('Focus Data Tillage by farm'!$D$12:$P$17,MATCH(D25,'Focus Data Tillage by farm'!$C$12:$C$17,0),_xlfn.SINGLE(_xlfn.IFS(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-LEN(SUBSTITUTE(_xlfn.SINGLE(
INDEX('Focus Data Tillage by farm'!$D$12:$P$17,MATCH(D25,'Focus Data Tillage by farm'!$C$12:$C$17,0),_xlfn.SINGLE(_xlfn.IFS(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"disc","")))/LEN("disc"))</f>
        <v>2</v>
      </c>
      <c r="AF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"field cultivator","")))/LEN("field cultivator"),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"field cultivator","")))/LEN("field cultivator"))</f>
        <v>0</v>
      </c>
      <c r="AG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"grain drill","")))/LEN("grain drill"),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"grain drill","")))/LEN("grain drill"))</f>
        <v>0</v>
      </c>
      <c r="AH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"minimum tillage","")))/LEN("minimum tillage"),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"minimum tillage","")))/LEN("minimum tillage"))</f>
        <v>1</v>
      </c>
      <c r="AI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"row crop planter","")))/LEN("row crop planter"),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"row crop planter","")))/LEN("row crop planter"))</f>
        <v>0</v>
      </c>
      <c r="AJ25" s="102">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"plough","")))/LEN("plough"),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"plough","")))/LEN("plough"))</f>
        <v>0</v>
      </c>
      <c r="AK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harrow","")))/LEN("roller harrow"),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harrow","")))/LEN("roller harrow"))</f>
        <v>0</v>
      </c>
      <c r="AL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packer","")))/LEN("roller packer"),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"roller packer","")))/LEN("roller packer"))</f>
        <v>2</v>
      </c>
      <c r="AM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"rotary hoe","")))/LEN("rotary hoe"),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"rotary hoe","")))/LEN("rotary hoe"))</f>
        <v>0</v>
      </c>
      <c r="AN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"subsoil","")))/LEN("subsoil"),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"subsoil","")))/LEN("subsoil"))</f>
        <v>0</v>
      </c>
      <c r="AO25">
        <f>IF(OR(ISNUMBER(SEARCH("heavy",A25))=TRUE, ISNUMBER(SEARCH("medium",A25))=TRUE),
(LEN(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farm'!$D$4:$P$9,MATCH(D25,'Focus Data Tillage by farm'!$C$4:$C$9,0),_xlfn.IFS(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"tine harrow","")))/LEN("tine harrow"),
(LEN(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-LEN(SUBSTITUTE(
INDEX('Focus Data Tillage by farm'!$D$12:$P$17,MATCH(D25,'Focus Data Tillage by farm'!$C$12:$C$17,0),_xlfn.IFS(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
"tine harrow","")))/LEN("tine harrow"))</f>
        <v>0</v>
      </c>
      <c r="AP25" s="102">
        <f>INDEX('Focus Data NSpraying'!$D$4:$P$19,MATCH(F25,'Focus Data NSpraying'!$C$4:$C$19,0),_xlfn.IFS(
AND(ISNUMBER(SEARCH("H-Dsty.",A25))=TRUE,ISNUMBER(SEARCH("H-Res",A25))=TRUE,ISNUMBER(SEARCH("E.",A25))=TRUE),1,
AND(ISNUMBER(SEARCH("H-Dsty.",A25))=TRUE,ISNUMBER(SEARCH("H-Res",A25))=TRUE,OR(ISNUMBER(SEARCH("N.he",A25))=TRUE,ISNUMBER(SEARCH("N.me",A25))=TRUE,ISNUMBER(SEARCH("N.li",A25))=TRUE)),2,
AND(ISNUMBER(SEARCH("H-Dsty.",A25))=TRUE,ISNUMBER(SEARCH("H-Res",A25))=TRUE,ISNUMBER(SEARCH("C.",A25))=TRUE),3,
AND(ISNUMBER(SEARCH("L-Dsty.",A25))=TRUE,ISNUMBER(SEARCH("H-Res",A25))=TRUE,ISNUMBER(SEARCH("E.",A25))=TRUE),6,
AND(ISNUMBER(SEARCH("L-Dsty.",A25))=TRUE,ISNUMBER(SEARCH("H-Res",A25))=TRUE,OR(ISNUMBER(SEARCH("N.he",A25))=TRUE,ISNUMBER(SEARCH("N.me",A25))=TRUE,ISNUMBER(SEARCH("N.li",A25))=TRUE)),7,
AND(ISNUMBER(SEARCH("L-Dsty.",A25))=TRUE,ISNUMBER(SEARCH("H-Res",A25))=TRUE,ISNUMBER(SEARCH("C.",A25))=TRUE),8,
AND(ISNUMBER(SEARCH("L-Dsty.",A25))=TRUE,ISNUMBER(SEARCH("L-Res",A25))=TRUE,ISNUMBER(SEARCH("E.",A25))=TRUE),11,
AND(ISNUMBER(SEARCH("L-Dsty.",A25))=TRUE,ISNUMBER(SEARCH("L-Res",A25))=TRUE,OR(ISNUMBER(SEARCH("N.he",A25))=TRUE,ISNUMBER(SEARCH("N.me",A25))=TRUE,ISNUMBER(SEARCH("N.li",A25))=TRUE)),12,
AND(ISNUMBER(SEARCH("L-Dsty.",A25))=TRUE,ISNUMBER(SEARCH("L-Res",A25))=TRUE,ISNUMBER(SEARCH("C.",A25))=TRUE),13))</f>
        <v>5</v>
      </c>
    </row>
    <row r="26" spans="1:42" x14ac:dyDescent="0.2">
      <c r="A26" t="s">
        <v>488</v>
      </c>
      <c r="B26" s="210" t="str">
        <f t="array" ref="B26">INDEX(ECOMOD_input_estimate!$A$2:$A$55, MATCH(CFT_input!$A26, ECOMOD_input_estimate!$B:$B, 0))</f>
        <v>FF_07.4</v>
      </c>
      <c r="C26" s="210">
        <v>2020</v>
      </c>
      <c r="D26" s="395" t="s">
        <v>731</v>
      </c>
      <c r="E26" s="210" t="str">
        <f t="shared" si="0"/>
        <v>N.medium.L-Dsty.H-Res</v>
      </c>
      <c r="F26" s="210" t="str">
        <f t="array" ref="F26">_xlfn.SINGLE(IF(OR(ISNUMBER(SEARCH("heavy",A26))=TRUE,ISNUMBER(SEARCH("medium",A26))=TRUE),
INDEX('Focus Data Crop Rotations'!$D$4:$P$9,MATCH(D26,'Focus Data Crop Rotations'!$C$4:$C$9,0),_xlfn.SINGLE(_xlfn.IFS(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INDEX('Focus Data Crop Rotations'!$D$12:$P$17,MATCH(D26,'Focus Data Crop Rotations'!$C$12:$C$17,0),_xlfn.SINGLE(_xlfn.IFS(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winterwheat</v>
      </c>
      <c r="G26">
        <v>7.2</v>
      </c>
      <c r="H26" s="227">
        <f>VLOOKUP(F26,'CFT Specific Data'!$F$4:$H$19,3,FALSE)*G26*
IF(B26=B25,
IF(AND(ISNUMBER(SEARCH("wheat",F26))=TRUE,ISNUMBER(SEARCH("Barley",F25))=TRUE),0.89,
IF(AND(ISNUMBER(SEARCH("wheat",F26))=TRUE,F25="setaside"),0.94,
IF(AND(ISNUMBER(SEARCH("barley",F26))=TRUE,ISNUMBER(SEARCH("wheat",F25))=TRUE),0.89,
IF(AND(F26="winterbarley",F25="setaside"),0.94,
IF(AND(F26="sugarbeet",F25="warepotatoes"),0.95,
IF(AND((OR(ISNUMBER(SEARCH("beans",F26)),ISNUMBER(SEARCH("driedpeas",F26)),ISNUMBER(SEARCH("sugarbeet",F26)))=TRUE),ISNUMBER(SEARCH("osr",F25))=TRUE),0,
IF(AND((OR((ISNUMBER(SEARCH("wheat",F26))),ISNUMBER(SEARCH("linseed",F26)),ISNUMBER(SEARCH("driedpeas",F26)),ISNUMBER(SEARCH("osr",F26)))=TRUE),F25="sugarbeet"),0,
IF(AND((OR((ISNUMBER(SEARCH("osr",F26))),ISNUMBER(SEARCH("linseed",F26)))=TRUE),ISNUMBER(SEARCH("beans",F25))=TRUE),0,
IF(AND(F26="wosr",ISNUMBER(SEARCH("linseed",F25))=TRUE),0,
IF(AND(F26="sugarbeet",F25="warepotatoes"),0,
1)))))))))),
IF(AND(ISNUMBER(SEARCH("wheat",F26))=TRUE,ISNUMBER(SEARCH("Barley",F31))=TRUE),0.89,
IF(AND(ISNUMBER(SEARCH("wheat",F26))=TRUE,F31="setaside"),0.94,
IF(AND(ISNUMBER(SEARCH("barley",F26))=TRUE,ISNUMBER(SEARCH("wheat",F31))=TRUE),0.89,
IF(AND(F26="winterbarley",F31="setaside"),0.94,
IF(AND(F26="sugarbeet",F31="warepotatoes"),0.95,
IF(AND((OR(ISNUMBER(SEARCH("beans",F26)),ISNUMBER(SEARCH("driedpeas",F26)),ISNUMBER(SEARCH("sugarbeet",F26)))=TRUE),ISNUMBER(SEARCH("osr",F31))=TRUE),0,
IF(AND((OR((ISNUMBER(SEARCH("wheat",F26))),ISNUMBER(SEARCH("linseed",F26)),ISNUMBER(SEARCH("driedpeas",F26)),ISNUMBER(SEARCH("osr",F26)))=TRUE),F31="sugarbeet"),0,
IF(AND((OR((ISNUMBER(SEARCH("osr",F26))),ISNUMBER(SEARCH("linseed",F26)))=TRUE),ISNUMBER(SEARCH("beans",F31))=TRUE),0,
IF(AND(F26="wosr",ISNUMBER(SEARCH("linseed",F31))=TRUE),0,
IF(AND(F26="sugarbeet",F31="warepotatoes"),0,
1)))))))))))
*IF(OR(ISNUMBER(SEARCH("wheat",F26)),ISNUMBER(SEARCH("barley",F26)),ISNUMBER(SEARCH("driedpeas",F26)),ISNUMBER(SEARCH("warepotatoes",F26)),ISNUMBER(SEARCH("osr",F26)),ISNUMBER(SEARCH("linseed",F26)),ISNUMBER(SEARCH("sugarbeet",F26))),
IF(COUNTIF(B21:B25,B26)=5,
INDEX('CFT Specific Data'!$G$24:$L$39,MATCH(F26,'CFT Specific Data'!$F$24:$F$39,0),IF(COUNTIF(F21:F25,F26)=5,6,IF(COUNTIF(F22:F25,F26)=4,5,IF(COUNTIF(F23:F25,F26)=3,4,IF(COUNTIF(F24:F25,F26)=2,3,IF(F25=F26,2,1)))))),
IF(COUNTIF(B21:B25,B26)=4,
INDEX('CFT Specific Data'!$G$24:$L$39,MATCH(F26,'CFT Specific Data'!$F$24:$F$39,0),IF(SUM(COUNTIF(F22:F25,F26),COUNTIF(F27,F26))=5,6,IF(COUNTIF(F22:F25,F26)=4,5,IF(COUNTIF(F23:F25,F26)=3,4,IF(COUNTIF(F24:F25,F26)=2,3,IF(F25=F26,2,1)))))),
IF(COUNTIF(B21:B25,B26)=3,
INDEX('CFT Specific Data'!$G$24:$L$39,MATCH(F26,'CFT Specific Data'!$F$24:$F$39,0),IF(SUM(COUNTIF(F23:F25,F26),COUNTIF(F27:F28,F26))=5,6,IF(SUM(COUNTIF(F23:F25,F26),COUNTIF(F28,F26))=4,5,IF(COUNTIF(F23:F25,F26)=3,4,IF(COUNTIF(F24:F25,F26)=2,3,IF(F25=F26,2,1)))))),
IF(COUNTIF(B21:B25,B26)=2,
INDEX('CFT Specific Data'!$G$24:$L$39,MATCH(F26,'CFT Specific Data'!$F$24:$F$39,0),IF(SUM(COUNTIF(F24:F25,F26),COUNTIF(F27:F29,F26))=5,6,IF(SUM(COUNTIF(F24:F25,F26),COUNTIF(F28:F29,F26))=4,5,IF(SUM(COUNTIF(F24:F25,F26),COUNTIF(F29,F26))=3,4,IF(COUNTIF(F24:F25,F26)=2,3,IF(F25=F26,2,1)))))),
IF(COUNTIF(B21:B25,B26)=1,
INDEX('CFT Specific Data'!$G$24:$L$39,MATCH(F26,'CFT Specific Data'!$F$24:$F$39,0),IF(SUM(COUNTIF(F25,F26),COUNTIF(F27:F30,F26))=5,6,IF(SUM(COUNTIF(F25,F26),COUNTIF(F28:F30,F26))=4,5,IF(SUM(COUNTIF(F25,F26),COUNTIF(F29:F30,F26))=3,4,IF(SUM(COUNTIF(F25,F26),COUNTIF(F30,F26))=2,3,IF(F25=F26,2,1)))))),
IF(COUNTIF(B21:B25,B26)=0,
INDEX('CFT Specific Data'!$G$24:$L$39,MATCH(F26,'CFT Specific Data'!$F$24:$F$39,0),IF(COUNTIF(F27:F31,F26)=5,6,IF(COUNTIF(F28:F31,F26)=4,5,IF(COUNTIF(F29:F31,F26)=3,4,IF(COUNTIF(F30:F31,F26)=2,3,IF(F31=F26,2,1)))))))))))),1)</f>
        <v>61.92</v>
      </c>
      <c r="I26" s="210" t="s">
        <v>348</v>
      </c>
      <c r="J26">
        <v>10</v>
      </c>
      <c r="K26" s="210" t="str">
        <f>VLOOKUP(F26,'CFT Specific Data'!$F$4:$G$19,2,FALSE)</f>
        <v>Winter wheat</v>
      </c>
      <c r="L26" t="str">
        <f t="shared" si="1"/>
        <v>Medium</v>
      </c>
      <c r="M26">
        <f t="shared" si="2"/>
        <v>4.4720000000000004</v>
      </c>
      <c r="N26" t="str">
        <f t="shared" si="3"/>
        <v>1.72 &lt; SOM &lt;= 5.16</v>
      </c>
      <c r="O26" t="s">
        <v>349</v>
      </c>
      <c r="P26" t="s">
        <v>350</v>
      </c>
      <c r="Q26">
        <v>7</v>
      </c>
      <c r="R26" t="str">
        <f t="shared" si="5"/>
        <v>5.5 &lt; pH &lt;= 7.3</v>
      </c>
      <c r="S26" t="s">
        <v>351</v>
      </c>
      <c r="T26" s="210">
        <f t="array" ref="T26">_xlfn.SINGLE(INDEX('Focus Data NFertiliser Rate'!$D$4:$P$19,MATCH(F26,'Focus Data NFertiliser Rate'!$C$4:$C$19,0),_xlfn.SINGLE(_xlfn.IFS(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220</v>
      </c>
      <c r="U26" t="str">
        <f t="shared" si="4"/>
        <v>Apply in solution</v>
      </c>
      <c r="V26" s="210">
        <f t="array" ref="V26">_xlfn.SINGLE(INDEX('№ Fertiliser sprayings'!$D$4:$P$19,MATCH(F26,'№ Fertiliser sprayings'!$C$4:$C$19,0),_xlfn.SINGLE(_xlfn.IFS(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3</v>
      </c>
      <c r="W26" s="264">
        <f t="array" ref="W26">_xlfn.SINGLE(INDEX('Focus Data CFT NSpraying'!$D$4:$P$19,MATCH(F26,'Focus Data CFT NSpraying'!$C$4:$C$19,0),_xlfn.SINGLE(_xlfn.IFS(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9.84</v>
      </c>
      <c r="X26" t="s">
        <v>363</v>
      </c>
      <c r="Y26">
        <v>0</v>
      </c>
      <c r="Z26">
        <v>100</v>
      </c>
      <c r="AA26" t="s">
        <v>352</v>
      </c>
      <c r="AB26" s="226" t="str">
        <f>IF(B26=B25,_xlfn.IFS(
AND(AA26=Lists!$L$8,AA25=Lists!$L$8),Lists!$N$5,
AND(OR(AA26=Lists!$L$5,AA26=Lists!$L$7,AA26=Lists!$L$9,AA26=Lists!$L$10,AA26=Lists!$L$6),OR(AA25=Lists!$L$5,AA25=Lists!$L$7,AA25=Lists!$L$9,AA25=Lists!$L$10,AA25=Lists!$L$6)),Lists!$N$5,
AND(AA26=Lists!$L$8,OR(AA25=Lists!$L$5,AA25=Lists!$L$7,AA25=Lists!$L$9,AA25=Lists!$L$10,AA25=Lists!$L$6)),Lists!$N$6,
AND(OR(AA26=Lists!$L$5,AA26=Lists!$L$6,AA26=Lists!$L$7,AA26=Lists!$L$9,AA26=Lists!$L$10),AA25=Lists!$L$8),Lists!$N$7),
_xlfn.IFS(
AND(AA26=Lists!$L$8,AA31=Lists!$L$8),Lists!$N$5,
AND(OR(AA26=Lists!$L$5,AA26=Lists!$L$7,AA26=Lists!$L$9,AA26=Lists!$L$10,AA26=Lists!$L$6),OR(AA31=Lists!$L$5,AA31=Lists!$L$7,AA31=Lists!$L$9,AA31=Lists!$L$10,AA31=Lists!$L$6)),Lists!$N$5,
AND(AA26=Lists!$L$8,OR(AA31=Lists!$L$5,AA31=Lists!$L$7,AA31=Lists!$L$9,AA31=Lists!$L$10,AA31=Lists!$L$6)),Lists!$N$6,
AND(OR(AA26=Lists!$L$5,AA26=Lists!$L$7,AA26=Lists!$L$9,AA26=Lists!$L$10),AA31=Lists!$L$8),Lists!$N$7))</f>
        <v>no change</v>
      </c>
      <c r="AC26">
        <v>0</v>
      </c>
      <c r="AD26">
        <v>0</v>
      </c>
      <c r="AE26" s="102">
        <f t="array" ref="AE26">IF(OR(ISNUMBER(SEARCH("heavy",A26))=TRUE, ISNUMBER(SEARCH("medium",A26))=TRUE),
(LEN(_xlfn.SINGLE(
INDEX('Focus Data Tillage by farm'!$D$4:$P$9,MATCH(D26,'Focus Data Tillage by farm'!$C$4:$C$9,0),_xlfn.SINGLE(_xlfn.IFS(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-LEN(SUBSTITUTE(_xlfn.SINGLE(
INDEX('Focus Data Tillage by farm'!$D$4:$P$9,MATCH(D26,'Focus Data Tillage by farm'!$C$4:$C$9,0),_xlfn.SINGLE(_xlfn.IFS(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"disc","")))/LEN("disc"),
(LEN(_xlfn.SINGLE(
INDEX('Focus Data Tillage by farm'!$D$12:$P$17,MATCH(D26,'Focus Data Tillage by farm'!$C$12:$C$17,0),_xlfn.SINGLE(_xlfn.IFS(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-LEN(SUBSTITUTE(_xlfn.SINGLE(
INDEX('Focus Data Tillage by farm'!$D$12:$P$17,MATCH(D26,'Focus Data Tillage by farm'!$C$12:$C$17,0),_xlfn.SINGLE(_xlfn.IFS(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"disc","")))/LEN("disc"))</f>
        <v>2</v>
      </c>
      <c r="AF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"field cultivator","")))/LEN("field cultivator"),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"field cultivator","")))/LEN("field cultivator"))</f>
        <v>0</v>
      </c>
      <c r="AG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"grain drill","")))/LEN("grain drill"),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"grain drill","")))/LEN("grain drill"))</f>
        <v>1</v>
      </c>
      <c r="AH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"minimum tillage","")))/LEN("minimum tillage"),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"minimum tillage","")))/LEN("minimum tillage"))</f>
        <v>0</v>
      </c>
      <c r="AI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"row crop planter","")))/LEN("row crop planter"),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"row crop planter","")))/LEN("row crop planter"))</f>
        <v>0</v>
      </c>
      <c r="AJ26" s="102">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"plough","")))/LEN("plough"),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"plough","")))/LEN("plough"))</f>
        <v>0</v>
      </c>
      <c r="AK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harrow","")))/LEN("roller harrow"),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harrow","")))/LEN("roller harrow"))</f>
        <v>0</v>
      </c>
      <c r="AL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packer","")))/LEN("roller packer"),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"roller packer","")))/LEN("roller packer"))</f>
        <v>2</v>
      </c>
      <c r="AM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"rotary hoe","")))/LEN("rotary hoe"),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"rotary hoe","")))/LEN("rotary hoe"))</f>
        <v>0</v>
      </c>
      <c r="AN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"subsoil","")))/LEN("subsoil"),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"subsoil","")))/LEN("subsoil"))</f>
        <v>0</v>
      </c>
      <c r="AO26">
        <f>IF(OR(ISNUMBER(SEARCH("heavy",A26))=TRUE, ISNUMBER(SEARCH("medium",A26))=TRUE),
(LEN(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farm'!$D$4:$P$9,MATCH(D26,'Focus Data Tillage by farm'!$C$4:$C$9,0),_xlfn.IFS(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"tine harrow","")))/LEN("tine harrow"),
(LEN(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-LEN(SUBSTITUTE(
INDEX('Focus Data Tillage by farm'!$D$12:$P$17,MATCH(D26,'Focus Data Tillage by farm'!$C$12:$C$17,0),_xlfn.IFS(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
"tine harrow","")))/LEN("tine harrow"))</f>
        <v>0</v>
      </c>
      <c r="AP26" s="102">
        <f>INDEX('Focus Data NSpraying'!$D$4:$P$19,MATCH(F26,'Focus Data NSpraying'!$C$4:$C$19,0),_xlfn.IFS(
AND(ISNUMBER(SEARCH("H-Dsty.",A26))=TRUE,ISNUMBER(SEARCH("H-Res",A26))=TRUE,ISNUMBER(SEARCH("E.",A26))=TRUE),1,
AND(ISNUMBER(SEARCH("H-Dsty.",A26))=TRUE,ISNUMBER(SEARCH("H-Res",A26))=TRUE,OR(ISNUMBER(SEARCH("N.he",A26))=TRUE,ISNUMBER(SEARCH("N.me",A26))=TRUE,ISNUMBER(SEARCH("N.li",A26))=TRUE)),2,
AND(ISNUMBER(SEARCH("H-Dsty.",A26))=TRUE,ISNUMBER(SEARCH("H-Res",A26))=TRUE,ISNUMBER(SEARCH("C.",A26))=TRUE),3,
AND(ISNUMBER(SEARCH("L-Dsty.",A26))=TRUE,ISNUMBER(SEARCH("H-Res",A26))=TRUE,ISNUMBER(SEARCH("E.",A26))=TRUE),6,
AND(ISNUMBER(SEARCH("L-Dsty.",A26))=TRUE,ISNUMBER(SEARCH("H-Res",A26))=TRUE,OR(ISNUMBER(SEARCH("N.he",A26))=TRUE,ISNUMBER(SEARCH("N.me",A26))=TRUE,ISNUMBER(SEARCH("N.li",A26))=TRUE)),7,
AND(ISNUMBER(SEARCH("L-Dsty.",A26))=TRUE,ISNUMBER(SEARCH("H-Res",A26))=TRUE,ISNUMBER(SEARCH("C.",A26))=TRUE),8,
AND(ISNUMBER(SEARCH("L-Dsty.",A26))=TRUE,ISNUMBER(SEARCH("L-Res",A26))=TRUE,ISNUMBER(SEARCH("E.",A26))=TRUE),11,
AND(ISNUMBER(SEARCH("L-Dsty.",A26))=TRUE,ISNUMBER(SEARCH("L-Res",A26))=TRUE,OR(ISNUMBER(SEARCH("N.he",A26))=TRUE,ISNUMBER(SEARCH("N.me",A26))=TRUE,ISNUMBER(SEARCH("N.li",A26))=TRUE)),12,
AND(ISNUMBER(SEARCH("L-Dsty.",A26))=TRUE,ISNUMBER(SEARCH("L-Res",A26))=TRUE,ISNUMBER(SEARCH("C.",A26))=TRUE),13))</f>
        <v>4</v>
      </c>
    </row>
    <row r="27" spans="1:42" x14ac:dyDescent="0.2">
      <c r="A27" t="s">
        <v>488</v>
      </c>
      <c r="B27" s="210" t="str">
        <f t="array" ref="B27">INDEX(ECOMOD_input_estimate!$A$2:$A$55, MATCH(CFT_input!$A27, ECOMOD_input_estimate!$B:$B, 0))</f>
        <v>FF_07.4</v>
      </c>
      <c r="C27" s="210">
        <v>2020</v>
      </c>
      <c r="D27" s="395" t="s">
        <v>730</v>
      </c>
      <c r="E27" s="210" t="str">
        <f t="shared" si="0"/>
        <v>N.medium.L-Dsty.H-Res</v>
      </c>
      <c r="F27" s="210" t="str">
        <f t="array" ref="F27">_xlfn.SINGLE(IF(OR(ISNUMBER(SEARCH("heavy",A27))=TRUE,ISNUMBER(SEARCH("medium",A27))=TRUE),
INDEX('Focus Data Crop Rotations'!$D$4:$P$9,MATCH(D27,'Focus Data Crop Rotations'!$C$4:$C$9,0),_xlfn.SINGLE(_xlfn.IFS(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INDEX('Focus Data Crop Rotations'!$D$12:$P$17,MATCH(D27,'Focus Data Crop Rotations'!$C$12:$C$17,0),_xlfn.SINGLE(_xlfn.IFS(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winterbarley</v>
      </c>
      <c r="G27">
        <v>7.2</v>
      </c>
      <c r="H27" s="227">
        <f>VLOOKUP(F27,'CFT Specific Data'!$F$4:$H$19,3,FALSE)*G27*
IF(B27=B26,
IF(AND(ISNUMBER(SEARCH("wheat",F27))=TRUE,ISNUMBER(SEARCH("Barley",F26))=TRUE),0.89,
IF(AND(ISNUMBER(SEARCH("wheat",F27))=TRUE,F26="setaside"),0.94,
IF(AND(ISNUMBER(SEARCH("barley",F27))=TRUE,ISNUMBER(SEARCH("wheat",F26))=TRUE),0.89,
IF(AND(F27="winterbarley",F26="setaside"),0.94,
IF(AND(F27="sugarbeet",F26="warepotatoes"),0.95,
IF(AND((OR(ISNUMBER(SEARCH("beans",F27)),ISNUMBER(SEARCH("driedpeas",F27)),ISNUMBER(SEARCH("sugarbeet",F27)))=TRUE),ISNUMBER(SEARCH("osr",F26))=TRUE),0,
IF(AND((OR((ISNUMBER(SEARCH("wheat",F27))),ISNUMBER(SEARCH("linseed",F27)),ISNUMBER(SEARCH("driedpeas",F27)),ISNUMBER(SEARCH("osr",F27)))=TRUE),F26="sugarbeet"),0,
IF(AND((OR((ISNUMBER(SEARCH("osr",F27))),ISNUMBER(SEARCH("linseed",F27)))=TRUE),ISNUMBER(SEARCH("beans",F26))=TRUE),0,
IF(AND(F27="wosr",ISNUMBER(SEARCH("linseed",F26))=TRUE),0,
IF(AND(F27="sugarbeet",F26="warepotatoes"),0,
1)))))))))),
IF(AND(ISNUMBER(SEARCH("wheat",F27))=TRUE,ISNUMBER(SEARCH("Barley",F32))=TRUE),0.89,
IF(AND(ISNUMBER(SEARCH("wheat",F27))=TRUE,F32="setaside"),0.94,
IF(AND(ISNUMBER(SEARCH("barley",F27))=TRUE,ISNUMBER(SEARCH("wheat",F32))=TRUE),0.89,
IF(AND(F27="winterbarley",F32="setaside"),0.94,
IF(AND(F27="sugarbeet",F32="warepotatoes"),0.95,
IF(AND((OR(ISNUMBER(SEARCH("beans",F27)),ISNUMBER(SEARCH("driedpeas",F27)),ISNUMBER(SEARCH("sugarbeet",F27)))=TRUE),ISNUMBER(SEARCH("osr",F32))=TRUE),0,
IF(AND((OR((ISNUMBER(SEARCH("wheat",F27))),ISNUMBER(SEARCH("linseed",F27)),ISNUMBER(SEARCH("driedpeas",F27)),ISNUMBER(SEARCH("osr",F27)))=TRUE),F32="sugarbeet"),0,
IF(AND((OR((ISNUMBER(SEARCH("osr",F27))),ISNUMBER(SEARCH("linseed",F27)))=TRUE),ISNUMBER(SEARCH("beans",F32))=TRUE),0,
IF(AND(F27="wosr",ISNUMBER(SEARCH("linseed",F32))=TRUE),0,
IF(AND(F27="sugarbeet",F32="warepotatoes"),0,
1)))))))))))
*IF(OR(ISNUMBER(SEARCH("wheat",F27)),ISNUMBER(SEARCH("barley",F27)),ISNUMBER(SEARCH("driedpeas",F27)),ISNUMBER(SEARCH("warepotatoes",F27)),ISNUMBER(SEARCH("osr",F27)),ISNUMBER(SEARCH("linseed",F27)),ISNUMBER(SEARCH("sugarbeet",F27))),
IF(COUNTIF(B22:B26,B27)=5,
INDEX('CFT Specific Data'!$G$24:$L$39,MATCH(F27,'CFT Specific Data'!$F$24:$F$39,0),IF(COUNTIF(F22:F26,F27)=5,6,IF(COUNTIF(F23:F26,F27)=4,5,IF(COUNTIF(F24:F26,F27)=3,4,IF(COUNTIF(F25:F26,F27)=2,3,IF(F26=F27,2,1)))))),
IF(COUNTIF(B22:B26,B27)=4,
INDEX('CFT Specific Data'!$G$24:$L$39,MATCH(F27,'CFT Specific Data'!$F$24:$F$39,0),IF(SUM(COUNTIF(F23:F26,F27),COUNTIF(F28,F27))=5,6,IF(COUNTIF(F23:F26,F27)=4,5,IF(COUNTIF(F24:F26,F27)=3,4,IF(COUNTIF(F25:F26,F27)=2,3,IF(F26=F27,2,1)))))),
IF(COUNTIF(B22:B26,B27)=3,
INDEX('CFT Specific Data'!$G$24:$L$39,MATCH(F27,'CFT Specific Data'!$F$24:$F$39,0),IF(SUM(COUNTIF(F24:F26,F27),COUNTIF(F28:F29,F27))=5,6,IF(SUM(COUNTIF(F24:F26,F27),COUNTIF(F29,F27))=4,5,IF(COUNTIF(F24:F26,F27)=3,4,IF(COUNTIF(F25:F26,F27)=2,3,IF(F26=F27,2,1)))))),
IF(COUNTIF(B22:B26,B27)=2,
INDEX('CFT Specific Data'!$G$24:$L$39,MATCH(F27,'CFT Specific Data'!$F$24:$F$39,0),IF(SUM(COUNTIF(F25:F26,F27),COUNTIF(F28:F30,F27))=5,6,IF(SUM(COUNTIF(F25:F26,F27),COUNTIF(F29:F30,F27))=4,5,IF(SUM(COUNTIF(F25:F26,F27),COUNTIF(F30,F27))=3,4,IF(COUNTIF(F25:F26,F27)=2,3,IF(F26=F27,2,1)))))),
IF(COUNTIF(B22:B26,B27)=1,
INDEX('CFT Specific Data'!$G$24:$L$39,MATCH(F27,'CFT Specific Data'!$F$24:$F$39,0),IF(SUM(COUNTIF(F26,F27),COUNTIF(F28:F31,F27))=5,6,IF(SUM(COUNTIF(F26,F27),COUNTIF(F29:F31,F27))=4,5,IF(SUM(COUNTIF(F26,F27),COUNTIF(F30:F31,F27))=3,4,IF(SUM(COUNTIF(F26,F27),COUNTIF(F31,F27))=2,3,IF(F26=F27,2,1)))))),
IF(COUNTIF(B22:B26,B27)=0,
INDEX('CFT Specific Data'!$G$24:$L$39,MATCH(F27,'CFT Specific Data'!$F$24:$F$39,0),IF(COUNTIF(F28:F32,F27)=5,6,IF(COUNTIF(F29:F32,F27)=4,5,IF(COUNTIF(F30:F32,F27)=3,4,IF(COUNTIF(F31:F32,F27)=2,3,IF(F32=F27,2,1)))))))))))),1)</f>
        <v>47.419200000000004</v>
      </c>
      <c r="I27" s="210" t="s">
        <v>348</v>
      </c>
      <c r="J27">
        <v>10</v>
      </c>
      <c r="K27" s="210" t="str">
        <f>VLOOKUP(F27,'CFT Specific Data'!$F$4:$G$19,2,FALSE)</f>
        <v>Barley</v>
      </c>
      <c r="L27" t="str">
        <f t="shared" si="1"/>
        <v>Medium</v>
      </c>
      <c r="M27">
        <f t="shared" si="2"/>
        <v>4.4720000000000004</v>
      </c>
      <c r="N27" t="str">
        <f t="shared" si="3"/>
        <v>1.72 &lt; SOM &lt;= 5.16</v>
      </c>
      <c r="O27" t="s">
        <v>349</v>
      </c>
      <c r="P27" t="s">
        <v>350</v>
      </c>
      <c r="Q27">
        <v>7</v>
      </c>
      <c r="R27" t="str">
        <f t="shared" si="5"/>
        <v>5.5 &lt; pH &lt;= 7.3</v>
      </c>
      <c r="S27" t="s">
        <v>351</v>
      </c>
      <c r="T27" s="210">
        <f t="array" ref="T27">_xlfn.SINGLE(INDEX('Focus Data NFertiliser Rate'!$D$4:$P$19,MATCH(F27,'Focus Data NFertiliser Rate'!$C$4:$C$19,0),_xlfn.SINGLE(_xlfn.IFS(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190</v>
      </c>
      <c r="U27" t="str">
        <f t="shared" si="4"/>
        <v>Apply in solution</v>
      </c>
      <c r="V27" s="210">
        <f t="array" ref="V27">_xlfn.SINGLE(INDEX('№ Fertiliser sprayings'!$D$4:$P$19,MATCH(F27,'№ Fertiliser sprayings'!$C$4:$C$19,0),_xlfn.SINGLE(_xlfn.IFS(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3</v>
      </c>
      <c r="W27" s="264">
        <f t="array" ref="W27">_xlfn.SINGLE(INDEX('Focus Data CFT NSpraying'!$D$4:$P$19,MATCH(F27,'Focus Data CFT NSpraying'!$C$4:$C$19,0),_xlfn.SINGLE(_xlfn.IFS(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9.16</v>
      </c>
      <c r="X27" t="s">
        <v>363</v>
      </c>
      <c r="Y27">
        <v>0</v>
      </c>
      <c r="Z27">
        <v>100</v>
      </c>
      <c r="AA27" t="s">
        <v>352</v>
      </c>
      <c r="AB27" s="226" t="str">
        <f>IF(B27=B26,_xlfn.IFS(
AND(AA27=Lists!$L$8,AA26=Lists!$L$8),Lists!$N$5,
AND(OR(AA27=Lists!$L$5,AA27=Lists!$L$7,AA27=Lists!$L$9,AA27=Lists!$L$10,AA27=Lists!$L$6),OR(AA26=Lists!$L$5,AA26=Lists!$L$7,AA26=Lists!$L$9,AA26=Lists!$L$10,AA26=Lists!$L$6)),Lists!$N$5,
AND(AA27=Lists!$L$8,OR(AA26=Lists!$L$5,AA26=Lists!$L$7,AA26=Lists!$L$9,AA26=Lists!$L$10,AA26=Lists!$L$6)),Lists!$N$6,
AND(OR(AA27=Lists!$L$5,AA27=Lists!$L$6,AA27=Lists!$L$7,AA27=Lists!$L$9,AA27=Lists!$L$10),AA26=Lists!$L$8),Lists!$N$7),
_xlfn.IFS(
AND(AA27=Lists!$L$8,AA32=Lists!$L$8),Lists!$N$5,
AND(OR(AA27=Lists!$L$5,AA27=Lists!$L$7,AA27=Lists!$L$9,AA27=Lists!$L$10,AA27=Lists!$L$6),OR(AA32=Lists!$L$5,AA32=Lists!$L$7,AA32=Lists!$L$9,AA32=Lists!$L$10,AA32=Lists!$L$6)),Lists!$N$5,
AND(AA27=Lists!$L$8,OR(AA32=Lists!$L$5,AA32=Lists!$L$7,AA32=Lists!$L$9,AA32=Lists!$L$10,AA32=Lists!$L$6)),Lists!$N$6,
AND(OR(AA27=Lists!$L$5,AA27=Lists!$L$7,AA27=Lists!$L$9,AA27=Lists!$L$10),AA32=Lists!$L$8),Lists!$N$7))</f>
        <v>no change</v>
      </c>
      <c r="AC27">
        <v>0</v>
      </c>
      <c r="AD27">
        <v>0</v>
      </c>
      <c r="AE27" s="102">
        <f t="array" ref="AE27">IF(OR(ISNUMBER(SEARCH("heavy",A27))=TRUE, ISNUMBER(SEARCH("medium",A27))=TRUE),
(LEN(_xlfn.SINGLE(
INDEX('Focus Data Tillage by farm'!$D$4:$P$9,MATCH(D27,'Focus Data Tillage by farm'!$C$4:$C$9,0),_xlfn.SINGLE(_xlfn.IFS(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-LEN(SUBSTITUTE(_xlfn.SINGLE(
INDEX('Focus Data Tillage by farm'!$D$4:$P$9,MATCH(D27,'Focus Data Tillage by farm'!$C$4:$C$9,0),_xlfn.SINGLE(_xlfn.IFS(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"disc","")))/LEN("disc"),
(LEN(_xlfn.SINGLE(
INDEX('Focus Data Tillage by farm'!$D$12:$P$17,MATCH(D27,'Focus Data Tillage by farm'!$C$12:$C$17,0),_xlfn.SINGLE(_xlfn.IFS(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-LEN(SUBSTITUTE(_xlfn.SINGLE(
INDEX('Focus Data Tillage by farm'!$D$12:$P$17,MATCH(D27,'Focus Data Tillage by farm'!$C$12:$C$17,0),_xlfn.SINGLE(_xlfn.IFS(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"disc","")))/LEN("disc"))</f>
        <v>2</v>
      </c>
      <c r="AF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"field cultivator","")))/LEN("field cultivator"),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"field cultivator","")))/LEN("field cultivator"))</f>
        <v>0</v>
      </c>
      <c r="AG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"grain drill","")))/LEN("grain drill"),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"grain drill","")))/LEN("grain drill"))</f>
        <v>1</v>
      </c>
      <c r="AH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"minimum tillage","")))/LEN("minimum tillage"),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"minimum tillage","")))/LEN("minimum tillage"))</f>
        <v>0</v>
      </c>
      <c r="AI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"row crop planter","")))/LEN("row crop planter"),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"row crop planter","")))/LEN("row crop planter"))</f>
        <v>0</v>
      </c>
      <c r="AJ27" s="102">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"plough","")))/LEN("plough"),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"plough","")))/LEN("plough"))</f>
        <v>0</v>
      </c>
      <c r="AK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harrow","")))/LEN("roller harrow"),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harrow","")))/LEN("roller harrow"))</f>
        <v>0</v>
      </c>
      <c r="AL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packer","")))/LEN("roller packer"),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"roller packer","")))/LEN("roller packer"))</f>
        <v>2</v>
      </c>
      <c r="AM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"rotary hoe","")))/LEN("rotary hoe"),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"rotary hoe","")))/LEN("rotary hoe"))</f>
        <v>0</v>
      </c>
      <c r="AN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"subsoil","")))/LEN("subsoil"),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"subsoil","")))/LEN("subsoil"))</f>
        <v>0</v>
      </c>
      <c r="AO27">
        <f>IF(OR(ISNUMBER(SEARCH("heavy",A27))=TRUE, ISNUMBER(SEARCH("medium",A27))=TRUE),
(LEN(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farm'!$D$4:$P$9,MATCH(D27,'Focus Data Tillage by farm'!$C$4:$C$9,0),_xlfn.IFS(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"tine harrow","")))/LEN("tine harrow"),
(LEN(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-LEN(SUBSTITUTE(
INDEX('Focus Data Tillage by farm'!$D$12:$P$17,MATCH(D27,'Focus Data Tillage by farm'!$C$12:$C$17,0),_xlfn.IFS(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
"tine harrow","")))/LEN("tine harrow"))</f>
        <v>0</v>
      </c>
      <c r="AP27" s="102">
        <f>INDEX('Focus Data NSpraying'!$D$4:$P$19,MATCH(F27,'Focus Data NSpraying'!$C$4:$C$19,0),_xlfn.IFS(
AND(ISNUMBER(SEARCH("H-Dsty.",A27))=TRUE,ISNUMBER(SEARCH("H-Res",A27))=TRUE,ISNUMBER(SEARCH("E.",A27))=TRUE),1,
AND(ISNUMBER(SEARCH("H-Dsty.",A27))=TRUE,ISNUMBER(SEARCH("H-Res",A27))=TRUE,OR(ISNUMBER(SEARCH("N.he",A27))=TRUE,ISNUMBER(SEARCH("N.me",A27))=TRUE,ISNUMBER(SEARCH("N.li",A27))=TRUE)),2,
AND(ISNUMBER(SEARCH("H-Dsty.",A27))=TRUE,ISNUMBER(SEARCH("H-Res",A27))=TRUE,ISNUMBER(SEARCH("C.",A27))=TRUE),3,
AND(ISNUMBER(SEARCH("L-Dsty.",A27))=TRUE,ISNUMBER(SEARCH("H-Res",A27))=TRUE,ISNUMBER(SEARCH("E.",A27))=TRUE),6,
AND(ISNUMBER(SEARCH("L-Dsty.",A27))=TRUE,ISNUMBER(SEARCH("H-Res",A27))=TRUE,OR(ISNUMBER(SEARCH("N.he",A27))=TRUE,ISNUMBER(SEARCH("N.me",A27))=TRUE,ISNUMBER(SEARCH("N.li",A27))=TRUE)),7,
AND(ISNUMBER(SEARCH("L-Dsty.",A27))=TRUE,ISNUMBER(SEARCH("H-Res",A27))=TRUE,ISNUMBER(SEARCH("C.",A27))=TRUE),8,
AND(ISNUMBER(SEARCH("L-Dsty.",A27))=TRUE,ISNUMBER(SEARCH("L-Res",A27))=TRUE,ISNUMBER(SEARCH("E.",A27))=TRUE),11,
AND(ISNUMBER(SEARCH("L-Dsty.",A27))=TRUE,ISNUMBER(SEARCH("L-Res",A27))=TRUE,OR(ISNUMBER(SEARCH("N.he",A27))=TRUE,ISNUMBER(SEARCH("N.me",A27))=TRUE,ISNUMBER(SEARCH("N.li",A27))=TRUE)),12,
AND(ISNUMBER(SEARCH("L-Dsty.",A27))=TRUE,ISNUMBER(SEARCH("L-Res",A27))=TRUE,ISNUMBER(SEARCH("C.",A27))=TRUE),13))</f>
        <v>3</v>
      </c>
    </row>
    <row r="28" spans="1:42" x14ac:dyDescent="0.2">
      <c r="A28" t="s">
        <v>488</v>
      </c>
      <c r="B28" s="210" t="str">
        <f t="array" ref="B28">INDEX(ECOMOD_input_estimate!$A$2:$A$55, MATCH(CFT_input!$A28, ECOMOD_input_estimate!$B:$B, 0))</f>
        <v>FF_07.4</v>
      </c>
      <c r="C28" s="210">
        <v>2020</v>
      </c>
      <c r="D28" s="395" t="s">
        <v>1694</v>
      </c>
      <c r="E28" s="210" t="str">
        <f t="shared" si="0"/>
        <v>N.medium.L-Dsty.H-Res</v>
      </c>
      <c r="F28" s="210" t="str">
        <f t="array" ref="F28">_xlfn.SINGLE(IF(OR(ISNUMBER(SEARCH("heavy",A28))=TRUE,ISNUMBER(SEARCH("medium",A28))=TRUE),
INDEX('Focus Data Crop Rotations'!$D$4:$P$9,MATCH(D28,'Focus Data Crop Rotations'!$C$4:$C$9,0),_xlfn.SINGLE(_xlfn.IFS(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INDEX('Focus Data Crop Rotations'!$D$12:$P$17,MATCH(D28,'Focus Data Crop Rotations'!$C$12:$C$17,0),_xlfn.SINGLE(_xlfn.IFS(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springbeans</v>
      </c>
      <c r="G28">
        <v>7.2</v>
      </c>
      <c r="H28" s="227">
        <f>VLOOKUP(F28,'CFT Specific Data'!$F$4:$H$19,3,FALSE)*G28*
IF(B28=B27,
IF(AND(ISNUMBER(SEARCH("wheat",F28))=TRUE,ISNUMBER(SEARCH("Barley",F27))=TRUE),0.89,
IF(AND(ISNUMBER(SEARCH("wheat",F28))=TRUE,F27="setaside"),0.94,
IF(AND(ISNUMBER(SEARCH("barley",F28))=TRUE,ISNUMBER(SEARCH("wheat",F27))=TRUE),0.89,
IF(AND(F28="winterbarley",F27="setaside"),0.94,
IF(AND(F28="sugarbeet",F27="warepotatoes"),0.95,
IF(AND((OR(ISNUMBER(SEARCH("beans",F28)),ISNUMBER(SEARCH("driedpeas",F28)),ISNUMBER(SEARCH("sugarbeet",F28)))=TRUE),ISNUMBER(SEARCH("osr",F27))=TRUE),0,
IF(AND((OR((ISNUMBER(SEARCH("wheat",F28))),ISNUMBER(SEARCH("linseed",F28)),ISNUMBER(SEARCH("driedpeas",F28)),ISNUMBER(SEARCH("osr",F28)))=TRUE),F27="sugarbeet"),0,
IF(AND((OR((ISNUMBER(SEARCH("osr",F28))),ISNUMBER(SEARCH("linseed",F28)))=TRUE),ISNUMBER(SEARCH("beans",F27))=TRUE),0,
IF(AND(F28="wosr",ISNUMBER(SEARCH("linseed",F27))=TRUE),0,
IF(AND(F28="sugarbeet",F27="warepotatoes"),0,
1)))))))))),
IF(AND(ISNUMBER(SEARCH("wheat",F28))=TRUE,ISNUMBER(SEARCH("Barley",F33))=TRUE),0.89,
IF(AND(ISNUMBER(SEARCH("wheat",F28))=TRUE,F33="setaside"),0.94,
IF(AND(ISNUMBER(SEARCH("barley",F28))=TRUE,ISNUMBER(SEARCH("wheat",F33))=TRUE),0.89,
IF(AND(F28="winterbarley",F33="setaside"),0.94,
IF(AND(F28="sugarbeet",F33="warepotatoes"),0.95,
IF(AND((OR(ISNUMBER(SEARCH("beans",F28)),ISNUMBER(SEARCH("driedpeas",F28)),ISNUMBER(SEARCH("sugarbeet",F28)))=TRUE),ISNUMBER(SEARCH("osr",F33))=TRUE),0,
IF(AND((OR((ISNUMBER(SEARCH("wheat",F28))),ISNUMBER(SEARCH("linseed",F28)),ISNUMBER(SEARCH("driedpeas",F28)),ISNUMBER(SEARCH("osr",F28)))=TRUE),F33="sugarbeet"),0,
IF(AND((OR((ISNUMBER(SEARCH("osr",F28))),ISNUMBER(SEARCH("linseed",F28)))=TRUE),ISNUMBER(SEARCH("beans",F33))=TRUE),0,
IF(AND(F28="wosr",ISNUMBER(SEARCH("linseed",F33))=TRUE),0,
IF(AND(F28="sugarbeet",F33="warepotatoes"),0,
1)))))))))))
*IF(OR(ISNUMBER(SEARCH("wheat",F28)),ISNUMBER(SEARCH("barley",F28)),ISNUMBER(SEARCH("driedpeas",F28)),ISNUMBER(SEARCH("warepotatoes",F28)),ISNUMBER(SEARCH("osr",F28)),ISNUMBER(SEARCH("linseed",F28)),ISNUMBER(SEARCH("sugarbeet",F28))),
IF(COUNTIF(B23:B27,B28)=5,
INDEX('CFT Specific Data'!$G$24:$L$39,MATCH(F28,'CFT Specific Data'!$F$24:$F$39,0),IF(COUNTIF(F23:F27,F28)=5,6,IF(COUNTIF(F24:F27,F28)=4,5,IF(COUNTIF(F25:F27,F28)=3,4,IF(COUNTIF(F26:F27,F28)=2,3,IF(F27=F28,2,1)))))),
IF(COUNTIF(B23:B27,B28)=4,
INDEX('CFT Specific Data'!$G$24:$L$39,MATCH(F28,'CFT Specific Data'!$F$24:$F$39,0),IF(SUM(COUNTIF(F24:F27,F28),COUNTIF(F29,F28))=5,6,IF(COUNTIF(F24:F27,F28)=4,5,IF(COUNTIF(F25:F27,F28)=3,4,IF(COUNTIF(F26:F27,F28)=2,3,IF(F27=F28,2,1)))))),
IF(COUNTIF(B23:B27,B28)=3,
INDEX('CFT Specific Data'!$G$24:$L$39,MATCH(F28,'CFT Specific Data'!$F$24:$F$39,0),IF(SUM(COUNTIF(F25:F27,F28),COUNTIF(F29:F30,F28))=5,6,IF(SUM(COUNTIF(F25:F27,F28),COUNTIF(F30,F28))=4,5,IF(COUNTIF(F25:F27,F28)=3,4,IF(COUNTIF(F26:F27,F28)=2,3,IF(F27=F28,2,1)))))),
IF(COUNTIF(B23:B27,B28)=2,
INDEX('CFT Specific Data'!$G$24:$L$39,MATCH(F28,'CFT Specific Data'!$F$24:$F$39,0),IF(SUM(COUNTIF(F26:F27,F28),COUNTIF(F29:F31,F28))=5,6,IF(SUM(COUNTIF(F26:F27,F28),COUNTIF(F30:F31,F28))=4,5,IF(SUM(COUNTIF(F26:F27,F28),COUNTIF(F31,F28))=3,4,IF(COUNTIF(F26:F27,F28)=2,3,IF(F27=F28,2,1)))))),
IF(COUNTIF(B23:B27,B28)=1,
INDEX('CFT Specific Data'!$G$24:$L$39,MATCH(F28,'CFT Specific Data'!$F$24:$F$39,0),IF(SUM(COUNTIF(F27,F28),COUNTIF(F29:F32,F28))=5,6,IF(SUM(COUNTIF(F27,F28),COUNTIF(F30:F32,F28))=4,5,IF(SUM(COUNTIF(F27,F28),COUNTIF(F31:F32,F28))=3,4,IF(SUM(COUNTIF(F27,F28),COUNTIF(F32,F28))=2,3,IF(F27=F28,2,1)))))),
IF(COUNTIF(B23:B27,B28)=0,
INDEX('CFT Specific Data'!$G$24:$L$39,MATCH(F28,'CFT Specific Data'!$F$24:$F$39,0),IF(COUNTIF(F29:F33,F28)=5,6,IF(COUNTIF(F30:F33,F28)=4,5,IF(COUNTIF(F31:F33,F28)=3,4,IF(COUNTIF(F32:F33,F28)=2,3,IF(F33=F28,2,1)))))))))))),1)</f>
        <v>28.08</v>
      </c>
      <c r="I28" s="210" t="s">
        <v>348</v>
      </c>
      <c r="J28">
        <v>10</v>
      </c>
      <c r="K28" s="210" t="str">
        <f>VLOOKUP(F28,'CFT Specific Data'!$F$4:$G$19,2,FALSE)</f>
        <v>Other legume</v>
      </c>
      <c r="L28" t="str">
        <f t="shared" si="1"/>
        <v>Medium</v>
      </c>
      <c r="M28">
        <f t="shared" si="2"/>
        <v>4.4720000000000004</v>
      </c>
      <c r="N28" t="str">
        <f t="shared" si="3"/>
        <v>1.72 &lt; SOM &lt;= 5.16</v>
      </c>
      <c r="O28" t="s">
        <v>349</v>
      </c>
      <c r="P28" t="s">
        <v>350</v>
      </c>
      <c r="Q28">
        <v>7</v>
      </c>
      <c r="R28" t="str">
        <f t="shared" si="5"/>
        <v>5.5 &lt; pH &lt;= 7.3</v>
      </c>
      <c r="S28" t="s">
        <v>351</v>
      </c>
      <c r="T28" s="210">
        <f t="array" ref="T28">_xlfn.SINGLE(INDEX('Focus Data NFertiliser Rate'!$D$4:$P$19,MATCH(F28,'Focus Data NFertiliser Rate'!$C$4:$C$19,0),_xlfn.SINGLE(_xlfn.IFS(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0</v>
      </c>
      <c r="U28">
        <f t="shared" si="4"/>
        <v>0</v>
      </c>
      <c r="V28" s="210">
        <f t="array" ref="V28">_xlfn.SINGLE(INDEX('№ Fertiliser sprayings'!$D$4:$P$19,MATCH(F28,'№ Fertiliser sprayings'!$C$4:$C$19,0),_xlfn.SINGLE(_xlfn.IFS(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0</v>
      </c>
      <c r="W28" s="264">
        <f t="array" ref="W28">_xlfn.SINGLE(INDEX('Focus Data CFT NSpraying'!$D$4:$P$19,MATCH(F28,'Focus Data CFT NSpraying'!$C$4:$C$19,0),_xlfn.SINGLE(_xlfn.IFS(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6.5750000000000002</v>
      </c>
      <c r="X28" t="s">
        <v>363</v>
      </c>
      <c r="Y28">
        <v>0</v>
      </c>
      <c r="Z28">
        <v>100</v>
      </c>
      <c r="AA28" t="s">
        <v>352</v>
      </c>
      <c r="AB28" s="226" t="str">
        <f>IF(B28=B27,_xlfn.IFS(
AND(AA28=Lists!$L$8,AA27=Lists!$L$8),Lists!$N$5,
AND(OR(AA28=Lists!$L$5,AA28=Lists!$L$7,AA28=Lists!$L$9,AA28=Lists!$L$10,AA28=Lists!$L$6),OR(AA27=Lists!$L$5,AA27=Lists!$L$7,AA27=Lists!$L$9,AA27=Lists!$L$10,AA27=Lists!$L$6)),Lists!$N$5,
AND(AA28=Lists!$L$8,OR(AA27=Lists!$L$5,AA27=Lists!$L$7,AA27=Lists!$L$9,AA27=Lists!$L$10,AA27=Lists!$L$6)),Lists!$N$6,
AND(OR(AA28=Lists!$L$5,AA28=Lists!$L$6,AA28=Lists!$L$7,AA28=Lists!$L$9,AA28=Lists!$L$10),AA27=Lists!$L$8),Lists!$N$7),
_xlfn.IFS(
AND(AA28=Lists!$L$8,AA33=Lists!$L$8),Lists!$N$5,
AND(OR(AA28=Lists!$L$5,AA28=Lists!$L$7,AA28=Lists!$L$9,AA28=Lists!$L$10,AA28=Lists!$L$6),OR(AA33=Lists!$L$5,AA33=Lists!$L$7,AA33=Lists!$L$9,AA33=Lists!$L$10,AA33=Lists!$L$6)),Lists!$N$5,
AND(AA28=Lists!$L$8,OR(AA33=Lists!$L$5,AA33=Lists!$L$7,AA33=Lists!$L$9,AA33=Lists!$L$10,AA33=Lists!$L$6)),Lists!$N$6,
AND(OR(AA28=Lists!$L$5,AA28=Lists!$L$7,AA28=Lists!$L$9,AA28=Lists!$L$10),AA33=Lists!$L$8),Lists!$N$7))</f>
        <v>no change</v>
      </c>
      <c r="AC28">
        <v>0</v>
      </c>
      <c r="AD28">
        <v>0</v>
      </c>
      <c r="AE28" s="102">
        <f t="array" ref="AE28">IF(OR(ISNUMBER(SEARCH("heavy",A28))=TRUE, ISNUMBER(SEARCH("medium",A28))=TRUE),
(LEN(_xlfn.SINGLE(
INDEX('Focus Data Tillage by farm'!$D$4:$P$9,MATCH(D28,'Focus Data Tillage by farm'!$C$4:$C$9,0),_xlfn.SINGLE(_xlfn.IFS(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-LEN(SUBSTITUTE(_xlfn.SINGLE(
INDEX('Focus Data Tillage by farm'!$D$4:$P$9,MATCH(D28,'Focus Data Tillage by farm'!$C$4:$C$9,0),_xlfn.SINGLE(_xlfn.IFS(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"disc","")))/LEN("disc"),
(LEN(_xlfn.SINGLE(
INDEX('Focus Data Tillage by farm'!$D$12:$P$17,MATCH(D28,'Focus Data Tillage by farm'!$C$12:$C$17,0),_xlfn.SINGLE(_xlfn.IFS(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-LEN(SUBSTITUTE(_xlfn.SINGLE(
INDEX('Focus Data Tillage by farm'!$D$12:$P$17,MATCH(D28,'Focus Data Tillage by farm'!$C$12:$C$17,0),_xlfn.SINGLE(_xlfn.IFS(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"disc","")))/LEN("disc"))</f>
        <v>2</v>
      </c>
      <c r="AF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"field cultivator","")))/LEN("field cultivator"),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"field cultivator","")))/LEN("field cultivator"))</f>
        <v>0</v>
      </c>
      <c r="AG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"grain drill","")))/LEN("grain drill"),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"grain drill","")))/LEN("grain drill"))</f>
        <v>1</v>
      </c>
      <c r="AH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"minimum tillage","")))/LEN("minimum tillage"),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"minimum tillage","")))/LEN("minimum tillage"))</f>
        <v>0</v>
      </c>
      <c r="AI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"row crop planter","")))/LEN("row crop planter"),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"row crop planter","")))/LEN("row crop planter"))</f>
        <v>0</v>
      </c>
      <c r="AJ28" s="102">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"plough","")))/LEN("plough"),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"plough","")))/LEN("plough"))</f>
        <v>0</v>
      </c>
      <c r="AK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harrow","")))/LEN("roller harrow"),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harrow","")))/LEN("roller harrow"))</f>
        <v>0</v>
      </c>
      <c r="AL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packer","")))/LEN("roller packer"),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"roller packer","")))/LEN("roller packer"))</f>
        <v>2</v>
      </c>
      <c r="AM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"rotary hoe","")))/LEN("rotary hoe"),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"rotary hoe","")))/LEN("rotary hoe"))</f>
        <v>0</v>
      </c>
      <c r="AN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"subsoil","")))/LEN("subsoil"),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"subsoil","")))/LEN("subsoil"))</f>
        <v>0</v>
      </c>
      <c r="AO28">
        <f>IF(OR(ISNUMBER(SEARCH("heavy",A28))=TRUE, ISNUMBER(SEARCH("medium",A28))=TRUE),
(LEN(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farm'!$D$4:$P$9,MATCH(D28,'Focus Data Tillage by farm'!$C$4:$C$9,0),_xlfn.IFS(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"tine harrow","")))/LEN("tine harrow"),
(LEN(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-LEN(SUBSTITUTE(
INDEX('Focus Data Tillage by farm'!$D$12:$P$17,MATCH(D28,'Focus Data Tillage by farm'!$C$12:$C$17,0),_xlfn.IFS(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
"tine harrow","")))/LEN("tine harrow"))</f>
        <v>0</v>
      </c>
      <c r="AP28" s="102">
        <f>INDEX('Focus Data NSpraying'!$D$4:$P$19,MATCH(F28,'Focus Data NSpraying'!$C$4:$C$19,0),_xlfn.IFS(
AND(ISNUMBER(SEARCH("H-Dsty.",A28))=TRUE,ISNUMBER(SEARCH("H-Res",A28))=TRUE,ISNUMBER(SEARCH("E.",A28))=TRUE),1,
AND(ISNUMBER(SEARCH("H-Dsty.",A28))=TRUE,ISNUMBER(SEARCH("H-Res",A28))=TRUE,OR(ISNUMBER(SEARCH("N.he",A28))=TRUE,ISNUMBER(SEARCH("N.me",A28))=TRUE,ISNUMBER(SEARCH("N.li",A28))=TRUE)),2,
AND(ISNUMBER(SEARCH("H-Dsty.",A28))=TRUE,ISNUMBER(SEARCH("H-Res",A28))=TRUE,ISNUMBER(SEARCH("C.",A28))=TRUE),3,
AND(ISNUMBER(SEARCH("L-Dsty.",A28))=TRUE,ISNUMBER(SEARCH("H-Res",A28))=TRUE,ISNUMBER(SEARCH("E.",A28))=TRUE),6,
AND(ISNUMBER(SEARCH("L-Dsty.",A28))=TRUE,ISNUMBER(SEARCH("H-Res",A28))=TRUE,OR(ISNUMBER(SEARCH("N.he",A28))=TRUE,ISNUMBER(SEARCH("N.me",A28))=TRUE,ISNUMBER(SEARCH("N.li",A28))=TRUE)),7,
AND(ISNUMBER(SEARCH("L-Dsty.",A28))=TRUE,ISNUMBER(SEARCH("H-Res",A28))=TRUE,ISNUMBER(SEARCH("C.",A28))=TRUE),8,
AND(ISNUMBER(SEARCH("L-Dsty.",A28))=TRUE,ISNUMBER(SEARCH("L-Res",A28))=TRUE,ISNUMBER(SEARCH("E.",A28))=TRUE),11,
AND(ISNUMBER(SEARCH("L-Dsty.",A28))=TRUE,ISNUMBER(SEARCH("L-Res",A28))=TRUE,OR(ISNUMBER(SEARCH("N.he",A28))=TRUE,ISNUMBER(SEARCH("N.me",A28))=TRUE,ISNUMBER(SEARCH("N.li",A28))=TRUE)),12,
AND(ISNUMBER(SEARCH("L-Dsty.",A28))=TRUE,ISNUMBER(SEARCH("L-Res",A28))=TRUE,ISNUMBER(SEARCH("C.",A28))=TRUE),13))</f>
        <v>3</v>
      </c>
    </row>
    <row r="29" spans="1:42" x14ac:dyDescent="0.2">
      <c r="A29" t="s">
        <v>488</v>
      </c>
      <c r="B29" s="210" t="str">
        <f t="array" ref="B29">INDEX(ECOMOD_input_estimate!$A$2:$A$55, MATCH(CFT_input!$A29, ECOMOD_input_estimate!$B:$B, 0))</f>
        <v>FF_07.4</v>
      </c>
      <c r="C29" s="210">
        <v>2020</v>
      </c>
      <c r="D29" s="395" t="s">
        <v>1695</v>
      </c>
      <c r="E29" s="210" t="str">
        <f t="shared" si="0"/>
        <v>N.medium.L-Dsty.H-Res</v>
      </c>
      <c r="F29" s="210" t="str">
        <f t="array" ref="F29">_xlfn.SINGLE(IF(OR(ISNUMBER(SEARCH("heavy",A29))=TRUE,ISNUMBER(SEARCH("medium",A29))=TRUE),
INDEX('Focus Data Crop Rotations'!$D$4:$P$9,MATCH(D29,'Focus Data Crop Rotations'!$C$4:$C$9,0),_xlfn.SINGLE(_xlfn.IFS(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INDEX('Focus Data Crop Rotations'!$D$12:$P$17,MATCH(D29,'Focus Data Crop Rotations'!$C$12:$C$17,0),_xlfn.SINGLE(_xlfn.IFS(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winterwheat</v>
      </c>
      <c r="G29">
        <v>7.2</v>
      </c>
      <c r="H29" s="227">
        <f>VLOOKUP(F29,'CFT Specific Data'!$F$4:$H$19,3,FALSE)*G29*
IF(B29=B28,
IF(AND(ISNUMBER(SEARCH("wheat",F29))=TRUE,ISNUMBER(SEARCH("Barley",F28))=TRUE),0.89,
IF(AND(ISNUMBER(SEARCH("wheat",F29))=TRUE,F28="setaside"),0.94,
IF(AND(ISNUMBER(SEARCH("barley",F29))=TRUE,ISNUMBER(SEARCH("wheat",F28))=TRUE),0.89,
IF(AND(F29="winterbarley",F28="setaside"),0.94,
IF(AND(F29="sugarbeet",F28="warepotatoes"),0.95,
IF(AND((OR(ISNUMBER(SEARCH("beans",F29)),ISNUMBER(SEARCH("driedpeas",F29)),ISNUMBER(SEARCH("sugarbeet",F29)))=TRUE),ISNUMBER(SEARCH("osr",F28))=TRUE),0,
IF(AND((OR((ISNUMBER(SEARCH("wheat",F29))),ISNUMBER(SEARCH("linseed",F29)),ISNUMBER(SEARCH("driedpeas",F29)),ISNUMBER(SEARCH("osr",F29)))=TRUE),F28="sugarbeet"),0,
IF(AND((OR((ISNUMBER(SEARCH("osr",F29))),ISNUMBER(SEARCH("linseed",F29)))=TRUE),ISNUMBER(SEARCH("beans",F28))=TRUE),0,
IF(AND(F29="wosr",ISNUMBER(SEARCH("linseed",F28))=TRUE),0,
IF(AND(F29="sugarbeet",F28="warepotatoes"),0,
1)))))))))),
IF(AND(ISNUMBER(SEARCH("wheat",F29))=TRUE,ISNUMBER(SEARCH("Barley",F34))=TRUE),0.89,
IF(AND(ISNUMBER(SEARCH("wheat",F29))=TRUE,F34="setaside"),0.94,
IF(AND(ISNUMBER(SEARCH("barley",F29))=TRUE,ISNUMBER(SEARCH("wheat",F34))=TRUE),0.89,
IF(AND(F29="winterbarley",F34="setaside"),0.94,
IF(AND(F29="sugarbeet",F34="warepotatoes"),0.95,
IF(AND((OR(ISNUMBER(SEARCH("beans",F29)),ISNUMBER(SEARCH("driedpeas",F29)),ISNUMBER(SEARCH("sugarbeet",F29)))=TRUE),ISNUMBER(SEARCH("osr",F34))=TRUE),0,
IF(AND((OR((ISNUMBER(SEARCH("wheat",F29))),ISNUMBER(SEARCH("linseed",F29)),ISNUMBER(SEARCH("driedpeas",F29)),ISNUMBER(SEARCH("osr",F29)))=TRUE),F34="sugarbeet"),0,
IF(AND((OR((ISNUMBER(SEARCH("osr",F29))),ISNUMBER(SEARCH("linseed",F29)))=TRUE),ISNUMBER(SEARCH("beans",F34))=TRUE),0,
IF(AND(F29="wosr",ISNUMBER(SEARCH("linseed",F34))=TRUE),0,
IF(AND(F29="sugarbeet",F34="warepotatoes"),0,
1)))))))))))
*IF(OR(ISNUMBER(SEARCH("wheat",F29)),ISNUMBER(SEARCH("barley",F29)),ISNUMBER(SEARCH("driedpeas",F29)),ISNUMBER(SEARCH("warepotatoes",F29)),ISNUMBER(SEARCH("osr",F29)),ISNUMBER(SEARCH("linseed",F29)),ISNUMBER(SEARCH("sugarbeet",F29))),
IF(COUNTIF(B24:B28,B29)=5,
INDEX('CFT Specific Data'!$G$24:$L$39,MATCH(F29,'CFT Specific Data'!$F$24:$F$39,0),IF(COUNTIF(F24:F28,F29)=5,6,IF(COUNTIF(F25:F28,F29)=4,5,IF(COUNTIF(F26:F28,F29)=3,4,IF(COUNTIF(F27:F28,F29)=2,3,IF(F28=F29,2,1)))))),
IF(COUNTIF(B24:B28,B29)=4,
INDEX('CFT Specific Data'!$G$24:$L$39,MATCH(F29,'CFT Specific Data'!$F$24:$F$39,0),IF(SUM(COUNTIF(F25:F28,F29),COUNTIF(F30,F29))=5,6,IF(COUNTIF(F25:F28,F29)=4,5,IF(COUNTIF(F26:F28,F29)=3,4,IF(COUNTIF(F27:F28,F29)=2,3,IF(F28=F29,2,1)))))),
IF(COUNTIF(B24:B28,B29)=3,
INDEX('CFT Specific Data'!$G$24:$L$39,MATCH(F29,'CFT Specific Data'!$F$24:$F$39,0),IF(SUM(COUNTIF(F26:F28,F29),COUNTIF(F30:F31,F29))=5,6,IF(SUM(COUNTIF(F26:F28,F29),COUNTIF(F31,F29))=4,5,IF(COUNTIF(F26:F28,F29)=3,4,IF(COUNTIF(F27:F28,F29)=2,3,IF(F28=F29,2,1)))))),
IF(COUNTIF(B24:B28,B29)=2,
INDEX('CFT Specific Data'!$G$24:$L$39,MATCH(F29,'CFT Specific Data'!$F$24:$F$39,0),IF(SUM(COUNTIF(F27:F28,F29),COUNTIF(F30:F32,F29))=5,6,IF(SUM(COUNTIF(F27:F28,F29),COUNTIF(F31:F32,F29))=4,5,IF(SUM(COUNTIF(F27:F28,F29),COUNTIF(F32,F29))=3,4,IF(COUNTIF(F27:F28,F29)=2,3,IF(F28=F29,2,1)))))),
IF(COUNTIF(B24:B28,B29)=1,
INDEX('CFT Specific Data'!$G$24:$L$39,MATCH(F29,'CFT Specific Data'!$F$24:$F$39,0),IF(SUM(COUNTIF(F28,F29),COUNTIF(F30:F33,F29))=5,6,IF(SUM(COUNTIF(F28,F29),COUNTIF(F31:F33,F29))=4,5,IF(SUM(COUNTIF(F28,F29),COUNTIF(F32:F33,F29))=3,4,IF(SUM(COUNTIF(F28,F29),COUNTIF(F33,F29))=2,3,IF(F28=F29,2,1)))))),
IF(COUNTIF(B24:B28,B29)=0,
INDEX('CFT Specific Data'!$G$24:$L$39,MATCH(F29,'CFT Specific Data'!$F$24:$F$39,0),IF(COUNTIF(F30:F34,F29)=5,6,IF(COUNTIF(F31:F34,F29)=4,5,IF(COUNTIF(F32:F34,F29)=3,4,IF(COUNTIF(F33:F34,F29)=2,3,IF(F34=F29,2,1)))))))))))),1)</f>
        <v>61.92</v>
      </c>
      <c r="I29" s="210" t="s">
        <v>348</v>
      </c>
      <c r="J29">
        <v>10</v>
      </c>
      <c r="K29" s="210" t="str">
        <f>VLOOKUP(F29,'CFT Specific Data'!$F$4:$G$19,2,FALSE)</f>
        <v>Winter wheat</v>
      </c>
      <c r="L29" t="str">
        <f t="shared" si="1"/>
        <v>Medium</v>
      </c>
      <c r="M29">
        <f t="shared" si="2"/>
        <v>4.4720000000000004</v>
      </c>
      <c r="N29" t="str">
        <f t="shared" si="3"/>
        <v>1.72 &lt; SOM &lt;= 5.16</v>
      </c>
      <c r="O29" t="s">
        <v>349</v>
      </c>
      <c r="P29" t="s">
        <v>350</v>
      </c>
      <c r="Q29">
        <v>7</v>
      </c>
      <c r="R29" t="str">
        <f t="shared" si="5"/>
        <v>5.5 &lt; pH &lt;= 7.3</v>
      </c>
      <c r="S29" t="s">
        <v>351</v>
      </c>
      <c r="T29" s="210">
        <f t="array" ref="T29">_xlfn.SINGLE(INDEX('Focus Data NFertiliser Rate'!$D$4:$P$19,MATCH(F29,'Focus Data NFertiliser Rate'!$C$4:$C$19,0),_xlfn.SINGLE(_xlfn.IFS(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220</v>
      </c>
      <c r="U29" t="str">
        <f t="shared" si="4"/>
        <v>Apply in solution</v>
      </c>
      <c r="V29" s="210">
        <f t="array" ref="V29">_xlfn.SINGLE(INDEX('№ Fertiliser sprayings'!$D$4:$P$19,MATCH(F29,'№ Fertiliser sprayings'!$C$4:$C$19,0),_xlfn.SINGLE(_xlfn.IFS(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3</v>
      </c>
      <c r="W29" s="264">
        <f t="array" ref="W29">_xlfn.SINGLE(INDEX('Focus Data CFT NSpraying'!$D$4:$P$19,MATCH(F29,'Focus Data CFT NSpraying'!$C$4:$C$19,0),_xlfn.SINGLE(_xlfn.IFS(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9.84</v>
      </c>
      <c r="X29" t="s">
        <v>363</v>
      </c>
      <c r="Y29">
        <v>0</v>
      </c>
      <c r="Z29">
        <v>100</v>
      </c>
      <c r="AA29" t="s">
        <v>352</v>
      </c>
      <c r="AB29" s="226" t="str">
        <f>IF(B29=B28,_xlfn.IFS(
AND(AA29=Lists!$L$8,AA28=Lists!$L$8),Lists!$N$5,
AND(OR(AA29=Lists!$L$5,AA29=Lists!$L$7,AA29=Lists!$L$9,AA29=Lists!$L$10,AA29=Lists!$L$6),OR(AA28=Lists!$L$5,AA28=Lists!$L$7,AA28=Lists!$L$9,AA28=Lists!$L$10,AA28=Lists!$L$6)),Lists!$N$5,
AND(AA29=Lists!$L$8,OR(AA28=Lists!$L$5,AA28=Lists!$L$7,AA28=Lists!$L$9,AA28=Lists!$L$10,AA28=Lists!$L$6)),Lists!$N$6,
AND(OR(AA29=Lists!$L$5,AA29=Lists!$L$6,AA29=Lists!$L$7,AA29=Lists!$L$9,AA29=Lists!$L$10),AA28=Lists!$L$8),Lists!$N$7),
_xlfn.IFS(
AND(AA29=Lists!$L$8,AA34=Lists!$L$8),Lists!$N$5,
AND(OR(AA29=Lists!$L$5,AA29=Lists!$L$7,AA29=Lists!$L$9,AA29=Lists!$L$10,AA29=Lists!$L$6),OR(AA34=Lists!$L$5,AA34=Lists!$L$7,AA34=Lists!$L$9,AA34=Lists!$L$10,AA34=Lists!$L$6)),Lists!$N$5,
AND(AA29=Lists!$L$8,OR(AA34=Lists!$L$5,AA34=Lists!$L$7,AA34=Lists!$L$9,AA34=Lists!$L$10,AA34=Lists!$L$6)),Lists!$N$6,
AND(OR(AA29=Lists!$L$5,AA29=Lists!$L$7,AA29=Lists!$L$9,AA29=Lists!$L$10),AA34=Lists!$L$8),Lists!$N$7))</f>
        <v>no change</v>
      </c>
      <c r="AC29">
        <v>0</v>
      </c>
      <c r="AD29">
        <v>0</v>
      </c>
      <c r="AE29" s="102">
        <f t="array" ref="AE29">IF(OR(ISNUMBER(SEARCH("heavy",A29))=TRUE, ISNUMBER(SEARCH("medium",A29))=TRUE),
(LEN(_xlfn.SINGLE(
INDEX('Focus Data Tillage by farm'!$D$4:$P$9,MATCH(D29,'Focus Data Tillage by farm'!$C$4:$C$9,0),_xlfn.SINGLE(_xlfn.IFS(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-LEN(SUBSTITUTE(_xlfn.SINGLE(
INDEX('Focus Data Tillage by farm'!$D$4:$P$9,MATCH(D29,'Focus Data Tillage by farm'!$C$4:$C$9,0),_xlfn.SINGLE(_xlfn.IFS(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"disc","")))/LEN("disc"),
(LEN(_xlfn.SINGLE(
INDEX('Focus Data Tillage by farm'!$D$12:$P$17,MATCH(D29,'Focus Data Tillage by farm'!$C$12:$C$17,0),_xlfn.SINGLE(_xlfn.IFS(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-LEN(SUBSTITUTE(_xlfn.SINGLE(
INDEX('Focus Data Tillage by farm'!$D$12:$P$17,MATCH(D29,'Focus Data Tillage by farm'!$C$12:$C$17,0),_xlfn.SINGLE(_xlfn.IFS(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"disc","")))/LEN("disc"))</f>
        <v>2</v>
      </c>
      <c r="AF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"field cultivator","")))/LEN("field cultivator"),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"field cultivator","")))/LEN("field cultivator"))</f>
        <v>0</v>
      </c>
      <c r="AG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"grain drill","")))/LEN("grain drill"),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"grain drill","")))/LEN("grain drill"))</f>
        <v>1</v>
      </c>
      <c r="AH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"minimum tillage","")))/LEN("minimum tillage"),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"minimum tillage","")))/LEN("minimum tillage"))</f>
        <v>0</v>
      </c>
      <c r="AI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"row crop planter","")))/LEN("row crop planter"),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"row crop planter","")))/LEN("row crop planter"))</f>
        <v>0</v>
      </c>
      <c r="AJ29" s="102">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"plough","")))/LEN("plough"),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"plough","")))/LEN("plough"))</f>
        <v>0</v>
      </c>
      <c r="AK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harrow","")))/LEN("roller harrow"),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harrow","")))/LEN("roller harrow"))</f>
        <v>0</v>
      </c>
      <c r="AL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packer","")))/LEN("roller packer"),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"roller packer","")))/LEN("roller packer"))</f>
        <v>2</v>
      </c>
      <c r="AM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"rotary hoe","")))/LEN("rotary hoe"),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"rotary hoe","")))/LEN("rotary hoe"))</f>
        <v>0</v>
      </c>
      <c r="AN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"subsoil","")))/LEN("subsoil"),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"subsoil","")))/LEN("subsoil"))</f>
        <v>0</v>
      </c>
      <c r="AO29">
        <f>IF(OR(ISNUMBER(SEARCH("heavy",A29))=TRUE, ISNUMBER(SEARCH("medium",A29))=TRUE),
(LEN(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farm'!$D$4:$P$9,MATCH(D29,'Focus Data Tillage by farm'!$C$4:$C$9,0),_xlfn.IFS(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"tine harrow","")))/LEN("tine harrow"),
(LEN(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-LEN(SUBSTITUTE(
INDEX('Focus Data Tillage by farm'!$D$12:$P$17,MATCH(D29,'Focus Data Tillage by farm'!$C$12:$C$17,0),_xlfn.IFS(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
"tine harrow","")))/LEN("tine harrow"))</f>
        <v>0</v>
      </c>
      <c r="AP29" s="102">
        <f>INDEX('Focus Data NSpraying'!$D$4:$P$19,MATCH(F29,'Focus Data NSpraying'!$C$4:$C$19,0),_xlfn.IFS(
AND(ISNUMBER(SEARCH("H-Dsty.",A29))=TRUE,ISNUMBER(SEARCH("H-Res",A29))=TRUE,ISNUMBER(SEARCH("E.",A29))=TRUE),1,
AND(ISNUMBER(SEARCH("H-Dsty.",A29))=TRUE,ISNUMBER(SEARCH("H-Res",A29))=TRUE,OR(ISNUMBER(SEARCH("N.he",A29))=TRUE,ISNUMBER(SEARCH("N.me",A29))=TRUE,ISNUMBER(SEARCH("N.li",A29))=TRUE)),2,
AND(ISNUMBER(SEARCH("H-Dsty.",A29))=TRUE,ISNUMBER(SEARCH("H-Res",A29))=TRUE,ISNUMBER(SEARCH("C.",A29))=TRUE),3,
AND(ISNUMBER(SEARCH("L-Dsty.",A29))=TRUE,ISNUMBER(SEARCH("H-Res",A29))=TRUE,ISNUMBER(SEARCH("E.",A29))=TRUE),6,
AND(ISNUMBER(SEARCH("L-Dsty.",A29))=TRUE,ISNUMBER(SEARCH("H-Res",A29))=TRUE,OR(ISNUMBER(SEARCH("N.he",A29))=TRUE,ISNUMBER(SEARCH("N.me",A29))=TRUE,ISNUMBER(SEARCH("N.li",A29))=TRUE)),7,
AND(ISNUMBER(SEARCH("L-Dsty.",A29))=TRUE,ISNUMBER(SEARCH("H-Res",A29))=TRUE,ISNUMBER(SEARCH("C.",A29))=TRUE),8,
AND(ISNUMBER(SEARCH("L-Dsty.",A29))=TRUE,ISNUMBER(SEARCH("L-Res",A29))=TRUE,ISNUMBER(SEARCH("E.",A29))=TRUE),11,
AND(ISNUMBER(SEARCH("L-Dsty.",A29))=TRUE,ISNUMBER(SEARCH("L-Res",A29))=TRUE,OR(ISNUMBER(SEARCH("N.he",A29))=TRUE,ISNUMBER(SEARCH("N.me",A29))=TRUE,ISNUMBER(SEARCH("N.li",A29))=TRUE)),12,
AND(ISNUMBER(SEARCH("L-Dsty.",A29))=TRUE,ISNUMBER(SEARCH("L-Res",A29))=TRUE,ISNUMBER(SEARCH("C.",A29))=TRUE),13))</f>
        <v>4</v>
      </c>
    </row>
    <row r="30" spans="1:42" x14ac:dyDescent="0.2">
      <c r="A30" t="s">
        <v>488</v>
      </c>
      <c r="B30" s="210" t="str">
        <f t="array" ref="B30">INDEX(ECOMOD_input_estimate!$A$2:$A$55, MATCH(CFT_input!$A30, ECOMOD_input_estimate!$B:$B, 0))</f>
        <v>FF_07.4</v>
      </c>
      <c r="C30" s="210">
        <v>2020</v>
      </c>
      <c r="D30" s="395" t="s">
        <v>1696</v>
      </c>
      <c r="E30" s="210" t="str">
        <f t="shared" si="0"/>
        <v>N.medium.L-Dsty.H-Res</v>
      </c>
      <c r="F30" s="210" t="str">
        <f t="array" ref="F30">_xlfn.SINGLE(IF(OR(ISNUMBER(SEARCH("heavy",A30))=TRUE,ISNUMBER(SEARCH("medium",A30))=TRUE),
INDEX('Focus Data Crop Rotations'!$D$4:$P$9,MATCH(D30,'Focus Data Crop Rotations'!$C$4:$C$9,0),_xlfn.SINGLE(_xlfn.IFS(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INDEX('Focus Data Crop Rotations'!$D$12:$P$17,MATCH(D30,'Focus Data Crop Rotations'!$C$12:$C$17,0),_xlfn.SINGLE(_xlfn.IFS(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winterbarley</v>
      </c>
      <c r="G30">
        <v>7.2</v>
      </c>
      <c r="H30" s="227">
        <f>VLOOKUP(F30,'CFT Specific Data'!$F$4:$H$19,3,FALSE)*G30*
IF(B30=B29,
IF(AND(ISNUMBER(SEARCH("wheat",F30))=TRUE,ISNUMBER(SEARCH("Barley",F29))=TRUE),0.89,
IF(AND(ISNUMBER(SEARCH("wheat",F30))=TRUE,F29="setaside"),0.94,
IF(AND(ISNUMBER(SEARCH("barley",F30))=TRUE,ISNUMBER(SEARCH("wheat",F29))=TRUE),0.89,
IF(AND(F30="winterbarley",F29="setaside"),0.94,
IF(AND(F30="sugarbeet",F29="warepotatoes"),0.95,
IF(AND((OR(ISNUMBER(SEARCH("beans",F30)),ISNUMBER(SEARCH("driedpeas",F30)),ISNUMBER(SEARCH("sugarbeet",F30)))=TRUE),ISNUMBER(SEARCH("osr",F29))=TRUE),0,
IF(AND((OR((ISNUMBER(SEARCH("wheat",F30))),ISNUMBER(SEARCH("linseed",F30)),ISNUMBER(SEARCH("driedpeas",F30)),ISNUMBER(SEARCH("osr",F30)))=TRUE),F29="sugarbeet"),0,
IF(AND((OR((ISNUMBER(SEARCH("osr",F30))),ISNUMBER(SEARCH("linseed",F30)))=TRUE),ISNUMBER(SEARCH("beans",F29))=TRUE),0,
IF(AND(F30="wosr",ISNUMBER(SEARCH("linseed",F29))=TRUE),0,
IF(AND(F30="sugarbeet",F29="warepotatoes"),0,
1)))))))))),
IF(AND(ISNUMBER(SEARCH("wheat",F30))=TRUE,ISNUMBER(SEARCH("Barley",F35))=TRUE),0.89,
IF(AND(ISNUMBER(SEARCH("wheat",F30))=TRUE,F35="setaside"),0.94,
IF(AND(ISNUMBER(SEARCH("barley",F30))=TRUE,ISNUMBER(SEARCH("wheat",F35))=TRUE),0.89,
IF(AND(F30="winterbarley",F35="setaside"),0.94,
IF(AND(F30="sugarbeet",F35="warepotatoes"),0.95,
IF(AND((OR(ISNUMBER(SEARCH("beans",F30)),ISNUMBER(SEARCH("driedpeas",F30)),ISNUMBER(SEARCH("sugarbeet",F30)))=TRUE),ISNUMBER(SEARCH("osr",F35))=TRUE),0,
IF(AND((OR((ISNUMBER(SEARCH("wheat",F30))),ISNUMBER(SEARCH("linseed",F30)),ISNUMBER(SEARCH("driedpeas",F30)),ISNUMBER(SEARCH("osr",F30)))=TRUE),F35="sugarbeet"),0,
IF(AND((OR((ISNUMBER(SEARCH("osr",F30))),ISNUMBER(SEARCH("linseed",F30)))=TRUE),ISNUMBER(SEARCH("beans",F35))=TRUE),0,
IF(AND(F30="wosr",ISNUMBER(SEARCH("linseed",F35))=TRUE),0,
IF(AND(F30="sugarbeet",F35="warepotatoes"),0,
1)))))))))))
*IF(OR(ISNUMBER(SEARCH("wheat",F30)),ISNUMBER(SEARCH("barley",F30)),ISNUMBER(SEARCH("driedpeas",F30)),ISNUMBER(SEARCH("warepotatoes",F30)),ISNUMBER(SEARCH("osr",F30)),ISNUMBER(SEARCH("linseed",F30)),ISNUMBER(SEARCH("sugarbeet",F30))),
IF(COUNTIF(B25:B29,B30)=5,
INDEX('CFT Specific Data'!$G$24:$L$39,MATCH(F30,'CFT Specific Data'!$F$24:$F$39,0),IF(COUNTIF(F25:F29,F30)=5,6,IF(COUNTIF(F26:F29,F30)=4,5,IF(COUNTIF(F27:F29,F30)=3,4,IF(COUNTIF(F28:F29,F30)=2,3,IF(F29=F30,2,1)))))),
IF(COUNTIF(B25:B29,B30)=4,
INDEX('CFT Specific Data'!$G$24:$L$39,MATCH(F30,'CFT Specific Data'!$F$24:$F$39,0),IF(SUM(COUNTIF(F26:F29,F30),COUNTIF(F31,F30))=5,6,IF(COUNTIF(F26:F29,F30)=4,5,IF(COUNTIF(F27:F29,F30)=3,4,IF(COUNTIF(F28:F29,F30)=2,3,IF(F29=F30,2,1)))))),
IF(COUNTIF(B25:B29,B30)=3,
INDEX('CFT Specific Data'!$G$24:$L$39,MATCH(F30,'CFT Specific Data'!$F$24:$F$39,0),IF(SUM(COUNTIF(F27:F29,F30),COUNTIF(F31:F32,F30))=5,6,IF(SUM(COUNTIF(F27:F29,F30),COUNTIF(F32,F30))=4,5,IF(COUNTIF(F27:F29,F30)=3,4,IF(COUNTIF(F28:F29,F30)=2,3,IF(F29=F30,2,1)))))),
IF(COUNTIF(B25:B29,B30)=2,
INDEX('CFT Specific Data'!$G$24:$L$39,MATCH(F30,'CFT Specific Data'!$F$24:$F$39,0),IF(SUM(COUNTIF(F28:F29,F30),COUNTIF(F31:F33,F30))=5,6,IF(SUM(COUNTIF(F28:F29,F30),COUNTIF(F32:F33,F30))=4,5,IF(SUM(COUNTIF(F28:F29,F30),COUNTIF(F33,F30))=3,4,IF(COUNTIF(F28:F29,F30)=2,3,IF(F29=F30,2,1)))))),
IF(COUNTIF(B25:B29,B30)=1,
INDEX('CFT Specific Data'!$G$24:$L$39,MATCH(F30,'CFT Specific Data'!$F$24:$F$39,0),IF(SUM(COUNTIF(F29,F30),COUNTIF(F31:F34,F30))=5,6,IF(SUM(COUNTIF(F29,F30),COUNTIF(F32:F34,F30))=4,5,IF(SUM(COUNTIF(F29,F30),COUNTIF(F33:F34,F30))=3,4,IF(SUM(COUNTIF(F29,F30),COUNTIF(F34,F30))=2,3,IF(F29=F30,2,1)))))),
IF(COUNTIF(B25:B29,B30)=0,
INDEX('CFT Specific Data'!$G$24:$L$39,MATCH(F30,'CFT Specific Data'!$F$24:$F$39,0),IF(COUNTIF(F31:F35,F30)=5,6,IF(COUNTIF(F32:F35,F30)=4,5,IF(COUNTIF(F33:F35,F30)=3,4,IF(COUNTIF(F34:F35,F30)=2,3,IF(F35=F30,2,1)))))))))))),1)</f>
        <v>47.419200000000004</v>
      </c>
      <c r="I30" s="210" t="s">
        <v>348</v>
      </c>
      <c r="J30">
        <v>10</v>
      </c>
      <c r="K30" s="210" t="str">
        <f>VLOOKUP(F30,'CFT Specific Data'!$F$4:$G$19,2,FALSE)</f>
        <v>Barley</v>
      </c>
      <c r="L30" t="str">
        <f t="shared" si="1"/>
        <v>Medium</v>
      </c>
      <c r="M30">
        <f t="shared" si="2"/>
        <v>4.4720000000000004</v>
      </c>
      <c r="N30" t="str">
        <f t="shared" si="3"/>
        <v>1.72 &lt; SOM &lt;= 5.16</v>
      </c>
      <c r="O30" t="s">
        <v>349</v>
      </c>
      <c r="P30" t="s">
        <v>350</v>
      </c>
      <c r="Q30">
        <v>7</v>
      </c>
      <c r="R30" t="str">
        <f t="shared" si="5"/>
        <v>5.5 &lt; pH &lt;= 7.3</v>
      </c>
      <c r="S30" t="s">
        <v>351</v>
      </c>
      <c r="T30" s="210">
        <f t="array" ref="T30">_xlfn.SINGLE(INDEX('Focus Data NFertiliser Rate'!$D$4:$P$19,MATCH(F30,'Focus Data NFertiliser Rate'!$C$4:$C$19,0),_xlfn.SINGLE(_xlfn.IFS(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190</v>
      </c>
      <c r="U30" t="str">
        <f t="shared" si="4"/>
        <v>Apply in solution</v>
      </c>
      <c r="V30" s="210">
        <f t="array" ref="V30">_xlfn.SINGLE(INDEX('№ Fertiliser sprayings'!$D$4:$P$19,MATCH(F30,'№ Fertiliser sprayings'!$C$4:$C$19,0),_xlfn.SINGLE(_xlfn.IFS(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3</v>
      </c>
      <c r="W30" s="264">
        <f t="array" ref="W30">_xlfn.SINGLE(INDEX('Focus Data CFT NSpraying'!$D$4:$P$19,MATCH(F30,'Focus Data CFT NSpraying'!$C$4:$C$19,0),_xlfn.SINGLE(_xlfn.IFS(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9.16</v>
      </c>
      <c r="X30" t="s">
        <v>363</v>
      </c>
      <c r="Y30">
        <v>0</v>
      </c>
      <c r="Z30">
        <v>100</v>
      </c>
      <c r="AA30" t="s">
        <v>352</v>
      </c>
      <c r="AB30" s="226" t="str">
        <f>IF(B30=B29,_xlfn.IFS(
AND(AA30=Lists!$L$8,AA29=Lists!$L$8),Lists!$N$5,
AND(OR(AA30=Lists!$L$5,AA30=Lists!$L$7,AA30=Lists!$L$9,AA30=Lists!$L$10,AA30=Lists!$L$6),OR(AA29=Lists!$L$5,AA29=Lists!$L$7,AA29=Lists!$L$9,AA29=Lists!$L$10,AA29=Lists!$L$6)),Lists!$N$5,
AND(AA30=Lists!$L$8,OR(AA29=Lists!$L$5,AA29=Lists!$L$7,AA29=Lists!$L$9,AA29=Lists!$L$10,AA29=Lists!$L$6)),Lists!$N$6,
AND(OR(AA30=Lists!$L$5,AA30=Lists!$L$6,AA30=Lists!$L$7,AA30=Lists!$L$9,AA30=Lists!$L$10),AA29=Lists!$L$8),Lists!$N$7),
_xlfn.IFS(
AND(AA30=Lists!$L$8,AA35=Lists!$L$8),Lists!$N$5,
AND(OR(AA30=Lists!$L$5,AA30=Lists!$L$7,AA30=Lists!$L$9,AA30=Lists!$L$10,AA30=Lists!$L$6),OR(AA35=Lists!$L$5,AA35=Lists!$L$7,AA35=Lists!$L$9,AA35=Lists!$L$10,AA35=Lists!$L$6)),Lists!$N$5,
AND(AA30=Lists!$L$8,OR(AA35=Lists!$L$5,AA35=Lists!$L$7,AA35=Lists!$L$9,AA35=Lists!$L$10,AA35=Lists!$L$6)),Lists!$N$6,
AND(OR(AA30=Lists!$L$5,AA30=Lists!$L$7,AA30=Lists!$L$9,AA30=Lists!$L$10),AA35=Lists!$L$8),Lists!$N$7))</f>
        <v>no change</v>
      </c>
      <c r="AC30">
        <v>0</v>
      </c>
      <c r="AD30">
        <v>0</v>
      </c>
      <c r="AE30" s="102">
        <f t="array" ref="AE30">IF(OR(ISNUMBER(SEARCH("heavy",A30))=TRUE, ISNUMBER(SEARCH("medium",A30))=TRUE),
(LEN(_xlfn.SINGLE(
INDEX('Focus Data Tillage by farm'!$D$4:$P$9,MATCH(D30,'Focus Data Tillage by farm'!$C$4:$C$9,0),_xlfn.SINGLE(_xlfn.IFS(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-LEN(SUBSTITUTE(_xlfn.SINGLE(
INDEX('Focus Data Tillage by farm'!$D$4:$P$9,MATCH(D30,'Focus Data Tillage by farm'!$C$4:$C$9,0),_xlfn.SINGLE(_xlfn.IFS(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"disc","")))/LEN("disc"),
(LEN(_xlfn.SINGLE(
INDEX('Focus Data Tillage by farm'!$D$12:$P$17,MATCH(D30,'Focus Data Tillage by farm'!$C$12:$C$17,0),_xlfn.SINGLE(_xlfn.IFS(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-LEN(SUBSTITUTE(_xlfn.SINGLE(
INDEX('Focus Data Tillage by farm'!$D$12:$P$17,MATCH(D30,'Focus Data Tillage by farm'!$C$12:$C$17,0),_xlfn.SINGLE(_xlfn.IFS(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"disc","")))/LEN("disc"))</f>
        <v>2</v>
      </c>
      <c r="AF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"field cultivator","")))/LEN("field cultivator"),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"field cultivator","")))/LEN("field cultivator"))</f>
        <v>0</v>
      </c>
      <c r="AG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"grain drill","")))/LEN("grain drill"),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"grain drill","")))/LEN("grain drill"))</f>
        <v>1</v>
      </c>
      <c r="AH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"minimum tillage","")))/LEN("minimum tillage"),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"minimum tillage","")))/LEN("minimum tillage"))</f>
        <v>0</v>
      </c>
      <c r="AI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"row crop planter","")))/LEN("row crop planter"),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"row crop planter","")))/LEN("row crop planter"))</f>
        <v>0</v>
      </c>
      <c r="AJ30" s="102">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"plough","")))/LEN("plough"),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"plough","")))/LEN("plough"))</f>
        <v>0</v>
      </c>
      <c r="AK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harrow","")))/LEN("roller harrow"),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harrow","")))/LEN("roller harrow"))</f>
        <v>0</v>
      </c>
      <c r="AL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packer","")))/LEN("roller packer"),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"roller packer","")))/LEN("roller packer"))</f>
        <v>2</v>
      </c>
      <c r="AM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"rotary hoe","")))/LEN("rotary hoe"),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"rotary hoe","")))/LEN("rotary hoe"))</f>
        <v>0</v>
      </c>
      <c r="AN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"subsoil","")))/LEN("subsoil"),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"subsoil","")))/LEN("subsoil"))</f>
        <v>0</v>
      </c>
      <c r="AO30">
        <f>IF(OR(ISNUMBER(SEARCH("heavy",A30))=TRUE, ISNUMBER(SEARCH("medium",A30))=TRUE),
(LEN(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farm'!$D$4:$P$9,MATCH(D30,'Focus Data Tillage by farm'!$C$4:$C$9,0),_xlfn.IFS(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"tine harrow","")))/LEN("tine harrow"),
(LEN(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-LEN(SUBSTITUTE(
INDEX('Focus Data Tillage by farm'!$D$12:$P$17,MATCH(D30,'Focus Data Tillage by farm'!$C$12:$C$17,0),_xlfn.IFS(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
"tine harrow","")))/LEN("tine harrow"))</f>
        <v>0</v>
      </c>
      <c r="AP30" s="102">
        <f>INDEX('Focus Data NSpraying'!$D$4:$P$19,MATCH(F30,'Focus Data NSpraying'!$C$4:$C$19,0),_xlfn.IFS(
AND(ISNUMBER(SEARCH("H-Dsty.",A30))=TRUE,ISNUMBER(SEARCH("H-Res",A30))=TRUE,ISNUMBER(SEARCH("E.",A30))=TRUE),1,
AND(ISNUMBER(SEARCH("H-Dsty.",A30))=TRUE,ISNUMBER(SEARCH("H-Res",A30))=TRUE,OR(ISNUMBER(SEARCH("N.he",A30))=TRUE,ISNUMBER(SEARCH("N.me",A30))=TRUE,ISNUMBER(SEARCH("N.li",A30))=TRUE)),2,
AND(ISNUMBER(SEARCH("H-Dsty.",A30))=TRUE,ISNUMBER(SEARCH("H-Res",A30))=TRUE,ISNUMBER(SEARCH("C.",A30))=TRUE),3,
AND(ISNUMBER(SEARCH("L-Dsty.",A30))=TRUE,ISNUMBER(SEARCH("H-Res",A30))=TRUE,ISNUMBER(SEARCH("E.",A30))=TRUE),6,
AND(ISNUMBER(SEARCH("L-Dsty.",A30))=TRUE,ISNUMBER(SEARCH("H-Res",A30))=TRUE,OR(ISNUMBER(SEARCH("N.he",A30))=TRUE,ISNUMBER(SEARCH("N.me",A30))=TRUE,ISNUMBER(SEARCH("N.li",A30))=TRUE)),7,
AND(ISNUMBER(SEARCH("L-Dsty.",A30))=TRUE,ISNUMBER(SEARCH("H-Res",A30))=TRUE,ISNUMBER(SEARCH("C.",A30))=TRUE),8,
AND(ISNUMBER(SEARCH("L-Dsty.",A30))=TRUE,ISNUMBER(SEARCH("L-Res",A30))=TRUE,ISNUMBER(SEARCH("E.",A30))=TRUE),11,
AND(ISNUMBER(SEARCH("L-Dsty.",A30))=TRUE,ISNUMBER(SEARCH("L-Res",A30))=TRUE,OR(ISNUMBER(SEARCH("N.he",A30))=TRUE,ISNUMBER(SEARCH("N.me",A30))=TRUE,ISNUMBER(SEARCH("N.li",A30))=TRUE)),12,
AND(ISNUMBER(SEARCH("L-Dsty.",A30))=TRUE,ISNUMBER(SEARCH("L-Res",A30))=TRUE,ISNUMBER(SEARCH("C.",A30))=TRUE),13))</f>
        <v>3</v>
      </c>
    </row>
    <row r="31" spans="1:42" x14ac:dyDescent="0.2">
      <c r="A31" t="s">
        <v>488</v>
      </c>
      <c r="B31" s="210" t="str">
        <f t="array" ref="B31">INDEX(ECOMOD_input_estimate!$A$2:$A$55, MATCH(CFT_input!$A31, ECOMOD_input_estimate!$B:$B, 0))</f>
        <v>FF_07.4</v>
      </c>
      <c r="C31" s="210">
        <v>2020</v>
      </c>
      <c r="D31" s="395" t="s">
        <v>735</v>
      </c>
      <c r="E31" s="210" t="str">
        <f t="shared" si="0"/>
        <v>N.medium.L-Dsty.H-Res</v>
      </c>
      <c r="F31" s="210" t="str">
        <f t="array" ref="F31">_xlfn.SINGLE(IF(OR(ISNUMBER(SEARCH("heavy",A31))=TRUE,ISNUMBER(SEARCH("medium",A31))=TRUE),
INDEX('Focus Data Crop Rotations'!$D$4:$P$9,MATCH(D31,'Focus Data Crop Rotations'!$C$4:$C$9,0),_xlfn.SINGLE(_xlfn.IFS(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INDEX('Focus Data Crop Rotations'!$D$12:$P$17,MATCH(D31,'Focus Data Crop Rotations'!$C$12:$C$17,0),_xlfn.SINGLE(_xlfn.IFS(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springbeans</v>
      </c>
      <c r="G31">
        <v>7.2</v>
      </c>
      <c r="H31" s="227">
        <f>VLOOKUP(F31,'CFT Specific Data'!$F$4:$H$19,3,FALSE)*G31*
IF(B31=B30,
IF(AND(ISNUMBER(SEARCH("wheat",F31))=TRUE,ISNUMBER(SEARCH("Barley",F30))=TRUE),0.89,
IF(AND(ISNUMBER(SEARCH("wheat",F31))=TRUE,F30="setaside"),0.94,
IF(AND(ISNUMBER(SEARCH("barley",F31))=TRUE,ISNUMBER(SEARCH("wheat",F30))=TRUE),0.89,
IF(AND(F31="winterbarley",F30="setaside"),0.94,
IF(AND(F31="sugarbeet",F30="warepotatoes"),0.95,
IF(AND((OR(ISNUMBER(SEARCH("beans",F31)),ISNUMBER(SEARCH("driedpeas",F31)),ISNUMBER(SEARCH("sugarbeet",F31)))=TRUE),ISNUMBER(SEARCH("osr",F30))=TRUE),0,
IF(AND((OR((ISNUMBER(SEARCH("wheat",F31))),ISNUMBER(SEARCH("linseed",F31)),ISNUMBER(SEARCH("driedpeas",F31)),ISNUMBER(SEARCH("osr",F31)))=TRUE),F30="sugarbeet"),0,
IF(AND((OR((ISNUMBER(SEARCH("osr",F31))),ISNUMBER(SEARCH("linseed",F31)))=TRUE),ISNUMBER(SEARCH("beans",F30))=TRUE),0,
IF(AND(F31="wosr",ISNUMBER(SEARCH("linseed",F30))=TRUE),0,
IF(AND(F31="sugarbeet",F30="warepotatoes"),0,
1)))))))))),
IF(AND(ISNUMBER(SEARCH("wheat",F31))=TRUE,ISNUMBER(SEARCH("Barley",F36))=TRUE),0.89,
IF(AND(ISNUMBER(SEARCH("wheat",F31))=TRUE,F36="setaside"),0.94,
IF(AND(ISNUMBER(SEARCH("barley",F31))=TRUE,ISNUMBER(SEARCH("wheat",F36))=TRUE),0.89,
IF(AND(F31="winterbarley",F36="setaside"),0.94,
IF(AND(F31="sugarbeet",F36="warepotatoes"),0.95,
IF(AND((OR(ISNUMBER(SEARCH("beans",F31)),ISNUMBER(SEARCH("driedpeas",F31)),ISNUMBER(SEARCH("sugarbeet",F31)))=TRUE),ISNUMBER(SEARCH("osr",F36))=TRUE),0,
IF(AND((OR((ISNUMBER(SEARCH("wheat",F31))),ISNUMBER(SEARCH("linseed",F31)),ISNUMBER(SEARCH("driedpeas",F31)),ISNUMBER(SEARCH("osr",F31)))=TRUE),F36="sugarbeet"),0,
IF(AND((OR((ISNUMBER(SEARCH("osr",F31))),ISNUMBER(SEARCH("linseed",F31)))=TRUE),ISNUMBER(SEARCH("beans",F36))=TRUE),0,
IF(AND(F31="wosr",ISNUMBER(SEARCH("linseed",F36))=TRUE),0,
IF(AND(F31="sugarbeet",F36="warepotatoes"),0,
1)))))))))))
*IF(OR(ISNUMBER(SEARCH("wheat",F31)),ISNUMBER(SEARCH("barley",F31)),ISNUMBER(SEARCH("driedpeas",F31)),ISNUMBER(SEARCH("warepotatoes",F31)),ISNUMBER(SEARCH("osr",F31)),ISNUMBER(SEARCH("linseed",F31)),ISNUMBER(SEARCH("sugarbeet",F31))),
IF(COUNTIF(B26:B30,B31)=5,
INDEX('CFT Specific Data'!$G$24:$L$39,MATCH(F31,'CFT Specific Data'!$F$24:$F$39,0),IF(COUNTIF(F26:F30,F31)=5,6,IF(COUNTIF(F27:F30,F31)=4,5,IF(COUNTIF(F28:F30,F31)=3,4,IF(COUNTIF(F29:F30,F31)=2,3,IF(F30=F31,2,1)))))),
IF(COUNTIF(B26:B30,B31)=4,
INDEX('CFT Specific Data'!$G$24:$L$39,MATCH(F31,'CFT Specific Data'!$F$24:$F$39,0),IF(SUM(COUNTIF(F27:F30,F31),COUNTIF(F32,F31))=5,6,IF(COUNTIF(F27:F30,F31)=4,5,IF(COUNTIF(F28:F30,F31)=3,4,IF(COUNTIF(F29:F30,F31)=2,3,IF(F30=F31,2,1)))))),
IF(COUNTIF(B26:B30,B31)=3,
INDEX('CFT Specific Data'!$G$24:$L$39,MATCH(F31,'CFT Specific Data'!$F$24:$F$39,0),IF(SUM(COUNTIF(F28:F30,F31),COUNTIF(F32:F33,F31))=5,6,IF(SUM(COUNTIF(F28:F30,F31),COUNTIF(F33,F31))=4,5,IF(COUNTIF(F28:F30,F31)=3,4,IF(COUNTIF(F29:F30,F31)=2,3,IF(F30=F31,2,1)))))),
IF(COUNTIF(B26:B30,B31)=2,
INDEX('CFT Specific Data'!$G$24:$L$39,MATCH(F31,'CFT Specific Data'!$F$24:$F$39,0),IF(SUM(COUNTIF(F29:F30,F31),COUNTIF(F32:F34,F31))=5,6,IF(SUM(COUNTIF(F29:F30,F31),COUNTIF(F33:F34,F31))=4,5,IF(SUM(COUNTIF(F29:F30,F31),COUNTIF(F34,F31))=3,4,IF(COUNTIF(F29:F30,F31)=2,3,IF(F30=F31,2,1)))))),
IF(COUNTIF(B26:B30,B31)=1,
INDEX('CFT Specific Data'!$G$24:$L$39,MATCH(F31,'CFT Specific Data'!$F$24:$F$39,0),IF(SUM(COUNTIF(F30,F31),COUNTIF(F32:F35,F31))=5,6,IF(SUM(COUNTIF(F30,F31),COUNTIF(F33:F35,F31))=4,5,IF(SUM(COUNTIF(F30,F31),COUNTIF(F34:F35,F31))=3,4,IF(SUM(COUNTIF(F30,F31),COUNTIF(F35,F31))=2,3,IF(F30=F31,2,1)))))),
IF(COUNTIF(B26:B30,B31)=0,
INDEX('CFT Specific Data'!$G$24:$L$39,MATCH(F31,'CFT Specific Data'!$F$24:$F$39,0),IF(COUNTIF(F32:F36,F31)=5,6,IF(COUNTIF(F33:F36,F31)=4,5,IF(COUNTIF(F34:F36,F31)=3,4,IF(COUNTIF(F35:F36,F31)=2,3,IF(F36=F31,2,1)))))))))))),1)</f>
        <v>28.08</v>
      </c>
      <c r="I31" s="210" t="s">
        <v>348</v>
      </c>
      <c r="J31">
        <v>10</v>
      </c>
      <c r="K31" s="210" t="str">
        <f>VLOOKUP(F31,'CFT Specific Data'!$F$4:$G$19,2,FALSE)</f>
        <v>Other legume</v>
      </c>
      <c r="L31" t="str">
        <f t="shared" si="1"/>
        <v>Medium</v>
      </c>
      <c r="M31">
        <f t="shared" si="2"/>
        <v>4.4720000000000004</v>
      </c>
      <c r="N31" t="str">
        <f t="shared" si="3"/>
        <v>1.72 &lt; SOM &lt;= 5.16</v>
      </c>
      <c r="O31" t="s">
        <v>349</v>
      </c>
      <c r="P31" t="s">
        <v>350</v>
      </c>
      <c r="Q31">
        <v>7</v>
      </c>
      <c r="R31" t="str">
        <f t="shared" si="5"/>
        <v>5.5 &lt; pH &lt;= 7.3</v>
      </c>
      <c r="S31" t="s">
        <v>351</v>
      </c>
      <c r="T31" s="210">
        <f t="array" ref="T31">_xlfn.SINGLE(INDEX('Focus Data NFertiliser Rate'!$D$4:$P$19,MATCH(F31,'Focus Data NFertiliser Rate'!$C$4:$C$19,0),_xlfn.SINGLE(_xlfn.IFS(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0</v>
      </c>
      <c r="U31">
        <f t="shared" si="4"/>
        <v>0</v>
      </c>
      <c r="V31" s="210">
        <f t="array" ref="V31">_xlfn.SINGLE(INDEX('№ Fertiliser sprayings'!$D$4:$P$19,MATCH(F31,'№ Fertiliser sprayings'!$C$4:$C$19,0),_xlfn.SINGLE(_xlfn.IFS(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0</v>
      </c>
      <c r="W31" s="264">
        <f t="array" ref="W31">_xlfn.SINGLE(INDEX('Focus Data CFT NSpraying'!$D$4:$P$19,MATCH(F31,'Focus Data CFT NSpraying'!$C$4:$C$19,0),_xlfn.SINGLE(_xlfn.IFS(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6.5750000000000002</v>
      </c>
      <c r="X31" t="s">
        <v>363</v>
      </c>
      <c r="Y31">
        <v>0</v>
      </c>
      <c r="Z31">
        <v>100</v>
      </c>
      <c r="AA31" t="s">
        <v>352</v>
      </c>
      <c r="AB31" s="226" t="str">
        <f>IF(B31=B30,_xlfn.IFS(
AND(AA31=Lists!$L$8,AA30=Lists!$L$8),Lists!$N$5,
AND(OR(AA31=Lists!$L$5,AA31=Lists!$L$7,AA31=Lists!$L$9,AA31=Lists!$L$10,AA31=Lists!$L$6),OR(AA30=Lists!$L$5,AA30=Lists!$L$7,AA30=Lists!$L$9,AA30=Lists!$L$10,AA30=Lists!$L$6)),Lists!$N$5,
AND(AA31=Lists!$L$8,OR(AA30=Lists!$L$5,AA30=Lists!$L$7,AA30=Lists!$L$9,AA30=Lists!$L$10,AA30=Lists!$L$6)),Lists!$N$6,
AND(OR(AA31=Lists!$L$5,AA31=Lists!$L$6,AA31=Lists!$L$7,AA31=Lists!$L$9,AA31=Lists!$L$10),AA30=Lists!$L$8),Lists!$N$7),
_xlfn.IFS(
AND(AA31=Lists!$L$8,AA36=Lists!$L$8),Lists!$N$5,
AND(OR(AA31=Lists!$L$5,AA31=Lists!$L$7,AA31=Lists!$L$9,AA31=Lists!$L$10,AA31=Lists!$L$6),OR(AA36=Lists!$L$5,AA36=Lists!$L$7,AA36=Lists!$L$9,AA36=Lists!$L$10,AA36=Lists!$L$6)),Lists!$N$5,
AND(AA31=Lists!$L$8,OR(AA36=Lists!$L$5,AA36=Lists!$L$7,AA36=Lists!$L$9,AA36=Lists!$L$10,AA36=Lists!$L$6)),Lists!$N$6,
AND(OR(AA31=Lists!$L$5,AA31=Lists!$L$7,AA31=Lists!$L$9,AA31=Lists!$L$10),AA36=Lists!$L$8),Lists!$N$7))</f>
        <v>no change</v>
      </c>
      <c r="AC31">
        <v>0</v>
      </c>
      <c r="AD31">
        <v>0</v>
      </c>
      <c r="AE31" s="102">
        <f t="array" ref="AE31">IF(OR(ISNUMBER(SEARCH("heavy",A31))=TRUE, ISNUMBER(SEARCH("medium",A31))=TRUE),
(LEN(_xlfn.SINGLE(
INDEX('Focus Data Tillage by farm'!$D$4:$P$9,MATCH(D31,'Focus Data Tillage by farm'!$C$4:$C$9,0),_xlfn.SINGLE(_xlfn.IFS(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-LEN(SUBSTITUTE(_xlfn.SINGLE(
INDEX('Focus Data Tillage by farm'!$D$4:$P$9,MATCH(D31,'Focus Data Tillage by farm'!$C$4:$C$9,0),_xlfn.SINGLE(_xlfn.IFS(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"disc","")))/LEN("disc"),
(LEN(_xlfn.SINGLE(
INDEX('Focus Data Tillage by farm'!$D$12:$P$17,MATCH(D31,'Focus Data Tillage by farm'!$C$12:$C$17,0),_xlfn.SINGLE(_xlfn.IFS(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-LEN(SUBSTITUTE(_xlfn.SINGLE(
INDEX('Focus Data Tillage by farm'!$D$12:$P$17,MATCH(D31,'Focus Data Tillage by farm'!$C$12:$C$17,0),_xlfn.SINGLE(_xlfn.IFS(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"disc","")))/LEN("disc"))</f>
        <v>2</v>
      </c>
      <c r="AF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"field cultivator","")))/LEN("field cultivator"),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"field cultivator","")))/LEN("field cultivator"))</f>
        <v>0</v>
      </c>
      <c r="AG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"grain drill","")))/LEN("grain drill"),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"grain drill","")))/LEN("grain drill"))</f>
        <v>1</v>
      </c>
      <c r="AH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"minimum tillage","")))/LEN("minimum tillage"),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"minimum tillage","")))/LEN("minimum tillage"))</f>
        <v>0</v>
      </c>
      <c r="AI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"row crop planter","")))/LEN("row crop planter"),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"row crop planter","")))/LEN("row crop planter"))</f>
        <v>0</v>
      </c>
      <c r="AJ31" s="102">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"plough","")))/LEN("plough"),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"plough","")))/LEN("plough"))</f>
        <v>0</v>
      </c>
      <c r="AK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harrow","")))/LEN("roller harrow"),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harrow","")))/LEN("roller harrow"))</f>
        <v>0</v>
      </c>
      <c r="AL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packer","")))/LEN("roller packer"),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"roller packer","")))/LEN("roller packer"))</f>
        <v>2</v>
      </c>
      <c r="AM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"rotary hoe","")))/LEN("rotary hoe"),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"rotary hoe","")))/LEN("rotary hoe"))</f>
        <v>0</v>
      </c>
      <c r="AN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"subsoil","")))/LEN("subsoil"),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"subsoil","")))/LEN("subsoil"))</f>
        <v>0</v>
      </c>
      <c r="AO31">
        <f>IF(OR(ISNUMBER(SEARCH("heavy",A31))=TRUE, ISNUMBER(SEARCH("medium",A31))=TRUE),
(LEN(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farm'!$D$4:$P$9,MATCH(D31,'Focus Data Tillage by farm'!$C$4:$C$9,0),_xlfn.IFS(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"tine harrow","")))/LEN("tine harrow"),
(LEN(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-LEN(SUBSTITUTE(
INDEX('Focus Data Tillage by farm'!$D$12:$P$17,MATCH(D31,'Focus Data Tillage by farm'!$C$12:$C$17,0),_xlfn.IFS(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
"tine harrow","")))/LEN("tine harrow"))</f>
        <v>0</v>
      </c>
      <c r="AP31" s="102">
        <f>INDEX('Focus Data NSpraying'!$D$4:$P$19,MATCH(F31,'Focus Data NSpraying'!$C$4:$C$19,0),_xlfn.IFS(
AND(ISNUMBER(SEARCH("H-Dsty.",A31))=TRUE,ISNUMBER(SEARCH("H-Res",A31))=TRUE,ISNUMBER(SEARCH("E.",A31))=TRUE),1,
AND(ISNUMBER(SEARCH("H-Dsty.",A31))=TRUE,ISNUMBER(SEARCH("H-Res",A31))=TRUE,OR(ISNUMBER(SEARCH("N.he",A31))=TRUE,ISNUMBER(SEARCH("N.me",A31))=TRUE,ISNUMBER(SEARCH("N.li",A31))=TRUE)),2,
AND(ISNUMBER(SEARCH("H-Dsty.",A31))=TRUE,ISNUMBER(SEARCH("H-Res",A31))=TRUE,ISNUMBER(SEARCH("C.",A31))=TRUE),3,
AND(ISNUMBER(SEARCH("L-Dsty.",A31))=TRUE,ISNUMBER(SEARCH("H-Res",A31))=TRUE,ISNUMBER(SEARCH("E.",A31))=TRUE),6,
AND(ISNUMBER(SEARCH("L-Dsty.",A31))=TRUE,ISNUMBER(SEARCH("H-Res",A31))=TRUE,OR(ISNUMBER(SEARCH("N.he",A31))=TRUE,ISNUMBER(SEARCH("N.me",A31))=TRUE,ISNUMBER(SEARCH("N.li",A31))=TRUE)),7,
AND(ISNUMBER(SEARCH("L-Dsty.",A31))=TRUE,ISNUMBER(SEARCH("H-Res",A31))=TRUE,ISNUMBER(SEARCH("C.",A31))=TRUE),8,
AND(ISNUMBER(SEARCH("L-Dsty.",A31))=TRUE,ISNUMBER(SEARCH("L-Res",A31))=TRUE,ISNUMBER(SEARCH("E.",A31))=TRUE),11,
AND(ISNUMBER(SEARCH("L-Dsty.",A31))=TRUE,ISNUMBER(SEARCH("L-Res",A31))=TRUE,OR(ISNUMBER(SEARCH("N.he",A31))=TRUE,ISNUMBER(SEARCH("N.me",A31))=TRUE,ISNUMBER(SEARCH("N.li",A31))=TRUE)),12,
AND(ISNUMBER(SEARCH("L-Dsty.",A31))=TRUE,ISNUMBER(SEARCH("L-Res",A31))=TRUE,ISNUMBER(SEARCH("C.",A31))=TRUE),13))</f>
        <v>3</v>
      </c>
    </row>
    <row r="32" spans="1:42" x14ac:dyDescent="0.2">
      <c r="A32" t="s">
        <v>489</v>
      </c>
      <c r="B32" s="210" t="str">
        <f t="array" ref="B32">INDEX(ECOMOD_input_estimate!$A$2:$A$55, MATCH(CFT_input!$A32, ECOMOD_input_estimate!$B:$B, 0))</f>
        <v>FF_13.4</v>
      </c>
      <c r="C32" s="210">
        <v>2020</v>
      </c>
      <c r="D32" s="395" t="s">
        <v>731</v>
      </c>
      <c r="E32" s="210" t="str">
        <f t="shared" si="0"/>
        <v>N.medium.L-Dsty.L-Res</v>
      </c>
      <c r="F32" s="210" t="str">
        <f t="array" ref="F32">_xlfn.SINGLE(IF(OR(ISNUMBER(SEARCH("heavy",A32))=TRUE,ISNUMBER(SEARCH("medium",A32))=TRUE),
INDEX('Focus Data Crop Rotations'!$D$4:$P$9,MATCH(D32,'Focus Data Crop Rotations'!$C$4:$C$9,0),_xlfn.SINGLE(_xlfn.IFS(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INDEX('Focus Data Crop Rotations'!$D$12:$P$17,MATCH(D32,'Focus Data Crop Rotations'!$C$12:$C$17,0),_xlfn.SINGLE(_xlfn.IFS(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winterwheat</v>
      </c>
      <c r="G32">
        <v>7.2</v>
      </c>
      <c r="H32" s="227">
        <f>VLOOKUP(F32,'CFT Specific Data'!$F$4:$H$19,3,FALSE)*G32*
IF(B32=B31,
IF(AND(ISNUMBER(SEARCH("wheat",F32))=TRUE,ISNUMBER(SEARCH("Barley",F31))=TRUE),0.89,
IF(AND(ISNUMBER(SEARCH("wheat",F32))=TRUE,F31="setaside"),0.94,
IF(AND(ISNUMBER(SEARCH("barley",F32))=TRUE,ISNUMBER(SEARCH("wheat",F31))=TRUE),0.89,
IF(AND(F32="winterbarley",F31="setaside"),0.94,
IF(AND(F32="sugarbeet",F31="warepotatoes"),0.95,
IF(AND((OR(ISNUMBER(SEARCH("beans",F32)),ISNUMBER(SEARCH("driedpeas",F32)),ISNUMBER(SEARCH("sugarbeet",F32)))=TRUE),ISNUMBER(SEARCH("osr",F31))=TRUE),0,
IF(AND((OR((ISNUMBER(SEARCH("wheat",F32))),ISNUMBER(SEARCH("linseed",F32)),ISNUMBER(SEARCH("driedpeas",F32)),ISNUMBER(SEARCH("osr",F32)))=TRUE),F31="sugarbeet"),0,
IF(AND((OR((ISNUMBER(SEARCH("osr",F32))),ISNUMBER(SEARCH("linseed",F32)))=TRUE),ISNUMBER(SEARCH("beans",F31))=TRUE),0,
IF(AND(F32="wosr",ISNUMBER(SEARCH("linseed",F31))=TRUE),0,
IF(AND(F32="sugarbeet",F31="warepotatoes"),0,
1)))))))))),
IF(AND(ISNUMBER(SEARCH("wheat",F32))=TRUE,ISNUMBER(SEARCH("Barley",F37))=TRUE),0.89,
IF(AND(ISNUMBER(SEARCH("wheat",F32))=TRUE,F37="setaside"),0.94,
IF(AND(ISNUMBER(SEARCH("barley",F32))=TRUE,ISNUMBER(SEARCH("wheat",F37))=TRUE),0.89,
IF(AND(F32="winterbarley",F37="setaside"),0.94,
IF(AND(F32="sugarbeet",F37="warepotatoes"),0.95,
IF(AND((OR(ISNUMBER(SEARCH("beans",F32)),ISNUMBER(SEARCH("driedpeas",F32)),ISNUMBER(SEARCH("sugarbeet",F32)))=TRUE),ISNUMBER(SEARCH("osr",F37))=TRUE),0,
IF(AND((OR((ISNUMBER(SEARCH("wheat",F32))),ISNUMBER(SEARCH("linseed",F32)),ISNUMBER(SEARCH("driedpeas",F32)),ISNUMBER(SEARCH("osr",F32)))=TRUE),F37="sugarbeet"),0,
IF(AND((OR((ISNUMBER(SEARCH("osr",F32))),ISNUMBER(SEARCH("linseed",F32)))=TRUE),ISNUMBER(SEARCH("beans",F37))=TRUE),0,
IF(AND(F32="wosr",ISNUMBER(SEARCH("linseed",F37))=TRUE),0,
IF(AND(F32="sugarbeet",F37="warepotatoes"),0,
1)))))))))))
*IF(OR(ISNUMBER(SEARCH("wheat",F32)),ISNUMBER(SEARCH("barley",F32)),ISNUMBER(SEARCH("driedpeas",F32)),ISNUMBER(SEARCH("warepotatoes",F32)),ISNUMBER(SEARCH("osr",F32)),ISNUMBER(SEARCH("linseed",F32)),ISNUMBER(SEARCH("sugarbeet",F32))),
IF(COUNTIF(B27:B31,B32)=5,
INDEX('CFT Specific Data'!$G$24:$L$39,MATCH(F32,'CFT Specific Data'!$F$24:$F$39,0),IF(COUNTIF(F27:F31,F32)=5,6,IF(COUNTIF(F28:F31,F32)=4,5,IF(COUNTIF(F29:F31,F32)=3,4,IF(COUNTIF(F30:F31,F32)=2,3,IF(F31=F32,2,1)))))),
IF(COUNTIF(B27:B31,B32)=4,
INDEX('CFT Specific Data'!$G$24:$L$39,MATCH(F32,'CFT Specific Data'!$F$24:$F$39,0),IF(SUM(COUNTIF(F28:F31,F32),COUNTIF(F33,F32))=5,6,IF(COUNTIF(F28:F31,F32)=4,5,IF(COUNTIF(F29:F31,F32)=3,4,IF(COUNTIF(F30:F31,F32)=2,3,IF(F31=F32,2,1)))))),
IF(COUNTIF(B27:B31,B32)=3,
INDEX('CFT Specific Data'!$G$24:$L$39,MATCH(F32,'CFT Specific Data'!$F$24:$F$39,0),IF(SUM(COUNTIF(F29:F31,F32),COUNTIF(F33:F34,F32))=5,6,IF(SUM(COUNTIF(F29:F31,F32),COUNTIF(F34,F32))=4,5,IF(COUNTIF(F29:F31,F32)=3,4,IF(COUNTIF(F30:F31,F32)=2,3,IF(F31=F32,2,1)))))),
IF(COUNTIF(B27:B31,B32)=2,
INDEX('CFT Specific Data'!$G$24:$L$39,MATCH(F32,'CFT Specific Data'!$F$24:$F$39,0),IF(SUM(COUNTIF(F30:F31,F32),COUNTIF(F33:F35,F32))=5,6,IF(SUM(COUNTIF(F30:F31,F32),COUNTIF(F34:F35,F32))=4,5,IF(SUM(COUNTIF(F30:F31,F32),COUNTIF(F35,F32))=3,4,IF(COUNTIF(F30:F31,F32)=2,3,IF(F31=F32,2,1)))))),
IF(COUNTIF(B27:B31,B32)=1,
INDEX('CFT Specific Data'!$G$24:$L$39,MATCH(F32,'CFT Specific Data'!$F$24:$F$39,0),IF(SUM(COUNTIF(F31,F32),COUNTIF(F33:F36,F32))=5,6,IF(SUM(COUNTIF(F31,F32),COUNTIF(F34:F36,F32))=4,5,IF(SUM(COUNTIF(F31,F32),COUNTIF(F35:F36,F32))=3,4,IF(SUM(COUNTIF(F31,F32),COUNTIF(F36,F32))=2,3,IF(F31=F32,2,1)))))),
IF(COUNTIF(B27:B31,B32)=0,
INDEX('CFT Specific Data'!$G$24:$L$39,MATCH(F32,'CFT Specific Data'!$F$24:$F$39,0),IF(COUNTIF(F33:F37,F32)=5,6,IF(COUNTIF(F34:F37,F32)=4,5,IF(COUNTIF(F35:F37,F32)=3,4,IF(COUNTIF(F36:F37,F32)=2,3,IF(F37=F32,2,1)))))))))))),1)</f>
        <v>55.728000000000002</v>
      </c>
      <c r="I32" s="210" t="s">
        <v>348</v>
      </c>
      <c r="J32">
        <v>10</v>
      </c>
      <c r="K32" s="210" t="str">
        <f>VLOOKUP(F32,'CFT Specific Data'!$F$4:$G$19,2,FALSE)</f>
        <v>Winter wheat</v>
      </c>
      <c r="L32" t="str">
        <f t="shared" si="1"/>
        <v>Medium</v>
      </c>
      <c r="M32">
        <f t="shared" si="2"/>
        <v>4.4720000000000004</v>
      </c>
      <c r="N32" t="str">
        <f t="shared" si="3"/>
        <v>1.72 &lt; SOM &lt;= 5.16</v>
      </c>
      <c r="O32" t="s">
        <v>349</v>
      </c>
      <c r="P32" t="s">
        <v>350</v>
      </c>
      <c r="Q32">
        <v>7</v>
      </c>
      <c r="R32" t="str">
        <f t="shared" si="5"/>
        <v>5.5 &lt; pH &lt;= 7.3</v>
      </c>
      <c r="S32" t="s">
        <v>351</v>
      </c>
      <c r="T32" s="210">
        <f t="array" ref="T32">_xlfn.SINGLE(INDEX('Focus Data NFertiliser Rate'!$D$4:$P$19,MATCH(F32,'Focus Data NFertiliser Rate'!$C$4:$C$19,0),_xlfn.SINGLE(_xlfn.IFS(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220</v>
      </c>
      <c r="U32" t="str">
        <f t="shared" si="4"/>
        <v>Apply in solution</v>
      </c>
      <c r="V32" s="210">
        <f t="array" ref="V32">_xlfn.SINGLE(INDEX('№ Fertiliser sprayings'!$D$4:$P$19,MATCH(F32,'№ Fertiliser sprayings'!$C$4:$C$19,0),_xlfn.SINGLE(_xlfn.IFS(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3</v>
      </c>
      <c r="W32" s="264">
        <f t="array" ref="W32">_xlfn.SINGLE(INDEX('Focus Data CFT NSpraying'!$D$4:$P$19,MATCH(F32,'Focus Data CFT NSpraying'!$C$4:$C$19,0),_xlfn.SINGLE(_xlfn.IFS(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2.7888000000000002</v>
      </c>
      <c r="X32" t="s">
        <v>363</v>
      </c>
      <c r="Y32">
        <v>0</v>
      </c>
      <c r="Z32">
        <v>100</v>
      </c>
      <c r="AA32" t="s">
        <v>352</v>
      </c>
      <c r="AB32" s="226" t="str">
        <f>IF(B32=B31,_xlfn.IFS(
AND(AA32=Lists!$L$8,AA31=Lists!$L$8),Lists!$N$5,
AND(OR(AA32=Lists!$L$5,AA32=Lists!$L$7,AA32=Lists!$L$9,AA32=Lists!$L$10,AA32=Lists!$L$6),OR(AA31=Lists!$L$5,AA31=Lists!$L$7,AA31=Lists!$L$9,AA31=Lists!$L$10,AA31=Lists!$L$6)),Lists!$N$5,
AND(AA32=Lists!$L$8,OR(AA31=Lists!$L$5,AA31=Lists!$L$7,AA31=Lists!$L$9,AA31=Lists!$L$10,AA31=Lists!$L$6)),Lists!$N$6,
AND(OR(AA32=Lists!$L$5,AA32=Lists!$L$6,AA32=Lists!$L$7,AA32=Lists!$L$9,AA32=Lists!$L$10),AA31=Lists!$L$8),Lists!$N$7),
_xlfn.IFS(
AND(AA32=Lists!$L$8,AA37=Lists!$L$8),Lists!$N$5,
AND(OR(AA32=Lists!$L$5,AA32=Lists!$L$7,AA32=Lists!$L$9,AA32=Lists!$L$10,AA32=Lists!$L$6),OR(AA37=Lists!$L$5,AA37=Lists!$L$7,AA37=Lists!$L$9,AA37=Lists!$L$10,AA37=Lists!$L$6)),Lists!$N$5,
AND(AA32=Lists!$L$8,OR(AA37=Lists!$L$5,AA37=Lists!$L$7,AA37=Lists!$L$9,AA37=Lists!$L$10,AA37=Lists!$L$6)),Lists!$N$6,
AND(OR(AA32=Lists!$L$5,AA32=Lists!$L$7,AA32=Lists!$L$9,AA32=Lists!$L$10),AA37=Lists!$L$8),Lists!$N$7))</f>
        <v>no change</v>
      </c>
      <c r="AC32">
        <v>0</v>
      </c>
      <c r="AD32">
        <v>0</v>
      </c>
      <c r="AE32" s="102">
        <f t="array" ref="AE32">IF(OR(ISNUMBER(SEARCH("heavy",A32))=TRUE, ISNUMBER(SEARCH("medium",A32))=TRUE),
(LEN(_xlfn.SINGLE(
INDEX('Focus Data Tillage by farm'!$D$4:$P$9,MATCH(D32,'Focus Data Tillage by farm'!$C$4:$C$9,0),_xlfn.SINGLE(_xlfn.IFS(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-LEN(SUBSTITUTE(_xlfn.SINGLE(
INDEX('Focus Data Tillage by farm'!$D$4:$P$9,MATCH(D32,'Focus Data Tillage by farm'!$C$4:$C$9,0),_xlfn.SINGLE(_xlfn.IFS(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"disc","")))/LEN("disc"),
(LEN(_xlfn.SINGLE(
INDEX('Focus Data Tillage by farm'!$D$12:$P$17,MATCH(D32,'Focus Data Tillage by farm'!$C$12:$C$17,0),_xlfn.SINGLE(_xlfn.IFS(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-LEN(SUBSTITUTE(_xlfn.SINGLE(
INDEX('Focus Data Tillage by farm'!$D$12:$P$17,MATCH(D32,'Focus Data Tillage by farm'!$C$12:$C$17,0),_xlfn.SINGLE(_xlfn.IFS(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"disc","")))/LEN("disc"))</f>
        <v>1</v>
      </c>
      <c r="AF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"field cultivator","")))/LEN("field cultivator"),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"field cultivator","")))/LEN("field cultivator"))</f>
        <v>0</v>
      </c>
      <c r="AG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"grain drill","")))/LEN("grain drill"),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"grain drill","")))/LEN("grain drill"))</f>
        <v>1</v>
      </c>
      <c r="AH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"minimum tillage","")))/LEN("minimum tillage"),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"minimum tillage","")))/LEN("minimum tillage"))</f>
        <v>0</v>
      </c>
      <c r="AI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"row crop planter","")))/LEN("row crop planter"),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"row crop planter","")))/LEN("row crop planter"))</f>
        <v>0</v>
      </c>
      <c r="AJ32" s="10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"plough","")))/LEN("plough"),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"plough","")))/LEN("plough"))</f>
        <v>0</v>
      </c>
      <c r="AK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harrow","")))/LEN("roller harrow"),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harrow","")))/LEN("roller harrow"))</f>
        <v>0</v>
      </c>
      <c r="AL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packer","")))/LEN("roller packer"),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"roller packer","")))/LEN("roller packer"))</f>
        <v>2</v>
      </c>
      <c r="AM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"rotary hoe","")))/LEN("rotary hoe"),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"rotary hoe","")))/LEN("rotary hoe"))</f>
        <v>0</v>
      </c>
      <c r="AN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"subsoil","")))/LEN("subsoil"),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"subsoil","")))/LEN("subsoil"))</f>
        <v>0</v>
      </c>
      <c r="AO32">
        <f>IF(OR(ISNUMBER(SEARCH("heavy",A32))=TRUE, ISNUMBER(SEARCH("medium",A32))=TRUE),
(LEN(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farm'!$D$4:$P$9,MATCH(D32,'Focus Data Tillage by farm'!$C$4:$C$9,0),_xlfn.IFS(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"tine harrow","")))/LEN("tine harrow"),
(LEN(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-LEN(SUBSTITUTE(
INDEX('Focus Data Tillage by farm'!$D$12:$P$17,MATCH(D32,'Focus Data Tillage by farm'!$C$12:$C$17,0),_xlfn.IFS(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
"tine harrow","")))/LEN("tine harrow"))</f>
        <v>0</v>
      </c>
      <c r="AP32" s="102">
        <f>INDEX('Focus Data NSpraying'!$D$4:$P$19,MATCH(F32,'Focus Data NSpraying'!$C$4:$C$19,0),_xlfn.IFS(
AND(ISNUMBER(SEARCH("H-Dsty.",A32))=TRUE,ISNUMBER(SEARCH("H-Res",A32))=TRUE,ISNUMBER(SEARCH("E.",A32))=TRUE),1,
AND(ISNUMBER(SEARCH("H-Dsty.",A32))=TRUE,ISNUMBER(SEARCH("H-Res",A32))=TRUE,OR(ISNUMBER(SEARCH("N.he",A32))=TRUE,ISNUMBER(SEARCH("N.me",A32))=TRUE,ISNUMBER(SEARCH("N.li",A32))=TRUE)),2,
AND(ISNUMBER(SEARCH("H-Dsty.",A32))=TRUE,ISNUMBER(SEARCH("H-Res",A32))=TRUE,ISNUMBER(SEARCH("C.",A32))=TRUE),3,
AND(ISNUMBER(SEARCH("L-Dsty.",A32))=TRUE,ISNUMBER(SEARCH("H-Res",A32))=TRUE,ISNUMBER(SEARCH("E.",A32))=TRUE),6,
AND(ISNUMBER(SEARCH("L-Dsty.",A32))=TRUE,ISNUMBER(SEARCH("H-Res",A32))=TRUE,OR(ISNUMBER(SEARCH("N.he",A32))=TRUE,ISNUMBER(SEARCH("N.me",A32))=TRUE,ISNUMBER(SEARCH("N.li",A32))=TRUE)),7,
AND(ISNUMBER(SEARCH("L-Dsty.",A32))=TRUE,ISNUMBER(SEARCH("H-Res",A32))=TRUE,ISNUMBER(SEARCH("C.",A32))=TRUE),8,
AND(ISNUMBER(SEARCH("L-Dsty.",A32))=TRUE,ISNUMBER(SEARCH("L-Res",A32))=TRUE,ISNUMBER(SEARCH("E.",A32))=TRUE),11,
AND(ISNUMBER(SEARCH("L-Dsty.",A32))=TRUE,ISNUMBER(SEARCH("L-Res",A32))=TRUE,OR(ISNUMBER(SEARCH("N.he",A32))=TRUE,ISNUMBER(SEARCH("N.me",A32))=TRUE,ISNUMBER(SEARCH("N.li",A32))=TRUE)),12,
AND(ISNUMBER(SEARCH("L-Dsty.",A32))=TRUE,ISNUMBER(SEARCH("L-Res",A32))=TRUE,ISNUMBER(SEARCH("C.",A32))=TRUE),13))</f>
        <v>3</v>
      </c>
    </row>
    <row r="33" spans="1:42" x14ac:dyDescent="0.2">
      <c r="A33" t="s">
        <v>489</v>
      </c>
      <c r="B33" s="210" t="str">
        <f t="array" ref="B33">INDEX(ECOMOD_input_estimate!$A$2:$A$55, MATCH(CFT_input!$A33, ECOMOD_input_estimate!$B:$B, 0))</f>
        <v>FF_13.4</v>
      </c>
      <c r="C33" s="210">
        <v>2020</v>
      </c>
      <c r="D33" s="395" t="s">
        <v>730</v>
      </c>
      <c r="E33" s="210" t="str">
        <f t="shared" si="0"/>
        <v>N.medium.L-Dsty.L-Res</v>
      </c>
      <c r="F33" s="210" t="str">
        <f t="array" ref="F33">_xlfn.SINGLE(IF(OR(ISNUMBER(SEARCH("heavy",A33))=TRUE,ISNUMBER(SEARCH("medium",A33))=TRUE),
INDEX('Focus Data Crop Rotations'!$D$4:$P$9,MATCH(D33,'Focus Data Crop Rotations'!$C$4:$C$9,0),_xlfn.SINGLE(_xlfn.IFS(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INDEX('Focus Data Crop Rotations'!$D$12:$P$17,MATCH(D33,'Focus Data Crop Rotations'!$C$12:$C$17,0),_xlfn.SINGLE(_xlfn.IFS(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winterbarley</v>
      </c>
      <c r="G33">
        <v>7.2</v>
      </c>
      <c r="H33" s="227">
        <f>VLOOKUP(F33,'CFT Specific Data'!$F$4:$H$19,3,FALSE)*G33*
IF(B33=B32,
IF(AND(ISNUMBER(SEARCH("wheat",F33))=TRUE,ISNUMBER(SEARCH("Barley",F32))=TRUE),0.89,
IF(AND(ISNUMBER(SEARCH("wheat",F33))=TRUE,F32="setaside"),0.94,
IF(AND(ISNUMBER(SEARCH("barley",F33))=TRUE,ISNUMBER(SEARCH("wheat",F32))=TRUE),0.89,
IF(AND(F33="winterbarley",F32="setaside"),0.94,
IF(AND(F33="sugarbeet",F32="warepotatoes"),0.95,
IF(AND((OR(ISNUMBER(SEARCH("beans",F33)),ISNUMBER(SEARCH("driedpeas",F33)),ISNUMBER(SEARCH("sugarbeet",F33)))=TRUE),ISNUMBER(SEARCH("osr",F32))=TRUE),0,
IF(AND((OR((ISNUMBER(SEARCH("wheat",F33))),ISNUMBER(SEARCH("linseed",F33)),ISNUMBER(SEARCH("driedpeas",F33)),ISNUMBER(SEARCH("osr",F33)))=TRUE),F32="sugarbeet"),0,
IF(AND((OR((ISNUMBER(SEARCH("osr",F33))),ISNUMBER(SEARCH("linseed",F33)))=TRUE),ISNUMBER(SEARCH("beans",F32))=TRUE),0,
IF(AND(F33="wosr",ISNUMBER(SEARCH("linseed",F32))=TRUE),0,
IF(AND(F33="sugarbeet",F32="warepotatoes"),0,
1)))))))))),
IF(AND(ISNUMBER(SEARCH("wheat",F33))=TRUE,ISNUMBER(SEARCH("Barley",F38))=TRUE),0.89,
IF(AND(ISNUMBER(SEARCH("wheat",F33))=TRUE,F38="setaside"),0.94,
IF(AND(ISNUMBER(SEARCH("barley",F33))=TRUE,ISNUMBER(SEARCH("wheat",F38))=TRUE),0.89,
IF(AND(F33="winterbarley",F38="setaside"),0.94,
IF(AND(F33="sugarbeet",F38="warepotatoes"),0.95,
IF(AND((OR(ISNUMBER(SEARCH("beans",F33)),ISNUMBER(SEARCH("driedpeas",F33)),ISNUMBER(SEARCH("sugarbeet",F33)))=TRUE),ISNUMBER(SEARCH("osr",F38))=TRUE),0,
IF(AND((OR((ISNUMBER(SEARCH("wheat",F33))),ISNUMBER(SEARCH("linseed",F33)),ISNUMBER(SEARCH("driedpeas",F33)),ISNUMBER(SEARCH("osr",F33)))=TRUE),F38="sugarbeet"),0,
IF(AND((OR((ISNUMBER(SEARCH("osr",F33))),ISNUMBER(SEARCH("linseed",F33)))=TRUE),ISNUMBER(SEARCH("beans",F38))=TRUE),0,
IF(AND(F33="wosr",ISNUMBER(SEARCH("linseed",F38))=TRUE),0,
IF(AND(F33="sugarbeet",F38="warepotatoes"),0,
1)))))))))))
*IF(OR(ISNUMBER(SEARCH("wheat",F33)),ISNUMBER(SEARCH("barley",F33)),ISNUMBER(SEARCH("driedpeas",F33)),ISNUMBER(SEARCH("warepotatoes",F33)),ISNUMBER(SEARCH("osr",F33)),ISNUMBER(SEARCH("linseed",F33)),ISNUMBER(SEARCH("sugarbeet",F33))),
IF(COUNTIF(B28:B32,B33)=5,
INDEX('CFT Specific Data'!$G$24:$L$39,MATCH(F33,'CFT Specific Data'!$F$24:$F$39,0),IF(COUNTIF(F28:F32,F33)=5,6,IF(COUNTIF(F29:F32,F33)=4,5,IF(COUNTIF(F30:F32,F33)=3,4,IF(COUNTIF(F31:F32,F33)=2,3,IF(F32=F33,2,1)))))),
IF(COUNTIF(B28:B32,B33)=4,
INDEX('CFT Specific Data'!$G$24:$L$39,MATCH(F33,'CFT Specific Data'!$F$24:$F$39,0),IF(SUM(COUNTIF(F29:F32,F33),COUNTIF(F34,F33))=5,6,IF(COUNTIF(F29:F32,F33)=4,5,IF(COUNTIF(F30:F32,F33)=3,4,IF(COUNTIF(F31:F32,F33)=2,3,IF(F32=F33,2,1)))))),
IF(COUNTIF(B28:B32,B33)=3,
INDEX('CFT Specific Data'!$G$24:$L$39,MATCH(F33,'CFT Specific Data'!$F$24:$F$39,0),IF(SUM(COUNTIF(F30:F32,F33),COUNTIF(F34:F35,F33))=5,6,IF(SUM(COUNTIF(F30:F32,F33),COUNTIF(F35,F33))=4,5,IF(COUNTIF(F30:F32,F33)=3,4,IF(COUNTIF(F31:F32,F33)=2,3,IF(F32=F33,2,1)))))),
IF(COUNTIF(B28:B32,B33)=2,
INDEX('CFT Specific Data'!$G$24:$L$39,MATCH(F33,'CFT Specific Data'!$F$24:$F$39,0),IF(SUM(COUNTIF(F31:F32,F33),COUNTIF(F34:F36,F33))=5,6,IF(SUM(COUNTIF(F31:F32,F33),COUNTIF(F35:F36,F33))=4,5,IF(SUM(COUNTIF(F31:F32,F33),COUNTIF(F36,F33))=3,4,IF(COUNTIF(F31:F32,F33)=2,3,IF(F32=F33,2,1)))))),
IF(COUNTIF(B28:B32,B33)=1,
INDEX('CFT Specific Data'!$G$24:$L$39,MATCH(F33,'CFT Specific Data'!$F$24:$F$39,0),IF(SUM(COUNTIF(F32,F33),COUNTIF(F34:F37,F33))=5,6,IF(SUM(COUNTIF(F32,F33),COUNTIF(F35:F37,F33))=4,5,IF(SUM(COUNTIF(F32,F33),COUNTIF(F36:F37,F33))=3,4,IF(SUM(COUNTIF(F32,F33),COUNTIF(F37,F33))=2,3,IF(F32=F33,2,1)))))),
IF(COUNTIF(B28:B32,B33)=0,
INDEX('CFT Specific Data'!$G$24:$L$39,MATCH(F33,'CFT Specific Data'!$F$24:$F$39,0),IF(COUNTIF(F34:F38,F33)=5,6,IF(COUNTIF(F35:F38,F33)=4,5,IF(COUNTIF(F36:F38,F33)=3,4,IF(COUNTIF(F37:F38,F33)=2,3,IF(F38=F33,2,1)))))))))))),1)</f>
        <v>47.419200000000004</v>
      </c>
      <c r="I33" s="210" t="s">
        <v>348</v>
      </c>
      <c r="J33">
        <v>10</v>
      </c>
      <c r="K33" s="210" t="str">
        <f>VLOOKUP(F33,'CFT Specific Data'!$F$4:$G$19,2,FALSE)</f>
        <v>Barley</v>
      </c>
      <c r="L33" t="str">
        <f t="shared" si="1"/>
        <v>Medium</v>
      </c>
      <c r="M33">
        <f t="shared" si="2"/>
        <v>4.4720000000000004</v>
      </c>
      <c r="N33" t="str">
        <f t="shared" si="3"/>
        <v>1.72 &lt; SOM &lt;= 5.16</v>
      </c>
      <c r="O33" t="s">
        <v>349</v>
      </c>
      <c r="P33" t="s">
        <v>350</v>
      </c>
      <c r="Q33">
        <v>7</v>
      </c>
      <c r="R33" t="str">
        <f t="shared" si="5"/>
        <v>5.5 &lt; pH &lt;= 7.3</v>
      </c>
      <c r="S33" t="s">
        <v>351</v>
      </c>
      <c r="T33" s="210">
        <f t="array" ref="T33">_xlfn.SINGLE(INDEX('Focus Data NFertiliser Rate'!$D$4:$P$19,MATCH(F33,'Focus Data NFertiliser Rate'!$C$4:$C$19,0),_xlfn.SINGLE(_xlfn.IFS(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190</v>
      </c>
      <c r="U33" t="str">
        <f t="shared" si="4"/>
        <v>Apply in solution</v>
      </c>
      <c r="V33" s="210">
        <f t="array" ref="V33">_xlfn.SINGLE(INDEX('№ Fertiliser sprayings'!$D$4:$P$19,MATCH(F33,'№ Fertiliser sprayings'!$C$4:$C$19,0),_xlfn.SINGLE(_xlfn.IFS(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3</v>
      </c>
      <c r="W33" s="264">
        <f t="array" ref="W33">_xlfn.SINGLE(INDEX('Focus Data CFT NSpraying'!$D$4:$P$19,MATCH(F33,'Focus Data CFT NSpraying'!$C$4:$C$19,0),_xlfn.SINGLE(_xlfn.IFS(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2.56</v>
      </c>
      <c r="X33" t="s">
        <v>363</v>
      </c>
      <c r="Y33">
        <v>0</v>
      </c>
      <c r="Z33">
        <v>100</v>
      </c>
      <c r="AA33" t="s">
        <v>352</v>
      </c>
      <c r="AB33" s="226" t="str">
        <f>IF(B33=B32,_xlfn.IFS(
AND(AA33=Lists!$L$8,AA32=Lists!$L$8),Lists!$N$5,
AND(OR(AA33=Lists!$L$5,AA33=Lists!$L$7,AA33=Lists!$L$9,AA33=Lists!$L$10,AA33=Lists!$L$6),OR(AA32=Lists!$L$5,AA32=Lists!$L$7,AA32=Lists!$L$9,AA32=Lists!$L$10,AA32=Lists!$L$6)),Lists!$N$5,
AND(AA33=Lists!$L$8,OR(AA32=Lists!$L$5,AA32=Lists!$L$7,AA32=Lists!$L$9,AA32=Lists!$L$10,AA32=Lists!$L$6)),Lists!$N$6,
AND(OR(AA33=Lists!$L$5,AA33=Lists!$L$6,AA33=Lists!$L$7,AA33=Lists!$L$9,AA33=Lists!$L$10),AA32=Lists!$L$8),Lists!$N$7),
_xlfn.IFS(
AND(AA33=Lists!$L$8,AA38=Lists!$L$8),Lists!$N$5,
AND(OR(AA33=Lists!$L$5,AA33=Lists!$L$7,AA33=Lists!$L$9,AA33=Lists!$L$10,AA33=Lists!$L$6),OR(AA38=Lists!$L$5,AA38=Lists!$L$7,AA38=Lists!$L$9,AA38=Lists!$L$10,AA38=Lists!$L$6)),Lists!$N$5,
AND(AA33=Lists!$L$8,OR(AA38=Lists!$L$5,AA38=Lists!$L$7,AA38=Lists!$L$9,AA38=Lists!$L$10,AA38=Lists!$L$6)),Lists!$N$6,
AND(OR(AA33=Lists!$L$5,AA33=Lists!$L$7,AA33=Lists!$L$9,AA33=Lists!$L$10),AA38=Lists!$L$8),Lists!$N$7))</f>
        <v>no change</v>
      </c>
      <c r="AC33">
        <v>0</v>
      </c>
      <c r="AD33">
        <v>0</v>
      </c>
      <c r="AE33" s="102">
        <f t="array" ref="AE33">IF(OR(ISNUMBER(SEARCH("heavy",A33))=TRUE, ISNUMBER(SEARCH("medium",A33))=TRUE),
(LEN(_xlfn.SINGLE(
INDEX('Focus Data Tillage by farm'!$D$4:$P$9,MATCH(D33,'Focus Data Tillage by farm'!$C$4:$C$9,0),_xlfn.SINGLE(_xlfn.IFS(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-LEN(SUBSTITUTE(_xlfn.SINGLE(
INDEX('Focus Data Tillage by farm'!$D$4:$P$9,MATCH(D33,'Focus Data Tillage by farm'!$C$4:$C$9,0),_xlfn.SINGLE(_xlfn.IFS(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"disc","")))/LEN("disc"),
(LEN(_xlfn.SINGLE(
INDEX('Focus Data Tillage by farm'!$D$12:$P$17,MATCH(D33,'Focus Data Tillage by farm'!$C$12:$C$17,0),_xlfn.SINGLE(_xlfn.IFS(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-LEN(SUBSTITUTE(_xlfn.SINGLE(
INDEX('Focus Data Tillage by farm'!$D$12:$P$17,MATCH(D33,'Focus Data Tillage by farm'!$C$12:$C$17,0),_xlfn.SINGLE(_xlfn.IFS(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"disc","")))/LEN("disc"))</f>
        <v>1</v>
      </c>
      <c r="AF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"field cultivator","")))/LEN("field cultivator"),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"field cultivator","")))/LEN("field cultivator"))</f>
        <v>0</v>
      </c>
      <c r="AG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"grain drill","")))/LEN("grain drill"),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"grain drill","")))/LEN("grain drill"))</f>
        <v>1</v>
      </c>
      <c r="AH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"minimum tillage","")))/LEN("minimum tillage"),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"minimum tillage","")))/LEN("minimum tillage"))</f>
        <v>0</v>
      </c>
      <c r="AI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"row crop planter","")))/LEN("row crop planter"),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"row crop planter","")))/LEN("row crop planter"))</f>
        <v>0</v>
      </c>
      <c r="AJ33" s="102">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"plough","")))/LEN("plough"),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"plough","")))/LEN("plough"))</f>
        <v>0</v>
      </c>
      <c r="AK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harrow","")))/LEN("roller harrow"),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harrow","")))/LEN("roller harrow"))</f>
        <v>0</v>
      </c>
      <c r="AL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packer","")))/LEN("roller packer"),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"roller packer","")))/LEN("roller packer"))</f>
        <v>2</v>
      </c>
      <c r="AM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"rotary hoe","")))/LEN("rotary hoe"),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"rotary hoe","")))/LEN("rotary hoe"))</f>
        <v>0</v>
      </c>
      <c r="AN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"subsoil","")))/LEN("subsoil"),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"subsoil","")))/LEN("subsoil"))</f>
        <v>0</v>
      </c>
      <c r="AO33">
        <f>IF(OR(ISNUMBER(SEARCH("heavy",A33))=TRUE, ISNUMBER(SEARCH("medium",A33))=TRUE),
(LEN(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farm'!$D$4:$P$9,MATCH(D33,'Focus Data Tillage by farm'!$C$4:$C$9,0),_xlfn.IFS(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"tine harrow","")))/LEN("tine harrow"),
(LEN(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-LEN(SUBSTITUTE(
INDEX('Focus Data Tillage by farm'!$D$12:$P$17,MATCH(D33,'Focus Data Tillage by farm'!$C$12:$C$17,0),_xlfn.IFS(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
"tine harrow","")))/LEN("tine harrow"))</f>
        <v>0</v>
      </c>
      <c r="AP33" s="102">
        <f>INDEX('Focus Data NSpraying'!$D$4:$P$19,MATCH(F33,'Focus Data NSpraying'!$C$4:$C$19,0),_xlfn.IFS(
AND(ISNUMBER(SEARCH("H-Dsty.",A33))=TRUE,ISNUMBER(SEARCH("H-Res",A33))=TRUE,ISNUMBER(SEARCH("E.",A33))=TRUE),1,
AND(ISNUMBER(SEARCH("H-Dsty.",A33))=TRUE,ISNUMBER(SEARCH("H-Res",A33))=TRUE,OR(ISNUMBER(SEARCH("N.he",A33))=TRUE,ISNUMBER(SEARCH("N.me",A33))=TRUE,ISNUMBER(SEARCH("N.li",A33))=TRUE)),2,
AND(ISNUMBER(SEARCH("H-Dsty.",A33))=TRUE,ISNUMBER(SEARCH("H-Res",A33))=TRUE,ISNUMBER(SEARCH("C.",A33))=TRUE),3,
AND(ISNUMBER(SEARCH("L-Dsty.",A33))=TRUE,ISNUMBER(SEARCH("H-Res",A33))=TRUE,ISNUMBER(SEARCH("E.",A33))=TRUE),6,
AND(ISNUMBER(SEARCH("L-Dsty.",A33))=TRUE,ISNUMBER(SEARCH("H-Res",A33))=TRUE,OR(ISNUMBER(SEARCH("N.he",A33))=TRUE,ISNUMBER(SEARCH("N.me",A33))=TRUE,ISNUMBER(SEARCH("N.li",A33))=TRUE)),7,
AND(ISNUMBER(SEARCH("L-Dsty.",A33))=TRUE,ISNUMBER(SEARCH("H-Res",A33))=TRUE,ISNUMBER(SEARCH("C.",A33))=TRUE),8,
AND(ISNUMBER(SEARCH("L-Dsty.",A33))=TRUE,ISNUMBER(SEARCH("L-Res",A33))=TRUE,ISNUMBER(SEARCH("E.",A33))=TRUE),11,
AND(ISNUMBER(SEARCH("L-Dsty.",A33))=TRUE,ISNUMBER(SEARCH("L-Res",A33))=TRUE,OR(ISNUMBER(SEARCH("N.he",A33))=TRUE,ISNUMBER(SEARCH("N.me",A33))=TRUE,ISNUMBER(SEARCH("N.li",A33))=TRUE)),12,
AND(ISNUMBER(SEARCH("L-Dsty.",A33))=TRUE,ISNUMBER(SEARCH("L-Res",A33))=TRUE,ISNUMBER(SEARCH("C.",A33))=TRUE),13))</f>
        <v>2</v>
      </c>
    </row>
    <row r="34" spans="1:42" x14ac:dyDescent="0.2">
      <c r="A34" t="s">
        <v>489</v>
      </c>
      <c r="B34" s="210" t="str">
        <f t="array" ref="B34">INDEX(ECOMOD_input_estimate!$A$2:$A$55, MATCH(CFT_input!$A34, ECOMOD_input_estimate!$B:$B, 0))</f>
        <v>FF_13.4</v>
      </c>
      <c r="C34" s="210">
        <v>2020</v>
      </c>
      <c r="D34" s="395" t="s">
        <v>1694</v>
      </c>
      <c r="E34" s="210" t="str">
        <f t="shared" si="0"/>
        <v>N.medium.L-Dsty.L-Res</v>
      </c>
      <c r="F34" s="210" t="str">
        <f t="array" ref="F34">_xlfn.SINGLE(IF(OR(ISNUMBER(SEARCH("heavy",A34))=TRUE,ISNUMBER(SEARCH("medium",A34))=TRUE),
INDEX('Focus Data Crop Rotations'!$D$4:$P$9,MATCH(D34,'Focus Data Crop Rotations'!$C$4:$C$9,0),_xlfn.SINGLE(_xlfn.IFS(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INDEX('Focus Data Crop Rotations'!$D$12:$P$17,MATCH(D34,'Focus Data Crop Rotations'!$C$12:$C$17,0),_xlfn.SINGLE(_xlfn.IFS(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wosr</v>
      </c>
      <c r="G34">
        <v>7.2</v>
      </c>
      <c r="H34" s="227">
        <f>VLOOKUP(F34,'CFT Specific Data'!$F$4:$H$19,3,FALSE)*G34*
IF(B34=B33,
IF(AND(ISNUMBER(SEARCH("wheat",F34))=TRUE,ISNUMBER(SEARCH("Barley",F33))=TRUE),0.89,
IF(AND(ISNUMBER(SEARCH("wheat",F34))=TRUE,F33="setaside"),0.94,
IF(AND(ISNUMBER(SEARCH("barley",F34))=TRUE,ISNUMBER(SEARCH("wheat",F33))=TRUE),0.89,
IF(AND(F34="winterbarley",F33="setaside"),0.94,
IF(AND(F34="sugarbeet",F33="warepotatoes"),0.95,
IF(AND((OR(ISNUMBER(SEARCH("beans",F34)),ISNUMBER(SEARCH("driedpeas",F34)),ISNUMBER(SEARCH("sugarbeet",F34)))=TRUE),ISNUMBER(SEARCH("osr",F33))=TRUE),0,
IF(AND((OR((ISNUMBER(SEARCH("wheat",F34))),ISNUMBER(SEARCH("linseed",F34)),ISNUMBER(SEARCH("driedpeas",F34)),ISNUMBER(SEARCH("osr",F34)))=TRUE),F33="sugarbeet"),0,
IF(AND((OR((ISNUMBER(SEARCH("osr",F34))),ISNUMBER(SEARCH("linseed",F34)))=TRUE),ISNUMBER(SEARCH("beans",F33))=TRUE),0,
IF(AND(F34="wosr",ISNUMBER(SEARCH("linseed",F33))=TRUE),0,
IF(AND(F34="sugarbeet",F33="warepotatoes"),0,
1)))))))))),
IF(AND(ISNUMBER(SEARCH("wheat",F34))=TRUE,ISNUMBER(SEARCH("Barley",F39))=TRUE),0.89,
IF(AND(ISNUMBER(SEARCH("wheat",F34))=TRUE,F39="setaside"),0.94,
IF(AND(ISNUMBER(SEARCH("barley",F34))=TRUE,ISNUMBER(SEARCH("wheat",F39))=TRUE),0.89,
IF(AND(F34="winterbarley",F39="setaside"),0.94,
IF(AND(F34="sugarbeet",F39="warepotatoes"),0.95,
IF(AND((OR(ISNUMBER(SEARCH("beans",F34)),ISNUMBER(SEARCH("driedpeas",F34)),ISNUMBER(SEARCH("sugarbeet",F34)))=TRUE),ISNUMBER(SEARCH("osr",F39))=TRUE),0,
IF(AND((OR((ISNUMBER(SEARCH("wheat",F34))),ISNUMBER(SEARCH("linseed",F34)),ISNUMBER(SEARCH("driedpeas",F34)),ISNUMBER(SEARCH("osr",F34)))=TRUE),F39="sugarbeet"),0,
IF(AND((OR((ISNUMBER(SEARCH("osr",F34))),ISNUMBER(SEARCH("linseed",F34)))=TRUE),ISNUMBER(SEARCH("beans",F39))=TRUE),0,
IF(AND(F34="wosr",ISNUMBER(SEARCH("linseed",F39))=TRUE),0,
IF(AND(F34="sugarbeet",F39="warepotatoes"),0,
1)))))))))))
*IF(OR(ISNUMBER(SEARCH("wheat",F34)),ISNUMBER(SEARCH("barley",F34)),ISNUMBER(SEARCH("driedpeas",F34)),ISNUMBER(SEARCH("warepotatoes",F34)),ISNUMBER(SEARCH("osr",F34)),ISNUMBER(SEARCH("linseed",F34)),ISNUMBER(SEARCH("sugarbeet",F34))),
IF(COUNTIF(B29:B33,B34)=5,
INDEX('CFT Specific Data'!$G$24:$L$39,MATCH(F34,'CFT Specific Data'!$F$24:$F$39,0),IF(COUNTIF(F29:F33,F34)=5,6,IF(COUNTIF(F30:F33,F34)=4,5,IF(COUNTIF(F31:F33,F34)=3,4,IF(COUNTIF(F32:F33,F34)=2,3,IF(F33=F34,2,1)))))),
IF(COUNTIF(B29:B33,B34)=4,
INDEX('CFT Specific Data'!$G$24:$L$39,MATCH(F34,'CFT Specific Data'!$F$24:$F$39,0),IF(SUM(COUNTIF(F30:F33,F34),COUNTIF(F35,F34))=5,6,IF(COUNTIF(F30:F33,F34)=4,5,IF(COUNTIF(F31:F33,F34)=3,4,IF(COUNTIF(F32:F33,F34)=2,3,IF(F33=F34,2,1)))))),
IF(COUNTIF(B29:B33,B34)=3,
INDEX('CFT Specific Data'!$G$24:$L$39,MATCH(F34,'CFT Specific Data'!$F$24:$F$39,0),IF(SUM(COUNTIF(F31:F33,F34),COUNTIF(F35:F36,F34))=5,6,IF(SUM(COUNTIF(F31:F33,F34),COUNTIF(F36,F34))=4,5,IF(COUNTIF(F31:F33,F34)=3,4,IF(COUNTIF(F32:F33,F34)=2,3,IF(F33=F34,2,1)))))),
IF(COUNTIF(B29:B33,B34)=2,
INDEX('CFT Specific Data'!$G$24:$L$39,MATCH(F34,'CFT Specific Data'!$F$24:$F$39,0),IF(SUM(COUNTIF(F32:F33,F34),COUNTIF(F35:F37,F34))=5,6,IF(SUM(COUNTIF(F32:F33,F34),COUNTIF(F36:F37,F34))=4,5,IF(SUM(COUNTIF(F32:F33,F34),COUNTIF(F37,F34))=3,4,IF(COUNTIF(F32:F33,F34)=2,3,IF(F33=F34,2,1)))))),
IF(COUNTIF(B29:B33,B34)=1,
INDEX('CFT Specific Data'!$G$24:$L$39,MATCH(F34,'CFT Specific Data'!$F$24:$F$39,0),IF(SUM(COUNTIF(F33,F34),COUNTIF(F35:F38,F34))=5,6,IF(SUM(COUNTIF(F33,F34),COUNTIF(F36:F38,F34))=4,5,IF(SUM(COUNTIF(F33,F34),COUNTIF(F37:F38,F34))=3,4,IF(SUM(COUNTIF(F33,F34),COUNTIF(F38,F34))=2,3,IF(F33=F34,2,1)))))),
IF(COUNTIF(B29:B33,B34)=0,
INDEX('CFT Specific Data'!$G$24:$L$39,MATCH(F34,'CFT Specific Data'!$F$24:$F$39,0),IF(COUNTIF(F35:F39,F34)=5,6,IF(COUNTIF(F36:F39,F34)=4,5,IF(COUNTIF(F37:F39,F34)=3,4,IF(COUNTIF(F38:F39,F34)=2,3,IF(F39=F34,2,1)))))))))))),1)</f>
        <v>25.2</v>
      </c>
      <c r="I34" s="210" t="s">
        <v>348</v>
      </c>
      <c r="J34">
        <v>10</v>
      </c>
      <c r="K34" s="210" t="str">
        <f>VLOOKUP(F34,'CFT Specific Data'!$F$4:$G$19,2,FALSE)</f>
        <v>Other</v>
      </c>
      <c r="L34" t="str">
        <f t="shared" si="1"/>
        <v>Medium</v>
      </c>
      <c r="M34">
        <f t="shared" si="2"/>
        <v>4.4720000000000004</v>
      </c>
      <c r="N34" t="str">
        <f t="shared" si="3"/>
        <v>1.72 &lt; SOM &lt;= 5.16</v>
      </c>
      <c r="O34" t="s">
        <v>349</v>
      </c>
      <c r="P34" t="s">
        <v>350</v>
      </c>
      <c r="Q34">
        <v>7</v>
      </c>
      <c r="R34" t="str">
        <f t="shared" si="5"/>
        <v>5.5 &lt; pH &lt;= 7.3</v>
      </c>
      <c r="S34" t="s">
        <v>351</v>
      </c>
      <c r="T34" s="210">
        <f t="array" ref="T34">_xlfn.SINGLE(INDEX('Focus Data NFertiliser Rate'!$D$4:$P$19,MATCH(F34,'Focus Data NFertiliser Rate'!$C$4:$C$19,0),_xlfn.SINGLE(_xlfn.IFS(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180</v>
      </c>
      <c r="U34" t="str">
        <f t="shared" si="4"/>
        <v>Apply in solution</v>
      </c>
      <c r="V34" s="210">
        <f t="array" ref="V34">_xlfn.SINGLE(INDEX('№ Fertiliser sprayings'!$D$4:$P$19,MATCH(F34,'№ Fertiliser sprayings'!$C$4:$C$19,0),_xlfn.SINGLE(_xlfn.IFS(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3</v>
      </c>
      <c r="W34" s="264">
        <f t="array" ref="W34">_xlfn.SINGLE(INDEX('Focus Data CFT NSpraying'!$D$4:$P$19,MATCH(F34,'Focus Data CFT NSpraying'!$C$4:$C$19,0),_xlfn.SINGLE(_xlfn.IFS(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1.4</v>
      </c>
      <c r="X34" t="s">
        <v>363</v>
      </c>
      <c r="Y34">
        <v>0</v>
      </c>
      <c r="Z34">
        <v>100</v>
      </c>
      <c r="AA34" t="s">
        <v>352</v>
      </c>
      <c r="AB34" s="226" t="str">
        <f>IF(B34=B33,_xlfn.IFS(
AND(AA34=Lists!$L$8,AA33=Lists!$L$8),Lists!$N$5,
AND(OR(AA34=Lists!$L$5,AA34=Lists!$L$7,AA34=Lists!$L$9,AA34=Lists!$L$10,AA34=Lists!$L$6),OR(AA33=Lists!$L$5,AA33=Lists!$L$7,AA33=Lists!$L$9,AA33=Lists!$L$10,AA33=Lists!$L$6)),Lists!$N$5,
AND(AA34=Lists!$L$8,OR(AA33=Lists!$L$5,AA33=Lists!$L$7,AA33=Lists!$L$9,AA33=Lists!$L$10,AA33=Lists!$L$6)),Lists!$N$6,
AND(OR(AA34=Lists!$L$5,AA34=Lists!$L$6,AA34=Lists!$L$7,AA34=Lists!$L$9,AA34=Lists!$L$10),AA33=Lists!$L$8),Lists!$N$7),
_xlfn.IFS(
AND(AA34=Lists!$L$8,AA39=Lists!$L$8),Lists!$N$5,
AND(OR(AA34=Lists!$L$5,AA34=Lists!$L$7,AA34=Lists!$L$9,AA34=Lists!$L$10,AA34=Lists!$L$6),OR(AA39=Lists!$L$5,AA39=Lists!$L$7,AA39=Lists!$L$9,AA39=Lists!$L$10,AA39=Lists!$L$6)),Lists!$N$5,
AND(AA34=Lists!$L$8,OR(AA39=Lists!$L$5,AA39=Lists!$L$7,AA39=Lists!$L$9,AA39=Lists!$L$10,AA39=Lists!$L$6)),Lists!$N$6,
AND(OR(AA34=Lists!$L$5,AA34=Lists!$L$7,AA34=Lists!$L$9,AA34=Lists!$L$10),AA39=Lists!$L$8),Lists!$N$7))</f>
        <v>no change</v>
      </c>
      <c r="AC34">
        <v>0</v>
      </c>
      <c r="AD34">
        <v>0</v>
      </c>
      <c r="AE34" s="102">
        <f t="array" ref="AE34">IF(OR(ISNUMBER(SEARCH("heavy",A34))=TRUE, ISNUMBER(SEARCH("medium",A34))=TRUE),
(LEN(_xlfn.SINGLE(
INDEX('Focus Data Tillage by farm'!$D$4:$P$9,MATCH(D34,'Focus Data Tillage by farm'!$C$4:$C$9,0),_xlfn.SINGLE(_xlfn.IFS(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-LEN(SUBSTITUTE(_xlfn.SINGLE(
INDEX('Focus Data Tillage by farm'!$D$4:$P$9,MATCH(D34,'Focus Data Tillage by farm'!$C$4:$C$9,0),_xlfn.SINGLE(_xlfn.IFS(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"disc","")))/LEN("disc"),
(LEN(_xlfn.SINGLE(
INDEX('Focus Data Tillage by farm'!$D$12:$P$17,MATCH(D34,'Focus Data Tillage by farm'!$C$12:$C$17,0),_xlfn.SINGLE(_xlfn.IFS(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-LEN(SUBSTITUTE(_xlfn.SINGLE(
INDEX('Focus Data Tillage by farm'!$D$12:$P$17,MATCH(D34,'Focus Data Tillage by farm'!$C$12:$C$17,0),_xlfn.SINGLE(_xlfn.IFS(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"disc","")))/LEN("disc"))</f>
        <v>0</v>
      </c>
      <c r="AF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"field cultivator","")))/LEN("field cultivator"),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"field cultivator","")))/LEN("field cultivator"))</f>
        <v>0</v>
      </c>
      <c r="AG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"grain drill","")))/LEN("grain drill"),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"grain drill","")))/LEN("grain drill"))</f>
        <v>0</v>
      </c>
      <c r="AH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"minimum tillage","")))/LEN("minimum tillage"),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"minimum tillage","")))/LEN("minimum tillage"))</f>
        <v>0</v>
      </c>
      <c r="AI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"row crop planter","")))/LEN("row crop planter"),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"row crop planter","")))/LEN("row crop planter"))</f>
        <v>0</v>
      </c>
      <c r="AJ34" s="102">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"plough","")))/LEN("plough"),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"plough","")))/LEN("plough"))</f>
        <v>0</v>
      </c>
      <c r="AK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harrow","")))/LEN("roller harrow"),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harrow","")))/LEN("roller harrow"))</f>
        <v>0</v>
      </c>
      <c r="AL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packer","")))/LEN("roller packer"),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"roller packer","")))/LEN("roller packer"))</f>
        <v>1</v>
      </c>
      <c r="AM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"rotary hoe","")))/LEN("rotary hoe"),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"rotary hoe","")))/LEN("rotary hoe"))</f>
        <v>0</v>
      </c>
      <c r="AN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"subsoil","")))/LEN("subsoil"),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"subsoil","")))/LEN("subsoil"))</f>
        <v>1</v>
      </c>
      <c r="AO34">
        <f>IF(OR(ISNUMBER(SEARCH("heavy",A34))=TRUE, ISNUMBER(SEARCH("medium",A34))=TRUE),
(LEN(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farm'!$D$4:$P$9,MATCH(D34,'Focus Data Tillage by farm'!$C$4:$C$9,0),_xlfn.IFS(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"tine harrow","")))/LEN("tine harrow"),
(LEN(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-LEN(SUBSTITUTE(
INDEX('Focus Data Tillage by farm'!$D$12:$P$17,MATCH(D34,'Focus Data Tillage by farm'!$C$12:$C$17,0),_xlfn.IFS(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
"tine harrow","")))/LEN("tine harrow"))</f>
        <v>0</v>
      </c>
      <c r="AP34" s="102">
        <f>INDEX('Focus Data NSpraying'!$D$4:$P$19,MATCH(F34,'Focus Data NSpraying'!$C$4:$C$19,0),_xlfn.IFS(
AND(ISNUMBER(SEARCH("H-Dsty.",A34))=TRUE,ISNUMBER(SEARCH("H-Res",A34))=TRUE,ISNUMBER(SEARCH("E.",A34))=TRUE),1,
AND(ISNUMBER(SEARCH("H-Dsty.",A34))=TRUE,ISNUMBER(SEARCH("H-Res",A34))=TRUE,OR(ISNUMBER(SEARCH("N.he",A34))=TRUE,ISNUMBER(SEARCH("N.me",A34))=TRUE,ISNUMBER(SEARCH("N.li",A34))=TRUE)),2,
AND(ISNUMBER(SEARCH("H-Dsty.",A34))=TRUE,ISNUMBER(SEARCH("H-Res",A34))=TRUE,ISNUMBER(SEARCH("C.",A34))=TRUE),3,
AND(ISNUMBER(SEARCH("L-Dsty.",A34))=TRUE,ISNUMBER(SEARCH("H-Res",A34))=TRUE,ISNUMBER(SEARCH("E.",A34))=TRUE),6,
AND(ISNUMBER(SEARCH("L-Dsty.",A34))=TRUE,ISNUMBER(SEARCH("H-Res",A34))=TRUE,OR(ISNUMBER(SEARCH("N.he",A34))=TRUE,ISNUMBER(SEARCH("N.me",A34))=TRUE,ISNUMBER(SEARCH("N.li",A34))=TRUE)),7,
AND(ISNUMBER(SEARCH("L-Dsty.",A34))=TRUE,ISNUMBER(SEARCH("H-Res",A34))=TRUE,ISNUMBER(SEARCH("C.",A34))=TRUE),8,
AND(ISNUMBER(SEARCH("L-Dsty.",A34))=TRUE,ISNUMBER(SEARCH("L-Res",A34))=TRUE,ISNUMBER(SEARCH("E.",A34))=TRUE),11,
AND(ISNUMBER(SEARCH("L-Dsty.",A34))=TRUE,ISNUMBER(SEARCH("L-Res",A34))=TRUE,OR(ISNUMBER(SEARCH("N.he",A34))=TRUE,ISNUMBER(SEARCH("N.me",A34))=TRUE,ISNUMBER(SEARCH("N.li",A34))=TRUE)),12,
AND(ISNUMBER(SEARCH("L-Dsty.",A34))=TRUE,ISNUMBER(SEARCH("L-Res",A34))=TRUE,ISNUMBER(SEARCH("C.",A34))=TRUE),13))</f>
        <v>2</v>
      </c>
    </row>
    <row r="35" spans="1:42" x14ac:dyDescent="0.2">
      <c r="A35" t="s">
        <v>489</v>
      </c>
      <c r="B35" s="210" t="str">
        <f t="array" ref="B35">INDEX(ECOMOD_input_estimate!$A$2:$A$55, MATCH(CFT_input!$A35, ECOMOD_input_estimate!$B:$B, 0))</f>
        <v>FF_13.4</v>
      </c>
      <c r="C35" s="210">
        <v>2020</v>
      </c>
      <c r="D35" s="395" t="s">
        <v>1695</v>
      </c>
      <c r="E35" s="210" t="str">
        <f t="shared" si="0"/>
        <v>N.medium.L-Dsty.L-Res</v>
      </c>
      <c r="F35" s="210" t="str">
        <f t="array" ref="F35">_xlfn.SINGLE(IF(OR(ISNUMBER(SEARCH("heavy",A35))=TRUE,ISNUMBER(SEARCH("medium",A35))=TRUE),
INDEX('Focus Data Crop Rotations'!$D$4:$P$9,MATCH(D35,'Focus Data Crop Rotations'!$C$4:$C$9,0),_xlfn.SINGLE(_xlfn.IFS(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INDEX('Focus Data Crop Rotations'!$D$12:$P$17,MATCH(D35,'Focus Data Crop Rotations'!$C$12:$C$17,0),_xlfn.SINGLE(_xlfn.IFS(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winterwheat</v>
      </c>
      <c r="G35">
        <v>7.2</v>
      </c>
      <c r="H35" s="227">
        <f>VLOOKUP(F35,'CFT Specific Data'!$F$4:$H$19,3,FALSE)*G35*
IF(B35=B34,
IF(AND(ISNUMBER(SEARCH("wheat",F35))=TRUE,ISNUMBER(SEARCH("Barley",F34))=TRUE),0.89,
IF(AND(ISNUMBER(SEARCH("wheat",F35))=TRUE,F34="setaside"),0.94,
IF(AND(ISNUMBER(SEARCH("barley",F35))=TRUE,ISNUMBER(SEARCH("wheat",F34))=TRUE),0.89,
IF(AND(F35="winterbarley",F34="setaside"),0.94,
IF(AND(F35="sugarbeet",F34="warepotatoes"),0.95,
IF(AND((OR(ISNUMBER(SEARCH("beans",F35)),ISNUMBER(SEARCH("driedpeas",F35)),ISNUMBER(SEARCH("sugarbeet",F35)))=TRUE),ISNUMBER(SEARCH("osr",F34))=TRUE),0,
IF(AND((OR((ISNUMBER(SEARCH("wheat",F35))),ISNUMBER(SEARCH("linseed",F35)),ISNUMBER(SEARCH("driedpeas",F35)),ISNUMBER(SEARCH("osr",F35)))=TRUE),F34="sugarbeet"),0,
IF(AND((OR((ISNUMBER(SEARCH("osr",F35))),ISNUMBER(SEARCH("linseed",F35)))=TRUE),ISNUMBER(SEARCH("beans",F34))=TRUE),0,
IF(AND(F35="wosr",ISNUMBER(SEARCH("linseed",F34))=TRUE),0,
IF(AND(F35="sugarbeet",F34="warepotatoes"),0,
1)))))))))),
IF(AND(ISNUMBER(SEARCH("wheat",F35))=TRUE,ISNUMBER(SEARCH("Barley",F40))=TRUE),0.89,
IF(AND(ISNUMBER(SEARCH("wheat",F35))=TRUE,F40="setaside"),0.94,
IF(AND(ISNUMBER(SEARCH("barley",F35))=TRUE,ISNUMBER(SEARCH("wheat",F40))=TRUE),0.89,
IF(AND(F35="winterbarley",F40="setaside"),0.94,
IF(AND(F35="sugarbeet",F40="warepotatoes"),0.95,
IF(AND((OR(ISNUMBER(SEARCH("beans",F35)),ISNUMBER(SEARCH("driedpeas",F35)),ISNUMBER(SEARCH("sugarbeet",F35)))=TRUE),ISNUMBER(SEARCH("osr",F40))=TRUE),0,
IF(AND((OR((ISNUMBER(SEARCH("wheat",F35))),ISNUMBER(SEARCH("linseed",F35)),ISNUMBER(SEARCH("driedpeas",F35)),ISNUMBER(SEARCH("osr",F35)))=TRUE),F40="sugarbeet"),0,
IF(AND((OR((ISNUMBER(SEARCH("osr",F35))),ISNUMBER(SEARCH("linseed",F35)))=TRUE),ISNUMBER(SEARCH("beans",F40))=TRUE),0,
IF(AND(F35="wosr",ISNUMBER(SEARCH("linseed",F40))=TRUE),0,
IF(AND(F35="sugarbeet",F40="warepotatoes"),0,
1)))))))))))
*IF(OR(ISNUMBER(SEARCH("wheat",F35)),ISNUMBER(SEARCH("barley",F35)),ISNUMBER(SEARCH("driedpeas",F35)),ISNUMBER(SEARCH("warepotatoes",F35)),ISNUMBER(SEARCH("osr",F35)),ISNUMBER(SEARCH("linseed",F35)),ISNUMBER(SEARCH("sugarbeet",F35))),
IF(COUNTIF(B30:B34,B35)=5,
INDEX('CFT Specific Data'!$G$24:$L$39,MATCH(F35,'CFT Specific Data'!$F$24:$F$39,0),IF(COUNTIF(F30:F34,F35)=5,6,IF(COUNTIF(F31:F34,F35)=4,5,IF(COUNTIF(F32:F34,F35)=3,4,IF(COUNTIF(F33:F34,F35)=2,3,IF(F34=F35,2,1)))))),
IF(COUNTIF(B30:B34,B35)=4,
INDEX('CFT Specific Data'!$G$24:$L$39,MATCH(F35,'CFT Specific Data'!$F$24:$F$39,0),IF(SUM(COUNTIF(F31:F34,F35),COUNTIF(F36,F35))=5,6,IF(COUNTIF(F31:F34,F35)=4,5,IF(COUNTIF(F32:F34,F35)=3,4,IF(COUNTIF(F33:F34,F35)=2,3,IF(F34=F35,2,1)))))),
IF(COUNTIF(B30:B34,B35)=3,
INDEX('CFT Specific Data'!$G$24:$L$39,MATCH(F35,'CFT Specific Data'!$F$24:$F$39,0),IF(SUM(COUNTIF(F32:F34,F35),COUNTIF(F36:F37,F35))=5,6,IF(SUM(COUNTIF(F32:F34,F35),COUNTIF(F37,F35))=4,5,IF(COUNTIF(F32:F34,F35)=3,4,IF(COUNTIF(F33:F34,F35)=2,3,IF(F34=F35,2,1)))))),
IF(COUNTIF(B30:B34,B35)=2,
INDEX('CFT Specific Data'!$G$24:$L$39,MATCH(F35,'CFT Specific Data'!$F$24:$F$39,0),IF(SUM(COUNTIF(F33:F34,F35),COUNTIF(F36:F38,F35))=5,6,IF(SUM(COUNTIF(F33:F34,F35),COUNTIF(F37:F38,F35))=4,5,IF(SUM(COUNTIF(F33:F34,F35),COUNTIF(F38,F35))=3,4,IF(COUNTIF(F33:F34,F35)=2,3,IF(F34=F35,2,1)))))),
IF(COUNTIF(B30:B34,B35)=1,
INDEX('CFT Specific Data'!$G$24:$L$39,MATCH(F35,'CFT Specific Data'!$F$24:$F$39,0),IF(SUM(COUNTIF(F34,F35),COUNTIF(F36:F39,F35))=5,6,IF(SUM(COUNTIF(F34,F35),COUNTIF(F37:F39,F35))=4,5,IF(SUM(COUNTIF(F34,F35),COUNTIF(F38:F39,F35))=3,4,IF(SUM(COUNTIF(F34,F35),COUNTIF(F39,F35))=2,3,IF(F34=F35,2,1)))))),
IF(COUNTIF(B30:B34,B35)=0,
INDEX('CFT Specific Data'!$G$24:$L$39,MATCH(F35,'CFT Specific Data'!$F$24:$F$39,0),IF(COUNTIF(F36:F40,F35)=5,6,IF(COUNTIF(F37:F40,F35)=4,5,IF(COUNTIF(F38:F40,F35)=3,4,IF(COUNTIF(F39:F40,F35)=2,3,IF(F40=F35,2,1)))))))))))),1)</f>
        <v>61.92</v>
      </c>
      <c r="I35" s="210" t="s">
        <v>348</v>
      </c>
      <c r="J35">
        <v>10</v>
      </c>
      <c r="K35" s="210" t="str">
        <f>VLOOKUP(F35,'CFT Specific Data'!$F$4:$G$19,2,FALSE)</f>
        <v>Winter wheat</v>
      </c>
      <c r="L35" t="str">
        <f t="shared" si="1"/>
        <v>Medium</v>
      </c>
      <c r="M35">
        <f t="shared" si="2"/>
        <v>4.4720000000000004</v>
      </c>
      <c r="N35" t="str">
        <f t="shared" si="3"/>
        <v>1.72 &lt; SOM &lt;= 5.16</v>
      </c>
      <c r="O35" t="s">
        <v>349</v>
      </c>
      <c r="P35" t="s">
        <v>350</v>
      </c>
      <c r="Q35">
        <v>7</v>
      </c>
      <c r="R35" t="str">
        <f t="shared" si="5"/>
        <v>5.5 &lt; pH &lt;= 7.3</v>
      </c>
      <c r="S35" t="s">
        <v>351</v>
      </c>
      <c r="T35" s="210">
        <f t="array" ref="T35">_xlfn.SINGLE(INDEX('Focus Data NFertiliser Rate'!$D$4:$P$19,MATCH(F35,'Focus Data NFertiliser Rate'!$C$4:$C$19,0),_xlfn.SINGLE(_xlfn.IFS(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220</v>
      </c>
      <c r="U35" t="str">
        <f t="shared" si="4"/>
        <v>Apply in solution</v>
      </c>
      <c r="V35" s="210">
        <f t="array" ref="V35">_xlfn.SINGLE(INDEX('№ Fertiliser sprayings'!$D$4:$P$19,MATCH(F35,'№ Fertiliser sprayings'!$C$4:$C$19,0),_xlfn.SINGLE(_xlfn.IFS(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3</v>
      </c>
      <c r="W35" s="264">
        <f t="array" ref="W35">_xlfn.SINGLE(INDEX('Focus Data CFT NSpraying'!$D$4:$P$19,MATCH(F35,'Focus Data CFT NSpraying'!$C$4:$C$19,0),_xlfn.SINGLE(_xlfn.IFS(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2.7888000000000002</v>
      </c>
      <c r="X35" t="s">
        <v>363</v>
      </c>
      <c r="Y35">
        <v>0</v>
      </c>
      <c r="Z35">
        <v>100</v>
      </c>
      <c r="AA35" t="s">
        <v>352</v>
      </c>
      <c r="AB35" s="226" t="str">
        <f>IF(B35=B34,_xlfn.IFS(
AND(AA35=Lists!$L$8,AA34=Lists!$L$8),Lists!$N$5,
AND(OR(AA35=Lists!$L$5,AA35=Lists!$L$7,AA35=Lists!$L$9,AA35=Lists!$L$10,AA35=Lists!$L$6),OR(AA34=Lists!$L$5,AA34=Lists!$L$7,AA34=Lists!$L$9,AA34=Lists!$L$10,AA34=Lists!$L$6)),Lists!$N$5,
AND(AA35=Lists!$L$8,OR(AA34=Lists!$L$5,AA34=Lists!$L$7,AA34=Lists!$L$9,AA34=Lists!$L$10,AA34=Lists!$L$6)),Lists!$N$6,
AND(OR(AA35=Lists!$L$5,AA35=Lists!$L$6,AA35=Lists!$L$7,AA35=Lists!$L$9,AA35=Lists!$L$10),AA34=Lists!$L$8),Lists!$N$7),
_xlfn.IFS(
AND(AA35=Lists!$L$8,AA40=Lists!$L$8),Lists!$N$5,
AND(OR(AA35=Lists!$L$5,AA35=Lists!$L$7,AA35=Lists!$L$9,AA35=Lists!$L$10,AA35=Lists!$L$6),OR(AA40=Lists!$L$5,AA40=Lists!$L$7,AA40=Lists!$L$9,AA40=Lists!$L$10,AA40=Lists!$L$6)),Lists!$N$5,
AND(AA35=Lists!$L$8,OR(AA40=Lists!$L$5,AA40=Lists!$L$7,AA40=Lists!$L$9,AA40=Lists!$L$10,AA40=Lists!$L$6)),Lists!$N$6,
AND(OR(AA35=Lists!$L$5,AA35=Lists!$L$7,AA35=Lists!$L$9,AA35=Lists!$L$10),AA40=Lists!$L$8),Lists!$N$7))</f>
        <v>no change</v>
      </c>
      <c r="AC35">
        <v>0</v>
      </c>
      <c r="AD35">
        <v>0</v>
      </c>
      <c r="AE35" s="102">
        <f t="array" ref="AE35">IF(OR(ISNUMBER(SEARCH("heavy",A35))=TRUE, ISNUMBER(SEARCH("medium",A35))=TRUE),
(LEN(_xlfn.SINGLE(
INDEX('Focus Data Tillage by farm'!$D$4:$P$9,MATCH(D35,'Focus Data Tillage by farm'!$C$4:$C$9,0),_xlfn.SINGLE(_xlfn.IFS(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-LEN(SUBSTITUTE(_xlfn.SINGLE(
INDEX('Focus Data Tillage by farm'!$D$4:$P$9,MATCH(D35,'Focus Data Tillage by farm'!$C$4:$C$9,0),_xlfn.SINGLE(_xlfn.IFS(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"disc","")))/LEN("disc"),
(LEN(_xlfn.SINGLE(
INDEX('Focus Data Tillage by farm'!$D$12:$P$17,MATCH(D35,'Focus Data Tillage by farm'!$C$12:$C$17,0),_xlfn.SINGLE(_xlfn.IFS(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-LEN(SUBSTITUTE(_xlfn.SINGLE(
INDEX('Focus Data Tillage by farm'!$D$12:$P$17,MATCH(D35,'Focus Data Tillage by farm'!$C$12:$C$17,0),_xlfn.SINGLE(_xlfn.IFS(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"disc","")))/LEN("disc"))</f>
        <v>1</v>
      </c>
      <c r="AF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"field cultivator","")))/LEN("field cultivator"),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"field cultivator","")))/LEN("field cultivator"))</f>
        <v>0</v>
      </c>
      <c r="AG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"grain drill","")))/LEN("grain drill"),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"grain drill","")))/LEN("grain drill"))</f>
        <v>1</v>
      </c>
      <c r="AH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"minimum tillage","")))/LEN("minimum tillage"),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"minimum tillage","")))/LEN("minimum tillage"))</f>
        <v>0</v>
      </c>
      <c r="AI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"row crop planter","")))/LEN("row crop planter"),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"row crop planter","")))/LEN("row crop planter"))</f>
        <v>0</v>
      </c>
      <c r="AJ35" s="102">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"plough","")))/LEN("plough"),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"plough","")))/LEN("plough"))</f>
        <v>0</v>
      </c>
      <c r="AK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harrow","")))/LEN("roller harrow"),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harrow","")))/LEN("roller harrow"))</f>
        <v>0</v>
      </c>
      <c r="AL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packer","")))/LEN("roller packer"),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"roller packer","")))/LEN("roller packer"))</f>
        <v>2</v>
      </c>
      <c r="AM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"rotary hoe","")))/LEN("rotary hoe"),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"rotary hoe","")))/LEN("rotary hoe"))</f>
        <v>0</v>
      </c>
      <c r="AN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"subsoil","")))/LEN("subsoil"),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"subsoil","")))/LEN("subsoil"))</f>
        <v>0</v>
      </c>
      <c r="AO35">
        <f>IF(OR(ISNUMBER(SEARCH("heavy",A35))=TRUE, ISNUMBER(SEARCH("medium",A35))=TRUE),
(LEN(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farm'!$D$4:$P$9,MATCH(D35,'Focus Data Tillage by farm'!$C$4:$C$9,0),_xlfn.IFS(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"tine harrow","")))/LEN("tine harrow"),
(LEN(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-LEN(SUBSTITUTE(
INDEX('Focus Data Tillage by farm'!$D$12:$P$17,MATCH(D35,'Focus Data Tillage by farm'!$C$12:$C$17,0),_xlfn.IFS(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
"tine harrow","")))/LEN("tine harrow"))</f>
        <v>0</v>
      </c>
      <c r="AP35" s="102">
        <f>INDEX('Focus Data NSpraying'!$D$4:$P$19,MATCH(F35,'Focus Data NSpraying'!$C$4:$C$19,0),_xlfn.IFS(
AND(ISNUMBER(SEARCH("H-Dsty.",A35))=TRUE,ISNUMBER(SEARCH("H-Res",A35))=TRUE,ISNUMBER(SEARCH("E.",A35))=TRUE),1,
AND(ISNUMBER(SEARCH("H-Dsty.",A35))=TRUE,ISNUMBER(SEARCH("H-Res",A35))=TRUE,OR(ISNUMBER(SEARCH("N.he",A35))=TRUE,ISNUMBER(SEARCH("N.me",A35))=TRUE,ISNUMBER(SEARCH("N.li",A35))=TRUE)),2,
AND(ISNUMBER(SEARCH("H-Dsty.",A35))=TRUE,ISNUMBER(SEARCH("H-Res",A35))=TRUE,ISNUMBER(SEARCH("C.",A35))=TRUE),3,
AND(ISNUMBER(SEARCH("L-Dsty.",A35))=TRUE,ISNUMBER(SEARCH("H-Res",A35))=TRUE,ISNUMBER(SEARCH("E.",A35))=TRUE),6,
AND(ISNUMBER(SEARCH("L-Dsty.",A35))=TRUE,ISNUMBER(SEARCH("H-Res",A35))=TRUE,OR(ISNUMBER(SEARCH("N.he",A35))=TRUE,ISNUMBER(SEARCH("N.me",A35))=TRUE,ISNUMBER(SEARCH("N.li",A35))=TRUE)),7,
AND(ISNUMBER(SEARCH("L-Dsty.",A35))=TRUE,ISNUMBER(SEARCH("H-Res",A35))=TRUE,ISNUMBER(SEARCH("C.",A35))=TRUE),8,
AND(ISNUMBER(SEARCH("L-Dsty.",A35))=TRUE,ISNUMBER(SEARCH("L-Res",A35))=TRUE,ISNUMBER(SEARCH("E.",A35))=TRUE),11,
AND(ISNUMBER(SEARCH("L-Dsty.",A35))=TRUE,ISNUMBER(SEARCH("L-Res",A35))=TRUE,OR(ISNUMBER(SEARCH("N.he",A35))=TRUE,ISNUMBER(SEARCH("N.me",A35))=TRUE,ISNUMBER(SEARCH("N.li",A35))=TRUE)),12,
AND(ISNUMBER(SEARCH("L-Dsty.",A35))=TRUE,ISNUMBER(SEARCH("L-Res",A35))=TRUE,ISNUMBER(SEARCH("C.",A35))=TRUE),13))</f>
        <v>3</v>
      </c>
    </row>
    <row r="36" spans="1:42" x14ac:dyDescent="0.2">
      <c r="A36" t="s">
        <v>489</v>
      </c>
      <c r="B36" s="210" t="str">
        <f t="array" ref="B36">INDEX(ECOMOD_input_estimate!$A$2:$A$55, MATCH(CFT_input!$A36, ECOMOD_input_estimate!$B:$B, 0))</f>
        <v>FF_13.4</v>
      </c>
      <c r="C36" s="210">
        <v>2020</v>
      </c>
      <c r="D36" s="395" t="s">
        <v>1696</v>
      </c>
      <c r="E36" s="210" t="str">
        <f t="shared" si="0"/>
        <v>N.medium.L-Dsty.L-Res</v>
      </c>
      <c r="F36" s="210" t="str">
        <f t="array" ref="F36">_xlfn.SINGLE(IF(OR(ISNUMBER(SEARCH("heavy",A36))=TRUE,ISNUMBER(SEARCH("medium",A36))=TRUE),
INDEX('Focus Data Crop Rotations'!$D$4:$P$9,MATCH(D36,'Focus Data Crop Rotations'!$C$4:$C$9,0),_xlfn.SINGLE(_xlfn.IFS(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INDEX('Focus Data Crop Rotations'!$D$12:$P$17,MATCH(D36,'Focus Data Crop Rotations'!$C$12:$C$17,0),_xlfn.SINGLE(_xlfn.IFS(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springbeans</v>
      </c>
      <c r="G36">
        <v>7.2</v>
      </c>
      <c r="H36" s="227">
        <f>VLOOKUP(F36,'CFT Specific Data'!$F$4:$H$19,3,FALSE)*G36*
IF(B36=B35,
IF(AND(ISNUMBER(SEARCH("wheat",F36))=TRUE,ISNUMBER(SEARCH("Barley",F35))=TRUE),0.89,
IF(AND(ISNUMBER(SEARCH("wheat",F36))=TRUE,F35="setaside"),0.94,
IF(AND(ISNUMBER(SEARCH("barley",F36))=TRUE,ISNUMBER(SEARCH("wheat",F35))=TRUE),0.89,
IF(AND(F36="winterbarley",F35="setaside"),0.94,
IF(AND(F36="sugarbeet",F35="warepotatoes"),0.95,
IF(AND((OR(ISNUMBER(SEARCH("beans",F36)),ISNUMBER(SEARCH("driedpeas",F36)),ISNUMBER(SEARCH("sugarbeet",F36)))=TRUE),ISNUMBER(SEARCH("osr",F35))=TRUE),0,
IF(AND((OR((ISNUMBER(SEARCH("wheat",F36))),ISNUMBER(SEARCH("linseed",F36)),ISNUMBER(SEARCH("driedpeas",F36)),ISNUMBER(SEARCH("osr",F36)))=TRUE),F35="sugarbeet"),0,
IF(AND((OR((ISNUMBER(SEARCH("osr",F36))),ISNUMBER(SEARCH("linseed",F36)))=TRUE),ISNUMBER(SEARCH("beans",F35))=TRUE),0,
IF(AND(F36="wosr",ISNUMBER(SEARCH("linseed",F35))=TRUE),0,
IF(AND(F36="sugarbeet",F35="warepotatoes"),0,
1)))))))))),
IF(AND(ISNUMBER(SEARCH("wheat",F36))=TRUE,ISNUMBER(SEARCH("Barley",F41))=TRUE),0.89,
IF(AND(ISNUMBER(SEARCH("wheat",F36))=TRUE,F41="setaside"),0.94,
IF(AND(ISNUMBER(SEARCH("barley",F36))=TRUE,ISNUMBER(SEARCH("wheat",F41))=TRUE),0.89,
IF(AND(F36="winterbarley",F41="setaside"),0.94,
IF(AND(F36="sugarbeet",F41="warepotatoes"),0.95,
IF(AND((OR(ISNUMBER(SEARCH("beans",F36)),ISNUMBER(SEARCH("driedpeas",F36)),ISNUMBER(SEARCH("sugarbeet",F36)))=TRUE),ISNUMBER(SEARCH("osr",F41))=TRUE),0,
IF(AND((OR((ISNUMBER(SEARCH("wheat",F36))),ISNUMBER(SEARCH("linseed",F36)),ISNUMBER(SEARCH("driedpeas",F36)),ISNUMBER(SEARCH("osr",F36)))=TRUE),F41="sugarbeet"),0,
IF(AND((OR((ISNUMBER(SEARCH("osr",F36))),ISNUMBER(SEARCH("linseed",F36)))=TRUE),ISNUMBER(SEARCH("beans",F41))=TRUE),0,
IF(AND(F36="wosr",ISNUMBER(SEARCH("linseed",F41))=TRUE),0,
IF(AND(F36="sugarbeet",F41="warepotatoes"),0,
1)))))))))))
*IF(OR(ISNUMBER(SEARCH("wheat",F36)),ISNUMBER(SEARCH("barley",F36)),ISNUMBER(SEARCH("driedpeas",F36)),ISNUMBER(SEARCH("warepotatoes",F36)),ISNUMBER(SEARCH("osr",F36)),ISNUMBER(SEARCH("linseed",F36)),ISNUMBER(SEARCH("sugarbeet",F36))),
IF(COUNTIF(B31:B35,B36)=5,
INDEX('CFT Specific Data'!$G$24:$L$39,MATCH(F36,'CFT Specific Data'!$F$24:$F$39,0),IF(COUNTIF(F31:F35,F36)=5,6,IF(COUNTIF(F32:F35,F36)=4,5,IF(COUNTIF(F33:F35,F36)=3,4,IF(COUNTIF(F34:F35,F36)=2,3,IF(F35=F36,2,1)))))),
IF(COUNTIF(B31:B35,B36)=4,
INDEX('CFT Specific Data'!$G$24:$L$39,MATCH(F36,'CFT Specific Data'!$F$24:$F$39,0),IF(SUM(COUNTIF(F32:F35,F36),COUNTIF(F37,F36))=5,6,IF(COUNTIF(F32:F35,F36)=4,5,IF(COUNTIF(F33:F35,F36)=3,4,IF(COUNTIF(F34:F35,F36)=2,3,IF(F35=F36,2,1)))))),
IF(COUNTIF(B31:B35,B36)=3,
INDEX('CFT Specific Data'!$G$24:$L$39,MATCH(F36,'CFT Specific Data'!$F$24:$F$39,0),IF(SUM(COUNTIF(F33:F35,F36),COUNTIF(F37:F38,F36))=5,6,IF(SUM(COUNTIF(F33:F35,F36),COUNTIF(F38,F36))=4,5,IF(COUNTIF(F33:F35,F36)=3,4,IF(COUNTIF(F34:F35,F36)=2,3,IF(F35=F36,2,1)))))),
IF(COUNTIF(B31:B35,B36)=2,
INDEX('CFT Specific Data'!$G$24:$L$39,MATCH(F36,'CFT Specific Data'!$F$24:$F$39,0),IF(SUM(COUNTIF(F34:F35,F36),COUNTIF(F37:F39,F36))=5,6,IF(SUM(COUNTIF(F34:F35,F36),COUNTIF(F38:F39,F36))=4,5,IF(SUM(COUNTIF(F34:F35,F36),COUNTIF(F39,F36))=3,4,IF(COUNTIF(F34:F35,F36)=2,3,IF(F35=F36,2,1)))))),
IF(COUNTIF(B31:B35,B36)=1,
INDEX('CFT Specific Data'!$G$24:$L$39,MATCH(F36,'CFT Specific Data'!$F$24:$F$39,0),IF(SUM(COUNTIF(F35,F36),COUNTIF(F37:F40,F36))=5,6,IF(SUM(COUNTIF(F35,F36),COUNTIF(F38:F40,F36))=4,5,IF(SUM(COUNTIF(F35,F36),COUNTIF(F39:F40,F36))=3,4,IF(SUM(COUNTIF(F35,F36),COUNTIF(F40,F36))=2,3,IF(F35=F36,2,1)))))),
IF(COUNTIF(B31:B35,B36)=0,
INDEX('CFT Specific Data'!$G$24:$L$39,MATCH(F36,'CFT Specific Data'!$F$24:$F$39,0),IF(COUNTIF(F37:F41,F36)=5,6,IF(COUNTIF(F38:F41,F36)=4,5,IF(COUNTIF(F39:F41,F36)=3,4,IF(COUNTIF(F40:F41,F36)=2,3,IF(F41=F36,2,1)))))))))))),1)</f>
        <v>28.08</v>
      </c>
      <c r="I36" s="210" t="s">
        <v>348</v>
      </c>
      <c r="J36">
        <v>10</v>
      </c>
      <c r="K36" s="210" t="str">
        <f>VLOOKUP(F36,'CFT Specific Data'!$F$4:$G$19,2,FALSE)</f>
        <v>Other legume</v>
      </c>
      <c r="L36" t="str">
        <f t="shared" si="1"/>
        <v>Medium</v>
      </c>
      <c r="M36">
        <f t="shared" si="2"/>
        <v>4.4720000000000004</v>
      </c>
      <c r="N36" t="str">
        <f t="shared" si="3"/>
        <v>1.72 &lt; SOM &lt;= 5.16</v>
      </c>
      <c r="O36" t="s">
        <v>349</v>
      </c>
      <c r="P36" t="s">
        <v>350</v>
      </c>
      <c r="Q36">
        <v>7</v>
      </c>
      <c r="R36" t="str">
        <f t="shared" si="5"/>
        <v>5.5 &lt; pH &lt;= 7.3</v>
      </c>
      <c r="S36" t="s">
        <v>351</v>
      </c>
      <c r="T36" s="210">
        <f t="array" ref="T36">_xlfn.SINGLE(INDEX('Focus Data NFertiliser Rate'!$D$4:$P$19,MATCH(F36,'Focus Data NFertiliser Rate'!$C$4:$C$19,0),_xlfn.SINGLE(_xlfn.IFS(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0</v>
      </c>
      <c r="U36">
        <f t="shared" si="4"/>
        <v>0</v>
      </c>
      <c r="V36" s="210">
        <f t="array" ref="V36">_xlfn.SINGLE(INDEX('№ Fertiliser sprayings'!$D$4:$P$19,MATCH(F36,'№ Fertiliser sprayings'!$C$4:$C$19,0),_xlfn.SINGLE(_xlfn.IFS(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0</v>
      </c>
      <c r="W36" s="264">
        <f t="array" ref="W36">_xlfn.SINGLE(INDEX('Focus Data CFT NSpraying'!$D$4:$P$19,MATCH(F36,'Focus Data CFT NSpraying'!$C$4:$C$19,0),_xlfn.SINGLE(_xlfn.IFS(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6.4536000000000007</v>
      </c>
      <c r="X36" t="s">
        <v>363</v>
      </c>
      <c r="Y36">
        <v>0</v>
      </c>
      <c r="Z36">
        <v>100</v>
      </c>
      <c r="AA36" t="s">
        <v>352</v>
      </c>
      <c r="AB36" s="226" t="str">
        <f>IF(B36=B35,_xlfn.IFS(
AND(AA36=Lists!$L$8,AA35=Lists!$L$8),Lists!$N$5,
AND(OR(AA36=Lists!$L$5,AA36=Lists!$L$7,AA36=Lists!$L$9,AA36=Lists!$L$10,AA36=Lists!$L$6),OR(AA35=Lists!$L$5,AA35=Lists!$L$7,AA35=Lists!$L$9,AA35=Lists!$L$10,AA35=Lists!$L$6)),Lists!$N$5,
AND(AA36=Lists!$L$8,OR(AA35=Lists!$L$5,AA35=Lists!$L$7,AA35=Lists!$L$9,AA35=Lists!$L$10,AA35=Lists!$L$6)),Lists!$N$6,
AND(OR(AA36=Lists!$L$5,AA36=Lists!$L$6,AA36=Lists!$L$7,AA36=Lists!$L$9,AA36=Lists!$L$10),AA35=Lists!$L$8),Lists!$N$7),
_xlfn.IFS(
AND(AA36=Lists!$L$8,AA41=Lists!$L$8),Lists!$N$5,
AND(OR(AA36=Lists!$L$5,AA36=Lists!$L$7,AA36=Lists!$L$9,AA36=Lists!$L$10,AA36=Lists!$L$6),OR(AA41=Lists!$L$5,AA41=Lists!$L$7,AA41=Lists!$L$9,AA41=Lists!$L$10,AA41=Lists!$L$6)),Lists!$N$5,
AND(AA36=Lists!$L$8,OR(AA41=Lists!$L$5,AA41=Lists!$L$7,AA41=Lists!$L$9,AA41=Lists!$L$10,AA41=Lists!$L$6)),Lists!$N$6,
AND(OR(AA36=Lists!$L$5,AA36=Lists!$L$7,AA36=Lists!$L$9,AA36=Lists!$L$10),AA41=Lists!$L$8),Lists!$N$7))</f>
        <v>no change</v>
      </c>
      <c r="AC36">
        <v>0</v>
      </c>
      <c r="AD36">
        <v>0</v>
      </c>
      <c r="AE36" s="102">
        <f t="array" ref="AE36">IF(OR(ISNUMBER(SEARCH("heavy",A36))=TRUE, ISNUMBER(SEARCH("medium",A36))=TRUE),
(LEN(_xlfn.SINGLE(
INDEX('Focus Data Tillage by farm'!$D$4:$P$9,MATCH(D36,'Focus Data Tillage by farm'!$C$4:$C$9,0),_xlfn.SINGLE(_xlfn.IFS(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-LEN(SUBSTITUTE(_xlfn.SINGLE(
INDEX('Focus Data Tillage by farm'!$D$4:$P$9,MATCH(D36,'Focus Data Tillage by farm'!$C$4:$C$9,0),_xlfn.SINGLE(_xlfn.IFS(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"disc","")))/LEN("disc"),
(LEN(_xlfn.SINGLE(
INDEX('Focus Data Tillage by farm'!$D$12:$P$17,MATCH(D36,'Focus Data Tillage by farm'!$C$12:$C$17,0),_xlfn.SINGLE(_xlfn.IFS(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-LEN(SUBSTITUTE(_xlfn.SINGLE(
INDEX('Focus Data Tillage by farm'!$D$12:$P$17,MATCH(D36,'Focus Data Tillage by farm'!$C$12:$C$17,0),_xlfn.SINGLE(_xlfn.IFS(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"disc","")))/LEN("disc"))</f>
        <v>2</v>
      </c>
      <c r="AF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"field cultivator","")))/LEN("field cultivator"),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"field cultivator","")))/LEN("field cultivator"))</f>
        <v>0</v>
      </c>
      <c r="AG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"grain drill","")))/LEN("grain drill"),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"grain drill","")))/LEN("grain drill"))</f>
        <v>1</v>
      </c>
      <c r="AH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"minimum tillage","")))/LEN("minimum tillage"),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"minimum tillage","")))/LEN("minimum tillage"))</f>
        <v>0</v>
      </c>
      <c r="AI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"row crop planter","")))/LEN("row crop planter"),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"row crop planter","")))/LEN("row crop planter"))</f>
        <v>0</v>
      </c>
      <c r="AJ36" s="102">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"plough","")))/LEN("plough"),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"plough","")))/LEN("plough"))</f>
        <v>0</v>
      </c>
      <c r="AK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harrow","")))/LEN("roller harrow"),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harrow","")))/LEN("roller harrow"))</f>
        <v>0</v>
      </c>
      <c r="AL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packer","")))/LEN("roller packer"),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"roller packer","")))/LEN("roller packer"))</f>
        <v>2</v>
      </c>
      <c r="AM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"rotary hoe","")))/LEN("rotary hoe"),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"rotary hoe","")))/LEN("rotary hoe"))</f>
        <v>0</v>
      </c>
      <c r="AN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"subsoil","")))/LEN("subsoil"),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"subsoil","")))/LEN("subsoil"))</f>
        <v>0</v>
      </c>
      <c r="AO36">
        <f>IF(OR(ISNUMBER(SEARCH("heavy",A36))=TRUE, ISNUMBER(SEARCH("medium",A36))=TRUE),
(LEN(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farm'!$D$4:$P$9,MATCH(D36,'Focus Data Tillage by farm'!$C$4:$C$9,0),_xlfn.IFS(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"tine harrow","")))/LEN("tine harrow"),
(LEN(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-LEN(SUBSTITUTE(
INDEX('Focus Data Tillage by farm'!$D$12:$P$17,MATCH(D36,'Focus Data Tillage by farm'!$C$12:$C$17,0),_xlfn.IFS(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
"tine harrow","")))/LEN("tine harrow"))</f>
        <v>0</v>
      </c>
      <c r="AP36" s="102">
        <f>INDEX('Focus Data NSpraying'!$D$4:$P$19,MATCH(F36,'Focus Data NSpraying'!$C$4:$C$19,0),_xlfn.IFS(
AND(ISNUMBER(SEARCH("H-Dsty.",A36))=TRUE,ISNUMBER(SEARCH("H-Res",A36))=TRUE,ISNUMBER(SEARCH("E.",A36))=TRUE),1,
AND(ISNUMBER(SEARCH("H-Dsty.",A36))=TRUE,ISNUMBER(SEARCH("H-Res",A36))=TRUE,OR(ISNUMBER(SEARCH("N.he",A36))=TRUE,ISNUMBER(SEARCH("N.me",A36))=TRUE,ISNUMBER(SEARCH("N.li",A36))=TRUE)),2,
AND(ISNUMBER(SEARCH("H-Dsty.",A36))=TRUE,ISNUMBER(SEARCH("H-Res",A36))=TRUE,ISNUMBER(SEARCH("C.",A36))=TRUE),3,
AND(ISNUMBER(SEARCH("L-Dsty.",A36))=TRUE,ISNUMBER(SEARCH("H-Res",A36))=TRUE,ISNUMBER(SEARCH("E.",A36))=TRUE),6,
AND(ISNUMBER(SEARCH("L-Dsty.",A36))=TRUE,ISNUMBER(SEARCH("H-Res",A36))=TRUE,OR(ISNUMBER(SEARCH("N.he",A36))=TRUE,ISNUMBER(SEARCH("N.me",A36))=TRUE,ISNUMBER(SEARCH("N.li",A36))=TRUE)),7,
AND(ISNUMBER(SEARCH("L-Dsty.",A36))=TRUE,ISNUMBER(SEARCH("H-Res",A36))=TRUE,ISNUMBER(SEARCH("C.",A36))=TRUE),8,
AND(ISNUMBER(SEARCH("L-Dsty.",A36))=TRUE,ISNUMBER(SEARCH("L-Res",A36))=TRUE,ISNUMBER(SEARCH("E.",A36))=TRUE),11,
AND(ISNUMBER(SEARCH("L-Dsty.",A36))=TRUE,ISNUMBER(SEARCH("L-Res",A36))=TRUE,OR(ISNUMBER(SEARCH("N.he",A36))=TRUE,ISNUMBER(SEARCH("N.me",A36))=TRUE,ISNUMBER(SEARCH("N.li",A36))=TRUE)),12,
AND(ISNUMBER(SEARCH("L-Dsty.",A36))=TRUE,ISNUMBER(SEARCH("L-Res",A36))=TRUE,ISNUMBER(SEARCH("C.",A36))=TRUE),13))</f>
        <v>3</v>
      </c>
    </row>
    <row r="37" spans="1:42" x14ac:dyDescent="0.2">
      <c r="A37" t="s">
        <v>489</v>
      </c>
      <c r="B37" s="210" t="str">
        <f t="array" ref="B37">INDEX(ECOMOD_input_estimate!$A$2:$A$55, MATCH(CFT_input!$A37, ECOMOD_input_estimate!$B:$B, 0))</f>
        <v>FF_13.4</v>
      </c>
      <c r="C37" s="210">
        <v>2020</v>
      </c>
      <c r="D37" s="395" t="s">
        <v>735</v>
      </c>
      <c r="E37" s="210" t="str">
        <f t="shared" si="0"/>
        <v>N.medium.L-Dsty.L-Res</v>
      </c>
      <c r="F37" s="210" t="str">
        <f t="array" ref="F37">_xlfn.SINGLE(IF(OR(ISNUMBER(SEARCH("heavy",A37))=TRUE,ISNUMBER(SEARCH("medium",A37))=TRUE),
INDEX('Focus Data Crop Rotations'!$D$4:$P$9,MATCH(D37,'Focus Data Crop Rotations'!$C$4:$C$9,0),_xlfn.SINGLE(_xlfn.IFS(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INDEX('Focus Data Crop Rotations'!$D$12:$P$17,MATCH(D37,'Focus Data Crop Rotations'!$C$12:$C$17,0),_xlfn.SINGLE(_xlfn.IFS(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winterwheat</v>
      </c>
      <c r="G37">
        <v>7.2</v>
      </c>
      <c r="H37" s="227">
        <f>VLOOKUP(F37,'CFT Specific Data'!$F$4:$H$19,3,FALSE)*G37*
IF(B37=B36,
IF(AND(ISNUMBER(SEARCH("wheat",F37))=TRUE,ISNUMBER(SEARCH("Barley",F36))=TRUE),0.89,
IF(AND(ISNUMBER(SEARCH("wheat",F37))=TRUE,F36="setaside"),0.94,
IF(AND(ISNUMBER(SEARCH("barley",F37))=TRUE,ISNUMBER(SEARCH("wheat",F36))=TRUE),0.89,
IF(AND(F37="winterbarley",F36="setaside"),0.94,
IF(AND(F37="sugarbeet",F36="warepotatoes"),0.95,
IF(AND((OR(ISNUMBER(SEARCH("beans",F37)),ISNUMBER(SEARCH("driedpeas",F37)),ISNUMBER(SEARCH("sugarbeet",F37)))=TRUE),ISNUMBER(SEARCH("osr",F36))=TRUE),0,
IF(AND((OR((ISNUMBER(SEARCH("wheat",F37))),ISNUMBER(SEARCH("linseed",F37)),ISNUMBER(SEARCH("driedpeas",F37)),ISNUMBER(SEARCH("osr",F37)))=TRUE),F36="sugarbeet"),0,
IF(AND((OR((ISNUMBER(SEARCH("osr",F37))),ISNUMBER(SEARCH("linseed",F37)))=TRUE),ISNUMBER(SEARCH("beans",F36))=TRUE),0,
IF(AND(F37="wosr",ISNUMBER(SEARCH("linseed",F36))=TRUE),0,
IF(AND(F37="sugarbeet",F36="warepotatoes"),0,
1)))))))))),
IF(AND(ISNUMBER(SEARCH("wheat",F37))=TRUE,ISNUMBER(SEARCH("Barley",F42))=TRUE),0.89,
IF(AND(ISNUMBER(SEARCH("wheat",F37))=TRUE,F42="setaside"),0.94,
IF(AND(ISNUMBER(SEARCH("barley",F37))=TRUE,ISNUMBER(SEARCH("wheat",F42))=TRUE),0.89,
IF(AND(F37="winterbarley",F42="setaside"),0.94,
IF(AND(F37="sugarbeet",F42="warepotatoes"),0.95,
IF(AND((OR(ISNUMBER(SEARCH("beans",F37)),ISNUMBER(SEARCH("driedpeas",F37)),ISNUMBER(SEARCH("sugarbeet",F37)))=TRUE),ISNUMBER(SEARCH("osr",F42))=TRUE),0,
IF(AND((OR((ISNUMBER(SEARCH("wheat",F37))),ISNUMBER(SEARCH("linseed",F37)),ISNUMBER(SEARCH("driedpeas",F37)),ISNUMBER(SEARCH("osr",F37)))=TRUE),F42="sugarbeet"),0,
IF(AND((OR((ISNUMBER(SEARCH("osr",F37))),ISNUMBER(SEARCH("linseed",F37)))=TRUE),ISNUMBER(SEARCH("beans",F42))=TRUE),0,
IF(AND(F37="wosr",ISNUMBER(SEARCH("linseed",F42))=TRUE),0,
IF(AND(F37="sugarbeet",F42="warepotatoes"),0,
1)))))))))))
*IF(OR(ISNUMBER(SEARCH("wheat",F37)),ISNUMBER(SEARCH("barley",F37)),ISNUMBER(SEARCH("driedpeas",F37)),ISNUMBER(SEARCH("warepotatoes",F37)),ISNUMBER(SEARCH("osr",F37)),ISNUMBER(SEARCH("linseed",F37)),ISNUMBER(SEARCH("sugarbeet",F37))),
IF(COUNTIF(B32:B36,B37)=5,
INDEX('CFT Specific Data'!$G$24:$L$39,MATCH(F37,'CFT Specific Data'!$F$24:$F$39,0),IF(COUNTIF(F32:F36,F37)=5,6,IF(COUNTIF(F33:F36,F37)=4,5,IF(COUNTIF(F34:F36,F37)=3,4,IF(COUNTIF(F35:F36,F37)=2,3,IF(F36=F37,2,1)))))),
IF(COUNTIF(B32:B36,B37)=4,
INDEX('CFT Specific Data'!$G$24:$L$39,MATCH(F37,'CFT Specific Data'!$F$24:$F$39,0),IF(SUM(COUNTIF(F33:F36,F37),COUNTIF(F38,F37))=5,6,IF(COUNTIF(F33:F36,F37)=4,5,IF(COUNTIF(F34:F36,F37)=3,4,IF(COUNTIF(F35:F36,F37)=2,3,IF(F36=F37,2,1)))))),
IF(COUNTIF(B32:B36,B37)=3,
INDEX('CFT Specific Data'!$G$24:$L$39,MATCH(F37,'CFT Specific Data'!$F$24:$F$39,0),IF(SUM(COUNTIF(F34:F36,F37),COUNTIF(F38:F39,F37))=5,6,IF(SUM(COUNTIF(F34:F36,F37),COUNTIF(F39,F37))=4,5,IF(COUNTIF(F34:F36,F37)=3,4,IF(COUNTIF(F35:F36,F37)=2,3,IF(F36=F37,2,1)))))),
IF(COUNTIF(B32:B36,B37)=2,
INDEX('CFT Specific Data'!$G$24:$L$39,MATCH(F37,'CFT Specific Data'!$F$24:$F$39,0),IF(SUM(COUNTIF(F35:F36,F37),COUNTIF(F38:F40,F37))=5,6,IF(SUM(COUNTIF(F35:F36,F37),COUNTIF(F39:F40,F37))=4,5,IF(SUM(COUNTIF(F35:F36,F37),COUNTIF(F40,F37))=3,4,IF(COUNTIF(F35:F36,F37)=2,3,IF(F36=F37,2,1)))))),
IF(COUNTIF(B32:B36,B37)=1,
INDEX('CFT Specific Data'!$G$24:$L$39,MATCH(F37,'CFT Specific Data'!$F$24:$F$39,0),IF(SUM(COUNTIF(F36,F37),COUNTIF(F38:F41,F37))=5,6,IF(SUM(COUNTIF(F36,F37),COUNTIF(F39:F41,F37))=4,5,IF(SUM(COUNTIF(F36,F37),COUNTIF(F40:F41,F37))=3,4,IF(SUM(COUNTIF(F36,F37),COUNTIF(F41,F37))=2,3,IF(F36=F37,2,1)))))),
IF(COUNTIF(B32:B36,B37)=0,
INDEX('CFT Specific Data'!$G$24:$L$39,MATCH(F37,'CFT Specific Data'!$F$24:$F$39,0),IF(COUNTIF(F38:F42,F37)=5,6,IF(COUNTIF(F39:F42,F37)=4,5,IF(COUNTIF(F40:F42,F37)=3,4,IF(COUNTIF(F41:F42,F37)=2,3,IF(F42=F37,2,1)))))))))))),1)</f>
        <v>61.92</v>
      </c>
      <c r="I37" s="210" t="s">
        <v>348</v>
      </c>
      <c r="J37">
        <v>10</v>
      </c>
      <c r="K37" s="210" t="str">
        <f>VLOOKUP(F37,'CFT Specific Data'!$F$4:$G$19,2,FALSE)</f>
        <v>Winter wheat</v>
      </c>
      <c r="L37" t="str">
        <f t="shared" si="1"/>
        <v>Medium</v>
      </c>
      <c r="M37">
        <f t="shared" si="2"/>
        <v>4.4720000000000004</v>
      </c>
      <c r="N37" t="str">
        <f t="shared" si="3"/>
        <v>1.72 &lt; SOM &lt;= 5.16</v>
      </c>
      <c r="O37" t="s">
        <v>349</v>
      </c>
      <c r="P37" t="s">
        <v>350</v>
      </c>
      <c r="Q37">
        <v>7</v>
      </c>
      <c r="R37" t="str">
        <f t="shared" si="5"/>
        <v>5.5 &lt; pH &lt;= 7.3</v>
      </c>
      <c r="S37" t="s">
        <v>351</v>
      </c>
      <c r="T37" s="210">
        <f t="array" ref="T37">_xlfn.SINGLE(INDEX('Focus Data NFertiliser Rate'!$D$4:$P$19,MATCH(F37,'Focus Data NFertiliser Rate'!$C$4:$C$19,0),_xlfn.SINGLE(_xlfn.IFS(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220</v>
      </c>
      <c r="U37" t="str">
        <f t="shared" si="4"/>
        <v>Apply in solution</v>
      </c>
      <c r="V37" s="210">
        <f t="array" ref="V37">_xlfn.SINGLE(INDEX('№ Fertiliser sprayings'!$D$4:$P$19,MATCH(F37,'№ Fertiliser sprayings'!$C$4:$C$19,0),_xlfn.SINGLE(_xlfn.IFS(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3</v>
      </c>
      <c r="W37" s="264">
        <f t="array" ref="W37">_xlfn.SINGLE(INDEX('Focus Data CFT NSpraying'!$D$4:$P$19,MATCH(F37,'Focus Data CFT NSpraying'!$C$4:$C$19,0),_xlfn.SINGLE(_xlfn.IFS(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2.7888000000000002</v>
      </c>
      <c r="X37" t="s">
        <v>363</v>
      </c>
      <c r="Y37">
        <v>0</v>
      </c>
      <c r="Z37">
        <v>100</v>
      </c>
      <c r="AA37" t="s">
        <v>352</v>
      </c>
      <c r="AB37" s="226" t="str">
        <f>IF(B37=B36,_xlfn.IFS(
AND(AA37=Lists!$L$8,AA36=Lists!$L$8),Lists!$N$5,
AND(OR(AA37=Lists!$L$5,AA37=Lists!$L$7,AA37=Lists!$L$9,AA37=Lists!$L$10,AA37=Lists!$L$6),OR(AA36=Lists!$L$5,AA36=Lists!$L$7,AA36=Lists!$L$9,AA36=Lists!$L$10,AA36=Lists!$L$6)),Lists!$N$5,
AND(AA37=Lists!$L$8,OR(AA36=Lists!$L$5,AA36=Lists!$L$7,AA36=Lists!$L$9,AA36=Lists!$L$10,AA36=Lists!$L$6)),Lists!$N$6,
AND(OR(AA37=Lists!$L$5,AA37=Lists!$L$6,AA37=Lists!$L$7,AA37=Lists!$L$9,AA37=Lists!$L$10),AA36=Lists!$L$8),Lists!$N$7),
_xlfn.IFS(
AND(AA37=Lists!$L$8,AA42=Lists!$L$8),Lists!$N$5,
AND(OR(AA37=Lists!$L$5,AA37=Lists!$L$7,AA37=Lists!$L$9,AA37=Lists!$L$10,AA37=Lists!$L$6),OR(AA42=Lists!$L$5,AA42=Lists!$L$7,AA42=Lists!$L$9,AA42=Lists!$L$10,AA42=Lists!$L$6)),Lists!$N$5,
AND(AA37=Lists!$L$8,OR(AA42=Lists!$L$5,AA42=Lists!$L$7,AA42=Lists!$L$9,AA42=Lists!$L$10,AA42=Lists!$L$6)),Lists!$N$6,
AND(OR(AA37=Lists!$L$5,AA37=Lists!$L$7,AA37=Lists!$L$9,AA37=Lists!$L$10),AA42=Lists!$L$8),Lists!$N$7))</f>
        <v>no change</v>
      </c>
      <c r="AC37">
        <v>0</v>
      </c>
      <c r="AD37">
        <v>0</v>
      </c>
      <c r="AE37" s="102">
        <f t="array" ref="AE37">IF(OR(ISNUMBER(SEARCH("heavy",A37))=TRUE, ISNUMBER(SEARCH("medium",A37))=TRUE),
(LEN(_xlfn.SINGLE(
INDEX('Focus Data Tillage by farm'!$D$4:$P$9,MATCH(D37,'Focus Data Tillage by farm'!$C$4:$C$9,0),_xlfn.SINGLE(_xlfn.IFS(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-LEN(SUBSTITUTE(_xlfn.SINGLE(
INDEX('Focus Data Tillage by farm'!$D$4:$P$9,MATCH(D37,'Focus Data Tillage by farm'!$C$4:$C$9,0),_xlfn.SINGLE(_xlfn.IFS(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"disc","")))/LEN("disc"),
(LEN(_xlfn.SINGLE(
INDEX('Focus Data Tillage by farm'!$D$12:$P$17,MATCH(D37,'Focus Data Tillage by farm'!$C$12:$C$17,0),_xlfn.SINGLE(_xlfn.IFS(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-LEN(SUBSTITUTE(_xlfn.SINGLE(
INDEX('Focus Data Tillage by farm'!$D$12:$P$17,MATCH(D37,'Focus Data Tillage by farm'!$C$12:$C$17,0),_xlfn.SINGLE(_xlfn.IFS(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"disc","")))/LEN("disc"))</f>
        <v>1</v>
      </c>
      <c r="AF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"field cultivator","")))/LEN("field cultivator"),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"field cultivator","")))/LEN("field cultivator"))</f>
        <v>0</v>
      </c>
      <c r="AG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"grain drill","")))/LEN("grain drill"),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"grain drill","")))/LEN("grain drill"))</f>
        <v>1</v>
      </c>
      <c r="AH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"minimum tillage","")))/LEN("minimum tillage"),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"minimum tillage","")))/LEN("minimum tillage"))</f>
        <v>0</v>
      </c>
      <c r="AI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"row crop planter","")))/LEN("row crop planter"),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"row crop planter","")))/LEN("row crop planter"))</f>
        <v>0</v>
      </c>
      <c r="AJ37" s="102">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"plough","")))/LEN("plough"),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"plough","")))/LEN("plough"))</f>
        <v>0</v>
      </c>
      <c r="AK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harrow","")))/LEN("roller harrow"),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harrow","")))/LEN("roller harrow"))</f>
        <v>0</v>
      </c>
      <c r="AL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packer","")))/LEN("roller packer"),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"roller packer","")))/LEN("roller packer"))</f>
        <v>2</v>
      </c>
      <c r="AM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"rotary hoe","")))/LEN("rotary hoe"),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"rotary hoe","")))/LEN("rotary hoe"))</f>
        <v>0</v>
      </c>
      <c r="AN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"subsoil","")))/LEN("subsoil"),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"subsoil","")))/LEN("subsoil"))</f>
        <v>0</v>
      </c>
      <c r="AO37">
        <f>IF(OR(ISNUMBER(SEARCH("heavy",A37))=TRUE, ISNUMBER(SEARCH("medium",A37))=TRUE),
(LEN(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farm'!$D$4:$P$9,MATCH(D37,'Focus Data Tillage by farm'!$C$4:$C$9,0),_xlfn.IFS(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"tine harrow","")))/LEN("tine harrow"),
(LEN(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-LEN(SUBSTITUTE(
INDEX('Focus Data Tillage by farm'!$D$12:$P$17,MATCH(D37,'Focus Data Tillage by farm'!$C$12:$C$17,0),_xlfn.IFS(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
"tine harrow","")))/LEN("tine harrow"))</f>
        <v>0</v>
      </c>
      <c r="AP37" s="102">
        <f>INDEX('Focus Data NSpraying'!$D$4:$P$19,MATCH(F37,'Focus Data NSpraying'!$C$4:$C$19,0),_xlfn.IFS(
AND(ISNUMBER(SEARCH("H-Dsty.",A37))=TRUE,ISNUMBER(SEARCH("H-Res",A37))=TRUE,ISNUMBER(SEARCH("E.",A37))=TRUE),1,
AND(ISNUMBER(SEARCH("H-Dsty.",A37))=TRUE,ISNUMBER(SEARCH("H-Res",A37))=TRUE,OR(ISNUMBER(SEARCH("N.he",A37))=TRUE,ISNUMBER(SEARCH("N.me",A37))=TRUE,ISNUMBER(SEARCH("N.li",A37))=TRUE)),2,
AND(ISNUMBER(SEARCH("H-Dsty.",A37))=TRUE,ISNUMBER(SEARCH("H-Res",A37))=TRUE,ISNUMBER(SEARCH("C.",A37))=TRUE),3,
AND(ISNUMBER(SEARCH("L-Dsty.",A37))=TRUE,ISNUMBER(SEARCH("H-Res",A37))=TRUE,ISNUMBER(SEARCH("E.",A37))=TRUE),6,
AND(ISNUMBER(SEARCH("L-Dsty.",A37))=TRUE,ISNUMBER(SEARCH("H-Res",A37))=TRUE,OR(ISNUMBER(SEARCH("N.he",A37))=TRUE,ISNUMBER(SEARCH("N.me",A37))=TRUE,ISNUMBER(SEARCH("N.li",A37))=TRUE)),7,
AND(ISNUMBER(SEARCH("L-Dsty.",A37))=TRUE,ISNUMBER(SEARCH("H-Res",A37))=TRUE,ISNUMBER(SEARCH("C.",A37))=TRUE),8,
AND(ISNUMBER(SEARCH("L-Dsty.",A37))=TRUE,ISNUMBER(SEARCH("L-Res",A37))=TRUE,ISNUMBER(SEARCH("E.",A37))=TRUE),11,
AND(ISNUMBER(SEARCH("L-Dsty.",A37))=TRUE,ISNUMBER(SEARCH("L-Res",A37))=TRUE,OR(ISNUMBER(SEARCH("N.he",A37))=TRUE,ISNUMBER(SEARCH("N.me",A37))=TRUE,ISNUMBER(SEARCH("N.li",A37))=TRUE)),12,
AND(ISNUMBER(SEARCH("L-Dsty.",A37))=TRUE,ISNUMBER(SEARCH("L-Res",A37))=TRUE,ISNUMBER(SEARCH("C.",A37))=TRUE),13))</f>
        <v>3</v>
      </c>
    </row>
    <row r="38" spans="1:42" x14ac:dyDescent="0.2">
      <c r="A38" t="s">
        <v>490</v>
      </c>
      <c r="B38" s="210" t="str">
        <f t="array" ref="B38">INDEX(ECOMOD_input_estimate!$A$2:$A$55, MATCH(CFT_input!$A38, ECOMOD_input_estimate!$B:$B, 0))</f>
        <v>FF_02.2</v>
      </c>
      <c r="C38" s="210">
        <v>2020</v>
      </c>
      <c r="D38" s="395" t="s">
        <v>731</v>
      </c>
      <c r="E38" s="210" t="str">
        <f t="shared" si="0"/>
        <v>N.light.H-Dsty.H-Res</v>
      </c>
      <c r="F38" s="210" t="str">
        <f t="array" ref="F38">_xlfn.SINGLE(IF(OR(ISNUMBER(SEARCH("heavy",A38))=TRUE,ISNUMBER(SEARCH("medium",A38))=TRUE),
INDEX('Focus Data Crop Rotations'!$D$4:$P$9,MATCH(D38,'Focus Data Crop Rotations'!$C$4:$C$9,0),_xlfn.SINGLE(_xlfn.IFS(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INDEX('Focus Data Crop Rotations'!$D$12:$P$17,MATCH(D38,'Focus Data Crop Rotations'!$C$12:$C$17,0),_xlfn.SINGLE(_xlfn.IFS(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setaside</v>
      </c>
      <c r="G38">
        <v>7.2</v>
      </c>
      <c r="H38" s="227">
        <f>VLOOKUP(F38,'CFT Specific Data'!$F$4:$H$19,3,FALSE)*G38*
IF(B38=B37,
IF(AND(ISNUMBER(SEARCH("wheat",F38))=TRUE,ISNUMBER(SEARCH("Barley",F37))=TRUE),0.89,
IF(AND(ISNUMBER(SEARCH("wheat",F38))=TRUE,F37="setaside"),0.94,
IF(AND(ISNUMBER(SEARCH("barley",F38))=TRUE,ISNUMBER(SEARCH("wheat",F37))=TRUE),0.89,
IF(AND(F38="winterbarley",F37="setaside"),0.94,
IF(AND(F38="sugarbeet",F37="warepotatoes"),0.95,
IF(AND((OR(ISNUMBER(SEARCH("beans",F38)),ISNUMBER(SEARCH("driedpeas",F38)),ISNUMBER(SEARCH("sugarbeet",F38)))=TRUE),ISNUMBER(SEARCH("osr",F37))=TRUE),0,
IF(AND((OR((ISNUMBER(SEARCH("wheat",F38))),ISNUMBER(SEARCH("linseed",F38)),ISNUMBER(SEARCH("driedpeas",F38)),ISNUMBER(SEARCH("osr",F38)))=TRUE),F37="sugarbeet"),0,
IF(AND((OR((ISNUMBER(SEARCH("osr",F38))),ISNUMBER(SEARCH("linseed",F38)))=TRUE),ISNUMBER(SEARCH("beans",F37))=TRUE),0,
IF(AND(F38="wosr",ISNUMBER(SEARCH("linseed",F37))=TRUE),0,
IF(AND(F38="sugarbeet",F37="warepotatoes"),0,
1)))))))))),
IF(AND(ISNUMBER(SEARCH("wheat",F38))=TRUE,ISNUMBER(SEARCH("Barley",F43))=TRUE),0.89,
IF(AND(ISNUMBER(SEARCH("wheat",F38))=TRUE,F43="setaside"),0.94,
IF(AND(ISNUMBER(SEARCH("barley",F38))=TRUE,ISNUMBER(SEARCH("wheat",F43))=TRUE),0.89,
IF(AND(F38="winterbarley",F43="setaside"),0.94,
IF(AND(F38="sugarbeet",F43="warepotatoes"),0.95,
IF(AND((OR(ISNUMBER(SEARCH("beans",F38)),ISNUMBER(SEARCH("driedpeas",F38)),ISNUMBER(SEARCH("sugarbeet",F38)))=TRUE),ISNUMBER(SEARCH("osr",F43))=TRUE),0,
IF(AND((OR((ISNUMBER(SEARCH("wheat",F38))),ISNUMBER(SEARCH("linseed",F38)),ISNUMBER(SEARCH("driedpeas",F38)),ISNUMBER(SEARCH("osr",F38)))=TRUE),F43="sugarbeet"),0,
IF(AND((OR((ISNUMBER(SEARCH("osr",F38))),ISNUMBER(SEARCH("linseed",F38)))=TRUE),ISNUMBER(SEARCH("beans",F43))=TRUE),0,
IF(AND(F38="wosr",ISNUMBER(SEARCH("linseed",F43))=TRUE),0,
IF(AND(F38="sugarbeet",F43="warepotatoes"),0,
1)))))))))))
*IF(OR(ISNUMBER(SEARCH("wheat",F38)),ISNUMBER(SEARCH("barley",F38)),ISNUMBER(SEARCH("driedpeas",F38)),ISNUMBER(SEARCH("warepotatoes",F38)),ISNUMBER(SEARCH("osr",F38)),ISNUMBER(SEARCH("linseed",F38)),ISNUMBER(SEARCH("sugarbeet",F38))),
IF(COUNTIF(B33:B37,B38)=5,
INDEX('CFT Specific Data'!$G$24:$L$39,MATCH(F38,'CFT Specific Data'!$F$24:$F$39,0),IF(COUNTIF(F33:F37,F38)=5,6,IF(COUNTIF(F34:F37,F38)=4,5,IF(COUNTIF(F35:F37,F38)=3,4,IF(COUNTIF(F36:F37,F38)=2,3,IF(F37=F38,2,1)))))),
IF(COUNTIF(B33:B37,B38)=4,
INDEX('CFT Specific Data'!$G$24:$L$39,MATCH(F38,'CFT Specific Data'!$F$24:$F$39,0),IF(SUM(COUNTIF(F34:F37,F38),COUNTIF(F39,F38))=5,6,IF(COUNTIF(F34:F37,F38)=4,5,IF(COUNTIF(F35:F37,F38)=3,4,IF(COUNTIF(F36:F37,F38)=2,3,IF(F37=F38,2,1)))))),
IF(COUNTIF(B33:B37,B38)=3,
INDEX('CFT Specific Data'!$G$24:$L$39,MATCH(F38,'CFT Specific Data'!$F$24:$F$39,0),IF(SUM(COUNTIF(F35:F37,F38),COUNTIF(F39:F40,F38))=5,6,IF(SUM(COUNTIF(F35:F37,F38),COUNTIF(F40,F38))=4,5,IF(COUNTIF(F35:F37,F38)=3,4,IF(COUNTIF(F36:F37,F38)=2,3,IF(F37=F38,2,1)))))),
IF(COUNTIF(B33:B37,B38)=2,
INDEX('CFT Specific Data'!$G$24:$L$39,MATCH(F38,'CFT Specific Data'!$F$24:$F$39,0),IF(SUM(COUNTIF(F36:F37,F38),COUNTIF(F39:F41,F38))=5,6,IF(SUM(COUNTIF(F36:F37,F38),COUNTIF(F40:F41,F38))=4,5,IF(SUM(COUNTIF(F36:F37,F38),COUNTIF(F41,F38))=3,4,IF(COUNTIF(F36:F37,F38)=2,3,IF(F37=F38,2,1)))))),
IF(COUNTIF(B33:B37,B38)=1,
INDEX('CFT Specific Data'!$G$24:$L$39,MATCH(F38,'CFT Specific Data'!$F$24:$F$39,0),IF(SUM(COUNTIF(F37,F38),COUNTIF(F39:F42,F38))=5,6,IF(SUM(COUNTIF(F37,F38),COUNTIF(F40:F42,F38))=4,5,IF(SUM(COUNTIF(F37,F38),COUNTIF(F41:F42,F38))=3,4,IF(SUM(COUNTIF(F37,F38),COUNTIF(F42,F38))=2,3,IF(F37=F38,2,1)))))),
IF(COUNTIF(B33:B37,B38)=0,
INDEX('CFT Specific Data'!$G$24:$L$39,MATCH(F38,'CFT Specific Data'!$F$24:$F$39,0),IF(COUNTIF(F39:F43,F38)=5,6,IF(COUNTIF(F40:F43,F38)=4,5,IF(COUNTIF(F41:F43,F38)=3,4,IF(COUNTIF(F42:F43,F38)=2,3,IF(F43=F38,2,1)))))))))))),1)</f>
        <v>0</v>
      </c>
      <c r="I38" s="210" t="s">
        <v>348</v>
      </c>
      <c r="J38">
        <v>10</v>
      </c>
      <c r="K38" s="210" t="str">
        <f>VLOOKUP(F38,'CFT Specific Data'!$F$4:$G$19,2,FALSE)</f>
        <v>Perennial grass</v>
      </c>
      <c r="L38" t="str">
        <f t="shared" si="1"/>
        <v>Coarse</v>
      </c>
      <c r="M38">
        <f t="shared" si="2"/>
        <v>5.16</v>
      </c>
      <c r="N38" t="str">
        <f t="shared" si="3"/>
        <v>1.72 &lt; SOM &lt;= 5.16</v>
      </c>
      <c r="O38" t="s">
        <v>349</v>
      </c>
      <c r="P38" t="s">
        <v>350</v>
      </c>
      <c r="Q38">
        <v>7</v>
      </c>
      <c r="R38" t="str">
        <f t="shared" si="5"/>
        <v>5.5 &lt; pH &lt;= 7.3</v>
      </c>
      <c r="S38" t="s">
        <v>351</v>
      </c>
      <c r="T38" s="210">
        <f t="array" ref="T38">_xlfn.SINGLE(INDEX('Focus Data NFertiliser Rate'!$D$4:$P$19,MATCH(F38,'Focus Data NFertiliser Rate'!$C$4:$C$19,0),_xlfn.SINGLE(_xlfn.IFS(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0</v>
      </c>
      <c r="U38">
        <f t="shared" si="4"/>
        <v>0</v>
      </c>
      <c r="V38" s="210">
        <f t="array" ref="V38">_xlfn.SINGLE(INDEX('№ Fertiliser sprayings'!$D$4:$P$19,MATCH(F38,'№ Fertiliser sprayings'!$C$4:$C$19,0),_xlfn.SINGLE(_xlfn.IFS(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0</v>
      </c>
      <c r="W38" s="264">
        <f t="array" ref="W38">_xlfn.SINGLE(INDEX('Focus Data CFT NSpraying'!$D$4:$P$19,MATCH(F38,'Focus Data CFT NSpraying'!$C$4:$C$19,0),_xlfn.SINGLE(_xlfn.IFS(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4.4640000000000004</v>
      </c>
      <c r="X38" t="s">
        <v>363</v>
      </c>
      <c r="Y38">
        <v>0</v>
      </c>
      <c r="Z38">
        <v>100</v>
      </c>
      <c r="AA38" t="s">
        <v>352</v>
      </c>
      <c r="AB38" s="226" t="str">
        <f>IF(B38=B37,_xlfn.IFS(
AND(AA38=Lists!$L$8,AA37=Lists!$L$8),Lists!$N$5,
AND(OR(AA38=Lists!$L$5,AA38=Lists!$L$7,AA38=Lists!$L$9,AA38=Lists!$L$10,AA38=Lists!$L$6),OR(AA37=Lists!$L$5,AA37=Lists!$L$7,AA37=Lists!$L$9,AA37=Lists!$L$10,AA37=Lists!$L$6)),Lists!$N$5,
AND(AA38=Lists!$L$8,OR(AA37=Lists!$L$5,AA37=Lists!$L$7,AA37=Lists!$L$9,AA37=Lists!$L$10,AA37=Lists!$L$6)),Lists!$N$6,
AND(OR(AA38=Lists!$L$5,AA38=Lists!$L$6,AA38=Lists!$L$7,AA38=Lists!$L$9,AA38=Lists!$L$10),AA37=Lists!$L$8),Lists!$N$7),
_xlfn.IFS(
AND(AA38=Lists!$L$8,AA43=Lists!$L$8),Lists!$N$5,
AND(OR(AA38=Lists!$L$5,AA38=Lists!$L$7,AA38=Lists!$L$9,AA38=Lists!$L$10,AA38=Lists!$L$6),OR(AA43=Lists!$L$5,AA43=Lists!$L$7,AA43=Lists!$L$9,AA43=Lists!$L$10,AA43=Lists!$L$6)),Lists!$N$5,
AND(AA38=Lists!$L$8,OR(AA43=Lists!$L$5,AA43=Lists!$L$7,AA43=Lists!$L$9,AA43=Lists!$L$10,AA43=Lists!$L$6)),Lists!$N$6,
AND(OR(AA38=Lists!$L$5,AA38=Lists!$L$7,AA38=Lists!$L$9,AA38=Lists!$L$10),AA43=Lists!$L$8),Lists!$N$7))</f>
        <v>no change</v>
      </c>
      <c r="AC38">
        <v>0</v>
      </c>
      <c r="AD38">
        <v>0</v>
      </c>
      <c r="AE38" s="102">
        <f t="array" ref="AE38">IF(OR(ISNUMBER(SEARCH("heavy",A38))=TRUE, ISNUMBER(SEARCH("medium",A38))=TRUE),
(LEN(_xlfn.SINGLE(
INDEX('Focus Data Tillage by farm'!$D$4:$P$9,MATCH(D38,'Focus Data Tillage by farm'!$C$4:$C$9,0),_xlfn.SINGLE(_xlfn.IFS(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-LEN(SUBSTITUTE(_xlfn.SINGLE(
INDEX('Focus Data Tillage by farm'!$D$4:$P$9,MATCH(D38,'Focus Data Tillage by farm'!$C$4:$C$9,0),_xlfn.SINGLE(_xlfn.IFS(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"disc","")))/LEN("disc"),
(LEN(_xlfn.SINGLE(
INDEX('Focus Data Tillage by farm'!$D$12:$P$17,MATCH(D38,'Focus Data Tillage by farm'!$C$12:$C$17,0),_xlfn.SINGLE(_xlfn.IFS(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-LEN(SUBSTITUTE(_xlfn.SINGLE(
INDEX('Focus Data Tillage by farm'!$D$12:$P$17,MATCH(D38,'Focus Data Tillage by farm'!$C$12:$C$17,0),_xlfn.SINGLE(_xlfn.IFS(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"disc","")))/LEN("disc"))</f>
        <v>2</v>
      </c>
      <c r="AF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"field cultivator","")))/LEN("field cultivator"),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"field cultivator","")))/LEN("field cultivator"))</f>
        <v>0</v>
      </c>
      <c r="AG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"grain drill","")))/LEN("grain drill"),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"grain drill","")))/LEN("grain drill"))</f>
        <v>0</v>
      </c>
      <c r="AH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"minimum tillage","")))/LEN("minimum tillage"),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"minimum tillage","")))/LEN("minimum tillage"))</f>
        <v>0</v>
      </c>
      <c r="AI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"row crop planter","")))/LEN("row crop planter"),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"row crop planter","")))/LEN("row crop planter"))</f>
        <v>0</v>
      </c>
      <c r="AJ38" s="102">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"plough","")))/LEN("plough"),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"plough","")))/LEN("plough"))</f>
        <v>0</v>
      </c>
      <c r="AK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harrow","")))/LEN("roller harrow"),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harrow","")))/LEN("roller harrow"))</f>
        <v>0</v>
      </c>
      <c r="AL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packer","")))/LEN("roller packer"),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"roller packer","")))/LEN("roller packer"))</f>
        <v>1</v>
      </c>
      <c r="AM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"rotary hoe","")))/LEN("rotary hoe"),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"rotary hoe","")))/LEN("rotary hoe"))</f>
        <v>0</v>
      </c>
      <c r="AN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"subsoil","")))/LEN("subsoil"),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"subsoil","")))/LEN("subsoil"))</f>
        <v>0</v>
      </c>
      <c r="AO38">
        <f>IF(OR(ISNUMBER(SEARCH("heavy",A38))=TRUE, ISNUMBER(SEARCH("medium",A38))=TRUE),
(LEN(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farm'!$D$4:$P$9,MATCH(D38,'Focus Data Tillage by farm'!$C$4:$C$9,0),_xlfn.IFS(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"tine harrow","")))/LEN("tine harrow"),
(LEN(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-LEN(SUBSTITUTE(
INDEX('Focus Data Tillage by farm'!$D$12:$P$17,MATCH(D38,'Focus Data Tillage by farm'!$C$12:$C$17,0),_xlfn.IFS(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
"tine harrow","")))/LEN("tine harrow"))</f>
        <v>0</v>
      </c>
      <c r="AP38" s="102">
        <f>INDEX('Focus Data NSpraying'!$D$4:$P$19,MATCH(F38,'Focus Data NSpraying'!$C$4:$C$19,0),_xlfn.IFS(
AND(ISNUMBER(SEARCH("H-Dsty.",A38))=TRUE,ISNUMBER(SEARCH("H-Res",A38))=TRUE,ISNUMBER(SEARCH("E.",A38))=TRUE),1,
AND(ISNUMBER(SEARCH("H-Dsty.",A38))=TRUE,ISNUMBER(SEARCH("H-Res",A38))=TRUE,OR(ISNUMBER(SEARCH("N.he",A38))=TRUE,ISNUMBER(SEARCH("N.me",A38))=TRUE,ISNUMBER(SEARCH("N.li",A38))=TRUE)),2,
AND(ISNUMBER(SEARCH("H-Dsty.",A38))=TRUE,ISNUMBER(SEARCH("H-Res",A38))=TRUE,ISNUMBER(SEARCH("C.",A38))=TRUE),3,
AND(ISNUMBER(SEARCH("L-Dsty.",A38))=TRUE,ISNUMBER(SEARCH("H-Res",A38))=TRUE,ISNUMBER(SEARCH("E.",A38))=TRUE),6,
AND(ISNUMBER(SEARCH("L-Dsty.",A38))=TRUE,ISNUMBER(SEARCH("H-Res",A38))=TRUE,OR(ISNUMBER(SEARCH("N.he",A38))=TRUE,ISNUMBER(SEARCH("N.me",A38))=TRUE,ISNUMBER(SEARCH("N.li",A38))=TRUE)),7,
AND(ISNUMBER(SEARCH("L-Dsty.",A38))=TRUE,ISNUMBER(SEARCH("H-Res",A38))=TRUE,ISNUMBER(SEARCH("C.",A38))=TRUE),8,
AND(ISNUMBER(SEARCH("L-Dsty.",A38))=TRUE,ISNUMBER(SEARCH("L-Res",A38))=TRUE,ISNUMBER(SEARCH("E.",A38))=TRUE),11,
AND(ISNUMBER(SEARCH("L-Dsty.",A38))=TRUE,ISNUMBER(SEARCH("L-Res",A38))=TRUE,OR(ISNUMBER(SEARCH("N.he",A38))=TRUE,ISNUMBER(SEARCH("N.me",A38))=TRUE,ISNUMBER(SEARCH("N.li",A38))=TRUE)),12,
AND(ISNUMBER(SEARCH("L-Dsty.",A38))=TRUE,ISNUMBER(SEARCH("L-Res",A38))=TRUE,ISNUMBER(SEARCH("C.",A38))=TRUE),13))</f>
        <v>5</v>
      </c>
    </row>
    <row r="39" spans="1:42" x14ac:dyDescent="0.2">
      <c r="A39" t="s">
        <v>490</v>
      </c>
      <c r="B39" s="210" t="str">
        <f t="array" ref="B39">INDEX(ECOMOD_input_estimate!$A$2:$A$55, MATCH(CFT_input!$A39, ECOMOD_input_estimate!$B:$B, 0))</f>
        <v>FF_02.2</v>
      </c>
      <c r="C39" s="210">
        <v>2020</v>
      </c>
      <c r="D39" s="395" t="s">
        <v>730</v>
      </c>
      <c r="E39" s="210" t="str">
        <f t="shared" si="0"/>
        <v>N.light.H-Dsty.H-Res</v>
      </c>
      <c r="F39" s="210" t="str">
        <f t="array" ref="F39">_xlfn.SINGLE(IF(OR(ISNUMBER(SEARCH("heavy",A39))=TRUE,ISNUMBER(SEARCH("medium",A39))=TRUE),
INDEX('Focus Data Crop Rotations'!$D$4:$P$9,MATCH(D39,'Focus Data Crop Rotations'!$C$4:$C$9,0),_xlfn.SINGLE(_xlfn.IFS(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INDEX('Focus Data Crop Rotations'!$D$12:$P$17,MATCH(D39,'Focus Data Crop Rotations'!$C$12:$C$17,0),_xlfn.SINGLE(_xlfn.IFS(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maize</v>
      </c>
      <c r="G39">
        <v>7.2</v>
      </c>
      <c r="H39" s="227">
        <f>VLOOKUP(F39,'CFT Specific Data'!$F$4:$H$19,3,FALSE)*G39*
IF(B39=B38,
IF(AND(ISNUMBER(SEARCH("wheat",F39))=TRUE,ISNUMBER(SEARCH("Barley",F38))=TRUE),0.89,
IF(AND(ISNUMBER(SEARCH("wheat",F39))=TRUE,F38="setaside"),0.94,
IF(AND(ISNUMBER(SEARCH("barley",F39))=TRUE,ISNUMBER(SEARCH("wheat",F38))=TRUE),0.89,
IF(AND(F39="winterbarley",F38="setaside"),0.94,
IF(AND(F39="sugarbeet",F38="warepotatoes"),0.95,
IF(AND((OR(ISNUMBER(SEARCH("beans",F39)),ISNUMBER(SEARCH("driedpeas",F39)),ISNUMBER(SEARCH("sugarbeet",F39)))=TRUE),ISNUMBER(SEARCH("osr",F38))=TRUE),0,
IF(AND((OR((ISNUMBER(SEARCH("wheat",F39))),ISNUMBER(SEARCH("linseed",F39)),ISNUMBER(SEARCH("driedpeas",F39)),ISNUMBER(SEARCH("osr",F39)))=TRUE),F38="sugarbeet"),0,
IF(AND((OR((ISNUMBER(SEARCH("osr",F39))),ISNUMBER(SEARCH("linseed",F39)))=TRUE),ISNUMBER(SEARCH("beans",F38))=TRUE),0,
IF(AND(F39="wosr",ISNUMBER(SEARCH("linseed",F38))=TRUE),0,
IF(AND(F39="sugarbeet",F38="warepotatoes"),0,
1)))))))))),
IF(AND(ISNUMBER(SEARCH("wheat",F39))=TRUE,ISNUMBER(SEARCH("Barley",F44))=TRUE),0.89,
IF(AND(ISNUMBER(SEARCH("wheat",F39))=TRUE,F44="setaside"),0.94,
IF(AND(ISNUMBER(SEARCH("barley",F39))=TRUE,ISNUMBER(SEARCH("wheat",F44))=TRUE),0.89,
IF(AND(F39="winterbarley",F44="setaside"),0.94,
IF(AND(F39="sugarbeet",F44="warepotatoes"),0.95,
IF(AND((OR(ISNUMBER(SEARCH("beans",F39)),ISNUMBER(SEARCH("driedpeas",F39)),ISNUMBER(SEARCH("sugarbeet",F39)))=TRUE),ISNUMBER(SEARCH("osr",F44))=TRUE),0,
IF(AND((OR((ISNUMBER(SEARCH("wheat",F39))),ISNUMBER(SEARCH("linseed",F39)),ISNUMBER(SEARCH("driedpeas",F39)),ISNUMBER(SEARCH("osr",F39)))=TRUE),F44="sugarbeet"),0,
IF(AND((OR((ISNUMBER(SEARCH("osr",F39))),ISNUMBER(SEARCH("linseed",F39)))=TRUE),ISNUMBER(SEARCH("beans",F44))=TRUE),0,
IF(AND(F39="wosr",ISNUMBER(SEARCH("linseed",F44))=TRUE),0,
IF(AND(F39="sugarbeet",F44="warepotatoes"),0,
1)))))))))))
*IF(OR(ISNUMBER(SEARCH("wheat",F39)),ISNUMBER(SEARCH("barley",F39)),ISNUMBER(SEARCH("driedpeas",F39)),ISNUMBER(SEARCH("warepotatoes",F39)),ISNUMBER(SEARCH("osr",F39)),ISNUMBER(SEARCH("linseed",F39)),ISNUMBER(SEARCH("sugarbeet",F39))),
IF(COUNTIF(B34:B38,B39)=5,
INDEX('CFT Specific Data'!$G$24:$L$39,MATCH(F39,'CFT Specific Data'!$F$24:$F$39,0),IF(COUNTIF(F34:F38,F39)=5,6,IF(COUNTIF(F35:F38,F39)=4,5,IF(COUNTIF(F36:F38,F39)=3,4,IF(COUNTIF(F37:F38,F39)=2,3,IF(F38=F39,2,1)))))),
IF(COUNTIF(B34:B38,B39)=4,
INDEX('CFT Specific Data'!$G$24:$L$39,MATCH(F39,'CFT Specific Data'!$F$24:$F$39,0),IF(SUM(COUNTIF(F35:F38,F39),COUNTIF(F40,F39))=5,6,IF(COUNTIF(F35:F38,F39)=4,5,IF(COUNTIF(F36:F38,F39)=3,4,IF(COUNTIF(F37:F38,F39)=2,3,IF(F38=F39,2,1)))))),
IF(COUNTIF(B34:B38,B39)=3,
INDEX('CFT Specific Data'!$G$24:$L$39,MATCH(F39,'CFT Specific Data'!$F$24:$F$39,0),IF(SUM(COUNTIF(F36:F38,F39),COUNTIF(F40:F41,F39))=5,6,IF(SUM(COUNTIF(F36:F38,F39),COUNTIF(F41,F39))=4,5,IF(COUNTIF(F36:F38,F39)=3,4,IF(COUNTIF(F37:F38,F39)=2,3,IF(F38=F39,2,1)))))),
IF(COUNTIF(B34:B38,B39)=2,
INDEX('CFT Specific Data'!$G$24:$L$39,MATCH(F39,'CFT Specific Data'!$F$24:$F$39,0),IF(SUM(COUNTIF(F37:F38,F39),COUNTIF(F40:F42,F39))=5,6,IF(SUM(COUNTIF(F37:F38,F39),COUNTIF(F41:F42,F39))=4,5,IF(SUM(COUNTIF(F37:F38,F39),COUNTIF(F42,F39))=3,4,IF(COUNTIF(F37:F38,F39)=2,3,IF(F38=F39,2,1)))))),
IF(COUNTIF(B34:B38,B39)=1,
INDEX('CFT Specific Data'!$G$24:$L$39,MATCH(F39,'CFT Specific Data'!$F$24:$F$39,0),IF(SUM(COUNTIF(F38,F39),COUNTIF(F40:F43,F39))=5,6,IF(SUM(COUNTIF(F38,F39),COUNTIF(F41:F43,F39))=4,5,IF(SUM(COUNTIF(F38,F39),COUNTIF(F42:F43,F39))=3,4,IF(SUM(COUNTIF(F38,F39),COUNTIF(F43,F39))=2,3,IF(F38=F39,2,1)))))),
IF(COUNTIF(B34:B38,B39)=0,
INDEX('CFT Specific Data'!$G$24:$L$39,MATCH(F39,'CFT Specific Data'!$F$24:$F$39,0),IF(COUNTIF(F40:F44,F39)=5,6,IF(COUNTIF(F41:F44,F39)=4,5,IF(COUNTIF(F42:F44,F39)=3,4,IF(COUNTIF(F43:F44,F39)=2,3,IF(F44=F39,2,1)))))))))))),1)</f>
        <v>54</v>
      </c>
      <c r="I39" s="210" t="s">
        <v>348</v>
      </c>
      <c r="J39">
        <v>10</v>
      </c>
      <c r="K39" s="210" t="str">
        <f>VLOOKUP(F39,'CFT Specific Data'!$F$4:$G$19,2,FALSE)</f>
        <v>Maize</v>
      </c>
      <c r="L39" t="str">
        <f t="shared" si="1"/>
        <v>Coarse</v>
      </c>
      <c r="M39">
        <f t="shared" si="2"/>
        <v>5.16</v>
      </c>
      <c r="N39" t="str">
        <f t="shared" si="3"/>
        <v>1.72 &lt; SOM &lt;= 5.16</v>
      </c>
      <c r="O39" t="s">
        <v>349</v>
      </c>
      <c r="P39" t="s">
        <v>350</v>
      </c>
      <c r="Q39">
        <v>7</v>
      </c>
      <c r="R39" t="str">
        <f t="shared" si="5"/>
        <v>5.5 &lt; pH &lt;= 7.3</v>
      </c>
      <c r="S39" t="s">
        <v>351</v>
      </c>
      <c r="T39" s="210">
        <f t="array" ref="T39">_xlfn.SINGLE(INDEX('Focus Data NFertiliser Rate'!$D$4:$P$19,MATCH(F39,'Focus Data NFertiliser Rate'!$C$4:$C$19,0),_xlfn.SINGLE(_xlfn.IFS(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100</v>
      </c>
      <c r="U39" t="str">
        <f t="shared" si="4"/>
        <v>Apply in solution</v>
      </c>
      <c r="V39" s="210">
        <f t="array" ref="V39">_xlfn.SINGLE(INDEX('№ Fertiliser sprayings'!$D$4:$P$19,MATCH(F39,'№ Fertiliser sprayings'!$C$4:$C$19,0),_xlfn.SINGLE(_xlfn.IFS(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2</v>
      </c>
      <c r="W39" s="264">
        <f t="array" ref="W39">_xlfn.SINGLE(INDEX('Focus Data CFT NSpraying'!$D$4:$P$19,MATCH(F39,'Focus Data CFT NSpraying'!$C$4:$C$19,0),_xlfn.SINGLE(_xlfn.IFS(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3.024</v>
      </c>
      <c r="X39" t="s">
        <v>363</v>
      </c>
      <c r="Y39">
        <v>0</v>
      </c>
      <c r="Z39">
        <v>100</v>
      </c>
      <c r="AA39" t="s">
        <v>352</v>
      </c>
      <c r="AB39" s="226" t="str">
        <f>IF(B39=B38,_xlfn.IFS(
AND(AA39=Lists!$L$8,AA38=Lists!$L$8),Lists!$N$5,
AND(OR(AA39=Lists!$L$5,AA39=Lists!$L$7,AA39=Lists!$L$9,AA39=Lists!$L$10,AA39=Lists!$L$6),OR(AA38=Lists!$L$5,AA38=Lists!$L$7,AA38=Lists!$L$9,AA38=Lists!$L$10,AA38=Lists!$L$6)),Lists!$N$5,
AND(AA39=Lists!$L$8,OR(AA38=Lists!$L$5,AA38=Lists!$L$7,AA38=Lists!$L$9,AA38=Lists!$L$10,AA38=Lists!$L$6)),Lists!$N$6,
AND(OR(AA39=Lists!$L$5,AA39=Lists!$L$6,AA39=Lists!$L$7,AA39=Lists!$L$9,AA39=Lists!$L$10),AA38=Lists!$L$8),Lists!$N$7),
_xlfn.IFS(
AND(AA39=Lists!$L$8,AA44=Lists!$L$8),Lists!$N$5,
AND(OR(AA39=Lists!$L$5,AA39=Lists!$L$7,AA39=Lists!$L$9,AA39=Lists!$L$10,AA39=Lists!$L$6),OR(AA44=Lists!$L$5,AA44=Lists!$L$7,AA44=Lists!$L$9,AA44=Lists!$L$10,AA44=Lists!$L$6)),Lists!$N$5,
AND(AA39=Lists!$L$8,OR(AA44=Lists!$L$5,AA44=Lists!$L$7,AA44=Lists!$L$9,AA44=Lists!$L$10,AA44=Lists!$L$6)),Lists!$N$6,
AND(OR(AA39=Lists!$L$5,AA39=Lists!$L$7,AA39=Lists!$L$9,AA39=Lists!$L$10),AA44=Lists!$L$8),Lists!$N$7))</f>
        <v>no change</v>
      </c>
      <c r="AC39">
        <v>0</v>
      </c>
      <c r="AD39">
        <v>0</v>
      </c>
      <c r="AE39" s="102">
        <f t="array" ref="AE39">IF(OR(ISNUMBER(SEARCH("heavy",A39))=TRUE, ISNUMBER(SEARCH("medium",A39))=TRUE),
(LEN(_xlfn.SINGLE(
INDEX('Focus Data Tillage by farm'!$D$4:$P$9,MATCH(D39,'Focus Data Tillage by farm'!$C$4:$C$9,0),_xlfn.SINGLE(_xlfn.IFS(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-LEN(SUBSTITUTE(_xlfn.SINGLE(
INDEX('Focus Data Tillage by farm'!$D$4:$P$9,MATCH(D39,'Focus Data Tillage by farm'!$C$4:$C$9,0),_xlfn.SINGLE(_xlfn.IFS(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"disc","")))/LEN("disc"),
(LEN(_xlfn.SINGLE(
INDEX('Focus Data Tillage by farm'!$D$12:$P$17,MATCH(D39,'Focus Data Tillage by farm'!$C$12:$C$17,0),_xlfn.SINGLE(_xlfn.IFS(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-LEN(SUBSTITUTE(_xlfn.SINGLE(
INDEX('Focus Data Tillage by farm'!$D$12:$P$17,MATCH(D39,'Focus Data Tillage by farm'!$C$12:$C$17,0),_xlfn.SINGLE(_xlfn.IFS(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"disc","")))/LEN("disc"))</f>
        <v>2</v>
      </c>
      <c r="AF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"field cultivator","")))/LEN("field cultivator"),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"field cultivator","")))/LEN("field cultivator"))</f>
        <v>0</v>
      </c>
      <c r="AG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"grain drill","")))/LEN("grain drill"),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"grain drill","")))/LEN("grain drill"))</f>
        <v>0</v>
      </c>
      <c r="AH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"minimum tillage","")))/LEN("minimum tillage"),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"minimum tillage","")))/LEN("minimum tillage"))</f>
        <v>1</v>
      </c>
      <c r="AI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"row crop planter","")))/LEN("row crop planter"),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"row crop planter","")))/LEN("row crop planter"))</f>
        <v>0</v>
      </c>
      <c r="AJ39" s="102">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"plough","")))/LEN("plough"),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"plough","")))/LEN("plough"))</f>
        <v>0</v>
      </c>
      <c r="AK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harrow","")))/LEN("roller harrow"),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harrow","")))/LEN("roller harrow"))</f>
        <v>0</v>
      </c>
      <c r="AL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packer","")))/LEN("roller packer"),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"roller packer","")))/LEN("roller packer"))</f>
        <v>2</v>
      </c>
      <c r="AM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"rotary hoe","")))/LEN("rotary hoe"),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"rotary hoe","")))/LEN("rotary hoe"))</f>
        <v>0</v>
      </c>
      <c r="AN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"subsoil","")))/LEN("subsoil"),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"subsoil","")))/LEN("subsoil"))</f>
        <v>0</v>
      </c>
      <c r="AO39">
        <f>IF(OR(ISNUMBER(SEARCH("heavy",A39))=TRUE, ISNUMBER(SEARCH("medium",A39))=TRUE),
(LEN(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farm'!$D$4:$P$9,MATCH(D39,'Focus Data Tillage by farm'!$C$4:$C$9,0),_xlfn.IFS(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"tine harrow","")))/LEN("tine harrow"),
(LEN(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-LEN(SUBSTITUTE(
INDEX('Focus Data Tillage by farm'!$D$12:$P$17,MATCH(D39,'Focus Data Tillage by farm'!$C$12:$C$17,0),_xlfn.IFS(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
"tine harrow","")))/LEN("tine harrow"))</f>
        <v>0</v>
      </c>
      <c r="AP39" s="102">
        <f>INDEX('Focus Data NSpraying'!$D$4:$P$19,MATCH(F39,'Focus Data NSpraying'!$C$4:$C$19,0),_xlfn.IFS(
AND(ISNUMBER(SEARCH("H-Dsty.",A39))=TRUE,ISNUMBER(SEARCH("H-Res",A39))=TRUE,ISNUMBER(SEARCH("E.",A39))=TRUE),1,
AND(ISNUMBER(SEARCH("H-Dsty.",A39))=TRUE,ISNUMBER(SEARCH("H-Res",A39))=TRUE,OR(ISNUMBER(SEARCH("N.he",A39))=TRUE,ISNUMBER(SEARCH("N.me",A39))=TRUE,ISNUMBER(SEARCH("N.li",A39))=TRUE)),2,
AND(ISNUMBER(SEARCH("H-Dsty.",A39))=TRUE,ISNUMBER(SEARCH("H-Res",A39))=TRUE,ISNUMBER(SEARCH("C.",A39))=TRUE),3,
AND(ISNUMBER(SEARCH("L-Dsty.",A39))=TRUE,ISNUMBER(SEARCH("H-Res",A39))=TRUE,ISNUMBER(SEARCH("E.",A39))=TRUE),6,
AND(ISNUMBER(SEARCH("L-Dsty.",A39))=TRUE,ISNUMBER(SEARCH("H-Res",A39))=TRUE,OR(ISNUMBER(SEARCH("N.he",A39))=TRUE,ISNUMBER(SEARCH("N.me",A39))=TRUE,ISNUMBER(SEARCH("N.li",A39))=TRUE)),7,
AND(ISNUMBER(SEARCH("L-Dsty.",A39))=TRUE,ISNUMBER(SEARCH("H-Res",A39))=TRUE,ISNUMBER(SEARCH("C.",A39))=TRUE),8,
AND(ISNUMBER(SEARCH("L-Dsty.",A39))=TRUE,ISNUMBER(SEARCH("L-Res",A39))=TRUE,ISNUMBER(SEARCH("E.",A39))=TRUE),11,
AND(ISNUMBER(SEARCH("L-Dsty.",A39))=TRUE,ISNUMBER(SEARCH("L-Res",A39))=TRUE,OR(ISNUMBER(SEARCH("N.he",A39))=TRUE,ISNUMBER(SEARCH("N.me",A39))=TRUE,ISNUMBER(SEARCH("N.li",A39))=TRUE)),12,
AND(ISNUMBER(SEARCH("L-Dsty.",A39))=TRUE,ISNUMBER(SEARCH("L-Res",A39))=TRUE,ISNUMBER(SEARCH("C.",A39))=TRUE),13))</f>
        <v>3</v>
      </c>
    </row>
    <row r="40" spans="1:42" x14ac:dyDescent="0.2">
      <c r="A40" t="s">
        <v>490</v>
      </c>
      <c r="B40" s="210" t="str">
        <f t="array" ref="B40">INDEX(ECOMOD_input_estimate!$A$2:$A$55, MATCH(CFT_input!$A40, ECOMOD_input_estimate!$B:$B, 0))</f>
        <v>FF_02.2</v>
      </c>
      <c r="C40" s="210">
        <v>2020</v>
      </c>
      <c r="D40" s="395" t="s">
        <v>1694</v>
      </c>
      <c r="E40" s="210" t="str">
        <f t="shared" si="0"/>
        <v>N.light.H-Dsty.H-Res</v>
      </c>
      <c r="F40" s="210" t="str">
        <f t="array" ref="F40">_xlfn.SINGLE(IF(OR(ISNUMBER(SEARCH("heavy",A40))=TRUE,ISNUMBER(SEARCH("medium",A40))=TRUE),
INDEX('Focus Data Crop Rotations'!$D$4:$P$9,MATCH(D40,'Focus Data Crop Rotations'!$C$4:$C$9,0),_xlfn.SINGLE(_xlfn.IFS(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INDEX('Focus Data Crop Rotations'!$D$12:$P$17,MATCH(D40,'Focus Data Crop Rotations'!$C$12:$C$17,0),_xlfn.SINGLE(_xlfn.IFS(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springbarley</v>
      </c>
      <c r="G40">
        <v>7.2</v>
      </c>
      <c r="H40" s="227">
        <f>VLOOKUP(F40,'CFT Specific Data'!$F$4:$H$19,3,FALSE)*G40*
IF(B40=B39,
IF(AND(ISNUMBER(SEARCH("wheat",F40))=TRUE,ISNUMBER(SEARCH("Barley",F39))=TRUE),0.89,
IF(AND(ISNUMBER(SEARCH("wheat",F40))=TRUE,F39="setaside"),0.94,
IF(AND(ISNUMBER(SEARCH("barley",F40))=TRUE,ISNUMBER(SEARCH("wheat",F39))=TRUE),0.89,
IF(AND(F40="winterbarley",F39="setaside"),0.94,
IF(AND(F40="sugarbeet",F39="warepotatoes"),0.95,
IF(AND((OR(ISNUMBER(SEARCH("beans",F40)),ISNUMBER(SEARCH("driedpeas",F40)),ISNUMBER(SEARCH("sugarbeet",F40)))=TRUE),ISNUMBER(SEARCH("osr",F39))=TRUE),0,
IF(AND((OR((ISNUMBER(SEARCH("wheat",F40))),ISNUMBER(SEARCH("linseed",F40)),ISNUMBER(SEARCH("driedpeas",F40)),ISNUMBER(SEARCH("osr",F40)))=TRUE),F39="sugarbeet"),0,
IF(AND((OR((ISNUMBER(SEARCH("osr",F40))),ISNUMBER(SEARCH("linseed",F40)))=TRUE),ISNUMBER(SEARCH("beans",F39))=TRUE),0,
IF(AND(F40="wosr",ISNUMBER(SEARCH("linseed",F39))=TRUE),0,
IF(AND(F40="sugarbeet",F39="warepotatoes"),0,
1)))))))))),
IF(AND(ISNUMBER(SEARCH("wheat",F40))=TRUE,ISNUMBER(SEARCH("Barley",F45))=TRUE),0.89,
IF(AND(ISNUMBER(SEARCH("wheat",F40))=TRUE,F45="setaside"),0.94,
IF(AND(ISNUMBER(SEARCH("barley",F40))=TRUE,ISNUMBER(SEARCH("wheat",F45))=TRUE),0.89,
IF(AND(F40="winterbarley",F45="setaside"),0.94,
IF(AND(F40="sugarbeet",F45="warepotatoes"),0.95,
IF(AND((OR(ISNUMBER(SEARCH("beans",F40)),ISNUMBER(SEARCH("driedpeas",F40)),ISNUMBER(SEARCH("sugarbeet",F40)))=TRUE),ISNUMBER(SEARCH("osr",F45))=TRUE),0,
IF(AND((OR((ISNUMBER(SEARCH("wheat",F40))),ISNUMBER(SEARCH("linseed",F40)),ISNUMBER(SEARCH("driedpeas",F40)),ISNUMBER(SEARCH("osr",F40)))=TRUE),F45="sugarbeet"),0,
IF(AND((OR((ISNUMBER(SEARCH("osr",F40))),ISNUMBER(SEARCH("linseed",F40)))=TRUE),ISNUMBER(SEARCH("beans",F45))=TRUE),0,
IF(AND(F40="wosr",ISNUMBER(SEARCH("linseed",F45))=TRUE),0,
IF(AND(F40="sugarbeet",F45="warepotatoes"),0,
1)))))))))))
*IF(OR(ISNUMBER(SEARCH("wheat",F40)),ISNUMBER(SEARCH("barley",F40)),ISNUMBER(SEARCH("driedpeas",F40)),ISNUMBER(SEARCH("warepotatoes",F40)),ISNUMBER(SEARCH("osr",F40)),ISNUMBER(SEARCH("linseed",F40)),ISNUMBER(SEARCH("sugarbeet",F40))),
IF(COUNTIF(B35:B39,B40)=5,
INDEX('CFT Specific Data'!$G$24:$L$39,MATCH(F40,'CFT Specific Data'!$F$24:$F$39,0),IF(COUNTIF(F35:F39,F40)=5,6,IF(COUNTIF(F36:F39,F40)=4,5,IF(COUNTIF(F37:F39,F40)=3,4,IF(COUNTIF(F38:F39,F40)=2,3,IF(F39=F40,2,1)))))),
IF(COUNTIF(B35:B39,B40)=4,
INDEX('CFT Specific Data'!$G$24:$L$39,MATCH(F40,'CFT Specific Data'!$F$24:$F$39,0),IF(SUM(COUNTIF(F36:F39,F40),COUNTIF(F41,F40))=5,6,IF(COUNTIF(F36:F39,F40)=4,5,IF(COUNTIF(F37:F39,F40)=3,4,IF(COUNTIF(F38:F39,F40)=2,3,IF(F39=F40,2,1)))))),
IF(COUNTIF(B35:B39,B40)=3,
INDEX('CFT Specific Data'!$G$24:$L$39,MATCH(F40,'CFT Specific Data'!$F$24:$F$39,0),IF(SUM(COUNTIF(F37:F39,F40),COUNTIF(F41:F42,F40))=5,6,IF(SUM(COUNTIF(F37:F39,F40),COUNTIF(F42,F40))=4,5,IF(COUNTIF(F37:F39,F40)=3,4,IF(COUNTIF(F38:F39,F40)=2,3,IF(F39=F40,2,1)))))),
IF(COUNTIF(B35:B39,B40)=2,
INDEX('CFT Specific Data'!$G$24:$L$39,MATCH(F40,'CFT Specific Data'!$F$24:$F$39,0),IF(SUM(COUNTIF(F38:F39,F40),COUNTIF(F41:F43,F40))=5,6,IF(SUM(COUNTIF(F38:F39,F40),COUNTIF(F42:F43,F40))=4,5,IF(SUM(COUNTIF(F38:F39,F40),COUNTIF(F43,F40))=3,4,IF(COUNTIF(F38:F39,F40)=2,3,IF(F39=F40,2,1)))))),
IF(COUNTIF(B35:B39,B40)=1,
INDEX('CFT Specific Data'!$G$24:$L$39,MATCH(F40,'CFT Specific Data'!$F$24:$F$39,0),IF(SUM(COUNTIF(F39,F40),COUNTIF(F41:F44,F40))=5,6,IF(SUM(COUNTIF(F39,F40),COUNTIF(F42:F44,F40))=4,5,IF(SUM(COUNTIF(F39,F40),COUNTIF(F43:F44,F40))=3,4,IF(SUM(COUNTIF(F39,F40),COUNTIF(F44,F40))=2,3,IF(F39=F40,2,1)))))),
IF(COUNTIF(B35:B39,B40)=0,
INDEX('CFT Specific Data'!$G$24:$L$39,MATCH(F40,'CFT Specific Data'!$F$24:$F$39,0),IF(COUNTIF(F41:F45,F40)=5,6,IF(COUNTIF(F42:F45,F40)=4,5,IF(COUNTIF(F43:F45,F40)=3,4,IF(COUNTIF(F44:F45,F40)=2,3,IF(F45=F40,2,1)))))))))))),1)</f>
        <v>41.04</v>
      </c>
      <c r="I40" s="210" t="s">
        <v>348</v>
      </c>
      <c r="J40">
        <v>10</v>
      </c>
      <c r="K40" s="210" t="str">
        <f>VLOOKUP(F40,'CFT Specific Data'!$F$4:$G$19,2,FALSE)</f>
        <v>Barley</v>
      </c>
      <c r="L40" t="str">
        <f t="shared" si="1"/>
        <v>Coarse</v>
      </c>
      <c r="M40">
        <f t="shared" si="2"/>
        <v>5.16</v>
      </c>
      <c r="N40" t="str">
        <f t="shared" si="3"/>
        <v>1.72 &lt; SOM &lt;= 5.16</v>
      </c>
      <c r="O40" t="s">
        <v>349</v>
      </c>
      <c r="P40" t="s">
        <v>350</v>
      </c>
      <c r="Q40">
        <v>7</v>
      </c>
      <c r="R40" t="str">
        <f t="shared" si="5"/>
        <v>5.5 &lt; pH &lt;= 7.3</v>
      </c>
      <c r="S40" t="s">
        <v>351</v>
      </c>
      <c r="T40" s="210">
        <f t="array" ref="T40">_xlfn.SINGLE(INDEX('Focus Data NFertiliser Rate'!$D$4:$P$19,MATCH(F40,'Focus Data NFertiliser Rate'!$C$4:$C$19,0),_xlfn.SINGLE(_xlfn.IFS(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110</v>
      </c>
      <c r="U40" t="str">
        <f t="shared" si="4"/>
        <v>Apply in solution</v>
      </c>
      <c r="V40" s="210">
        <f t="array" ref="V40">_xlfn.SINGLE(INDEX('№ Fertiliser sprayings'!$D$4:$P$19,MATCH(F40,'№ Fertiliser sprayings'!$C$4:$C$19,0),_xlfn.SINGLE(_xlfn.IFS(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1</v>
      </c>
      <c r="W40" s="264">
        <f t="array" ref="W40">_xlfn.SINGLE(INDEX('Focus Data CFT NSpraying'!$D$4:$P$19,MATCH(F40,'Focus Data CFT NSpraying'!$C$4:$C$19,0),_xlfn.SINGLE(_xlfn.IFS(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7.6639999999999997</v>
      </c>
      <c r="X40" t="s">
        <v>363</v>
      </c>
      <c r="Y40">
        <v>0</v>
      </c>
      <c r="Z40">
        <v>100</v>
      </c>
      <c r="AA40" t="s">
        <v>352</v>
      </c>
      <c r="AB40" s="226" t="str">
        <f>IF(B40=B39,_xlfn.IFS(
AND(AA40=Lists!$L$8,AA39=Lists!$L$8),Lists!$N$5,
AND(OR(AA40=Lists!$L$5,AA40=Lists!$L$7,AA40=Lists!$L$9,AA40=Lists!$L$10,AA40=Lists!$L$6),OR(AA39=Lists!$L$5,AA39=Lists!$L$7,AA39=Lists!$L$9,AA39=Lists!$L$10,AA39=Lists!$L$6)),Lists!$N$5,
AND(AA40=Lists!$L$8,OR(AA39=Lists!$L$5,AA39=Lists!$L$7,AA39=Lists!$L$9,AA39=Lists!$L$10,AA39=Lists!$L$6)),Lists!$N$6,
AND(OR(AA40=Lists!$L$5,AA40=Lists!$L$6,AA40=Lists!$L$7,AA40=Lists!$L$9,AA40=Lists!$L$10),AA39=Lists!$L$8),Lists!$N$7),
_xlfn.IFS(
AND(AA40=Lists!$L$8,AA45=Lists!$L$8),Lists!$N$5,
AND(OR(AA40=Lists!$L$5,AA40=Lists!$L$7,AA40=Lists!$L$9,AA40=Lists!$L$10,AA40=Lists!$L$6),OR(AA45=Lists!$L$5,AA45=Lists!$L$7,AA45=Lists!$L$9,AA45=Lists!$L$10,AA45=Lists!$L$6)),Lists!$N$5,
AND(AA40=Lists!$L$8,OR(AA45=Lists!$L$5,AA45=Lists!$L$7,AA45=Lists!$L$9,AA45=Lists!$L$10,AA45=Lists!$L$6)),Lists!$N$6,
AND(OR(AA40=Lists!$L$5,AA40=Lists!$L$7,AA40=Lists!$L$9,AA40=Lists!$L$10),AA45=Lists!$L$8),Lists!$N$7))</f>
        <v>no change</v>
      </c>
      <c r="AC40">
        <v>0</v>
      </c>
      <c r="AD40">
        <v>0</v>
      </c>
      <c r="AE40" s="102">
        <f t="array" ref="AE40">IF(OR(ISNUMBER(SEARCH("heavy",A40))=TRUE, ISNUMBER(SEARCH("medium",A40))=TRUE),
(LEN(_xlfn.SINGLE(
INDEX('Focus Data Tillage by farm'!$D$4:$P$9,MATCH(D40,'Focus Data Tillage by farm'!$C$4:$C$9,0),_xlfn.SINGLE(_xlfn.IFS(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-LEN(SUBSTITUTE(_xlfn.SINGLE(
INDEX('Focus Data Tillage by farm'!$D$4:$P$9,MATCH(D40,'Focus Data Tillage by farm'!$C$4:$C$9,0),_xlfn.SINGLE(_xlfn.IFS(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"disc","")))/LEN("disc"),
(LEN(_xlfn.SINGLE(
INDEX('Focus Data Tillage by farm'!$D$12:$P$17,MATCH(D40,'Focus Data Tillage by farm'!$C$12:$C$17,0),_xlfn.SINGLE(_xlfn.IFS(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-LEN(SUBSTITUTE(_xlfn.SINGLE(
INDEX('Focus Data Tillage by farm'!$D$12:$P$17,MATCH(D40,'Focus Data Tillage by farm'!$C$12:$C$17,0),_xlfn.SINGLE(_xlfn.IFS(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"disc","")))/LEN("disc"))</f>
        <v>2</v>
      </c>
      <c r="AF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"field cultivator","")))/LEN("field cultivator"),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"field cultivator","")))/LEN("field cultivator"))</f>
        <v>0</v>
      </c>
      <c r="AG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"grain drill","")))/LEN("grain drill"),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"grain drill","")))/LEN("grain drill"))</f>
        <v>0</v>
      </c>
      <c r="AH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"minimum tillage","")))/LEN("minimum tillage"),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"minimum tillage","")))/LEN("minimum tillage"))</f>
        <v>1</v>
      </c>
      <c r="AI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"row crop planter","")))/LEN("row crop planter"),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"row crop planter","")))/LEN("row crop planter"))</f>
        <v>0</v>
      </c>
      <c r="AJ40" s="102">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"plough","")))/LEN("plough"),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"plough","")))/LEN("plough"))</f>
        <v>0</v>
      </c>
      <c r="AK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harrow","")))/LEN("roller harrow"),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harrow","")))/LEN("roller harrow"))</f>
        <v>0</v>
      </c>
      <c r="AL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packer","")))/LEN("roller packer"),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"roller packer","")))/LEN("roller packer"))</f>
        <v>2</v>
      </c>
      <c r="AM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"rotary hoe","")))/LEN("rotary hoe"),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"rotary hoe","")))/LEN("rotary hoe"))</f>
        <v>0</v>
      </c>
      <c r="AN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"subsoil","")))/LEN("subsoil"),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"subsoil","")))/LEN("subsoil"))</f>
        <v>0</v>
      </c>
      <c r="AO40">
        <f>IF(OR(ISNUMBER(SEARCH("heavy",A40))=TRUE, ISNUMBER(SEARCH("medium",A40))=TRUE),
(LEN(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farm'!$D$4:$P$9,MATCH(D40,'Focus Data Tillage by farm'!$C$4:$C$9,0),_xlfn.IFS(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"tine harrow","")))/LEN("tine harrow"),
(LEN(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-LEN(SUBSTITUTE(
INDEX('Focus Data Tillage by farm'!$D$12:$P$17,MATCH(D40,'Focus Data Tillage by farm'!$C$12:$C$17,0),_xlfn.IFS(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
"tine harrow","")))/LEN("tine harrow"))</f>
        <v>0</v>
      </c>
      <c r="AP40" s="102">
        <f>INDEX('Focus Data NSpraying'!$D$4:$P$19,MATCH(F40,'Focus Data NSpraying'!$C$4:$C$19,0),_xlfn.IFS(
AND(ISNUMBER(SEARCH("H-Dsty.",A40))=TRUE,ISNUMBER(SEARCH("H-Res",A40))=TRUE,ISNUMBER(SEARCH("E.",A40))=TRUE),1,
AND(ISNUMBER(SEARCH("H-Dsty.",A40))=TRUE,ISNUMBER(SEARCH("H-Res",A40))=TRUE,OR(ISNUMBER(SEARCH("N.he",A40))=TRUE,ISNUMBER(SEARCH("N.me",A40))=TRUE,ISNUMBER(SEARCH("N.li",A40))=TRUE)),2,
AND(ISNUMBER(SEARCH("H-Dsty.",A40))=TRUE,ISNUMBER(SEARCH("H-Res",A40))=TRUE,ISNUMBER(SEARCH("C.",A40))=TRUE),3,
AND(ISNUMBER(SEARCH("L-Dsty.",A40))=TRUE,ISNUMBER(SEARCH("H-Res",A40))=TRUE,ISNUMBER(SEARCH("E.",A40))=TRUE),6,
AND(ISNUMBER(SEARCH("L-Dsty.",A40))=TRUE,ISNUMBER(SEARCH("H-Res",A40))=TRUE,OR(ISNUMBER(SEARCH("N.he",A40))=TRUE,ISNUMBER(SEARCH("N.me",A40))=TRUE,ISNUMBER(SEARCH("N.li",A40))=TRUE)),7,
AND(ISNUMBER(SEARCH("L-Dsty.",A40))=TRUE,ISNUMBER(SEARCH("H-Res",A40))=TRUE,ISNUMBER(SEARCH("C.",A40))=TRUE),8,
AND(ISNUMBER(SEARCH("L-Dsty.",A40))=TRUE,ISNUMBER(SEARCH("L-Res",A40))=TRUE,ISNUMBER(SEARCH("E.",A40))=TRUE),11,
AND(ISNUMBER(SEARCH("L-Dsty.",A40))=TRUE,ISNUMBER(SEARCH("L-Res",A40))=TRUE,OR(ISNUMBER(SEARCH("N.he",A40))=TRUE,ISNUMBER(SEARCH("N.me",A40))=TRUE,ISNUMBER(SEARCH("N.li",A40))=TRUE)),12,
AND(ISNUMBER(SEARCH("L-Dsty.",A40))=TRUE,ISNUMBER(SEARCH("L-Res",A40))=TRUE,ISNUMBER(SEARCH("C.",A40))=TRUE),13))</f>
        <v>5</v>
      </c>
    </row>
    <row r="41" spans="1:42" x14ac:dyDescent="0.2">
      <c r="A41" t="s">
        <v>490</v>
      </c>
      <c r="B41" s="210" t="str">
        <f t="array" ref="B41">INDEX(ECOMOD_input_estimate!$A$2:$A$55, MATCH(CFT_input!$A41, ECOMOD_input_estimate!$B:$B, 0))</f>
        <v>FF_02.2</v>
      </c>
      <c r="C41" s="210">
        <v>2020</v>
      </c>
      <c r="D41" s="395" t="s">
        <v>1695</v>
      </c>
      <c r="E41" s="210" t="str">
        <f t="shared" si="0"/>
        <v>N.light.H-Dsty.H-Res</v>
      </c>
      <c r="F41" s="210" t="str">
        <f t="array" ref="F41">_xlfn.SINGLE(IF(OR(ISNUMBER(SEARCH("heavy",A41))=TRUE,ISNUMBER(SEARCH("medium",A41))=TRUE),
INDEX('Focus Data Crop Rotations'!$D$4:$P$9,MATCH(D41,'Focus Data Crop Rotations'!$C$4:$C$9,0),_xlfn.SINGLE(_xlfn.IFS(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INDEX('Focus Data Crop Rotations'!$D$12:$P$17,MATCH(D41,'Focus Data Crop Rotations'!$C$12:$C$17,0),_xlfn.SINGLE(_xlfn.IFS(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winterwheat</v>
      </c>
      <c r="G41">
        <v>7.2</v>
      </c>
      <c r="H41" s="227">
        <f>VLOOKUP(F41,'CFT Specific Data'!$F$4:$H$19,3,FALSE)*G41*
IF(B41=B40,
IF(AND(ISNUMBER(SEARCH("wheat",F41))=TRUE,ISNUMBER(SEARCH("Barley",F40))=TRUE),0.89,
IF(AND(ISNUMBER(SEARCH("wheat",F41))=TRUE,F40="setaside"),0.94,
IF(AND(ISNUMBER(SEARCH("barley",F41))=TRUE,ISNUMBER(SEARCH("wheat",F40))=TRUE),0.89,
IF(AND(F41="winterbarley",F40="setaside"),0.94,
IF(AND(F41="sugarbeet",F40="warepotatoes"),0.95,
IF(AND((OR(ISNUMBER(SEARCH("beans",F41)),ISNUMBER(SEARCH("driedpeas",F41)),ISNUMBER(SEARCH("sugarbeet",F41)))=TRUE),ISNUMBER(SEARCH("osr",F40))=TRUE),0,
IF(AND((OR((ISNUMBER(SEARCH("wheat",F41))),ISNUMBER(SEARCH("linseed",F41)),ISNUMBER(SEARCH("driedpeas",F41)),ISNUMBER(SEARCH("osr",F41)))=TRUE),F40="sugarbeet"),0,
IF(AND((OR((ISNUMBER(SEARCH("osr",F41))),ISNUMBER(SEARCH("linseed",F41)))=TRUE),ISNUMBER(SEARCH("beans",F40))=TRUE),0,
IF(AND(F41="wosr",ISNUMBER(SEARCH("linseed",F40))=TRUE),0,
IF(AND(F41="sugarbeet",F40="warepotatoes"),0,
1)))))))))),
IF(AND(ISNUMBER(SEARCH("wheat",F41))=TRUE,ISNUMBER(SEARCH("Barley",F46))=TRUE),0.89,
IF(AND(ISNUMBER(SEARCH("wheat",F41))=TRUE,F46="setaside"),0.94,
IF(AND(ISNUMBER(SEARCH("barley",F41))=TRUE,ISNUMBER(SEARCH("wheat",F46))=TRUE),0.89,
IF(AND(F41="winterbarley",F46="setaside"),0.94,
IF(AND(F41="sugarbeet",F46="warepotatoes"),0.95,
IF(AND((OR(ISNUMBER(SEARCH("beans",F41)),ISNUMBER(SEARCH("driedpeas",F41)),ISNUMBER(SEARCH("sugarbeet",F41)))=TRUE),ISNUMBER(SEARCH("osr",F46))=TRUE),0,
IF(AND((OR((ISNUMBER(SEARCH("wheat",F41))),ISNUMBER(SEARCH("linseed",F41)),ISNUMBER(SEARCH("driedpeas",F41)),ISNUMBER(SEARCH("osr",F41)))=TRUE),F46="sugarbeet"),0,
IF(AND((OR((ISNUMBER(SEARCH("osr",F41))),ISNUMBER(SEARCH("linseed",F41)))=TRUE),ISNUMBER(SEARCH("beans",F46))=TRUE),0,
IF(AND(F41="wosr",ISNUMBER(SEARCH("linseed",F46))=TRUE),0,
IF(AND(F41="sugarbeet",F46="warepotatoes"),0,
1)))))))))))
*IF(OR(ISNUMBER(SEARCH("wheat",F41)),ISNUMBER(SEARCH("barley",F41)),ISNUMBER(SEARCH("driedpeas",F41)),ISNUMBER(SEARCH("warepotatoes",F41)),ISNUMBER(SEARCH("osr",F41)),ISNUMBER(SEARCH("linseed",F41)),ISNUMBER(SEARCH("sugarbeet",F41))),
IF(COUNTIF(B36:B40,B41)=5,
INDEX('CFT Specific Data'!$G$24:$L$39,MATCH(F41,'CFT Specific Data'!$F$24:$F$39,0),IF(COUNTIF(F36:F40,F41)=5,6,IF(COUNTIF(F37:F40,F41)=4,5,IF(COUNTIF(F38:F40,F41)=3,4,IF(COUNTIF(F39:F40,F41)=2,3,IF(F40=F41,2,1)))))),
IF(COUNTIF(B36:B40,B41)=4,
INDEX('CFT Specific Data'!$G$24:$L$39,MATCH(F41,'CFT Specific Data'!$F$24:$F$39,0),IF(SUM(COUNTIF(F37:F40,F41),COUNTIF(F42,F41))=5,6,IF(COUNTIF(F37:F40,F41)=4,5,IF(COUNTIF(F38:F40,F41)=3,4,IF(COUNTIF(F39:F40,F41)=2,3,IF(F40=F41,2,1)))))),
IF(COUNTIF(B36:B40,B41)=3,
INDEX('CFT Specific Data'!$G$24:$L$39,MATCH(F41,'CFT Specific Data'!$F$24:$F$39,0),IF(SUM(COUNTIF(F38:F40,F41),COUNTIF(F42:F43,F41))=5,6,IF(SUM(COUNTIF(F38:F40,F41),COUNTIF(F43,F41))=4,5,IF(COUNTIF(F38:F40,F41)=3,4,IF(COUNTIF(F39:F40,F41)=2,3,IF(F40=F41,2,1)))))),
IF(COUNTIF(B36:B40,B41)=2,
INDEX('CFT Specific Data'!$G$24:$L$39,MATCH(F41,'CFT Specific Data'!$F$24:$F$39,0),IF(SUM(COUNTIF(F39:F40,F41),COUNTIF(F42:F44,F41))=5,6,IF(SUM(COUNTIF(F39:F40,F41),COUNTIF(F43:F44,F41))=4,5,IF(SUM(COUNTIF(F39:F40,F41),COUNTIF(F44,F41))=3,4,IF(COUNTIF(F39:F40,F41)=2,3,IF(F40=F41,2,1)))))),
IF(COUNTIF(B36:B40,B41)=1,
INDEX('CFT Specific Data'!$G$24:$L$39,MATCH(F41,'CFT Specific Data'!$F$24:$F$39,0),IF(SUM(COUNTIF(F40,F41),COUNTIF(F42:F45,F41))=5,6,IF(SUM(COUNTIF(F40,F41),COUNTIF(F43:F45,F41))=4,5,IF(SUM(COUNTIF(F40,F41),COUNTIF(F44:F45,F41))=3,4,IF(SUM(COUNTIF(F40,F41),COUNTIF(F45,F41))=2,3,IF(F40=F41,2,1)))))),
IF(COUNTIF(B36:B40,B41)=0,
INDEX('CFT Specific Data'!$G$24:$L$39,MATCH(F41,'CFT Specific Data'!$F$24:$F$39,0),IF(COUNTIF(F42:F46,F41)=5,6,IF(COUNTIF(F43:F46,F41)=4,5,IF(COUNTIF(F44:F46,F41)=3,4,IF(COUNTIF(F45:F46,F41)=2,3,IF(F46=F41,2,1)))))))))))),1)</f>
        <v>55.108800000000002</v>
      </c>
      <c r="I41" s="210" t="s">
        <v>348</v>
      </c>
      <c r="J41">
        <v>10</v>
      </c>
      <c r="K41" s="210" t="str">
        <f>VLOOKUP(F41,'CFT Specific Data'!$F$4:$G$19,2,FALSE)</f>
        <v>Winter wheat</v>
      </c>
      <c r="L41" t="str">
        <f t="shared" si="1"/>
        <v>Coarse</v>
      </c>
      <c r="M41">
        <f t="shared" si="2"/>
        <v>5.16</v>
      </c>
      <c r="N41" t="str">
        <f t="shared" si="3"/>
        <v>1.72 &lt; SOM &lt;= 5.16</v>
      </c>
      <c r="O41" t="s">
        <v>349</v>
      </c>
      <c r="P41" t="s">
        <v>350</v>
      </c>
      <c r="Q41">
        <v>7</v>
      </c>
      <c r="R41" t="str">
        <f t="shared" si="5"/>
        <v>5.5 &lt; pH &lt;= 7.3</v>
      </c>
      <c r="S41" t="s">
        <v>351</v>
      </c>
      <c r="T41" s="210">
        <f t="array" ref="T41">_xlfn.SINGLE(INDEX('Focus Data NFertiliser Rate'!$D$4:$P$19,MATCH(F41,'Focus Data NFertiliser Rate'!$C$4:$C$19,0),_xlfn.SINGLE(_xlfn.IFS(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220</v>
      </c>
      <c r="U41" t="str">
        <f t="shared" si="4"/>
        <v>Apply in solution</v>
      </c>
      <c r="V41" s="210">
        <f t="array" ref="V41">_xlfn.SINGLE(INDEX('№ Fertiliser sprayings'!$D$4:$P$19,MATCH(F41,'№ Fertiliser sprayings'!$C$4:$C$19,0),_xlfn.SINGLE(_xlfn.IFS(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3</v>
      </c>
      <c r="W41" s="264">
        <f t="array" ref="W41">_xlfn.SINGLE(INDEX('Focus Data CFT NSpraying'!$D$4:$P$19,MATCH(F41,'Focus Data CFT NSpraying'!$C$4:$C$19,0),_xlfn.SINGLE(_xlfn.IFS(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9.2639999999999993</v>
      </c>
      <c r="X41" t="s">
        <v>363</v>
      </c>
      <c r="Y41">
        <v>0</v>
      </c>
      <c r="Z41">
        <v>100</v>
      </c>
      <c r="AA41" t="s">
        <v>352</v>
      </c>
      <c r="AB41" s="226" t="str">
        <f>IF(B41=B40,_xlfn.IFS(
AND(AA41=Lists!$L$8,AA40=Lists!$L$8),Lists!$N$5,
AND(OR(AA41=Lists!$L$5,AA41=Lists!$L$7,AA41=Lists!$L$9,AA41=Lists!$L$10,AA41=Lists!$L$6),OR(AA40=Lists!$L$5,AA40=Lists!$L$7,AA40=Lists!$L$9,AA40=Lists!$L$10,AA40=Lists!$L$6)),Lists!$N$5,
AND(AA41=Lists!$L$8,OR(AA40=Lists!$L$5,AA40=Lists!$L$7,AA40=Lists!$L$9,AA40=Lists!$L$10,AA40=Lists!$L$6)),Lists!$N$6,
AND(OR(AA41=Lists!$L$5,AA41=Lists!$L$6,AA41=Lists!$L$7,AA41=Lists!$L$9,AA41=Lists!$L$10),AA40=Lists!$L$8),Lists!$N$7),
_xlfn.IFS(
AND(AA41=Lists!$L$8,AA46=Lists!$L$8),Lists!$N$5,
AND(OR(AA41=Lists!$L$5,AA41=Lists!$L$7,AA41=Lists!$L$9,AA41=Lists!$L$10,AA41=Lists!$L$6),OR(AA46=Lists!$L$5,AA46=Lists!$L$7,AA46=Lists!$L$9,AA46=Lists!$L$10,AA46=Lists!$L$6)),Lists!$N$5,
AND(AA41=Lists!$L$8,OR(AA46=Lists!$L$5,AA46=Lists!$L$7,AA46=Lists!$L$9,AA46=Lists!$L$10,AA46=Lists!$L$6)),Lists!$N$6,
AND(OR(AA41=Lists!$L$5,AA41=Lists!$L$7,AA41=Lists!$L$9,AA41=Lists!$L$10),AA46=Lists!$L$8),Lists!$N$7))</f>
        <v>no change</v>
      </c>
      <c r="AC41">
        <v>0</v>
      </c>
      <c r="AD41">
        <v>0</v>
      </c>
      <c r="AE41" s="102">
        <f t="array" ref="AE41">IF(OR(ISNUMBER(SEARCH("heavy",A41))=TRUE, ISNUMBER(SEARCH("medium",A41))=TRUE),
(LEN(_xlfn.SINGLE(
INDEX('Focus Data Tillage by farm'!$D$4:$P$9,MATCH(D41,'Focus Data Tillage by farm'!$C$4:$C$9,0),_xlfn.SINGLE(_xlfn.IFS(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-LEN(SUBSTITUTE(_xlfn.SINGLE(
INDEX('Focus Data Tillage by farm'!$D$4:$P$9,MATCH(D41,'Focus Data Tillage by farm'!$C$4:$C$9,0),_xlfn.SINGLE(_xlfn.IFS(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"disc","")))/LEN("disc"),
(LEN(_xlfn.SINGLE(
INDEX('Focus Data Tillage by farm'!$D$12:$P$17,MATCH(D41,'Focus Data Tillage by farm'!$C$12:$C$17,0),_xlfn.SINGLE(_xlfn.IFS(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-LEN(SUBSTITUTE(_xlfn.SINGLE(
INDEX('Focus Data Tillage by farm'!$D$12:$P$17,MATCH(D41,'Focus Data Tillage by farm'!$C$12:$C$17,0),_xlfn.SINGLE(_xlfn.IFS(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"disc","")))/LEN("disc"))</f>
        <v>2</v>
      </c>
      <c r="AF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"field cultivator","")))/LEN("field cultivator"),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"field cultivator","")))/LEN("field cultivator"))</f>
        <v>0</v>
      </c>
      <c r="AG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"grain drill","")))/LEN("grain drill"),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"grain drill","")))/LEN("grain drill"))</f>
        <v>0</v>
      </c>
      <c r="AH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"minimum tillage","")))/LEN("minimum tillage"),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"minimum tillage","")))/LEN("minimum tillage"))</f>
        <v>1</v>
      </c>
      <c r="AI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"row crop planter","")))/LEN("row crop planter"),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"row crop planter","")))/LEN("row crop planter"))</f>
        <v>0</v>
      </c>
      <c r="AJ41" s="102">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"plough","")))/LEN("plough"),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"plough","")))/LEN("plough"))</f>
        <v>0</v>
      </c>
      <c r="AK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harrow","")))/LEN("roller harrow"),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harrow","")))/LEN("roller harrow"))</f>
        <v>0</v>
      </c>
      <c r="AL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packer","")))/LEN("roller packer"),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"roller packer","")))/LEN("roller packer"))</f>
        <v>2</v>
      </c>
      <c r="AM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"rotary hoe","")))/LEN("rotary hoe"),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"rotary hoe","")))/LEN("rotary hoe"))</f>
        <v>0</v>
      </c>
      <c r="AN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"subsoil","")))/LEN("subsoil"),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"subsoil","")))/LEN("subsoil"))</f>
        <v>0</v>
      </c>
      <c r="AO41">
        <f>IF(OR(ISNUMBER(SEARCH("heavy",A41))=TRUE, ISNUMBER(SEARCH("medium",A41))=TRUE),
(LEN(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farm'!$D$4:$P$9,MATCH(D41,'Focus Data Tillage by farm'!$C$4:$C$9,0),_xlfn.IFS(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"tine harrow","")))/LEN("tine harrow"),
(LEN(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-LEN(SUBSTITUTE(
INDEX('Focus Data Tillage by farm'!$D$12:$P$17,MATCH(D41,'Focus Data Tillage by farm'!$C$12:$C$17,0),_xlfn.IFS(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
"tine harrow","")))/LEN("tine harrow"))</f>
        <v>0</v>
      </c>
      <c r="AP41" s="102">
        <f>INDEX('Focus Data NSpraying'!$D$4:$P$19,MATCH(F41,'Focus Data NSpraying'!$C$4:$C$19,0),_xlfn.IFS(
AND(ISNUMBER(SEARCH("H-Dsty.",A41))=TRUE,ISNUMBER(SEARCH("H-Res",A41))=TRUE,ISNUMBER(SEARCH("E.",A41))=TRUE),1,
AND(ISNUMBER(SEARCH("H-Dsty.",A41))=TRUE,ISNUMBER(SEARCH("H-Res",A41))=TRUE,OR(ISNUMBER(SEARCH("N.he",A41))=TRUE,ISNUMBER(SEARCH("N.me",A41))=TRUE,ISNUMBER(SEARCH("N.li",A41))=TRUE)),2,
AND(ISNUMBER(SEARCH("H-Dsty.",A41))=TRUE,ISNUMBER(SEARCH("H-Res",A41))=TRUE,ISNUMBER(SEARCH("C.",A41))=TRUE),3,
AND(ISNUMBER(SEARCH("L-Dsty.",A41))=TRUE,ISNUMBER(SEARCH("H-Res",A41))=TRUE,ISNUMBER(SEARCH("E.",A41))=TRUE),6,
AND(ISNUMBER(SEARCH("L-Dsty.",A41))=TRUE,ISNUMBER(SEARCH("H-Res",A41))=TRUE,OR(ISNUMBER(SEARCH("N.he",A41))=TRUE,ISNUMBER(SEARCH("N.me",A41))=TRUE,ISNUMBER(SEARCH("N.li",A41))=TRUE)),7,
AND(ISNUMBER(SEARCH("L-Dsty.",A41))=TRUE,ISNUMBER(SEARCH("H-Res",A41))=TRUE,ISNUMBER(SEARCH("C.",A41))=TRUE),8,
AND(ISNUMBER(SEARCH("L-Dsty.",A41))=TRUE,ISNUMBER(SEARCH("L-Res",A41))=TRUE,ISNUMBER(SEARCH("E.",A41))=TRUE),11,
AND(ISNUMBER(SEARCH("L-Dsty.",A41))=TRUE,ISNUMBER(SEARCH("L-Res",A41))=TRUE,OR(ISNUMBER(SEARCH("N.he",A41))=TRUE,ISNUMBER(SEARCH("N.me",A41))=TRUE,ISNUMBER(SEARCH("N.li",A41))=TRUE)),12,
AND(ISNUMBER(SEARCH("L-Dsty.",A41))=TRUE,ISNUMBER(SEARCH("L-Res",A41))=TRUE,ISNUMBER(SEARCH("C.",A41))=TRUE),13))</f>
        <v>5</v>
      </c>
    </row>
    <row r="42" spans="1:42" x14ac:dyDescent="0.2">
      <c r="A42" t="s">
        <v>490</v>
      </c>
      <c r="B42" s="210" t="str">
        <f t="array" ref="B42">INDEX(ECOMOD_input_estimate!$A$2:$A$55, MATCH(CFT_input!$A42, ECOMOD_input_estimate!$B:$B, 0))</f>
        <v>FF_02.2</v>
      </c>
      <c r="C42" s="210">
        <v>2020</v>
      </c>
      <c r="D42" s="395" t="s">
        <v>1696</v>
      </c>
      <c r="E42" s="210" t="str">
        <f t="shared" si="0"/>
        <v>N.light.H-Dsty.H-Res</v>
      </c>
      <c r="F42" s="210" t="str">
        <f t="array" ref="F42">_xlfn.SINGLE(IF(OR(ISNUMBER(SEARCH("heavy",A42))=TRUE,ISNUMBER(SEARCH("medium",A42))=TRUE),
INDEX('Focus Data Crop Rotations'!$D$4:$P$9,MATCH(D42,'Focus Data Crop Rotations'!$C$4:$C$9,0),_xlfn.SINGLE(_xlfn.IFS(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INDEX('Focus Data Crop Rotations'!$D$12:$P$17,MATCH(D42,'Focus Data Crop Rotations'!$C$12:$C$17,0),_xlfn.SINGLE(_xlfn.IFS(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wosr</v>
      </c>
      <c r="G42">
        <v>7.2</v>
      </c>
      <c r="H42" s="227">
        <f>VLOOKUP(F42,'CFT Specific Data'!$F$4:$H$19,3,FALSE)*G42*
IF(B42=B41,
IF(AND(ISNUMBER(SEARCH("wheat",F42))=TRUE,ISNUMBER(SEARCH("Barley",F41))=TRUE),0.89,
IF(AND(ISNUMBER(SEARCH("wheat",F42))=TRUE,F41="setaside"),0.94,
IF(AND(ISNUMBER(SEARCH("barley",F42))=TRUE,ISNUMBER(SEARCH("wheat",F41))=TRUE),0.89,
IF(AND(F42="winterbarley",F41="setaside"),0.94,
IF(AND(F42="sugarbeet",F41="warepotatoes"),0.95,
IF(AND((OR(ISNUMBER(SEARCH("beans",F42)),ISNUMBER(SEARCH("driedpeas",F42)),ISNUMBER(SEARCH("sugarbeet",F42)))=TRUE),ISNUMBER(SEARCH("osr",F41))=TRUE),0,
IF(AND((OR((ISNUMBER(SEARCH("wheat",F42))),ISNUMBER(SEARCH("linseed",F42)),ISNUMBER(SEARCH("driedpeas",F42)),ISNUMBER(SEARCH("osr",F42)))=TRUE),F41="sugarbeet"),0,
IF(AND((OR((ISNUMBER(SEARCH("osr",F42))),ISNUMBER(SEARCH("linseed",F42)))=TRUE),ISNUMBER(SEARCH("beans",F41))=TRUE),0,
IF(AND(F42="wosr",ISNUMBER(SEARCH("linseed",F41))=TRUE),0,
IF(AND(F42="sugarbeet",F41="warepotatoes"),0,
1)))))))))),
IF(AND(ISNUMBER(SEARCH("wheat",F42))=TRUE,ISNUMBER(SEARCH("Barley",F47))=TRUE),0.89,
IF(AND(ISNUMBER(SEARCH("wheat",F42))=TRUE,F47="setaside"),0.94,
IF(AND(ISNUMBER(SEARCH("barley",F42))=TRUE,ISNUMBER(SEARCH("wheat",F47))=TRUE),0.89,
IF(AND(F42="winterbarley",F47="setaside"),0.94,
IF(AND(F42="sugarbeet",F47="warepotatoes"),0.95,
IF(AND((OR(ISNUMBER(SEARCH("beans",F42)),ISNUMBER(SEARCH("driedpeas",F42)),ISNUMBER(SEARCH("sugarbeet",F42)))=TRUE),ISNUMBER(SEARCH("osr",F47))=TRUE),0,
IF(AND((OR((ISNUMBER(SEARCH("wheat",F42))),ISNUMBER(SEARCH("linseed",F42)),ISNUMBER(SEARCH("driedpeas",F42)),ISNUMBER(SEARCH("osr",F42)))=TRUE),F47="sugarbeet"),0,
IF(AND((OR((ISNUMBER(SEARCH("osr",F42))),ISNUMBER(SEARCH("linseed",F42)))=TRUE),ISNUMBER(SEARCH("beans",F47))=TRUE),0,
IF(AND(F42="wosr",ISNUMBER(SEARCH("linseed",F47))=TRUE),0,
IF(AND(F42="sugarbeet",F47="warepotatoes"),0,
1)))))))))))
*IF(OR(ISNUMBER(SEARCH("wheat",F42)),ISNUMBER(SEARCH("barley",F42)),ISNUMBER(SEARCH("driedpeas",F42)),ISNUMBER(SEARCH("warepotatoes",F42)),ISNUMBER(SEARCH("osr",F42)),ISNUMBER(SEARCH("linseed",F42)),ISNUMBER(SEARCH("sugarbeet",F42))),
IF(COUNTIF(B37:B41,B42)=5,
INDEX('CFT Specific Data'!$G$24:$L$39,MATCH(F42,'CFT Specific Data'!$F$24:$F$39,0),IF(COUNTIF(F37:F41,F42)=5,6,IF(COUNTIF(F38:F41,F42)=4,5,IF(COUNTIF(F39:F41,F42)=3,4,IF(COUNTIF(F40:F41,F42)=2,3,IF(F41=F42,2,1)))))),
IF(COUNTIF(B37:B41,B42)=4,
INDEX('CFT Specific Data'!$G$24:$L$39,MATCH(F42,'CFT Specific Data'!$F$24:$F$39,0),IF(SUM(COUNTIF(F38:F41,F42),COUNTIF(F43,F42))=5,6,IF(COUNTIF(F38:F41,F42)=4,5,IF(COUNTIF(F39:F41,F42)=3,4,IF(COUNTIF(F40:F41,F42)=2,3,IF(F41=F42,2,1)))))),
IF(COUNTIF(B37:B41,B42)=3,
INDEX('CFT Specific Data'!$G$24:$L$39,MATCH(F42,'CFT Specific Data'!$F$24:$F$39,0),IF(SUM(COUNTIF(F39:F41,F42),COUNTIF(F43:F44,F42))=5,6,IF(SUM(COUNTIF(F39:F41,F42),COUNTIF(F44,F42))=4,5,IF(COUNTIF(F39:F41,F42)=3,4,IF(COUNTIF(F40:F41,F42)=2,3,IF(F41=F42,2,1)))))),
IF(COUNTIF(B37:B41,B42)=2,
INDEX('CFT Specific Data'!$G$24:$L$39,MATCH(F42,'CFT Specific Data'!$F$24:$F$39,0),IF(SUM(COUNTIF(F40:F41,F42),COUNTIF(F43:F45,F42))=5,6,IF(SUM(COUNTIF(F40:F41,F42),COUNTIF(F44:F45,F42))=4,5,IF(SUM(COUNTIF(F40:F41,F42),COUNTIF(F45,F42))=3,4,IF(COUNTIF(F40:F41,F42)=2,3,IF(F41=F42,2,1)))))),
IF(COUNTIF(B37:B41,B42)=1,
INDEX('CFT Specific Data'!$G$24:$L$39,MATCH(F42,'CFT Specific Data'!$F$24:$F$39,0),IF(SUM(COUNTIF(F41,F42),COUNTIF(F43:F46,F42))=5,6,IF(SUM(COUNTIF(F41,F42),COUNTIF(F44:F46,F42))=4,5,IF(SUM(COUNTIF(F41,F42),COUNTIF(F45:F46,F42))=3,4,IF(SUM(COUNTIF(F41,F42),COUNTIF(F46,F42))=2,3,IF(F41=F42,2,1)))))),
IF(COUNTIF(B37:B41,B42)=0,
INDEX('CFT Specific Data'!$G$24:$L$39,MATCH(F42,'CFT Specific Data'!$F$24:$F$39,0),IF(COUNTIF(F43:F47,F42)=5,6,IF(COUNTIF(F44:F47,F42)=4,5,IF(COUNTIF(F45:F47,F42)=3,4,IF(COUNTIF(F46:F47,F42)=2,3,IF(F47=F42,2,1)))))))))))),1)</f>
        <v>25.2</v>
      </c>
      <c r="I42" s="210" t="s">
        <v>348</v>
      </c>
      <c r="J42">
        <v>10</v>
      </c>
      <c r="K42" s="210" t="str">
        <f>VLOOKUP(F42,'CFT Specific Data'!$F$4:$G$19,2,FALSE)</f>
        <v>Other</v>
      </c>
      <c r="L42" t="str">
        <f t="shared" si="1"/>
        <v>Coarse</v>
      </c>
      <c r="M42">
        <f t="shared" si="2"/>
        <v>5.16</v>
      </c>
      <c r="N42" t="str">
        <f t="shared" si="3"/>
        <v>1.72 &lt; SOM &lt;= 5.16</v>
      </c>
      <c r="O42" t="s">
        <v>349</v>
      </c>
      <c r="P42" t="s">
        <v>350</v>
      </c>
      <c r="Q42">
        <v>7</v>
      </c>
      <c r="R42" t="str">
        <f t="shared" si="5"/>
        <v>5.5 &lt; pH &lt;= 7.3</v>
      </c>
      <c r="S42" t="s">
        <v>351</v>
      </c>
      <c r="T42" s="210">
        <f t="array" ref="T42">_xlfn.SINGLE(INDEX('Focus Data NFertiliser Rate'!$D$4:$P$19,MATCH(F42,'Focus Data NFertiliser Rate'!$C$4:$C$19,0),_xlfn.SINGLE(_xlfn.IFS(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180</v>
      </c>
      <c r="U42" t="str">
        <f t="shared" si="4"/>
        <v>Apply in solution</v>
      </c>
      <c r="V42" s="210">
        <f t="array" ref="V42">_xlfn.SINGLE(INDEX('№ Fertiliser sprayings'!$D$4:$P$19,MATCH(F42,'№ Fertiliser sprayings'!$C$4:$C$19,0),_xlfn.SINGLE(_xlfn.IFS(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v>
      </c>
      <c r="W42" s="264">
        <f t="array" ref="W42">_xlfn.SINGLE(INDEX('Focus Data CFT NSpraying'!$D$4:$P$19,MATCH(F42,'Focus Data CFT NSpraying'!$C$4:$C$19,0),_xlfn.SINGLE(_xlfn.IFS(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3.78</v>
      </c>
      <c r="X42" t="s">
        <v>363</v>
      </c>
      <c r="Y42">
        <v>0</v>
      </c>
      <c r="Z42">
        <v>100</v>
      </c>
      <c r="AA42" t="s">
        <v>352</v>
      </c>
      <c r="AB42" s="226" t="str">
        <f>IF(B42=B41,_xlfn.IFS(
AND(AA42=Lists!$L$8,AA41=Lists!$L$8),Lists!$N$5,
AND(OR(AA42=Lists!$L$5,AA42=Lists!$L$7,AA42=Lists!$L$9,AA42=Lists!$L$10,AA42=Lists!$L$6),OR(AA41=Lists!$L$5,AA41=Lists!$L$7,AA41=Lists!$L$9,AA41=Lists!$L$10,AA41=Lists!$L$6)),Lists!$N$5,
AND(AA42=Lists!$L$8,OR(AA41=Lists!$L$5,AA41=Lists!$L$7,AA41=Lists!$L$9,AA41=Lists!$L$10,AA41=Lists!$L$6)),Lists!$N$6,
AND(OR(AA42=Lists!$L$5,AA42=Lists!$L$6,AA42=Lists!$L$7,AA42=Lists!$L$9,AA42=Lists!$L$10),AA41=Lists!$L$8),Lists!$N$7),
_xlfn.IFS(
AND(AA42=Lists!$L$8,AA47=Lists!$L$8),Lists!$N$5,
AND(OR(AA42=Lists!$L$5,AA42=Lists!$L$7,AA42=Lists!$L$9,AA42=Lists!$L$10,AA42=Lists!$L$6),OR(AA47=Lists!$L$5,AA47=Lists!$L$7,AA47=Lists!$L$9,AA47=Lists!$L$10,AA47=Lists!$L$6)),Lists!$N$5,
AND(AA42=Lists!$L$8,OR(AA47=Lists!$L$5,AA47=Lists!$L$7,AA47=Lists!$L$9,AA47=Lists!$L$10,AA47=Lists!$L$6)),Lists!$N$6,
AND(OR(AA42=Lists!$L$5,AA42=Lists!$L$7,AA42=Lists!$L$9,AA42=Lists!$L$10),AA47=Lists!$L$8),Lists!$N$7))</f>
        <v>no change</v>
      </c>
      <c r="AC42">
        <v>0</v>
      </c>
      <c r="AD42">
        <v>0</v>
      </c>
      <c r="AE42" s="102">
        <f t="array" ref="AE42">IF(OR(ISNUMBER(SEARCH("heavy",A42))=TRUE, ISNUMBER(SEARCH("medium",A42))=TRUE),
(LEN(_xlfn.SINGLE(
INDEX('Focus Data Tillage by farm'!$D$4:$P$9,MATCH(D42,'Focus Data Tillage by farm'!$C$4:$C$9,0),_xlfn.SINGLE(_xlfn.IFS(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-LEN(SUBSTITUTE(_xlfn.SINGLE(
INDEX('Focus Data Tillage by farm'!$D$4:$P$9,MATCH(D42,'Focus Data Tillage by farm'!$C$4:$C$9,0),_xlfn.SINGLE(_xlfn.IFS(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"disc","")))/LEN("disc"),
(LEN(_xlfn.SINGLE(
INDEX('Focus Data Tillage by farm'!$D$12:$P$17,MATCH(D42,'Focus Data Tillage by farm'!$C$12:$C$17,0),_xlfn.SINGLE(_xlfn.IFS(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-LEN(SUBSTITUTE(_xlfn.SINGLE(
INDEX('Focus Data Tillage by farm'!$D$12:$P$17,MATCH(D42,'Focus Data Tillage by farm'!$C$12:$C$17,0),_xlfn.SINGLE(_xlfn.IFS(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"disc","")))/LEN("disc"))</f>
        <v>0</v>
      </c>
      <c r="AF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"field cultivator","")))/LEN("field cultivator"),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"field cultivator","")))/LEN("field cultivator"))</f>
        <v>0</v>
      </c>
      <c r="AG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"grain drill","")))/LEN("grain drill"),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"grain drill","")))/LEN("grain drill"))</f>
        <v>0</v>
      </c>
      <c r="AH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"minimum tillage","")))/LEN("minimum tillage"),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"minimum tillage","")))/LEN("minimum tillage"))</f>
        <v>1</v>
      </c>
      <c r="AI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"row crop planter","")))/LEN("row crop planter"),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"row crop planter","")))/LEN("row crop planter"))</f>
        <v>0</v>
      </c>
      <c r="AJ42" s="10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"plough","")))/LEN("plough"),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"plough","")))/LEN("plough"))</f>
        <v>0</v>
      </c>
      <c r="AK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harrow","")))/LEN("roller harrow"),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harrow","")))/LEN("roller harrow"))</f>
        <v>0</v>
      </c>
      <c r="AL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packer","")))/LEN("roller packer"),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"roller packer","")))/LEN("roller packer"))</f>
        <v>1</v>
      </c>
      <c r="AM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"rotary hoe","")))/LEN("rotary hoe"),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"rotary hoe","")))/LEN("rotary hoe"))</f>
        <v>0</v>
      </c>
      <c r="AN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"subsoil","")))/LEN("subsoil"),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"subsoil","")))/LEN("subsoil"))</f>
        <v>0</v>
      </c>
      <c r="AO42">
        <f>IF(OR(ISNUMBER(SEARCH("heavy",A42))=TRUE, ISNUMBER(SEARCH("medium",A42))=TRUE),
(LEN(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farm'!$D$4:$P$9,MATCH(D42,'Focus Data Tillage by farm'!$C$4:$C$9,0),_xlfn.IFS(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"tine harrow","")))/LEN("tine harrow"),
(LEN(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-LEN(SUBSTITUTE(
INDEX('Focus Data Tillage by farm'!$D$12:$P$17,MATCH(D42,'Focus Data Tillage by farm'!$C$12:$C$17,0),_xlfn.IFS(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
"tine harrow","")))/LEN("tine harrow"))</f>
        <v>0</v>
      </c>
      <c r="AP42" s="102">
        <f>INDEX('Focus Data NSpraying'!$D$4:$P$19,MATCH(F42,'Focus Data NSpraying'!$C$4:$C$19,0),_xlfn.IFS(
AND(ISNUMBER(SEARCH("H-Dsty.",A42))=TRUE,ISNUMBER(SEARCH("H-Res",A42))=TRUE,ISNUMBER(SEARCH("E.",A42))=TRUE),1,
AND(ISNUMBER(SEARCH("H-Dsty.",A42))=TRUE,ISNUMBER(SEARCH("H-Res",A42))=TRUE,OR(ISNUMBER(SEARCH("N.he",A42))=TRUE,ISNUMBER(SEARCH("N.me",A42))=TRUE,ISNUMBER(SEARCH("N.li",A42))=TRUE)),2,
AND(ISNUMBER(SEARCH("H-Dsty.",A42))=TRUE,ISNUMBER(SEARCH("H-Res",A42))=TRUE,ISNUMBER(SEARCH("C.",A42))=TRUE),3,
AND(ISNUMBER(SEARCH("L-Dsty.",A42))=TRUE,ISNUMBER(SEARCH("H-Res",A42))=TRUE,ISNUMBER(SEARCH("E.",A42))=TRUE),6,
AND(ISNUMBER(SEARCH("L-Dsty.",A42))=TRUE,ISNUMBER(SEARCH("H-Res",A42))=TRUE,OR(ISNUMBER(SEARCH("N.he",A42))=TRUE,ISNUMBER(SEARCH("N.me",A42))=TRUE,ISNUMBER(SEARCH("N.li",A42))=TRUE)),7,
AND(ISNUMBER(SEARCH("L-Dsty.",A42))=TRUE,ISNUMBER(SEARCH("H-Res",A42))=TRUE,ISNUMBER(SEARCH("C.",A42))=TRUE),8,
AND(ISNUMBER(SEARCH("L-Dsty.",A42))=TRUE,ISNUMBER(SEARCH("L-Res",A42))=TRUE,ISNUMBER(SEARCH("E.",A42))=TRUE),11,
AND(ISNUMBER(SEARCH("L-Dsty.",A42))=TRUE,ISNUMBER(SEARCH("L-Res",A42))=TRUE,OR(ISNUMBER(SEARCH("N.he",A42))=TRUE,ISNUMBER(SEARCH("N.me",A42))=TRUE,ISNUMBER(SEARCH("N.li",A42))=TRUE)),12,
AND(ISNUMBER(SEARCH("L-Dsty.",A42))=TRUE,ISNUMBER(SEARCH("L-Res",A42))=TRUE,ISNUMBER(SEARCH("C.",A42))=TRUE),13))</f>
        <v>3</v>
      </c>
    </row>
    <row r="43" spans="1:42" x14ac:dyDescent="0.2">
      <c r="A43" t="s">
        <v>490</v>
      </c>
      <c r="B43" s="210" t="str">
        <f t="array" ref="B43">INDEX(ECOMOD_input_estimate!$A$2:$A$55, MATCH(CFT_input!$A43, ECOMOD_input_estimate!$B:$B, 0))</f>
        <v>FF_02.2</v>
      </c>
      <c r="C43" s="210">
        <v>2020</v>
      </c>
      <c r="D43" s="395" t="s">
        <v>735</v>
      </c>
      <c r="E43" s="210" t="str">
        <f t="shared" si="0"/>
        <v>N.light.H-Dsty.H-Res</v>
      </c>
      <c r="F43" s="210" t="str">
        <f t="array" ref="F43">_xlfn.SINGLE(IF(OR(ISNUMBER(SEARCH("heavy",A43))=TRUE,ISNUMBER(SEARCH("medium",A43))=TRUE),
INDEX('Focus Data Crop Rotations'!$D$4:$P$9,MATCH(D43,'Focus Data Crop Rotations'!$C$4:$C$9,0),_xlfn.SINGLE(_xlfn.IFS(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INDEX('Focus Data Crop Rotations'!$D$12:$P$17,MATCH(D43,'Focus Data Crop Rotations'!$C$12:$C$17,0),_xlfn.SINGLE(_xlfn.IFS(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winterwheat</v>
      </c>
      <c r="G43">
        <v>7.2</v>
      </c>
      <c r="H43" s="227">
        <f>VLOOKUP(F43,'CFT Specific Data'!$F$4:$H$19,3,FALSE)*G43*
IF(B43=B42,
IF(AND(ISNUMBER(SEARCH("wheat",F43))=TRUE,ISNUMBER(SEARCH("Barley",F42))=TRUE),0.89,
IF(AND(ISNUMBER(SEARCH("wheat",F43))=TRUE,F42="setaside"),0.94,
IF(AND(ISNUMBER(SEARCH("barley",F43))=TRUE,ISNUMBER(SEARCH("wheat",F42))=TRUE),0.89,
IF(AND(F43="winterbarley",F42="setaside"),0.94,
IF(AND(F43="sugarbeet",F42="warepotatoes"),0.95,
IF(AND((OR(ISNUMBER(SEARCH("beans",F43)),ISNUMBER(SEARCH("driedpeas",F43)),ISNUMBER(SEARCH("sugarbeet",F43)))=TRUE),ISNUMBER(SEARCH("osr",F42))=TRUE),0,
IF(AND((OR((ISNUMBER(SEARCH("wheat",F43))),ISNUMBER(SEARCH("linseed",F43)),ISNUMBER(SEARCH("driedpeas",F43)),ISNUMBER(SEARCH("osr",F43)))=TRUE),F42="sugarbeet"),0,
IF(AND((OR((ISNUMBER(SEARCH("osr",F43))),ISNUMBER(SEARCH("linseed",F43)))=TRUE),ISNUMBER(SEARCH("beans",F42))=TRUE),0,
IF(AND(F43="wosr",ISNUMBER(SEARCH("linseed",F42))=TRUE),0,
IF(AND(F43="sugarbeet",F42="warepotatoes"),0,
1)))))))))),
IF(AND(ISNUMBER(SEARCH("wheat",F43))=TRUE,ISNUMBER(SEARCH("Barley",F48))=TRUE),0.89,
IF(AND(ISNUMBER(SEARCH("wheat",F43))=TRUE,F48="setaside"),0.94,
IF(AND(ISNUMBER(SEARCH("barley",F43))=TRUE,ISNUMBER(SEARCH("wheat",F48))=TRUE),0.89,
IF(AND(F43="winterbarley",F48="setaside"),0.94,
IF(AND(F43="sugarbeet",F48="warepotatoes"),0.95,
IF(AND((OR(ISNUMBER(SEARCH("beans",F43)),ISNUMBER(SEARCH("driedpeas",F43)),ISNUMBER(SEARCH("sugarbeet",F43)))=TRUE),ISNUMBER(SEARCH("osr",F48))=TRUE),0,
IF(AND((OR((ISNUMBER(SEARCH("wheat",F43))),ISNUMBER(SEARCH("linseed",F43)),ISNUMBER(SEARCH("driedpeas",F43)),ISNUMBER(SEARCH("osr",F43)))=TRUE),F48="sugarbeet"),0,
IF(AND((OR((ISNUMBER(SEARCH("osr",F43))),ISNUMBER(SEARCH("linseed",F43)))=TRUE),ISNUMBER(SEARCH("beans",F48))=TRUE),0,
IF(AND(F43="wosr",ISNUMBER(SEARCH("linseed",F48))=TRUE),0,
IF(AND(F43="sugarbeet",F48="warepotatoes"),0,
1)))))))))))
*IF(OR(ISNUMBER(SEARCH("wheat",F43)),ISNUMBER(SEARCH("barley",F43)),ISNUMBER(SEARCH("driedpeas",F43)),ISNUMBER(SEARCH("warepotatoes",F43)),ISNUMBER(SEARCH("osr",F43)),ISNUMBER(SEARCH("linseed",F43)),ISNUMBER(SEARCH("sugarbeet",F43))),
IF(COUNTIF(B38:B42,B43)=5,
INDEX('CFT Specific Data'!$G$24:$L$39,MATCH(F43,'CFT Specific Data'!$F$24:$F$39,0),IF(COUNTIF(F38:F42,F43)=5,6,IF(COUNTIF(F39:F42,F43)=4,5,IF(COUNTIF(F40:F42,F43)=3,4,IF(COUNTIF(F41:F42,F43)=2,3,IF(F42=F43,2,1)))))),
IF(COUNTIF(B38:B42,B43)=4,
INDEX('CFT Specific Data'!$G$24:$L$39,MATCH(F43,'CFT Specific Data'!$F$24:$F$39,0),IF(SUM(COUNTIF(F39:F42,F43),COUNTIF(F44,F43))=5,6,IF(COUNTIF(F39:F42,F43)=4,5,IF(COUNTIF(F40:F42,F43)=3,4,IF(COUNTIF(F41:F42,F43)=2,3,IF(F42=F43,2,1)))))),
IF(COUNTIF(B38:B42,B43)=3,
INDEX('CFT Specific Data'!$G$24:$L$39,MATCH(F43,'CFT Specific Data'!$F$24:$F$39,0),IF(SUM(COUNTIF(F40:F42,F43),COUNTIF(F44:F45,F43))=5,6,IF(SUM(COUNTIF(F40:F42,F43),COUNTIF(F45,F43))=4,5,IF(COUNTIF(F40:F42,F43)=3,4,IF(COUNTIF(F41:F42,F43)=2,3,IF(F42=F43,2,1)))))),
IF(COUNTIF(B38:B42,B43)=2,
INDEX('CFT Specific Data'!$G$24:$L$39,MATCH(F43,'CFT Specific Data'!$F$24:$F$39,0),IF(SUM(COUNTIF(F41:F42,F43),COUNTIF(F44:F46,F43))=5,6,IF(SUM(COUNTIF(F41:F42,F43),COUNTIF(F45:F46,F43))=4,5,IF(SUM(COUNTIF(F41:F42,F43),COUNTIF(F46,F43))=3,4,IF(COUNTIF(F41:F42,F43)=2,3,IF(F42=F43,2,1)))))),
IF(COUNTIF(B38:B42,B43)=1,
INDEX('CFT Specific Data'!$G$24:$L$39,MATCH(F43,'CFT Specific Data'!$F$24:$F$39,0),IF(SUM(COUNTIF(F42,F43),COUNTIF(F44:F47,F43))=5,6,IF(SUM(COUNTIF(F42,F43),COUNTIF(F45:F47,F43))=4,5,IF(SUM(COUNTIF(F42,F43),COUNTIF(F46:F47,F43))=3,4,IF(SUM(COUNTIF(F42,F43),COUNTIF(F47,F43))=2,3,IF(F42=F43,2,1)))))),
IF(COUNTIF(B38:B42,B43)=0,
INDEX('CFT Specific Data'!$G$24:$L$39,MATCH(F43,'CFT Specific Data'!$F$24:$F$39,0),IF(COUNTIF(F44:F48,F43)=5,6,IF(COUNTIF(F45:F48,F43)=4,5,IF(COUNTIF(F46:F48,F43)=3,4,IF(COUNTIF(F47:F48,F43)=2,3,IF(F48=F43,2,1)))))))))))),1)</f>
        <v>61.92</v>
      </c>
      <c r="I43" s="210" t="s">
        <v>348</v>
      </c>
      <c r="J43">
        <v>10</v>
      </c>
      <c r="K43" s="210" t="str">
        <f>VLOOKUP(F43,'CFT Specific Data'!$F$4:$G$19,2,FALSE)</f>
        <v>Winter wheat</v>
      </c>
      <c r="L43" t="str">
        <f t="shared" si="1"/>
        <v>Coarse</v>
      </c>
      <c r="M43">
        <f t="shared" si="2"/>
        <v>5.16</v>
      </c>
      <c r="N43" t="str">
        <f t="shared" si="3"/>
        <v>1.72 &lt; SOM &lt;= 5.16</v>
      </c>
      <c r="O43" t="s">
        <v>349</v>
      </c>
      <c r="P43" t="s">
        <v>350</v>
      </c>
      <c r="Q43">
        <v>7</v>
      </c>
      <c r="R43" t="str">
        <f t="shared" si="5"/>
        <v>5.5 &lt; pH &lt;= 7.3</v>
      </c>
      <c r="S43" t="s">
        <v>351</v>
      </c>
      <c r="T43" s="210">
        <f t="array" ref="T43">_xlfn.SINGLE(INDEX('Focus Data NFertiliser Rate'!$D$4:$P$19,MATCH(F43,'Focus Data NFertiliser Rate'!$C$4:$C$19,0),_xlfn.SINGLE(_xlfn.IFS(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220</v>
      </c>
      <c r="U43" t="str">
        <f t="shared" si="4"/>
        <v>Apply in solution</v>
      </c>
      <c r="V43" s="210">
        <f t="array" ref="V43">_xlfn.SINGLE(INDEX('№ Fertiliser sprayings'!$D$4:$P$19,MATCH(F43,'№ Fertiliser sprayings'!$C$4:$C$19,0),_xlfn.SINGLE(_xlfn.IFS(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3</v>
      </c>
      <c r="W43" s="264">
        <f t="array" ref="W43">_xlfn.SINGLE(INDEX('Focus Data CFT NSpraying'!$D$4:$P$19,MATCH(F43,'Focus Data CFT NSpraying'!$C$4:$C$19,0),_xlfn.SINGLE(_xlfn.IFS(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9.2639999999999993</v>
      </c>
      <c r="X43" t="s">
        <v>363</v>
      </c>
      <c r="Y43">
        <v>0</v>
      </c>
      <c r="Z43">
        <v>100</v>
      </c>
      <c r="AA43" t="s">
        <v>352</v>
      </c>
      <c r="AB43" s="226" t="str">
        <f>IF(B43=B42,_xlfn.IFS(
AND(AA43=Lists!$L$8,AA42=Lists!$L$8),Lists!$N$5,
AND(OR(AA43=Lists!$L$5,AA43=Lists!$L$7,AA43=Lists!$L$9,AA43=Lists!$L$10,AA43=Lists!$L$6),OR(AA42=Lists!$L$5,AA42=Lists!$L$7,AA42=Lists!$L$9,AA42=Lists!$L$10,AA42=Lists!$L$6)),Lists!$N$5,
AND(AA43=Lists!$L$8,OR(AA42=Lists!$L$5,AA42=Lists!$L$7,AA42=Lists!$L$9,AA42=Lists!$L$10,AA42=Lists!$L$6)),Lists!$N$6,
AND(OR(AA43=Lists!$L$5,AA43=Lists!$L$6,AA43=Lists!$L$7,AA43=Lists!$L$9,AA43=Lists!$L$10),AA42=Lists!$L$8),Lists!$N$7),
_xlfn.IFS(
AND(AA43=Lists!$L$8,AA48=Lists!$L$8),Lists!$N$5,
AND(OR(AA43=Lists!$L$5,AA43=Lists!$L$7,AA43=Lists!$L$9,AA43=Lists!$L$10,AA43=Lists!$L$6),OR(AA48=Lists!$L$5,AA48=Lists!$L$7,AA48=Lists!$L$9,AA48=Lists!$L$10,AA48=Lists!$L$6)),Lists!$N$5,
AND(AA43=Lists!$L$8,OR(AA48=Lists!$L$5,AA48=Lists!$L$7,AA48=Lists!$L$9,AA48=Lists!$L$10,AA48=Lists!$L$6)),Lists!$N$6,
AND(OR(AA43=Lists!$L$5,AA43=Lists!$L$7,AA43=Lists!$L$9,AA43=Lists!$L$10),AA48=Lists!$L$8),Lists!$N$7))</f>
        <v>no change</v>
      </c>
      <c r="AC43">
        <v>0</v>
      </c>
      <c r="AD43">
        <v>0</v>
      </c>
      <c r="AE43" s="102">
        <f t="array" ref="AE43">IF(OR(ISNUMBER(SEARCH("heavy",A43))=TRUE, ISNUMBER(SEARCH("medium",A43))=TRUE),
(LEN(_xlfn.SINGLE(
INDEX('Focus Data Tillage by farm'!$D$4:$P$9,MATCH(D43,'Focus Data Tillage by farm'!$C$4:$C$9,0),_xlfn.SINGLE(_xlfn.IFS(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-LEN(SUBSTITUTE(_xlfn.SINGLE(
INDEX('Focus Data Tillage by farm'!$D$4:$P$9,MATCH(D43,'Focus Data Tillage by farm'!$C$4:$C$9,0),_xlfn.SINGLE(_xlfn.IFS(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"disc","")))/LEN("disc"),
(LEN(_xlfn.SINGLE(
INDEX('Focus Data Tillage by farm'!$D$12:$P$17,MATCH(D43,'Focus Data Tillage by farm'!$C$12:$C$17,0),_xlfn.SINGLE(_xlfn.IFS(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-LEN(SUBSTITUTE(_xlfn.SINGLE(
INDEX('Focus Data Tillage by farm'!$D$12:$P$17,MATCH(D43,'Focus Data Tillage by farm'!$C$12:$C$17,0),_xlfn.SINGLE(_xlfn.IFS(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"disc","")))/LEN("disc"))</f>
        <v>2</v>
      </c>
      <c r="AF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"field cultivator","")))/LEN("field cultivator"),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"field cultivator","")))/LEN("field cultivator"))</f>
        <v>0</v>
      </c>
      <c r="AG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"grain drill","")))/LEN("grain drill"),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"grain drill","")))/LEN("grain drill"))</f>
        <v>0</v>
      </c>
      <c r="AH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"minimum tillage","")))/LEN("minimum tillage"),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"minimum tillage","")))/LEN("minimum tillage"))</f>
        <v>1</v>
      </c>
      <c r="AI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"row crop planter","")))/LEN("row crop planter"),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"row crop planter","")))/LEN("row crop planter"))</f>
        <v>0</v>
      </c>
      <c r="AJ43" s="102">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"plough","")))/LEN("plough"),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"plough","")))/LEN("plough"))</f>
        <v>0</v>
      </c>
      <c r="AK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harrow","")))/LEN("roller harrow"),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harrow","")))/LEN("roller harrow"))</f>
        <v>0</v>
      </c>
      <c r="AL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packer","")))/LEN("roller packer"),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"roller packer","")))/LEN("roller packer"))</f>
        <v>2</v>
      </c>
      <c r="AM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"rotary hoe","")))/LEN("rotary hoe"),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"rotary hoe","")))/LEN("rotary hoe"))</f>
        <v>0</v>
      </c>
      <c r="AN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"subsoil","")))/LEN("subsoil"),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"subsoil","")))/LEN("subsoil"))</f>
        <v>0</v>
      </c>
      <c r="AO43">
        <f>IF(OR(ISNUMBER(SEARCH("heavy",A43))=TRUE, ISNUMBER(SEARCH("medium",A43))=TRUE),
(LEN(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farm'!$D$4:$P$9,MATCH(D43,'Focus Data Tillage by farm'!$C$4:$C$9,0),_xlfn.IFS(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"tine harrow","")))/LEN("tine harrow"),
(LEN(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-LEN(SUBSTITUTE(
INDEX('Focus Data Tillage by farm'!$D$12:$P$17,MATCH(D43,'Focus Data Tillage by farm'!$C$12:$C$17,0),_xlfn.IFS(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
"tine harrow","")))/LEN("tine harrow"))</f>
        <v>0</v>
      </c>
      <c r="AP43" s="102">
        <f>INDEX('Focus Data NSpraying'!$D$4:$P$19,MATCH(F43,'Focus Data NSpraying'!$C$4:$C$19,0),_xlfn.IFS(
AND(ISNUMBER(SEARCH("H-Dsty.",A43))=TRUE,ISNUMBER(SEARCH("H-Res",A43))=TRUE,ISNUMBER(SEARCH("E.",A43))=TRUE),1,
AND(ISNUMBER(SEARCH("H-Dsty.",A43))=TRUE,ISNUMBER(SEARCH("H-Res",A43))=TRUE,OR(ISNUMBER(SEARCH("N.he",A43))=TRUE,ISNUMBER(SEARCH("N.me",A43))=TRUE,ISNUMBER(SEARCH("N.li",A43))=TRUE)),2,
AND(ISNUMBER(SEARCH("H-Dsty.",A43))=TRUE,ISNUMBER(SEARCH("H-Res",A43))=TRUE,ISNUMBER(SEARCH("C.",A43))=TRUE),3,
AND(ISNUMBER(SEARCH("L-Dsty.",A43))=TRUE,ISNUMBER(SEARCH("H-Res",A43))=TRUE,ISNUMBER(SEARCH("E.",A43))=TRUE),6,
AND(ISNUMBER(SEARCH("L-Dsty.",A43))=TRUE,ISNUMBER(SEARCH("H-Res",A43))=TRUE,OR(ISNUMBER(SEARCH("N.he",A43))=TRUE,ISNUMBER(SEARCH("N.me",A43))=TRUE,ISNUMBER(SEARCH("N.li",A43))=TRUE)),7,
AND(ISNUMBER(SEARCH("L-Dsty.",A43))=TRUE,ISNUMBER(SEARCH("H-Res",A43))=TRUE,ISNUMBER(SEARCH("C.",A43))=TRUE),8,
AND(ISNUMBER(SEARCH("L-Dsty.",A43))=TRUE,ISNUMBER(SEARCH("L-Res",A43))=TRUE,ISNUMBER(SEARCH("E.",A43))=TRUE),11,
AND(ISNUMBER(SEARCH("L-Dsty.",A43))=TRUE,ISNUMBER(SEARCH("L-Res",A43))=TRUE,OR(ISNUMBER(SEARCH("N.he",A43))=TRUE,ISNUMBER(SEARCH("N.me",A43))=TRUE,ISNUMBER(SEARCH("N.li",A43))=TRUE)),12,
AND(ISNUMBER(SEARCH("L-Dsty.",A43))=TRUE,ISNUMBER(SEARCH("L-Res",A43))=TRUE,ISNUMBER(SEARCH("C.",A43))=TRUE),13))</f>
        <v>5</v>
      </c>
    </row>
    <row r="44" spans="1:42" x14ac:dyDescent="0.2">
      <c r="A44" t="s">
        <v>491</v>
      </c>
      <c r="B44" s="210" t="str">
        <f t="array" ref="B44">INDEX(ECOMOD_input_estimate!$A$2:$A$55, MATCH(CFT_input!$A44, ECOMOD_input_estimate!$B:$B, 0))</f>
        <v>FF_08.2</v>
      </c>
      <c r="C44" s="210">
        <v>2020</v>
      </c>
      <c r="D44" s="395" t="s">
        <v>731</v>
      </c>
      <c r="E44" s="210" t="str">
        <f t="shared" si="0"/>
        <v>N.light.L-Dsty.H-Res</v>
      </c>
      <c r="F44" s="210" t="str">
        <f t="array" ref="F44">_xlfn.SINGLE(IF(OR(ISNUMBER(SEARCH("heavy",A44))=TRUE,ISNUMBER(SEARCH("medium",A44))=TRUE),
INDEX('Focus Data Crop Rotations'!$D$4:$P$9,MATCH(D44,'Focus Data Crop Rotations'!$C$4:$C$9,0),_xlfn.SINGLE(_xlfn.IFS(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INDEX('Focus Data Crop Rotations'!$D$12:$P$17,MATCH(D44,'Focus Data Crop Rotations'!$C$12:$C$17,0),_xlfn.SINGLE(_xlfn.IFS(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winterwheat</v>
      </c>
      <c r="G44">
        <v>7.2</v>
      </c>
      <c r="H44" s="227">
        <f>VLOOKUP(F44,'CFT Specific Data'!$F$4:$H$19,3,FALSE)*G44*
IF(B44=B43,
IF(AND(ISNUMBER(SEARCH("wheat",F44))=TRUE,ISNUMBER(SEARCH("Barley",F43))=TRUE),0.89,
IF(AND(ISNUMBER(SEARCH("wheat",F44))=TRUE,F43="setaside"),0.94,
IF(AND(ISNUMBER(SEARCH("barley",F44))=TRUE,ISNUMBER(SEARCH("wheat",F43))=TRUE),0.89,
IF(AND(F44="winterbarley",F43="setaside"),0.94,
IF(AND(F44="sugarbeet",F43="warepotatoes"),0.95,
IF(AND((OR(ISNUMBER(SEARCH("beans",F44)),ISNUMBER(SEARCH("driedpeas",F44)),ISNUMBER(SEARCH("sugarbeet",F44)))=TRUE),ISNUMBER(SEARCH("osr",F43))=TRUE),0,
IF(AND((OR((ISNUMBER(SEARCH("wheat",F44))),ISNUMBER(SEARCH("linseed",F44)),ISNUMBER(SEARCH("driedpeas",F44)),ISNUMBER(SEARCH("osr",F44)))=TRUE),F43="sugarbeet"),0,
IF(AND((OR((ISNUMBER(SEARCH("osr",F44))),ISNUMBER(SEARCH("linseed",F44)))=TRUE),ISNUMBER(SEARCH("beans",F43))=TRUE),0,
IF(AND(F44="wosr",ISNUMBER(SEARCH("linseed",F43))=TRUE),0,
IF(AND(F44="sugarbeet",F43="warepotatoes"),0,
1)))))))))),
IF(AND(ISNUMBER(SEARCH("wheat",F44))=TRUE,ISNUMBER(SEARCH("Barley",F49))=TRUE),0.89,
IF(AND(ISNUMBER(SEARCH("wheat",F44))=TRUE,F49="setaside"),0.94,
IF(AND(ISNUMBER(SEARCH("barley",F44))=TRUE,ISNUMBER(SEARCH("wheat",F49))=TRUE),0.89,
IF(AND(F44="winterbarley",F49="setaside"),0.94,
IF(AND(F44="sugarbeet",F49="warepotatoes"),0.95,
IF(AND((OR(ISNUMBER(SEARCH("beans",F44)),ISNUMBER(SEARCH("driedpeas",F44)),ISNUMBER(SEARCH("sugarbeet",F44)))=TRUE),ISNUMBER(SEARCH("osr",F49))=TRUE),0,
IF(AND((OR((ISNUMBER(SEARCH("wheat",F44))),ISNUMBER(SEARCH("linseed",F44)),ISNUMBER(SEARCH("driedpeas",F44)),ISNUMBER(SEARCH("osr",F44)))=TRUE),F49="sugarbeet"),0,
IF(AND((OR((ISNUMBER(SEARCH("osr",F44))),ISNUMBER(SEARCH("linseed",F44)))=TRUE),ISNUMBER(SEARCH("beans",F49))=TRUE),0,
IF(AND(F44="wosr",ISNUMBER(SEARCH("linseed",F49))=TRUE),0,
IF(AND(F44="sugarbeet",F49="warepotatoes"),0,
1)))))))))))
*IF(OR(ISNUMBER(SEARCH("wheat",F44)),ISNUMBER(SEARCH("barley",F44)),ISNUMBER(SEARCH("driedpeas",F44)),ISNUMBER(SEARCH("warepotatoes",F44)),ISNUMBER(SEARCH("osr",F44)),ISNUMBER(SEARCH("linseed",F44)),ISNUMBER(SEARCH("sugarbeet",F44))),
IF(COUNTIF(B39:B43,B44)=5,
INDEX('CFT Specific Data'!$G$24:$L$39,MATCH(F44,'CFT Specific Data'!$F$24:$F$39,0),IF(COUNTIF(F39:F43,F44)=5,6,IF(COUNTIF(F40:F43,F44)=4,5,IF(COUNTIF(F41:F43,F44)=3,4,IF(COUNTIF(F42:F43,F44)=2,3,IF(F43=F44,2,1)))))),
IF(COUNTIF(B39:B43,B44)=4,
INDEX('CFT Specific Data'!$G$24:$L$39,MATCH(F44,'CFT Specific Data'!$F$24:$F$39,0),IF(SUM(COUNTIF(F40:F43,F44),COUNTIF(F45,F44))=5,6,IF(COUNTIF(F40:F43,F44)=4,5,IF(COUNTIF(F41:F43,F44)=3,4,IF(COUNTIF(F42:F43,F44)=2,3,IF(F43=F44,2,1)))))),
IF(COUNTIF(B39:B43,B44)=3,
INDEX('CFT Specific Data'!$G$24:$L$39,MATCH(F44,'CFT Specific Data'!$F$24:$F$39,0),IF(SUM(COUNTIF(F41:F43,F44),COUNTIF(F45:F46,F44))=5,6,IF(SUM(COUNTIF(F41:F43,F44),COUNTIF(F46,F44))=4,5,IF(COUNTIF(F41:F43,F44)=3,4,IF(COUNTIF(F42:F43,F44)=2,3,IF(F43=F44,2,1)))))),
IF(COUNTIF(B39:B43,B44)=2,
INDEX('CFT Specific Data'!$G$24:$L$39,MATCH(F44,'CFT Specific Data'!$F$24:$F$39,0),IF(SUM(COUNTIF(F42:F43,F44),COUNTIF(F45:F47,F44))=5,6,IF(SUM(COUNTIF(F42:F43,F44),COUNTIF(F46:F47,F44))=4,5,IF(SUM(COUNTIF(F42:F43,F44),COUNTIF(F47,F44))=3,4,IF(COUNTIF(F42:F43,F44)=2,3,IF(F43=F44,2,1)))))),
IF(COUNTIF(B39:B43,B44)=1,
INDEX('CFT Specific Data'!$G$24:$L$39,MATCH(F44,'CFT Specific Data'!$F$24:$F$39,0),IF(SUM(COUNTIF(F43,F44),COUNTIF(F45:F48,F44))=5,6,IF(SUM(COUNTIF(F43,F44),COUNTIF(F46:F48,F44))=4,5,IF(SUM(COUNTIF(F43,F44),COUNTIF(F47:F48,F44))=3,4,IF(SUM(COUNTIF(F43,F44),COUNTIF(F48,F44))=2,3,IF(F43=F44,2,1)))))),
IF(COUNTIF(B39:B43,B44)=0,
INDEX('CFT Specific Data'!$G$24:$L$39,MATCH(F44,'CFT Specific Data'!$F$24:$F$39,0),IF(COUNTIF(F45:F49,F44)=5,6,IF(COUNTIF(F46:F49,F44)=4,5,IF(COUNTIF(F47:F49,F44)=3,4,IF(COUNTIF(F48:F49,F44)=2,3,IF(F49=F44,2,1)))))))))))),1)</f>
        <v>61.92</v>
      </c>
      <c r="I44" s="210" t="s">
        <v>348</v>
      </c>
      <c r="J44">
        <v>10</v>
      </c>
      <c r="K44" s="210" t="str">
        <f>VLOOKUP(F44,'CFT Specific Data'!$F$4:$G$19,2,FALSE)</f>
        <v>Winter wheat</v>
      </c>
      <c r="L44" t="str">
        <f t="shared" si="1"/>
        <v>Coarse</v>
      </c>
      <c r="M44">
        <f t="shared" si="2"/>
        <v>5.16</v>
      </c>
      <c r="N44" t="str">
        <f t="shared" si="3"/>
        <v>1.72 &lt; SOM &lt;= 5.16</v>
      </c>
      <c r="O44" t="s">
        <v>349</v>
      </c>
      <c r="P44" t="s">
        <v>350</v>
      </c>
      <c r="Q44">
        <v>7</v>
      </c>
      <c r="R44" t="str">
        <f t="shared" si="5"/>
        <v>5.5 &lt; pH &lt;= 7.3</v>
      </c>
      <c r="S44" t="s">
        <v>351</v>
      </c>
      <c r="T44" s="210">
        <f t="array" ref="T44">_xlfn.SINGLE(INDEX('Focus Data NFertiliser Rate'!$D$4:$P$19,MATCH(F44,'Focus Data NFertiliser Rate'!$C$4:$C$19,0),_xlfn.SINGLE(_xlfn.IFS(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220</v>
      </c>
      <c r="U44" t="str">
        <f t="shared" si="4"/>
        <v>Apply in solution</v>
      </c>
      <c r="V44" s="210">
        <f t="array" ref="V44">_xlfn.SINGLE(INDEX('№ Fertiliser sprayings'!$D$4:$P$19,MATCH(F44,'№ Fertiliser sprayings'!$C$4:$C$19,0),_xlfn.SINGLE(_xlfn.IFS(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3</v>
      </c>
      <c r="W44" s="264">
        <f t="array" ref="W44">_xlfn.SINGLE(INDEX('Focus Data CFT NSpraying'!$D$4:$P$19,MATCH(F44,'Focus Data CFT NSpraying'!$C$4:$C$19,0),_xlfn.SINGLE(_xlfn.IFS(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9.84</v>
      </c>
      <c r="X44" t="s">
        <v>363</v>
      </c>
      <c r="Y44">
        <v>0</v>
      </c>
      <c r="Z44">
        <v>100</v>
      </c>
      <c r="AA44" t="s">
        <v>352</v>
      </c>
      <c r="AB44" s="226" t="str">
        <f>IF(B44=B43,_xlfn.IFS(
AND(AA44=Lists!$L$8,AA43=Lists!$L$8),Lists!$N$5,
AND(OR(AA44=Lists!$L$5,AA44=Lists!$L$7,AA44=Lists!$L$9,AA44=Lists!$L$10,AA44=Lists!$L$6),OR(AA43=Lists!$L$5,AA43=Lists!$L$7,AA43=Lists!$L$9,AA43=Lists!$L$10,AA43=Lists!$L$6)),Lists!$N$5,
AND(AA44=Lists!$L$8,OR(AA43=Lists!$L$5,AA43=Lists!$L$7,AA43=Lists!$L$9,AA43=Lists!$L$10,AA43=Lists!$L$6)),Lists!$N$6,
AND(OR(AA44=Lists!$L$5,AA44=Lists!$L$6,AA44=Lists!$L$7,AA44=Lists!$L$9,AA44=Lists!$L$10),AA43=Lists!$L$8),Lists!$N$7),
_xlfn.IFS(
AND(AA44=Lists!$L$8,AA49=Lists!$L$8),Lists!$N$5,
AND(OR(AA44=Lists!$L$5,AA44=Lists!$L$7,AA44=Lists!$L$9,AA44=Lists!$L$10,AA44=Lists!$L$6),OR(AA49=Lists!$L$5,AA49=Lists!$L$7,AA49=Lists!$L$9,AA49=Lists!$L$10,AA49=Lists!$L$6)),Lists!$N$5,
AND(AA44=Lists!$L$8,OR(AA49=Lists!$L$5,AA49=Lists!$L$7,AA49=Lists!$L$9,AA49=Lists!$L$10,AA49=Lists!$L$6)),Lists!$N$6,
AND(OR(AA44=Lists!$L$5,AA44=Lists!$L$7,AA44=Lists!$L$9,AA44=Lists!$L$10),AA49=Lists!$L$8),Lists!$N$7))</f>
        <v>no change</v>
      </c>
      <c r="AC44">
        <v>0</v>
      </c>
      <c r="AD44">
        <v>0</v>
      </c>
      <c r="AE44" s="102">
        <f t="array" ref="AE44">IF(OR(ISNUMBER(SEARCH("heavy",A44))=TRUE, ISNUMBER(SEARCH("medium",A44))=TRUE),
(LEN(_xlfn.SINGLE(
INDEX('Focus Data Tillage by farm'!$D$4:$P$9,MATCH(D44,'Focus Data Tillage by farm'!$C$4:$C$9,0),_xlfn.SINGLE(_xlfn.IFS(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-LEN(SUBSTITUTE(_xlfn.SINGLE(
INDEX('Focus Data Tillage by farm'!$D$4:$P$9,MATCH(D44,'Focus Data Tillage by farm'!$C$4:$C$9,0),_xlfn.SINGLE(_xlfn.IFS(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"disc","")))/LEN("disc"),
(LEN(_xlfn.SINGLE(
INDEX('Focus Data Tillage by farm'!$D$12:$P$17,MATCH(D44,'Focus Data Tillage by farm'!$C$12:$C$17,0),_xlfn.SINGLE(_xlfn.IFS(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-LEN(SUBSTITUTE(_xlfn.SINGLE(
INDEX('Focus Data Tillage by farm'!$D$12:$P$17,MATCH(D44,'Focus Data Tillage by farm'!$C$12:$C$17,0),_xlfn.SINGLE(_xlfn.IFS(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"disc","")))/LEN("disc"))</f>
        <v>2</v>
      </c>
      <c r="AF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"field cultivator","")))/LEN("field cultivator"),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"field cultivator","")))/LEN("field cultivator"))</f>
        <v>0</v>
      </c>
      <c r="AG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"grain drill","")))/LEN("grain drill"),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"grain drill","")))/LEN("grain drill"))</f>
        <v>1</v>
      </c>
      <c r="AH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"minimum tillage","")))/LEN("minimum tillage"),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"minimum tillage","")))/LEN("minimum tillage"))</f>
        <v>0</v>
      </c>
      <c r="AI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"row crop planter","")))/LEN("row crop planter"),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"row crop planter","")))/LEN("row crop planter"))</f>
        <v>0</v>
      </c>
      <c r="AJ44" s="102">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"plough","")))/LEN("plough"),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"plough","")))/LEN("plough"))</f>
        <v>0</v>
      </c>
      <c r="AK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harrow","")))/LEN("roller harrow"),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harrow","")))/LEN("roller harrow"))</f>
        <v>0</v>
      </c>
      <c r="AL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packer","")))/LEN("roller packer"),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"roller packer","")))/LEN("roller packer"))</f>
        <v>2</v>
      </c>
      <c r="AM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"rotary hoe","")))/LEN("rotary hoe"),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"rotary hoe","")))/LEN("rotary hoe"))</f>
        <v>0</v>
      </c>
      <c r="AN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"subsoil","")))/LEN("subsoil"),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"subsoil","")))/LEN("subsoil"))</f>
        <v>0</v>
      </c>
      <c r="AO44">
        <f>IF(OR(ISNUMBER(SEARCH("heavy",A44))=TRUE, ISNUMBER(SEARCH("medium",A44))=TRUE),
(LEN(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farm'!$D$4:$P$9,MATCH(D44,'Focus Data Tillage by farm'!$C$4:$C$9,0),_xlfn.IFS(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"tine harrow","")))/LEN("tine harrow"),
(LEN(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-LEN(SUBSTITUTE(
INDEX('Focus Data Tillage by farm'!$D$12:$P$17,MATCH(D44,'Focus Data Tillage by farm'!$C$12:$C$17,0),_xlfn.IFS(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
"tine harrow","")))/LEN("tine harrow"))</f>
        <v>0</v>
      </c>
      <c r="AP44" s="102">
        <f>INDEX('Focus Data NSpraying'!$D$4:$P$19,MATCH(F44,'Focus Data NSpraying'!$C$4:$C$19,0),_xlfn.IFS(
AND(ISNUMBER(SEARCH("H-Dsty.",A44))=TRUE,ISNUMBER(SEARCH("H-Res",A44))=TRUE,ISNUMBER(SEARCH("E.",A44))=TRUE),1,
AND(ISNUMBER(SEARCH("H-Dsty.",A44))=TRUE,ISNUMBER(SEARCH("H-Res",A44))=TRUE,OR(ISNUMBER(SEARCH("N.he",A44))=TRUE,ISNUMBER(SEARCH("N.me",A44))=TRUE,ISNUMBER(SEARCH("N.li",A44))=TRUE)),2,
AND(ISNUMBER(SEARCH("H-Dsty.",A44))=TRUE,ISNUMBER(SEARCH("H-Res",A44))=TRUE,ISNUMBER(SEARCH("C.",A44))=TRUE),3,
AND(ISNUMBER(SEARCH("L-Dsty.",A44))=TRUE,ISNUMBER(SEARCH("H-Res",A44))=TRUE,ISNUMBER(SEARCH("E.",A44))=TRUE),6,
AND(ISNUMBER(SEARCH("L-Dsty.",A44))=TRUE,ISNUMBER(SEARCH("H-Res",A44))=TRUE,OR(ISNUMBER(SEARCH("N.he",A44))=TRUE,ISNUMBER(SEARCH("N.me",A44))=TRUE,ISNUMBER(SEARCH("N.li",A44))=TRUE)),7,
AND(ISNUMBER(SEARCH("L-Dsty.",A44))=TRUE,ISNUMBER(SEARCH("H-Res",A44))=TRUE,ISNUMBER(SEARCH("C.",A44))=TRUE),8,
AND(ISNUMBER(SEARCH("L-Dsty.",A44))=TRUE,ISNUMBER(SEARCH("L-Res",A44))=TRUE,ISNUMBER(SEARCH("E.",A44))=TRUE),11,
AND(ISNUMBER(SEARCH("L-Dsty.",A44))=TRUE,ISNUMBER(SEARCH("L-Res",A44))=TRUE,OR(ISNUMBER(SEARCH("N.he",A44))=TRUE,ISNUMBER(SEARCH("N.me",A44))=TRUE,ISNUMBER(SEARCH("N.li",A44))=TRUE)),12,
AND(ISNUMBER(SEARCH("L-Dsty.",A44))=TRUE,ISNUMBER(SEARCH("L-Res",A44))=TRUE,ISNUMBER(SEARCH("C.",A44))=TRUE),13))</f>
        <v>4</v>
      </c>
    </row>
    <row r="45" spans="1:42" x14ac:dyDescent="0.2">
      <c r="A45" t="s">
        <v>491</v>
      </c>
      <c r="B45" s="210" t="str">
        <f t="array" ref="B45">INDEX(ECOMOD_input_estimate!$A$2:$A$55, MATCH(CFT_input!$A45, ECOMOD_input_estimate!$B:$B, 0))</f>
        <v>FF_08.2</v>
      </c>
      <c r="C45" s="210">
        <v>2020</v>
      </c>
      <c r="D45" s="395" t="s">
        <v>730</v>
      </c>
      <c r="E45" s="210" t="str">
        <f t="shared" si="0"/>
        <v>N.light.L-Dsty.H-Res</v>
      </c>
      <c r="F45" s="210" t="str">
        <f t="array" ref="F45">_xlfn.SINGLE(IF(OR(ISNUMBER(SEARCH("heavy",A45))=TRUE,ISNUMBER(SEARCH("medium",A45))=TRUE),
INDEX('Focus Data Crop Rotations'!$D$4:$P$9,MATCH(D45,'Focus Data Crop Rotations'!$C$4:$C$9,0),_xlfn.SINGLE(_xlfn.IFS(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INDEX('Focus Data Crop Rotations'!$D$12:$P$17,MATCH(D45,'Focus Data Crop Rotations'!$C$12:$C$17,0),_xlfn.SINGLE(_xlfn.IFS(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winterbarley</v>
      </c>
      <c r="G45">
        <v>7.2</v>
      </c>
      <c r="H45" s="227">
        <f>VLOOKUP(F45,'CFT Specific Data'!$F$4:$H$19,3,FALSE)*G45*
IF(B45=B44,
IF(AND(ISNUMBER(SEARCH("wheat",F45))=TRUE,ISNUMBER(SEARCH("Barley",F44))=TRUE),0.89,
IF(AND(ISNUMBER(SEARCH("wheat",F45))=TRUE,F44="setaside"),0.94,
IF(AND(ISNUMBER(SEARCH("barley",F45))=TRUE,ISNUMBER(SEARCH("wheat",F44))=TRUE),0.89,
IF(AND(F45="winterbarley",F44="setaside"),0.94,
IF(AND(F45="sugarbeet",F44="warepotatoes"),0.95,
IF(AND((OR(ISNUMBER(SEARCH("beans",F45)),ISNUMBER(SEARCH("driedpeas",F45)),ISNUMBER(SEARCH("sugarbeet",F45)))=TRUE),ISNUMBER(SEARCH("osr",F44))=TRUE),0,
IF(AND((OR((ISNUMBER(SEARCH("wheat",F45))),ISNUMBER(SEARCH("linseed",F45)),ISNUMBER(SEARCH("driedpeas",F45)),ISNUMBER(SEARCH("osr",F45)))=TRUE),F44="sugarbeet"),0,
IF(AND((OR((ISNUMBER(SEARCH("osr",F45))),ISNUMBER(SEARCH("linseed",F45)))=TRUE),ISNUMBER(SEARCH("beans",F44))=TRUE),0,
IF(AND(F45="wosr",ISNUMBER(SEARCH("linseed",F44))=TRUE),0,
IF(AND(F45="sugarbeet",F44="warepotatoes"),0,
1)))))))))),
IF(AND(ISNUMBER(SEARCH("wheat",F45))=TRUE,ISNUMBER(SEARCH("Barley",F50))=TRUE),0.89,
IF(AND(ISNUMBER(SEARCH("wheat",F45))=TRUE,F50="setaside"),0.94,
IF(AND(ISNUMBER(SEARCH("barley",F45))=TRUE,ISNUMBER(SEARCH("wheat",F50))=TRUE),0.89,
IF(AND(F45="winterbarley",F50="setaside"),0.94,
IF(AND(F45="sugarbeet",F50="warepotatoes"),0.95,
IF(AND((OR(ISNUMBER(SEARCH("beans",F45)),ISNUMBER(SEARCH("driedpeas",F45)),ISNUMBER(SEARCH("sugarbeet",F45)))=TRUE),ISNUMBER(SEARCH("osr",F50))=TRUE),0,
IF(AND((OR((ISNUMBER(SEARCH("wheat",F45))),ISNUMBER(SEARCH("linseed",F45)),ISNUMBER(SEARCH("driedpeas",F45)),ISNUMBER(SEARCH("osr",F45)))=TRUE),F50="sugarbeet"),0,
IF(AND((OR((ISNUMBER(SEARCH("osr",F45))),ISNUMBER(SEARCH("linseed",F45)))=TRUE),ISNUMBER(SEARCH("beans",F50))=TRUE),0,
IF(AND(F45="wosr",ISNUMBER(SEARCH("linseed",F50))=TRUE),0,
IF(AND(F45="sugarbeet",F50="warepotatoes"),0,
1)))))))))))
*IF(OR(ISNUMBER(SEARCH("wheat",F45)),ISNUMBER(SEARCH("barley",F45)),ISNUMBER(SEARCH("driedpeas",F45)),ISNUMBER(SEARCH("warepotatoes",F45)),ISNUMBER(SEARCH("osr",F45)),ISNUMBER(SEARCH("linseed",F45)),ISNUMBER(SEARCH("sugarbeet",F45))),
IF(COUNTIF(B40:B44,B45)=5,
INDEX('CFT Specific Data'!$G$24:$L$39,MATCH(F45,'CFT Specific Data'!$F$24:$F$39,0),IF(COUNTIF(F40:F44,F45)=5,6,IF(COUNTIF(F41:F44,F45)=4,5,IF(COUNTIF(F42:F44,F45)=3,4,IF(COUNTIF(F43:F44,F45)=2,3,IF(F44=F45,2,1)))))),
IF(COUNTIF(B40:B44,B45)=4,
INDEX('CFT Specific Data'!$G$24:$L$39,MATCH(F45,'CFT Specific Data'!$F$24:$F$39,0),IF(SUM(COUNTIF(F41:F44,F45),COUNTIF(F46,F45))=5,6,IF(COUNTIF(F41:F44,F45)=4,5,IF(COUNTIF(F42:F44,F45)=3,4,IF(COUNTIF(F43:F44,F45)=2,3,IF(F44=F45,2,1)))))),
IF(COUNTIF(B40:B44,B45)=3,
INDEX('CFT Specific Data'!$G$24:$L$39,MATCH(F45,'CFT Specific Data'!$F$24:$F$39,0),IF(SUM(COUNTIF(F42:F44,F45),COUNTIF(F46:F47,F45))=5,6,IF(SUM(COUNTIF(F42:F44,F45),COUNTIF(F47,F45))=4,5,IF(COUNTIF(F42:F44,F45)=3,4,IF(COUNTIF(F43:F44,F45)=2,3,IF(F44=F45,2,1)))))),
IF(COUNTIF(B40:B44,B45)=2,
INDEX('CFT Specific Data'!$G$24:$L$39,MATCH(F45,'CFT Specific Data'!$F$24:$F$39,0),IF(SUM(COUNTIF(F43:F44,F45),COUNTIF(F46:F48,F45))=5,6,IF(SUM(COUNTIF(F43:F44,F45),COUNTIF(F47:F48,F45))=4,5,IF(SUM(COUNTIF(F43:F44,F45),COUNTIF(F48,F45))=3,4,IF(COUNTIF(F43:F44,F45)=2,3,IF(F44=F45,2,1)))))),
IF(COUNTIF(B40:B44,B45)=1,
INDEX('CFT Specific Data'!$G$24:$L$39,MATCH(F45,'CFT Specific Data'!$F$24:$F$39,0),IF(SUM(COUNTIF(F44,F45),COUNTIF(F46:F49,F45))=5,6,IF(SUM(COUNTIF(F44,F45),COUNTIF(F47:F49,F45))=4,5,IF(SUM(COUNTIF(F44,F45),COUNTIF(F48:F49,F45))=3,4,IF(SUM(COUNTIF(F44,F45),COUNTIF(F49,F45))=2,3,IF(F44=F45,2,1)))))),
IF(COUNTIF(B40:B44,B45)=0,
INDEX('CFT Specific Data'!$G$24:$L$39,MATCH(F45,'CFT Specific Data'!$F$24:$F$39,0),IF(COUNTIF(F46:F50,F45)=5,6,IF(COUNTIF(F47:F50,F45)=4,5,IF(COUNTIF(F48:F50,F45)=3,4,IF(COUNTIF(F49:F50,F45)=2,3,IF(F50=F45,2,1)))))))))))),1)</f>
        <v>47.419200000000004</v>
      </c>
      <c r="I45" s="210" t="s">
        <v>348</v>
      </c>
      <c r="J45">
        <v>10</v>
      </c>
      <c r="K45" s="210" t="str">
        <f>VLOOKUP(F45,'CFT Specific Data'!$F$4:$G$19,2,FALSE)</f>
        <v>Barley</v>
      </c>
      <c r="L45" t="str">
        <f t="shared" si="1"/>
        <v>Coarse</v>
      </c>
      <c r="M45">
        <f t="shared" si="2"/>
        <v>5.16</v>
      </c>
      <c r="N45" t="str">
        <f t="shared" si="3"/>
        <v>1.72 &lt; SOM &lt;= 5.16</v>
      </c>
      <c r="O45" t="s">
        <v>349</v>
      </c>
      <c r="P45" t="s">
        <v>350</v>
      </c>
      <c r="Q45">
        <v>7</v>
      </c>
      <c r="R45" t="str">
        <f t="shared" si="5"/>
        <v>5.5 &lt; pH &lt;= 7.3</v>
      </c>
      <c r="S45" t="s">
        <v>351</v>
      </c>
      <c r="T45" s="210">
        <f t="array" ref="T45">_xlfn.SINGLE(INDEX('Focus Data NFertiliser Rate'!$D$4:$P$19,MATCH(F45,'Focus Data NFertiliser Rate'!$C$4:$C$19,0),_xlfn.SINGLE(_xlfn.IFS(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190</v>
      </c>
      <c r="U45" t="str">
        <f t="shared" si="4"/>
        <v>Apply in solution</v>
      </c>
      <c r="V45" s="210">
        <f t="array" ref="V45">_xlfn.SINGLE(INDEX('№ Fertiliser sprayings'!$D$4:$P$19,MATCH(F45,'№ Fertiliser sprayings'!$C$4:$C$19,0),_xlfn.SINGLE(_xlfn.IFS(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3</v>
      </c>
      <c r="W45" s="264">
        <f t="array" ref="W45">_xlfn.SINGLE(INDEX('Focus Data CFT NSpraying'!$D$4:$P$19,MATCH(F45,'Focus Data CFT NSpraying'!$C$4:$C$19,0),_xlfn.SINGLE(_xlfn.IFS(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9.16</v>
      </c>
      <c r="X45" t="s">
        <v>363</v>
      </c>
      <c r="Y45">
        <v>0</v>
      </c>
      <c r="Z45">
        <v>100</v>
      </c>
      <c r="AA45" t="s">
        <v>352</v>
      </c>
      <c r="AB45" s="226" t="str">
        <f>IF(B45=B44,_xlfn.IFS(
AND(AA45=Lists!$L$8,AA44=Lists!$L$8),Lists!$N$5,
AND(OR(AA45=Lists!$L$5,AA45=Lists!$L$7,AA45=Lists!$L$9,AA45=Lists!$L$10,AA45=Lists!$L$6),OR(AA44=Lists!$L$5,AA44=Lists!$L$7,AA44=Lists!$L$9,AA44=Lists!$L$10,AA44=Lists!$L$6)),Lists!$N$5,
AND(AA45=Lists!$L$8,OR(AA44=Lists!$L$5,AA44=Lists!$L$7,AA44=Lists!$L$9,AA44=Lists!$L$10,AA44=Lists!$L$6)),Lists!$N$6,
AND(OR(AA45=Lists!$L$5,AA45=Lists!$L$6,AA45=Lists!$L$7,AA45=Lists!$L$9,AA45=Lists!$L$10),AA44=Lists!$L$8),Lists!$N$7),
_xlfn.IFS(
AND(AA45=Lists!$L$8,AA50=Lists!$L$8),Lists!$N$5,
AND(OR(AA45=Lists!$L$5,AA45=Lists!$L$7,AA45=Lists!$L$9,AA45=Lists!$L$10,AA45=Lists!$L$6),OR(AA50=Lists!$L$5,AA50=Lists!$L$7,AA50=Lists!$L$9,AA50=Lists!$L$10,AA50=Lists!$L$6)),Lists!$N$5,
AND(AA45=Lists!$L$8,OR(AA50=Lists!$L$5,AA50=Lists!$L$7,AA50=Lists!$L$9,AA50=Lists!$L$10,AA50=Lists!$L$6)),Lists!$N$6,
AND(OR(AA45=Lists!$L$5,AA45=Lists!$L$7,AA45=Lists!$L$9,AA45=Lists!$L$10),AA50=Lists!$L$8),Lists!$N$7))</f>
        <v>no change</v>
      </c>
      <c r="AC45">
        <v>0</v>
      </c>
      <c r="AD45">
        <v>0</v>
      </c>
      <c r="AE45" s="102">
        <f t="array" ref="AE45">IF(OR(ISNUMBER(SEARCH("heavy",A45))=TRUE, ISNUMBER(SEARCH("medium",A45))=TRUE),
(LEN(_xlfn.SINGLE(
INDEX('Focus Data Tillage by farm'!$D$4:$P$9,MATCH(D45,'Focus Data Tillage by farm'!$C$4:$C$9,0),_xlfn.SINGLE(_xlfn.IFS(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-LEN(SUBSTITUTE(_xlfn.SINGLE(
INDEX('Focus Data Tillage by farm'!$D$4:$P$9,MATCH(D45,'Focus Data Tillage by farm'!$C$4:$C$9,0),_xlfn.SINGLE(_xlfn.IFS(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"disc","")))/LEN("disc"),
(LEN(_xlfn.SINGLE(
INDEX('Focus Data Tillage by farm'!$D$12:$P$17,MATCH(D45,'Focus Data Tillage by farm'!$C$12:$C$17,0),_xlfn.SINGLE(_xlfn.IFS(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-LEN(SUBSTITUTE(_xlfn.SINGLE(
INDEX('Focus Data Tillage by farm'!$D$12:$P$17,MATCH(D45,'Focus Data Tillage by farm'!$C$12:$C$17,0),_xlfn.SINGLE(_xlfn.IFS(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"disc","")))/LEN("disc"))</f>
        <v>2</v>
      </c>
      <c r="AF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"field cultivator","")))/LEN("field cultivator"),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"field cultivator","")))/LEN("field cultivator"))</f>
        <v>0</v>
      </c>
      <c r="AG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"grain drill","")))/LEN("grain drill"),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"grain drill","")))/LEN("grain drill"))</f>
        <v>1</v>
      </c>
      <c r="AH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"minimum tillage","")))/LEN("minimum tillage"),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"minimum tillage","")))/LEN("minimum tillage"))</f>
        <v>0</v>
      </c>
      <c r="AI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"row crop planter","")))/LEN("row crop planter"),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"row crop planter","")))/LEN("row crop planter"))</f>
        <v>0</v>
      </c>
      <c r="AJ45" s="102">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"plough","")))/LEN("plough"),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"plough","")))/LEN("plough"))</f>
        <v>0</v>
      </c>
      <c r="AK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harrow","")))/LEN("roller harrow"),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harrow","")))/LEN("roller harrow"))</f>
        <v>0</v>
      </c>
      <c r="AL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packer","")))/LEN("roller packer"),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"roller packer","")))/LEN("roller packer"))</f>
        <v>2</v>
      </c>
      <c r="AM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"rotary hoe","")))/LEN("rotary hoe"),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"rotary hoe","")))/LEN("rotary hoe"))</f>
        <v>0</v>
      </c>
      <c r="AN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"subsoil","")))/LEN("subsoil"),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"subsoil","")))/LEN("subsoil"))</f>
        <v>0</v>
      </c>
      <c r="AO45">
        <f>IF(OR(ISNUMBER(SEARCH("heavy",A45))=TRUE, ISNUMBER(SEARCH("medium",A45))=TRUE),
(LEN(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farm'!$D$4:$P$9,MATCH(D45,'Focus Data Tillage by farm'!$C$4:$C$9,0),_xlfn.IFS(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"tine harrow","")))/LEN("tine harrow"),
(LEN(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-LEN(SUBSTITUTE(
INDEX('Focus Data Tillage by farm'!$D$12:$P$17,MATCH(D45,'Focus Data Tillage by farm'!$C$12:$C$17,0),_xlfn.IFS(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
"tine harrow","")))/LEN("tine harrow"))</f>
        <v>0</v>
      </c>
      <c r="AP45" s="102">
        <f>INDEX('Focus Data NSpraying'!$D$4:$P$19,MATCH(F45,'Focus Data NSpraying'!$C$4:$C$19,0),_xlfn.IFS(
AND(ISNUMBER(SEARCH("H-Dsty.",A45))=TRUE,ISNUMBER(SEARCH("H-Res",A45))=TRUE,ISNUMBER(SEARCH("E.",A45))=TRUE),1,
AND(ISNUMBER(SEARCH("H-Dsty.",A45))=TRUE,ISNUMBER(SEARCH("H-Res",A45))=TRUE,OR(ISNUMBER(SEARCH("N.he",A45))=TRUE,ISNUMBER(SEARCH("N.me",A45))=TRUE,ISNUMBER(SEARCH("N.li",A45))=TRUE)),2,
AND(ISNUMBER(SEARCH("H-Dsty.",A45))=TRUE,ISNUMBER(SEARCH("H-Res",A45))=TRUE,ISNUMBER(SEARCH("C.",A45))=TRUE),3,
AND(ISNUMBER(SEARCH("L-Dsty.",A45))=TRUE,ISNUMBER(SEARCH("H-Res",A45))=TRUE,ISNUMBER(SEARCH("E.",A45))=TRUE),6,
AND(ISNUMBER(SEARCH("L-Dsty.",A45))=TRUE,ISNUMBER(SEARCH("H-Res",A45))=TRUE,OR(ISNUMBER(SEARCH("N.he",A45))=TRUE,ISNUMBER(SEARCH("N.me",A45))=TRUE,ISNUMBER(SEARCH("N.li",A45))=TRUE)),7,
AND(ISNUMBER(SEARCH("L-Dsty.",A45))=TRUE,ISNUMBER(SEARCH("H-Res",A45))=TRUE,ISNUMBER(SEARCH("C.",A45))=TRUE),8,
AND(ISNUMBER(SEARCH("L-Dsty.",A45))=TRUE,ISNUMBER(SEARCH("L-Res",A45))=TRUE,ISNUMBER(SEARCH("E.",A45))=TRUE),11,
AND(ISNUMBER(SEARCH("L-Dsty.",A45))=TRUE,ISNUMBER(SEARCH("L-Res",A45))=TRUE,OR(ISNUMBER(SEARCH("N.he",A45))=TRUE,ISNUMBER(SEARCH("N.me",A45))=TRUE,ISNUMBER(SEARCH("N.li",A45))=TRUE)),12,
AND(ISNUMBER(SEARCH("L-Dsty.",A45))=TRUE,ISNUMBER(SEARCH("L-Res",A45))=TRUE,ISNUMBER(SEARCH("C.",A45))=TRUE),13))</f>
        <v>3</v>
      </c>
    </row>
    <row r="46" spans="1:42" x14ac:dyDescent="0.2">
      <c r="A46" t="s">
        <v>491</v>
      </c>
      <c r="B46" s="210" t="str">
        <f t="array" ref="B46">INDEX(ECOMOD_input_estimate!$A$2:$A$55, MATCH(CFT_input!$A46, ECOMOD_input_estimate!$B:$B, 0))</f>
        <v>FF_08.2</v>
      </c>
      <c r="C46" s="210">
        <v>2020</v>
      </c>
      <c r="D46" s="395" t="s">
        <v>1694</v>
      </c>
      <c r="E46" s="210" t="str">
        <f t="shared" si="0"/>
        <v>N.light.L-Dsty.H-Res</v>
      </c>
      <c r="F46" s="210" t="str">
        <f t="array" ref="F46">_xlfn.SINGLE(IF(OR(ISNUMBER(SEARCH("heavy",A46))=TRUE,ISNUMBER(SEARCH("medium",A46))=TRUE),
INDEX('Focus Data Crop Rotations'!$D$4:$P$9,MATCH(D46,'Focus Data Crop Rotations'!$C$4:$C$9,0),_xlfn.SINGLE(_xlfn.IFS(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INDEX('Focus Data Crop Rotations'!$D$12:$P$17,MATCH(D46,'Focus Data Crop Rotations'!$C$12:$C$17,0),_xlfn.SINGLE(_xlfn.IFS(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driedpeas</v>
      </c>
      <c r="G46">
        <v>7.2</v>
      </c>
      <c r="H46" s="227">
        <f>VLOOKUP(F46,'CFT Specific Data'!$F$4:$H$19,3,FALSE)*G46*
IF(B46=B45,
IF(AND(ISNUMBER(SEARCH("wheat",F46))=TRUE,ISNUMBER(SEARCH("Barley",F45))=TRUE),0.89,
IF(AND(ISNUMBER(SEARCH("wheat",F46))=TRUE,F45="setaside"),0.94,
IF(AND(ISNUMBER(SEARCH("barley",F46))=TRUE,ISNUMBER(SEARCH("wheat",F45))=TRUE),0.89,
IF(AND(F46="winterbarley",F45="setaside"),0.94,
IF(AND(F46="sugarbeet",F45="warepotatoes"),0.95,
IF(AND((OR(ISNUMBER(SEARCH("beans",F46)),ISNUMBER(SEARCH("driedpeas",F46)),ISNUMBER(SEARCH("sugarbeet",F46)))=TRUE),ISNUMBER(SEARCH("osr",F45))=TRUE),0,
IF(AND((OR((ISNUMBER(SEARCH("wheat",F46))),ISNUMBER(SEARCH("linseed",F46)),ISNUMBER(SEARCH("driedpeas",F46)),ISNUMBER(SEARCH("osr",F46)))=TRUE),F45="sugarbeet"),0,
IF(AND((OR((ISNUMBER(SEARCH("osr",F46))),ISNUMBER(SEARCH("linseed",F46)))=TRUE),ISNUMBER(SEARCH("beans",F45))=TRUE),0,
IF(AND(F46="wosr",ISNUMBER(SEARCH("linseed",F45))=TRUE),0,
IF(AND(F46="sugarbeet",F45="warepotatoes"),0,
1)))))))))),
IF(AND(ISNUMBER(SEARCH("wheat",F46))=TRUE,ISNUMBER(SEARCH("Barley",F51))=TRUE),0.89,
IF(AND(ISNUMBER(SEARCH("wheat",F46))=TRUE,F51="setaside"),0.94,
IF(AND(ISNUMBER(SEARCH("barley",F46))=TRUE,ISNUMBER(SEARCH("wheat",F51))=TRUE),0.89,
IF(AND(F46="winterbarley",F51="setaside"),0.94,
IF(AND(F46="sugarbeet",F51="warepotatoes"),0.95,
IF(AND((OR(ISNUMBER(SEARCH("beans",F46)),ISNUMBER(SEARCH("driedpeas",F46)),ISNUMBER(SEARCH("sugarbeet",F46)))=TRUE),ISNUMBER(SEARCH("osr",F51))=TRUE),0,
IF(AND((OR((ISNUMBER(SEARCH("wheat",F46))),ISNUMBER(SEARCH("linseed",F46)),ISNUMBER(SEARCH("driedpeas",F46)),ISNUMBER(SEARCH("osr",F46)))=TRUE),F51="sugarbeet"),0,
IF(AND((OR((ISNUMBER(SEARCH("osr",F46))),ISNUMBER(SEARCH("linseed",F46)))=TRUE),ISNUMBER(SEARCH("beans",F51))=TRUE),0,
IF(AND(F46="wosr",ISNUMBER(SEARCH("linseed",F51))=TRUE),0,
IF(AND(F46="sugarbeet",F51="warepotatoes"),0,
1)))))))))))
*IF(OR(ISNUMBER(SEARCH("wheat",F46)),ISNUMBER(SEARCH("barley",F46)),ISNUMBER(SEARCH("driedpeas",F46)),ISNUMBER(SEARCH("warepotatoes",F46)),ISNUMBER(SEARCH("osr",F46)),ISNUMBER(SEARCH("linseed",F46)),ISNUMBER(SEARCH("sugarbeet",F46))),
IF(COUNTIF(B41:B45,B46)=5,
INDEX('CFT Specific Data'!$G$24:$L$39,MATCH(F46,'CFT Specific Data'!$F$24:$F$39,0),IF(COUNTIF(F41:F45,F46)=5,6,IF(COUNTIF(F42:F45,F46)=4,5,IF(COUNTIF(F43:F45,F46)=3,4,IF(COUNTIF(F44:F45,F46)=2,3,IF(F45=F46,2,1)))))),
IF(COUNTIF(B41:B45,B46)=4,
INDEX('CFT Specific Data'!$G$24:$L$39,MATCH(F46,'CFT Specific Data'!$F$24:$F$39,0),IF(SUM(COUNTIF(F42:F45,F46),COUNTIF(F47,F46))=5,6,IF(COUNTIF(F42:F45,F46)=4,5,IF(COUNTIF(F43:F45,F46)=3,4,IF(COUNTIF(F44:F45,F46)=2,3,IF(F45=F46,2,1)))))),
IF(COUNTIF(B41:B45,B46)=3,
INDEX('CFT Specific Data'!$G$24:$L$39,MATCH(F46,'CFT Specific Data'!$F$24:$F$39,0),IF(SUM(COUNTIF(F43:F45,F46),COUNTIF(F47:F48,F46))=5,6,IF(SUM(COUNTIF(F43:F45,F46),COUNTIF(F48,F46))=4,5,IF(COUNTIF(F43:F45,F46)=3,4,IF(COUNTIF(F44:F45,F46)=2,3,IF(F45=F46,2,1)))))),
IF(COUNTIF(B41:B45,B46)=2,
INDEX('CFT Specific Data'!$G$24:$L$39,MATCH(F46,'CFT Specific Data'!$F$24:$F$39,0),IF(SUM(COUNTIF(F44:F45,F46),COUNTIF(F47:F49,F46))=5,6,IF(SUM(COUNTIF(F44:F45,F46),COUNTIF(F48:F49,F46))=4,5,IF(SUM(COUNTIF(F44:F45,F46),COUNTIF(F49,F46))=3,4,IF(COUNTIF(F44:F45,F46)=2,3,IF(F45=F46,2,1)))))),
IF(COUNTIF(B41:B45,B46)=1,
INDEX('CFT Specific Data'!$G$24:$L$39,MATCH(F46,'CFT Specific Data'!$F$24:$F$39,0),IF(SUM(COUNTIF(F45,F46),COUNTIF(F47:F50,F46))=5,6,IF(SUM(COUNTIF(F45,F46),COUNTIF(F48:F50,F46))=4,5,IF(SUM(COUNTIF(F45,F46),COUNTIF(F49:F50,F46))=3,4,IF(SUM(COUNTIF(F45,F46),COUNTIF(F50,F46))=2,3,IF(F45=F46,2,1)))))),
IF(COUNTIF(B41:B45,B46)=0,
INDEX('CFT Specific Data'!$G$24:$L$39,MATCH(F46,'CFT Specific Data'!$F$24:$F$39,0),IF(COUNTIF(F47:F51,F46)=5,6,IF(COUNTIF(F48:F51,F46)=4,5,IF(COUNTIF(F49:F51,F46)=3,4,IF(COUNTIF(F50:F51,F46)=2,3,IF(F51=F46,2,1)))))))))))),1)</f>
        <v>28.8</v>
      </c>
      <c r="I46" s="210" t="s">
        <v>348</v>
      </c>
      <c r="J46">
        <v>10</v>
      </c>
      <c r="K46" s="210" t="str">
        <f>VLOOKUP(F46,'CFT Specific Data'!$F$4:$G$19,2,FALSE)</f>
        <v>Other legume</v>
      </c>
      <c r="L46" t="str">
        <f t="shared" si="1"/>
        <v>Coarse</v>
      </c>
      <c r="M46">
        <f t="shared" si="2"/>
        <v>5.16</v>
      </c>
      <c r="N46" t="str">
        <f t="shared" si="3"/>
        <v>1.72 &lt; SOM &lt;= 5.16</v>
      </c>
      <c r="O46" t="s">
        <v>349</v>
      </c>
      <c r="P46" t="s">
        <v>350</v>
      </c>
      <c r="Q46">
        <v>7</v>
      </c>
      <c r="R46" t="str">
        <f t="shared" si="5"/>
        <v>5.5 &lt; pH &lt;= 7.3</v>
      </c>
      <c r="S46" t="s">
        <v>351</v>
      </c>
      <c r="T46" s="210">
        <f t="array" ref="T46">_xlfn.SINGLE(INDEX('Focus Data NFertiliser Rate'!$D$4:$P$19,MATCH(F46,'Focus Data NFertiliser Rate'!$C$4:$C$19,0),_xlfn.SINGLE(_xlfn.IFS(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0</v>
      </c>
      <c r="U46">
        <f t="shared" si="4"/>
        <v>0</v>
      </c>
      <c r="V46" s="210">
        <f t="array" ref="V46">_xlfn.SINGLE(INDEX('№ Fertiliser sprayings'!$D$4:$P$19,MATCH(F46,'№ Fertiliser sprayings'!$C$4:$C$19,0),_xlfn.SINGLE(_xlfn.IFS(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0</v>
      </c>
      <c r="W46" s="264">
        <f t="array" ref="W46">_xlfn.SINGLE(INDEX('Focus Data CFT NSpraying'!$D$4:$P$19,MATCH(F46,'Focus Data CFT NSpraying'!$C$4:$C$19,0),_xlfn.SINGLE(_xlfn.IFS(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6.0002999999999993</v>
      </c>
      <c r="X46" t="s">
        <v>363</v>
      </c>
      <c r="Y46">
        <v>0</v>
      </c>
      <c r="Z46">
        <v>100</v>
      </c>
      <c r="AA46" t="s">
        <v>352</v>
      </c>
      <c r="AB46" s="226" t="str">
        <f>IF(B46=B45,_xlfn.IFS(
AND(AA46=Lists!$L$8,AA45=Lists!$L$8),Lists!$N$5,
AND(OR(AA46=Lists!$L$5,AA46=Lists!$L$7,AA46=Lists!$L$9,AA46=Lists!$L$10,AA46=Lists!$L$6),OR(AA45=Lists!$L$5,AA45=Lists!$L$7,AA45=Lists!$L$9,AA45=Lists!$L$10,AA45=Lists!$L$6)),Lists!$N$5,
AND(AA46=Lists!$L$8,OR(AA45=Lists!$L$5,AA45=Lists!$L$7,AA45=Lists!$L$9,AA45=Lists!$L$10,AA45=Lists!$L$6)),Lists!$N$6,
AND(OR(AA46=Lists!$L$5,AA46=Lists!$L$6,AA46=Lists!$L$7,AA46=Lists!$L$9,AA46=Lists!$L$10),AA45=Lists!$L$8),Lists!$N$7),
_xlfn.IFS(
AND(AA46=Lists!$L$8,AA51=Lists!$L$8),Lists!$N$5,
AND(OR(AA46=Lists!$L$5,AA46=Lists!$L$7,AA46=Lists!$L$9,AA46=Lists!$L$10,AA46=Lists!$L$6),OR(AA51=Lists!$L$5,AA51=Lists!$L$7,AA51=Lists!$L$9,AA51=Lists!$L$10,AA51=Lists!$L$6)),Lists!$N$5,
AND(AA46=Lists!$L$8,OR(AA51=Lists!$L$5,AA51=Lists!$L$7,AA51=Lists!$L$9,AA51=Lists!$L$10,AA51=Lists!$L$6)),Lists!$N$6,
AND(OR(AA46=Lists!$L$5,AA46=Lists!$L$7,AA46=Lists!$L$9,AA46=Lists!$L$10),AA51=Lists!$L$8),Lists!$N$7))</f>
        <v>no change</v>
      </c>
      <c r="AC46">
        <v>0</v>
      </c>
      <c r="AD46">
        <v>0</v>
      </c>
      <c r="AE46" s="102">
        <f t="array" ref="AE46">IF(OR(ISNUMBER(SEARCH("heavy",A46))=TRUE, ISNUMBER(SEARCH("medium",A46))=TRUE),
(LEN(_xlfn.SINGLE(
INDEX('Focus Data Tillage by farm'!$D$4:$P$9,MATCH(D46,'Focus Data Tillage by farm'!$C$4:$C$9,0),_xlfn.SINGLE(_xlfn.IFS(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-LEN(SUBSTITUTE(_xlfn.SINGLE(
INDEX('Focus Data Tillage by farm'!$D$4:$P$9,MATCH(D46,'Focus Data Tillage by farm'!$C$4:$C$9,0),_xlfn.SINGLE(_xlfn.IFS(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"disc","")))/LEN("disc"),
(LEN(_xlfn.SINGLE(
INDEX('Focus Data Tillage by farm'!$D$12:$P$17,MATCH(D46,'Focus Data Tillage by farm'!$C$12:$C$17,0),_xlfn.SINGLE(_xlfn.IFS(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-LEN(SUBSTITUTE(_xlfn.SINGLE(
INDEX('Focus Data Tillage by farm'!$D$12:$P$17,MATCH(D46,'Focus Data Tillage by farm'!$C$12:$C$17,0),_xlfn.SINGLE(_xlfn.IFS(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"disc","")))/LEN("disc"))</f>
        <v>2</v>
      </c>
      <c r="AF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"field cultivator","")))/LEN("field cultivator"),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"field cultivator","")))/LEN("field cultivator"))</f>
        <v>0</v>
      </c>
      <c r="AG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"grain drill","")))/LEN("grain drill"),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"grain drill","")))/LEN("grain drill"))</f>
        <v>1</v>
      </c>
      <c r="AH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"minimum tillage","")))/LEN("minimum tillage"),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"minimum tillage","")))/LEN("minimum tillage"))</f>
        <v>0</v>
      </c>
      <c r="AI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"row crop planter","")))/LEN("row crop planter"),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"row crop planter","")))/LEN("row crop planter"))</f>
        <v>0</v>
      </c>
      <c r="AJ46" s="102">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"plough","")))/LEN("plough"),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"plough","")))/LEN("plough"))</f>
        <v>0</v>
      </c>
      <c r="AK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harrow","")))/LEN("roller harrow"),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harrow","")))/LEN("roller harrow"))</f>
        <v>0</v>
      </c>
      <c r="AL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packer","")))/LEN("roller packer"),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"roller packer","")))/LEN("roller packer"))</f>
        <v>2</v>
      </c>
      <c r="AM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"rotary hoe","")))/LEN("rotary hoe"),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"rotary hoe","")))/LEN("rotary hoe"))</f>
        <v>0</v>
      </c>
      <c r="AN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"subsoil","")))/LEN("subsoil"),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"subsoil","")))/LEN("subsoil"))</f>
        <v>0</v>
      </c>
      <c r="AO46">
        <f>IF(OR(ISNUMBER(SEARCH("heavy",A46))=TRUE, ISNUMBER(SEARCH("medium",A46))=TRUE),
(LEN(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farm'!$D$4:$P$9,MATCH(D46,'Focus Data Tillage by farm'!$C$4:$C$9,0),_xlfn.IFS(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"tine harrow","")))/LEN("tine harrow"),
(LEN(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-LEN(SUBSTITUTE(
INDEX('Focus Data Tillage by farm'!$D$12:$P$17,MATCH(D46,'Focus Data Tillage by farm'!$C$12:$C$17,0),_xlfn.IFS(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
"tine harrow","")))/LEN("tine harrow"))</f>
        <v>0</v>
      </c>
      <c r="AP46" s="102">
        <f>INDEX('Focus Data NSpraying'!$D$4:$P$19,MATCH(F46,'Focus Data NSpraying'!$C$4:$C$19,0),_xlfn.IFS(
AND(ISNUMBER(SEARCH("H-Dsty.",A46))=TRUE,ISNUMBER(SEARCH("H-Res",A46))=TRUE,ISNUMBER(SEARCH("E.",A46))=TRUE),1,
AND(ISNUMBER(SEARCH("H-Dsty.",A46))=TRUE,ISNUMBER(SEARCH("H-Res",A46))=TRUE,OR(ISNUMBER(SEARCH("N.he",A46))=TRUE,ISNUMBER(SEARCH("N.me",A46))=TRUE,ISNUMBER(SEARCH("N.li",A46))=TRUE)),2,
AND(ISNUMBER(SEARCH("H-Dsty.",A46))=TRUE,ISNUMBER(SEARCH("H-Res",A46))=TRUE,ISNUMBER(SEARCH("C.",A46))=TRUE),3,
AND(ISNUMBER(SEARCH("L-Dsty.",A46))=TRUE,ISNUMBER(SEARCH("H-Res",A46))=TRUE,ISNUMBER(SEARCH("E.",A46))=TRUE),6,
AND(ISNUMBER(SEARCH("L-Dsty.",A46))=TRUE,ISNUMBER(SEARCH("H-Res",A46))=TRUE,OR(ISNUMBER(SEARCH("N.he",A46))=TRUE,ISNUMBER(SEARCH("N.me",A46))=TRUE,ISNUMBER(SEARCH("N.li",A46))=TRUE)),7,
AND(ISNUMBER(SEARCH("L-Dsty.",A46))=TRUE,ISNUMBER(SEARCH("H-Res",A46))=TRUE,ISNUMBER(SEARCH("C.",A46))=TRUE),8,
AND(ISNUMBER(SEARCH("L-Dsty.",A46))=TRUE,ISNUMBER(SEARCH("L-Res",A46))=TRUE,ISNUMBER(SEARCH("E.",A46))=TRUE),11,
AND(ISNUMBER(SEARCH("L-Dsty.",A46))=TRUE,ISNUMBER(SEARCH("L-Res",A46))=TRUE,OR(ISNUMBER(SEARCH("N.he",A46))=TRUE,ISNUMBER(SEARCH("N.me",A46))=TRUE,ISNUMBER(SEARCH("N.li",A46))=TRUE)),12,
AND(ISNUMBER(SEARCH("L-Dsty.",A46))=TRUE,ISNUMBER(SEARCH("L-Res",A46))=TRUE,ISNUMBER(SEARCH("C.",A46))=TRUE),13))</f>
        <v>3</v>
      </c>
    </row>
    <row r="47" spans="1:42" x14ac:dyDescent="0.2">
      <c r="A47" t="s">
        <v>491</v>
      </c>
      <c r="B47" s="210" t="str">
        <f t="array" ref="B47">INDEX(ECOMOD_input_estimate!$A$2:$A$55, MATCH(CFT_input!$A47, ECOMOD_input_estimate!$B:$B, 0))</f>
        <v>FF_08.2</v>
      </c>
      <c r="C47" s="210">
        <v>2020</v>
      </c>
      <c r="D47" s="395" t="s">
        <v>1695</v>
      </c>
      <c r="E47" s="210" t="str">
        <f t="shared" si="0"/>
        <v>N.light.L-Dsty.H-Res</v>
      </c>
      <c r="F47" s="210" t="str">
        <f t="array" ref="F47">_xlfn.SINGLE(IF(OR(ISNUMBER(SEARCH("heavy",A47))=TRUE,ISNUMBER(SEARCH("medium",A47))=TRUE),
INDEX('Focus Data Crop Rotations'!$D$4:$P$9,MATCH(D47,'Focus Data Crop Rotations'!$C$4:$C$9,0),_xlfn.SINGLE(_xlfn.IFS(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INDEX('Focus Data Crop Rotations'!$D$12:$P$17,MATCH(D47,'Focus Data Crop Rotations'!$C$12:$C$17,0),_xlfn.SINGLE(_xlfn.IFS(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winterwheat</v>
      </c>
      <c r="G47">
        <v>7.2</v>
      </c>
      <c r="H47" s="227">
        <f>VLOOKUP(F47,'CFT Specific Data'!$F$4:$H$19,3,FALSE)*G47*
IF(B47=B46,
IF(AND(ISNUMBER(SEARCH("wheat",F47))=TRUE,ISNUMBER(SEARCH("Barley",F46))=TRUE),0.89,
IF(AND(ISNUMBER(SEARCH("wheat",F47))=TRUE,F46="setaside"),0.94,
IF(AND(ISNUMBER(SEARCH("barley",F47))=TRUE,ISNUMBER(SEARCH("wheat",F46))=TRUE),0.89,
IF(AND(F47="winterbarley",F46="setaside"),0.94,
IF(AND(F47="sugarbeet",F46="warepotatoes"),0.95,
IF(AND((OR(ISNUMBER(SEARCH("beans",F47)),ISNUMBER(SEARCH("driedpeas",F47)),ISNUMBER(SEARCH("sugarbeet",F47)))=TRUE),ISNUMBER(SEARCH("osr",F46))=TRUE),0,
IF(AND((OR((ISNUMBER(SEARCH("wheat",F47))),ISNUMBER(SEARCH("linseed",F47)),ISNUMBER(SEARCH("driedpeas",F47)),ISNUMBER(SEARCH("osr",F47)))=TRUE),F46="sugarbeet"),0,
IF(AND((OR((ISNUMBER(SEARCH("osr",F47))),ISNUMBER(SEARCH("linseed",F47)))=TRUE),ISNUMBER(SEARCH("beans",F46))=TRUE),0,
IF(AND(F47="wosr",ISNUMBER(SEARCH("linseed",F46))=TRUE),0,
IF(AND(F47="sugarbeet",F46="warepotatoes"),0,
1)))))))))),
IF(AND(ISNUMBER(SEARCH("wheat",F47))=TRUE,ISNUMBER(SEARCH("Barley",F52))=TRUE),0.89,
IF(AND(ISNUMBER(SEARCH("wheat",F47))=TRUE,F52="setaside"),0.94,
IF(AND(ISNUMBER(SEARCH("barley",F47))=TRUE,ISNUMBER(SEARCH("wheat",F52))=TRUE),0.89,
IF(AND(F47="winterbarley",F52="setaside"),0.94,
IF(AND(F47="sugarbeet",F52="warepotatoes"),0.95,
IF(AND((OR(ISNUMBER(SEARCH("beans",F47)),ISNUMBER(SEARCH("driedpeas",F47)),ISNUMBER(SEARCH("sugarbeet",F47)))=TRUE),ISNUMBER(SEARCH("osr",F52))=TRUE),0,
IF(AND((OR((ISNUMBER(SEARCH("wheat",F47))),ISNUMBER(SEARCH("linseed",F47)),ISNUMBER(SEARCH("driedpeas",F47)),ISNUMBER(SEARCH("osr",F47)))=TRUE),F52="sugarbeet"),0,
IF(AND((OR((ISNUMBER(SEARCH("osr",F47))),ISNUMBER(SEARCH("linseed",F47)))=TRUE),ISNUMBER(SEARCH("beans",F52))=TRUE),0,
IF(AND(F47="wosr",ISNUMBER(SEARCH("linseed",F52))=TRUE),0,
IF(AND(F47="sugarbeet",F52="warepotatoes"),0,
1)))))))))))
*IF(OR(ISNUMBER(SEARCH("wheat",F47)),ISNUMBER(SEARCH("barley",F47)),ISNUMBER(SEARCH("driedpeas",F47)),ISNUMBER(SEARCH("warepotatoes",F47)),ISNUMBER(SEARCH("osr",F47)),ISNUMBER(SEARCH("linseed",F47)),ISNUMBER(SEARCH("sugarbeet",F47))),
IF(COUNTIF(B42:B46,B47)=5,
INDEX('CFT Specific Data'!$G$24:$L$39,MATCH(F47,'CFT Specific Data'!$F$24:$F$39,0),IF(COUNTIF(F42:F46,F47)=5,6,IF(COUNTIF(F43:F46,F47)=4,5,IF(COUNTIF(F44:F46,F47)=3,4,IF(COUNTIF(F45:F46,F47)=2,3,IF(F46=F47,2,1)))))),
IF(COUNTIF(B42:B46,B47)=4,
INDEX('CFT Specific Data'!$G$24:$L$39,MATCH(F47,'CFT Specific Data'!$F$24:$F$39,0),IF(SUM(COUNTIF(F43:F46,F47),COUNTIF(F48,F47))=5,6,IF(COUNTIF(F43:F46,F47)=4,5,IF(COUNTIF(F44:F46,F47)=3,4,IF(COUNTIF(F45:F46,F47)=2,3,IF(F46=F47,2,1)))))),
IF(COUNTIF(B42:B46,B47)=3,
INDEX('CFT Specific Data'!$G$24:$L$39,MATCH(F47,'CFT Specific Data'!$F$24:$F$39,0),IF(SUM(COUNTIF(F44:F46,F47),COUNTIF(F48:F49,F47))=5,6,IF(SUM(COUNTIF(F44:F46,F47),COUNTIF(F49,F47))=4,5,IF(COUNTIF(F44:F46,F47)=3,4,IF(COUNTIF(F45:F46,F47)=2,3,IF(F46=F47,2,1)))))),
IF(COUNTIF(B42:B46,B47)=2,
INDEX('CFT Specific Data'!$G$24:$L$39,MATCH(F47,'CFT Specific Data'!$F$24:$F$39,0),IF(SUM(COUNTIF(F45:F46,F47),COUNTIF(F48:F50,F47))=5,6,IF(SUM(COUNTIF(F45:F46,F47),COUNTIF(F49:F50,F47))=4,5,IF(SUM(COUNTIF(F45:F46,F47),COUNTIF(F50,F47))=3,4,IF(COUNTIF(F45:F46,F47)=2,3,IF(F46=F47,2,1)))))),
IF(COUNTIF(B42:B46,B47)=1,
INDEX('CFT Specific Data'!$G$24:$L$39,MATCH(F47,'CFT Specific Data'!$F$24:$F$39,0),IF(SUM(COUNTIF(F46,F47),COUNTIF(F48:F51,F47))=5,6,IF(SUM(COUNTIF(F46,F47),COUNTIF(F49:F51,F47))=4,5,IF(SUM(COUNTIF(F46,F47),COUNTIF(F50:F51,F47))=3,4,IF(SUM(COUNTIF(F46,F47),COUNTIF(F51,F47))=2,3,IF(F46=F47,2,1)))))),
IF(COUNTIF(B42:B46,B47)=0,
INDEX('CFT Specific Data'!$G$24:$L$39,MATCH(F47,'CFT Specific Data'!$F$24:$F$39,0),IF(COUNTIF(F48:F52,F47)=5,6,IF(COUNTIF(F49:F52,F47)=4,5,IF(COUNTIF(F50:F52,F47)=3,4,IF(COUNTIF(F51:F52,F47)=2,3,IF(F52=F47,2,1)))))))))))),1)</f>
        <v>61.92</v>
      </c>
      <c r="I47" s="210" t="s">
        <v>348</v>
      </c>
      <c r="J47">
        <v>10</v>
      </c>
      <c r="K47" s="210" t="str">
        <f>VLOOKUP(F47,'CFT Specific Data'!$F$4:$G$19,2,FALSE)</f>
        <v>Winter wheat</v>
      </c>
      <c r="L47" t="str">
        <f t="shared" si="1"/>
        <v>Coarse</v>
      </c>
      <c r="M47">
        <f t="shared" si="2"/>
        <v>5.16</v>
      </c>
      <c r="N47" t="str">
        <f t="shared" si="3"/>
        <v>1.72 &lt; SOM &lt;= 5.16</v>
      </c>
      <c r="O47" t="s">
        <v>349</v>
      </c>
      <c r="P47" t="s">
        <v>350</v>
      </c>
      <c r="Q47">
        <v>7</v>
      </c>
      <c r="R47" t="str">
        <f t="shared" si="5"/>
        <v>5.5 &lt; pH &lt;= 7.3</v>
      </c>
      <c r="S47" t="s">
        <v>351</v>
      </c>
      <c r="T47" s="210">
        <f t="array" ref="T47">_xlfn.SINGLE(INDEX('Focus Data NFertiliser Rate'!$D$4:$P$19,MATCH(F47,'Focus Data NFertiliser Rate'!$C$4:$C$19,0),_xlfn.SINGLE(_xlfn.IFS(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220</v>
      </c>
      <c r="U47" t="str">
        <f t="shared" si="4"/>
        <v>Apply in solution</v>
      </c>
      <c r="V47" s="210">
        <f t="array" ref="V47">_xlfn.SINGLE(INDEX('№ Fertiliser sprayings'!$D$4:$P$19,MATCH(F47,'№ Fertiliser sprayings'!$C$4:$C$19,0),_xlfn.SINGLE(_xlfn.IFS(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3</v>
      </c>
      <c r="W47" s="264">
        <f t="array" ref="W47">_xlfn.SINGLE(INDEX('Focus Data CFT NSpraying'!$D$4:$P$19,MATCH(F47,'Focus Data CFT NSpraying'!$C$4:$C$19,0),_xlfn.SINGLE(_xlfn.IFS(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9.84</v>
      </c>
      <c r="X47" t="s">
        <v>363</v>
      </c>
      <c r="Y47">
        <v>0</v>
      </c>
      <c r="Z47">
        <v>100</v>
      </c>
      <c r="AA47" t="s">
        <v>352</v>
      </c>
      <c r="AB47" s="226" t="str">
        <f>IF(B47=B46,_xlfn.IFS(
AND(AA47=Lists!$L$8,AA46=Lists!$L$8),Lists!$N$5,
AND(OR(AA47=Lists!$L$5,AA47=Lists!$L$7,AA47=Lists!$L$9,AA47=Lists!$L$10,AA47=Lists!$L$6),OR(AA46=Lists!$L$5,AA46=Lists!$L$7,AA46=Lists!$L$9,AA46=Lists!$L$10,AA46=Lists!$L$6)),Lists!$N$5,
AND(AA47=Lists!$L$8,OR(AA46=Lists!$L$5,AA46=Lists!$L$7,AA46=Lists!$L$9,AA46=Lists!$L$10,AA46=Lists!$L$6)),Lists!$N$6,
AND(OR(AA47=Lists!$L$5,AA47=Lists!$L$6,AA47=Lists!$L$7,AA47=Lists!$L$9,AA47=Lists!$L$10),AA46=Lists!$L$8),Lists!$N$7),
_xlfn.IFS(
AND(AA47=Lists!$L$8,AA52=Lists!$L$8),Lists!$N$5,
AND(OR(AA47=Lists!$L$5,AA47=Lists!$L$7,AA47=Lists!$L$9,AA47=Lists!$L$10,AA47=Lists!$L$6),OR(AA52=Lists!$L$5,AA52=Lists!$L$7,AA52=Lists!$L$9,AA52=Lists!$L$10,AA52=Lists!$L$6)),Lists!$N$5,
AND(AA47=Lists!$L$8,OR(AA52=Lists!$L$5,AA52=Lists!$L$7,AA52=Lists!$L$9,AA52=Lists!$L$10,AA52=Lists!$L$6)),Lists!$N$6,
AND(OR(AA47=Lists!$L$5,AA47=Lists!$L$7,AA47=Lists!$L$9,AA47=Lists!$L$10),AA52=Lists!$L$8),Lists!$N$7))</f>
        <v>no change</v>
      </c>
      <c r="AC47">
        <v>0</v>
      </c>
      <c r="AD47">
        <v>0</v>
      </c>
      <c r="AE47" s="102">
        <f t="array" ref="AE47">IF(OR(ISNUMBER(SEARCH("heavy",A47))=TRUE, ISNUMBER(SEARCH("medium",A47))=TRUE),
(LEN(_xlfn.SINGLE(
INDEX('Focus Data Tillage by farm'!$D$4:$P$9,MATCH(D47,'Focus Data Tillage by farm'!$C$4:$C$9,0),_xlfn.SINGLE(_xlfn.IFS(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-LEN(SUBSTITUTE(_xlfn.SINGLE(
INDEX('Focus Data Tillage by farm'!$D$4:$P$9,MATCH(D47,'Focus Data Tillage by farm'!$C$4:$C$9,0),_xlfn.SINGLE(_xlfn.IFS(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"disc","")))/LEN("disc"),
(LEN(_xlfn.SINGLE(
INDEX('Focus Data Tillage by farm'!$D$12:$P$17,MATCH(D47,'Focus Data Tillage by farm'!$C$12:$C$17,0),_xlfn.SINGLE(_xlfn.IFS(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-LEN(SUBSTITUTE(_xlfn.SINGLE(
INDEX('Focus Data Tillage by farm'!$D$12:$P$17,MATCH(D47,'Focus Data Tillage by farm'!$C$12:$C$17,0),_xlfn.SINGLE(_xlfn.IFS(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"disc","")))/LEN("disc"))</f>
        <v>2</v>
      </c>
      <c r="AF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"field cultivator","")))/LEN("field cultivator"),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"field cultivator","")))/LEN("field cultivator"))</f>
        <v>0</v>
      </c>
      <c r="AG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"grain drill","")))/LEN("grain drill"),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"grain drill","")))/LEN("grain drill"))</f>
        <v>1</v>
      </c>
      <c r="AH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"minimum tillage","")))/LEN("minimum tillage"),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"minimum tillage","")))/LEN("minimum tillage"))</f>
        <v>0</v>
      </c>
      <c r="AI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"row crop planter","")))/LEN("row crop planter"),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"row crop planter","")))/LEN("row crop planter"))</f>
        <v>0</v>
      </c>
      <c r="AJ47" s="102">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"plough","")))/LEN("plough"),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"plough","")))/LEN("plough"))</f>
        <v>0</v>
      </c>
      <c r="AK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harrow","")))/LEN("roller harrow"),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harrow","")))/LEN("roller harrow"))</f>
        <v>0</v>
      </c>
      <c r="AL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packer","")))/LEN("roller packer"),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"roller packer","")))/LEN("roller packer"))</f>
        <v>2</v>
      </c>
      <c r="AM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"rotary hoe","")))/LEN("rotary hoe"),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"rotary hoe","")))/LEN("rotary hoe"))</f>
        <v>0</v>
      </c>
      <c r="AN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"subsoil","")))/LEN("subsoil"),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"subsoil","")))/LEN("subsoil"))</f>
        <v>0</v>
      </c>
      <c r="AO47">
        <f>IF(OR(ISNUMBER(SEARCH("heavy",A47))=TRUE, ISNUMBER(SEARCH("medium",A47))=TRUE),
(LEN(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farm'!$D$4:$P$9,MATCH(D47,'Focus Data Tillage by farm'!$C$4:$C$9,0),_xlfn.IFS(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"tine harrow","")))/LEN("tine harrow"),
(LEN(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-LEN(SUBSTITUTE(
INDEX('Focus Data Tillage by farm'!$D$12:$P$17,MATCH(D47,'Focus Data Tillage by farm'!$C$12:$C$17,0),_xlfn.IFS(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
"tine harrow","")))/LEN("tine harrow"))</f>
        <v>0</v>
      </c>
      <c r="AP47" s="102">
        <f>INDEX('Focus Data NSpraying'!$D$4:$P$19,MATCH(F47,'Focus Data NSpraying'!$C$4:$C$19,0),_xlfn.IFS(
AND(ISNUMBER(SEARCH("H-Dsty.",A47))=TRUE,ISNUMBER(SEARCH("H-Res",A47))=TRUE,ISNUMBER(SEARCH("E.",A47))=TRUE),1,
AND(ISNUMBER(SEARCH("H-Dsty.",A47))=TRUE,ISNUMBER(SEARCH("H-Res",A47))=TRUE,OR(ISNUMBER(SEARCH("N.he",A47))=TRUE,ISNUMBER(SEARCH("N.me",A47))=TRUE,ISNUMBER(SEARCH("N.li",A47))=TRUE)),2,
AND(ISNUMBER(SEARCH("H-Dsty.",A47))=TRUE,ISNUMBER(SEARCH("H-Res",A47))=TRUE,ISNUMBER(SEARCH("C.",A47))=TRUE),3,
AND(ISNUMBER(SEARCH("L-Dsty.",A47))=TRUE,ISNUMBER(SEARCH("H-Res",A47))=TRUE,ISNUMBER(SEARCH("E.",A47))=TRUE),6,
AND(ISNUMBER(SEARCH("L-Dsty.",A47))=TRUE,ISNUMBER(SEARCH("H-Res",A47))=TRUE,OR(ISNUMBER(SEARCH("N.he",A47))=TRUE,ISNUMBER(SEARCH("N.me",A47))=TRUE,ISNUMBER(SEARCH("N.li",A47))=TRUE)),7,
AND(ISNUMBER(SEARCH("L-Dsty.",A47))=TRUE,ISNUMBER(SEARCH("H-Res",A47))=TRUE,ISNUMBER(SEARCH("C.",A47))=TRUE),8,
AND(ISNUMBER(SEARCH("L-Dsty.",A47))=TRUE,ISNUMBER(SEARCH("L-Res",A47))=TRUE,ISNUMBER(SEARCH("E.",A47))=TRUE),11,
AND(ISNUMBER(SEARCH("L-Dsty.",A47))=TRUE,ISNUMBER(SEARCH("L-Res",A47))=TRUE,OR(ISNUMBER(SEARCH("N.he",A47))=TRUE,ISNUMBER(SEARCH("N.me",A47))=TRUE,ISNUMBER(SEARCH("N.li",A47))=TRUE)),12,
AND(ISNUMBER(SEARCH("L-Dsty.",A47))=TRUE,ISNUMBER(SEARCH("L-Res",A47))=TRUE,ISNUMBER(SEARCH("C.",A47))=TRUE),13))</f>
        <v>4</v>
      </c>
    </row>
    <row r="48" spans="1:42" x14ac:dyDescent="0.2">
      <c r="A48" t="s">
        <v>491</v>
      </c>
      <c r="B48" s="210" t="str">
        <f t="array" ref="B48">INDEX(ECOMOD_input_estimate!$A$2:$A$55, MATCH(CFT_input!$A48, ECOMOD_input_estimate!$B:$B, 0))</f>
        <v>FF_08.2</v>
      </c>
      <c r="C48" s="210">
        <v>2020</v>
      </c>
      <c r="D48" s="395" t="s">
        <v>1696</v>
      </c>
      <c r="E48" s="210" t="str">
        <f t="shared" si="0"/>
        <v>N.light.L-Dsty.H-Res</v>
      </c>
      <c r="F48" s="210" t="str">
        <f t="array" ref="F48">_xlfn.SINGLE(IF(OR(ISNUMBER(SEARCH("heavy",A48))=TRUE,ISNUMBER(SEARCH("medium",A48))=TRUE),
INDEX('Focus Data Crop Rotations'!$D$4:$P$9,MATCH(D48,'Focus Data Crop Rotations'!$C$4:$C$9,0),_xlfn.SINGLE(_xlfn.IFS(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INDEX('Focus Data Crop Rotations'!$D$12:$P$17,MATCH(D48,'Focus Data Crop Rotations'!$C$12:$C$17,0),_xlfn.SINGLE(_xlfn.IFS(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winterbarley</v>
      </c>
      <c r="G48">
        <v>7.2</v>
      </c>
      <c r="H48" s="227">
        <f>VLOOKUP(F48,'CFT Specific Data'!$F$4:$H$19,3,FALSE)*G48*
IF(B48=B47,
IF(AND(ISNUMBER(SEARCH("wheat",F48))=TRUE,ISNUMBER(SEARCH("Barley",F47))=TRUE),0.89,
IF(AND(ISNUMBER(SEARCH("wheat",F48))=TRUE,F47="setaside"),0.94,
IF(AND(ISNUMBER(SEARCH("barley",F48))=TRUE,ISNUMBER(SEARCH("wheat",F47))=TRUE),0.89,
IF(AND(F48="winterbarley",F47="setaside"),0.94,
IF(AND(F48="sugarbeet",F47="warepotatoes"),0.95,
IF(AND((OR(ISNUMBER(SEARCH("beans",F48)),ISNUMBER(SEARCH("driedpeas",F48)),ISNUMBER(SEARCH("sugarbeet",F48)))=TRUE),ISNUMBER(SEARCH("osr",F47))=TRUE),0,
IF(AND((OR((ISNUMBER(SEARCH("wheat",F48))),ISNUMBER(SEARCH("linseed",F48)),ISNUMBER(SEARCH("driedpeas",F48)),ISNUMBER(SEARCH("osr",F48)))=TRUE),F47="sugarbeet"),0,
IF(AND((OR((ISNUMBER(SEARCH("osr",F48))),ISNUMBER(SEARCH("linseed",F48)))=TRUE),ISNUMBER(SEARCH("beans",F47))=TRUE),0,
IF(AND(F48="wosr",ISNUMBER(SEARCH("linseed",F47))=TRUE),0,
IF(AND(F48="sugarbeet",F47="warepotatoes"),0,
1)))))))))),
IF(AND(ISNUMBER(SEARCH("wheat",F48))=TRUE,ISNUMBER(SEARCH("Barley",F53))=TRUE),0.89,
IF(AND(ISNUMBER(SEARCH("wheat",F48))=TRUE,F53="setaside"),0.94,
IF(AND(ISNUMBER(SEARCH("barley",F48))=TRUE,ISNUMBER(SEARCH("wheat",F53))=TRUE),0.89,
IF(AND(F48="winterbarley",F53="setaside"),0.94,
IF(AND(F48="sugarbeet",F53="warepotatoes"),0.95,
IF(AND((OR(ISNUMBER(SEARCH("beans",F48)),ISNUMBER(SEARCH("driedpeas",F48)),ISNUMBER(SEARCH("sugarbeet",F48)))=TRUE),ISNUMBER(SEARCH("osr",F53))=TRUE),0,
IF(AND((OR((ISNUMBER(SEARCH("wheat",F48))),ISNUMBER(SEARCH("linseed",F48)),ISNUMBER(SEARCH("driedpeas",F48)),ISNUMBER(SEARCH("osr",F48)))=TRUE),F53="sugarbeet"),0,
IF(AND((OR((ISNUMBER(SEARCH("osr",F48))),ISNUMBER(SEARCH("linseed",F48)))=TRUE),ISNUMBER(SEARCH("beans",F53))=TRUE),0,
IF(AND(F48="wosr",ISNUMBER(SEARCH("linseed",F53))=TRUE),0,
IF(AND(F48="sugarbeet",F53="warepotatoes"),0,
1)))))))))))
*IF(OR(ISNUMBER(SEARCH("wheat",F48)),ISNUMBER(SEARCH("barley",F48)),ISNUMBER(SEARCH("driedpeas",F48)),ISNUMBER(SEARCH("warepotatoes",F48)),ISNUMBER(SEARCH("osr",F48)),ISNUMBER(SEARCH("linseed",F48)),ISNUMBER(SEARCH("sugarbeet",F48))),
IF(COUNTIF(B43:B47,B48)=5,
INDEX('CFT Specific Data'!$G$24:$L$39,MATCH(F48,'CFT Specific Data'!$F$24:$F$39,0),IF(COUNTIF(F43:F47,F48)=5,6,IF(COUNTIF(F44:F47,F48)=4,5,IF(COUNTIF(F45:F47,F48)=3,4,IF(COUNTIF(F46:F47,F48)=2,3,IF(F47=F48,2,1)))))),
IF(COUNTIF(B43:B47,B48)=4,
INDEX('CFT Specific Data'!$G$24:$L$39,MATCH(F48,'CFT Specific Data'!$F$24:$F$39,0),IF(SUM(COUNTIF(F44:F47,F48),COUNTIF(F49,F48))=5,6,IF(COUNTIF(F44:F47,F48)=4,5,IF(COUNTIF(F45:F47,F48)=3,4,IF(COUNTIF(F46:F47,F48)=2,3,IF(F47=F48,2,1)))))),
IF(COUNTIF(B43:B47,B48)=3,
INDEX('CFT Specific Data'!$G$24:$L$39,MATCH(F48,'CFT Specific Data'!$F$24:$F$39,0),IF(SUM(COUNTIF(F45:F47,F48),COUNTIF(F49:F50,F48))=5,6,IF(SUM(COUNTIF(F45:F47,F48),COUNTIF(F50,F48))=4,5,IF(COUNTIF(F45:F47,F48)=3,4,IF(COUNTIF(F46:F47,F48)=2,3,IF(F47=F48,2,1)))))),
IF(COUNTIF(B43:B47,B48)=2,
INDEX('CFT Specific Data'!$G$24:$L$39,MATCH(F48,'CFT Specific Data'!$F$24:$F$39,0),IF(SUM(COUNTIF(F46:F47,F48),COUNTIF(F49:F51,F48))=5,6,IF(SUM(COUNTIF(F46:F47,F48),COUNTIF(F50:F51,F48))=4,5,IF(SUM(COUNTIF(F46:F47,F48),COUNTIF(F51,F48))=3,4,IF(COUNTIF(F46:F47,F48)=2,3,IF(F47=F48,2,1)))))),
IF(COUNTIF(B43:B47,B48)=1,
INDEX('CFT Specific Data'!$G$24:$L$39,MATCH(F48,'CFT Specific Data'!$F$24:$F$39,0),IF(SUM(COUNTIF(F47,F48),COUNTIF(F49:F52,F48))=5,6,IF(SUM(COUNTIF(F47,F48),COUNTIF(F50:F52,F48))=4,5,IF(SUM(COUNTIF(F47,F48),COUNTIF(F51:F52,F48))=3,4,IF(SUM(COUNTIF(F47,F48),COUNTIF(F52,F48))=2,3,IF(F47=F48,2,1)))))),
IF(COUNTIF(B43:B47,B48)=0,
INDEX('CFT Specific Data'!$G$24:$L$39,MATCH(F48,'CFT Specific Data'!$F$24:$F$39,0),IF(COUNTIF(F49:F53,F48)=5,6,IF(COUNTIF(F50:F53,F48)=4,5,IF(COUNTIF(F51:F53,F48)=3,4,IF(COUNTIF(F52:F53,F48)=2,3,IF(F53=F48,2,1)))))))))))),1)</f>
        <v>47.419200000000004</v>
      </c>
      <c r="I48" s="210" t="s">
        <v>348</v>
      </c>
      <c r="J48">
        <v>10</v>
      </c>
      <c r="K48" s="210" t="str">
        <f>VLOOKUP(F48,'CFT Specific Data'!$F$4:$G$19,2,FALSE)</f>
        <v>Barley</v>
      </c>
      <c r="L48" t="str">
        <f t="shared" si="1"/>
        <v>Coarse</v>
      </c>
      <c r="M48">
        <f t="shared" si="2"/>
        <v>5.16</v>
      </c>
      <c r="N48" t="str">
        <f t="shared" si="3"/>
        <v>1.72 &lt; SOM &lt;= 5.16</v>
      </c>
      <c r="O48" t="s">
        <v>349</v>
      </c>
      <c r="P48" t="s">
        <v>350</v>
      </c>
      <c r="Q48">
        <v>7</v>
      </c>
      <c r="R48" t="str">
        <f t="shared" si="5"/>
        <v>5.5 &lt; pH &lt;= 7.3</v>
      </c>
      <c r="S48" t="s">
        <v>351</v>
      </c>
      <c r="T48" s="210">
        <f t="array" ref="T48">_xlfn.SINGLE(INDEX('Focus Data NFertiliser Rate'!$D$4:$P$19,MATCH(F48,'Focus Data NFertiliser Rate'!$C$4:$C$19,0),_xlfn.SINGLE(_xlfn.IFS(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190</v>
      </c>
      <c r="U48" t="str">
        <f t="shared" si="4"/>
        <v>Apply in solution</v>
      </c>
      <c r="V48" s="210">
        <f t="array" ref="V48">_xlfn.SINGLE(INDEX('№ Fertiliser sprayings'!$D$4:$P$19,MATCH(F48,'№ Fertiliser sprayings'!$C$4:$C$19,0),_xlfn.SINGLE(_xlfn.IFS(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3</v>
      </c>
      <c r="W48" s="264">
        <f t="array" ref="W48">_xlfn.SINGLE(INDEX('Focus Data CFT NSpraying'!$D$4:$P$19,MATCH(F48,'Focus Data CFT NSpraying'!$C$4:$C$19,0),_xlfn.SINGLE(_xlfn.IFS(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9.16</v>
      </c>
      <c r="X48" t="s">
        <v>363</v>
      </c>
      <c r="Y48">
        <v>0</v>
      </c>
      <c r="Z48">
        <v>100</v>
      </c>
      <c r="AA48" t="s">
        <v>352</v>
      </c>
      <c r="AB48" s="226" t="str">
        <f>IF(B48=B47,_xlfn.IFS(
AND(AA48=Lists!$L$8,AA47=Lists!$L$8),Lists!$N$5,
AND(OR(AA48=Lists!$L$5,AA48=Lists!$L$7,AA48=Lists!$L$9,AA48=Lists!$L$10,AA48=Lists!$L$6),OR(AA47=Lists!$L$5,AA47=Lists!$L$7,AA47=Lists!$L$9,AA47=Lists!$L$10,AA47=Lists!$L$6)),Lists!$N$5,
AND(AA48=Lists!$L$8,OR(AA47=Lists!$L$5,AA47=Lists!$L$7,AA47=Lists!$L$9,AA47=Lists!$L$10,AA47=Lists!$L$6)),Lists!$N$6,
AND(OR(AA48=Lists!$L$5,AA48=Lists!$L$6,AA48=Lists!$L$7,AA48=Lists!$L$9,AA48=Lists!$L$10),AA47=Lists!$L$8),Lists!$N$7),
_xlfn.IFS(
AND(AA48=Lists!$L$8,AA53=Lists!$L$8),Lists!$N$5,
AND(OR(AA48=Lists!$L$5,AA48=Lists!$L$7,AA48=Lists!$L$9,AA48=Lists!$L$10,AA48=Lists!$L$6),OR(AA53=Lists!$L$5,AA53=Lists!$L$7,AA53=Lists!$L$9,AA53=Lists!$L$10,AA53=Lists!$L$6)),Lists!$N$5,
AND(AA48=Lists!$L$8,OR(AA53=Lists!$L$5,AA53=Lists!$L$7,AA53=Lists!$L$9,AA53=Lists!$L$10,AA53=Lists!$L$6)),Lists!$N$6,
AND(OR(AA48=Lists!$L$5,AA48=Lists!$L$7,AA48=Lists!$L$9,AA48=Lists!$L$10),AA53=Lists!$L$8),Lists!$N$7))</f>
        <v>no change</v>
      </c>
      <c r="AC48">
        <v>0</v>
      </c>
      <c r="AD48">
        <v>0</v>
      </c>
      <c r="AE48" s="102">
        <f t="array" ref="AE48">IF(OR(ISNUMBER(SEARCH("heavy",A48))=TRUE, ISNUMBER(SEARCH("medium",A48))=TRUE),
(LEN(_xlfn.SINGLE(
INDEX('Focus Data Tillage by farm'!$D$4:$P$9,MATCH(D48,'Focus Data Tillage by farm'!$C$4:$C$9,0),_xlfn.SINGLE(_xlfn.IFS(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-LEN(SUBSTITUTE(_xlfn.SINGLE(
INDEX('Focus Data Tillage by farm'!$D$4:$P$9,MATCH(D48,'Focus Data Tillage by farm'!$C$4:$C$9,0),_xlfn.SINGLE(_xlfn.IFS(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"disc","")))/LEN("disc"),
(LEN(_xlfn.SINGLE(
INDEX('Focus Data Tillage by farm'!$D$12:$P$17,MATCH(D48,'Focus Data Tillage by farm'!$C$12:$C$17,0),_xlfn.SINGLE(_xlfn.IFS(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-LEN(SUBSTITUTE(_xlfn.SINGLE(
INDEX('Focus Data Tillage by farm'!$D$12:$P$17,MATCH(D48,'Focus Data Tillage by farm'!$C$12:$C$17,0),_xlfn.SINGLE(_xlfn.IFS(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"disc","")))/LEN("disc"))</f>
        <v>2</v>
      </c>
      <c r="AF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"field cultivator","")))/LEN("field cultivator"),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"field cultivator","")))/LEN("field cultivator"))</f>
        <v>0</v>
      </c>
      <c r="AG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"grain drill","")))/LEN("grain drill"),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"grain drill","")))/LEN("grain drill"))</f>
        <v>1</v>
      </c>
      <c r="AH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"minimum tillage","")))/LEN("minimum tillage"),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"minimum tillage","")))/LEN("minimum tillage"))</f>
        <v>0</v>
      </c>
      <c r="AI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"row crop planter","")))/LEN("row crop planter"),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"row crop planter","")))/LEN("row crop planter"))</f>
        <v>0</v>
      </c>
      <c r="AJ48" s="102">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"plough","")))/LEN("plough"),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"plough","")))/LEN("plough"))</f>
        <v>0</v>
      </c>
      <c r="AK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harrow","")))/LEN("roller harrow"),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harrow","")))/LEN("roller harrow"))</f>
        <v>0</v>
      </c>
      <c r="AL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packer","")))/LEN("roller packer"),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"roller packer","")))/LEN("roller packer"))</f>
        <v>2</v>
      </c>
      <c r="AM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"rotary hoe","")))/LEN("rotary hoe"),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"rotary hoe","")))/LEN("rotary hoe"))</f>
        <v>0</v>
      </c>
      <c r="AN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"subsoil","")))/LEN("subsoil"),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"subsoil","")))/LEN("subsoil"))</f>
        <v>0</v>
      </c>
      <c r="AO48">
        <f>IF(OR(ISNUMBER(SEARCH("heavy",A48))=TRUE, ISNUMBER(SEARCH("medium",A48))=TRUE),
(LEN(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farm'!$D$4:$P$9,MATCH(D48,'Focus Data Tillage by farm'!$C$4:$C$9,0),_xlfn.IFS(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"tine harrow","")))/LEN("tine harrow"),
(LEN(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-LEN(SUBSTITUTE(
INDEX('Focus Data Tillage by farm'!$D$12:$P$17,MATCH(D48,'Focus Data Tillage by farm'!$C$12:$C$17,0),_xlfn.IFS(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
"tine harrow","")))/LEN("tine harrow"))</f>
        <v>0</v>
      </c>
      <c r="AP48" s="102">
        <f>INDEX('Focus Data NSpraying'!$D$4:$P$19,MATCH(F48,'Focus Data NSpraying'!$C$4:$C$19,0),_xlfn.IFS(
AND(ISNUMBER(SEARCH("H-Dsty.",A48))=TRUE,ISNUMBER(SEARCH("H-Res",A48))=TRUE,ISNUMBER(SEARCH("E.",A48))=TRUE),1,
AND(ISNUMBER(SEARCH("H-Dsty.",A48))=TRUE,ISNUMBER(SEARCH("H-Res",A48))=TRUE,OR(ISNUMBER(SEARCH("N.he",A48))=TRUE,ISNUMBER(SEARCH("N.me",A48))=TRUE,ISNUMBER(SEARCH("N.li",A48))=TRUE)),2,
AND(ISNUMBER(SEARCH("H-Dsty.",A48))=TRUE,ISNUMBER(SEARCH("H-Res",A48))=TRUE,ISNUMBER(SEARCH("C.",A48))=TRUE),3,
AND(ISNUMBER(SEARCH("L-Dsty.",A48))=TRUE,ISNUMBER(SEARCH("H-Res",A48))=TRUE,ISNUMBER(SEARCH("E.",A48))=TRUE),6,
AND(ISNUMBER(SEARCH("L-Dsty.",A48))=TRUE,ISNUMBER(SEARCH("H-Res",A48))=TRUE,OR(ISNUMBER(SEARCH("N.he",A48))=TRUE,ISNUMBER(SEARCH("N.me",A48))=TRUE,ISNUMBER(SEARCH("N.li",A48))=TRUE)),7,
AND(ISNUMBER(SEARCH("L-Dsty.",A48))=TRUE,ISNUMBER(SEARCH("H-Res",A48))=TRUE,ISNUMBER(SEARCH("C.",A48))=TRUE),8,
AND(ISNUMBER(SEARCH("L-Dsty.",A48))=TRUE,ISNUMBER(SEARCH("L-Res",A48))=TRUE,ISNUMBER(SEARCH("E.",A48))=TRUE),11,
AND(ISNUMBER(SEARCH("L-Dsty.",A48))=TRUE,ISNUMBER(SEARCH("L-Res",A48))=TRUE,OR(ISNUMBER(SEARCH("N.he",A48))=TRUE,ISNUMBER(SEARCH("N.me",A48))=TRUE,ISNUMBER(SEARCH("N.li",A48))=TRUE)),12,
AND(ISNUMBER(SEARCH("L-Dsty.",A48))=TRUE,ISNUMBER(SEARCH("L-Res",A48))=TRUE,ISNUMBER(SEARCH("C.",A48))=TRUE),13))</f>
        <v>3</v>
      </c>
    </row>
    <row r="49" spans="1:42" x14ac:dyDescent="0.2">
      <c r="A49" t="s">
        <v>491</v>
      </c>
      <c r="B49" s="210" t="str">
        <f t="array" ref="B49">INDEX(ECOMOD_input_estimate!$A$2:$A$55, MATCH(CFT_input!$A49, ECOMOD_input_estimate!$B:$B, 0))</f>
        <v>FF_08.2</v>
      </c>
      <c r="C49" s="210">
        <v>2020</v>
      </c>
      <c r="D49" s="395" t="s">
        <v>735</v>
      </c>
      <c r="E49" s="210" t="str">
        <f t="shared" si="0"/>
        <v>N.light.L-Dsty.H-Res</v>
      </c>
      <c r="F49" s="210" t="str">
        <f t="array" ref="F49">_xlfn.SINGLE(IF(OR(ISNUMBER(SEARCH("heavy",A49))=TRUE,ISNUMBER(SEARCH("medium",A49))=TRUE),
INDEX('Focus Data Crop Rotations'!$D$4:$P$9,MATCH(D49,'Focus Data Crop Rotations'!$C$4:$C$9,0),_xlfn.SINGLE(_xlfn.IFS(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INDEX('Focus Data Crop Rotations'!$D$12:$P$17,MATCH(D49,'Focus Data Crop Rotations'!$C$12:$C$17,0),_xlfn.SINGLE(_xlfn.IFS(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driedpeas</v>
      </c>
      <c r="G49">
        <v>7.2</v>
      </c>
      <c r="H49" s="227">
        <f>VLOOKUP(F49,'CFT Specific Data'!$F$4:$H$19,3,FALSE)*G49*
IF(B49=B48,
IF(AND(ISNUMBER(SEARCH("wheat",F49))=TRUE,ISNUMBER(SEARCH("Barley",F48))=TRUE),0.89,
IF(AND(ISNUMBER(SEARCH("wheat",F49))=TRUE,F48="setaside"),0.94,
IF(AND(ISNUMBER(SEARCH("barley",F49))=TRUE,ISNUMBER(SEARCH("wheat",F48))=TRUE),0.89,
IF(AND(F49="winterbarley",F48="setaside"),0.94,
IF(AND(F49="sugarbeet",F48="warepotatoes"),0.95,
IF(AND((OR(ISNUMBER(SEARCH("beans",F49)),ISNUMBER(SEARCH("driedpeas",F49)),ISNUMBER(SEARCH("sugarbeet",F49)))=TRUE),ISNUMBER(SEARCH("osr",F48))=TRUE),0,
IF(AND((OR((ISNUMBER(SEARCH("wheat",F49))),ISNUMBER(SEARCH("linseed",F49)),ISNUMBER(SEARCH("driedpeas",F49)),ISNUMBER(SEARCH("osr",F49)))=TRUE),F48="sugarbeet"),0,
IF(AND((OR((ISNUMBER(SEARCH("osr",F49))),ISNUMBER(SEARCH("linseed",F49)))=TRUE),ISNUMBER(SEARCH("beans",F48))=TRUE),0,
IF(AND(F49="wosr",ISNUMBER(SEARCH("linseed",F48))=TRUE),0,
IF(AND(F49="sugarbeet",F48="warepotatoes"),0,
1)))))))))),
IF(AND(ISNUMBER(SEARCH("wheat",F49))=TRUE,ISNUMBER(SEARCH("Barley",F54))=TRUE),0.89,
IF(AND(ISNUMBER(SEARCH("wheat",F49))=TRUE,F54="setaside"),0.94,
IF(AND(ISNUMBER(SEARCH("barley",F49))=TRUE,ISNUMBER(SEARCH("wheat",F54))=TRUE),0.89,
IF(AND(F49="winterbarley",F54="setaside"),0.94,
IF(AND(F49="sugarbeet",F54="warepotatoes"),0.95,
IF(AND((OR(ISNUMBER(SEARCH("beans",F49)),ISNUMBER(SEARCH("driedpeas",F49)),ISNUMBER(SEARCH("sugarbeet",F49)))=TRUE),ISNUMBER(SEARCH("osr",F54))=TRUE),0,
IF(AND((OR((ISNUMBER(SEARCH("wheat",F49))),ISNUMBER(SEARCH("linseed",F49)),ISNUMBER(SEARCH("driedpeas",F49)),ISNUMBER(SEARCH("osr",F49)))=TRUE),F54="sugarbeet"),0,
IF(AND((OR((ISNUMBER(SEARCH("osr",F49))),ISNUMBER(SEARCH("linseed",F49)))=TRUE),ISNUMBER(SEARCH("beans",F54))=TRUE),0,
IF(AND(F49="wosr",ISNUMBER(SEARCH("linseed",F54))=TRUE),0,
IF(AND(F49="sugarbeet",F54="warepotatoes"),0,
1)))))))))))
*IF(OR(ISNUMBER(SEARCH("wheat",F49)),ISNUMBER(SEARCH("barley",F49)),ISNUMBER(SEARCH("driedpeas",F49)),ISNUMBER(SEARCH("warepotatoes",F49)),ISNUMBER(SEARCH("osr",F49)),ISNUMBER(SEARCH("linseed",F49)),ISNUMBER(SEARCH("sugarbeet",F49))),
IF(COUNTIF(B44:B48,B49)=5,
INDEX('CFT Specific Data'!$G$24:$L$39,MATCH(F49,'CFT Specific Data'!$F$24:$F$39,0),IF(COUNTIF(F44:F48,F49)=5,6,IF(COUNTIF(F45:F48,F49)=4,5,IF(COUNTIF(F46:F48,F49)=3,4,IF(COUNTIF(F47:F48,F49)=2,3,IF(F48=F49,2,1)))))),
IF(COUNTIF(B44:B48,B49)=4,
INDEX('CFT Specific Data'!$G$24:$L$39,MATCH(F49,'CFT Specific Data'!$F$24:$F$39,0),IF(SUM(COUNTIF(F45:F48,F49),COUNTIF(F50,F49))=5,6,IF(COUNTIF(F45:F48,F49)=4,5,IF(COUNTIF(F46:F48,F49)=3,4,IF(COUNTIF(F47:F48,F49)=2,3,IF(F48=F49,2,1)))))),
IF(COUNTIF(B44:B48,B49)=3,
INDEX('CFT Specific Data'!$G$24:$L$39,MATCH(F49,'CFT Specific Data'!$F$24:$F$39,0),IF(SUM(COUNTIF(F46:F48,F49),COUNTIF(F50:F51,F49))=5,6,IF(SUM(COUNTIF(F46:F48,F49),COUNTIF(F51,F49))=4,5,IF(COUNTIF(F46:F48,F49)=3,4,IF(COUNTIF(F47:F48,F49)=2,3,IF(F48=F49,2,1)))))),
IF(COUNTIF(B44:B48,B49)=2,
INDEX('CFT Specific Data'!$G$24:$L$39,MATCH(F49,'CFT Specific Data'!$F$24:$F$39,0),IF(SUM(COUNTIF(F47:F48,F49),COUNTIF(F50:F52,F49))=5,6,IF(SUM(COUNTIF(F47:F48,F49),COUNTIF(F51:F52,F49))=4,5,IF(SUM(COUNTIF(F47:F48,F49),COUNTIF(F52,F49))=3,4,IF(COUNTIF(F47:F48,F49)=2,3,IF(F48=F49,2,1)))))),
IF(COUNTIF(B44:B48,B49)=1,
INDEX('CFT Specific Data'!$G$24:$L$39,MATCH(F49,'CFT Specific Data'!$F$24:$F$39,0),IF(SUM(COUNTIF(F48,F49),COUNTIF(F50:F53,F49))=5,6,IF(SUM(COUNTIF(F48,F49),COUNTIF(F51:F53,F49))=4,5,IF(SUM(COUNTIF(F48,F49),COUNTIF(F52:F53,F49))=3,4,IF(SUM(COUNTIF(F48,F49),COUNTIF(F53,F49))=2,3,IF(F48=F49,2,1)))))),
IF(COUNTIF(B44:B48,B49)=0,
INDEX('CFT Specific Data'!$G$24:$L$39,MATCH(F49,'CFT Specific Data'!$F$24:$F$39,0),IF(COUNTIF(F50:F54,F49)=5,6,IF(COUNTIF(F51:F54,F49)=4,5,IF(COUNTIF(F52:F54,F49)=3,4,IF(COUNTIF(F53:F54,F49)=2,3,IF(F54=F49,2,1)))))))))))),1)</f>
        <v>28.8</v>
      </c>
      <c r="I49" s="210" t="s">
        <v>348</v>
      </c>
      <c r="J49">
        <v>10</v>
      </c>
      <c r="K49" s="210" t="str">
        <f>VLOOKUP(F49,'CFT Specific Data'!$F$4:$G$19,2,FALSE)</f>
        <v>Other legume</v>
      </c>
      <c r="L49" t="str">
        <f t="shared" si="1"/>
        <v>Coarse</v>
      </c>
      <c r="M49">
        <f t="shared" si="2"/>
        <v>5.16</v>
      </c>
      <c r="N49" t="str">
        <f t="shared" si="3"/>
        <v>1.72 &lt; SOM &lt;= 5.16</v>
      </c>
      <c r="O49" t="s">
        <v>349</v>
      </c>
      <c r="P49" t="s">
        <v>350</v>
      </c>
      <c r="Q49">
        <v>7</v>
      </c>
      <c r="R49" t="str">
        <f t="shared" si="5"/>
        <v>5.5 &lt; pH &lt;= 7.3</v>
      </c>
      <c r="S49" t="s">
        <v>351</v>
      </c>
      <c r="T49" s="210">
        <f t="array" ref="T49">_xlfn.SINGLE(INDEX('Focus Data NFertiliser Rate'!$D$4:$P$19,MATCH(F49,'Focus Data NFertiliser Rate'!$C$4:$C$19,0),_xlfn.SINGLE(_xlfn.IFS(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0</v>
      </c>
      <c r="U49">
        <f t="shared" si="4"/>
        <v>0</v>
      </c>
      <c r="V49" s="210">
        <f t="array" ref="V49">_xlfn.SINGLE(INDEX('№ Fertiliser sprayings'!$D$4:$P$19,MATCH(F49,'№ Fertiliser sprayings'!$C$4:$C$19,0),_xlfn.SINGLE(_xlfn.IFS(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0</v>
      </c>
      <c r="W49" s="264">
        <f t="array" ref="W49">_xlfn.SINGLE(INDEX('Focus Data CFT NSpraying'!$D$4:$P$19,MATCH(F49,'Focus Data CFT NSpraying'!$C$4:$C$19,0),_xlfn.SINGLE(_xlfn.IFS(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6.0002999999999993</v>
      </c>
      <c r="X49" t="s">
        <v>363</v>
      </c>
      <c r="Y49">
        <v>0</v>
      </c>
      <c r="Z49">
        <v>100</v>
      </c>
      <c r="AA49" t="s">
        <v>352</v>
      </c>
      <c r="AB49" s="226" t="str">
        <f>IF(B49=B48,_xlfn.IFS(
AND(AA49=Lists!$L$8,AA48=Lists!$L$8),Lists!$N$5,
AND(OR(AA49=Lists!$L$5,AA49=Lists!$L$7,AA49=Lists!$L$9,AA49=Lists!$L$10,AA49=Lists!$L$6),OR(AA48=Lists!$L$5,AA48=Lists!$L$7,AA48=Lists!$L$9,AA48=Lists!$L$10,AA48=Lists!$L$6)),Lists!$N$5,
AND(AA49=Lists!$L$8,OR(AA48=Lists!$L$5,AA48=Lists!$L$7,AA48=Lists!$L$9,AA48=Lists!$L$10,AA48=Lists!$L$6)),Lists!$N$6,
AND(OR(AA49=Lists!$L$5,AA49=Lists!$L$6,AA49=Lists!$L$7,AA49=Lists!$L$9,AA49=Lists!$L$10),AA48=Lists!$L$8),Lists!$N$7),
_xlfn.IFS(
AND(AA49=Lists!$L$8,AA54=Lists!$L$8),Lists!$N$5,
AND(OR(AA49=Lists!$L$5,AA49=Lists!$L$7,AA49=Lists!$L$9,AA49=Lists!$L$10,AA49=Lists!$L$6),OR(AA54=Lists!$L$5,AA54=Lists!$L$7,AA54=Lists!$L$9,AA54=Lists!$L$10,AA54=Lists!$L$6)),Lists!$N$5,
AND(AA49=Lists!$L$8,OR(AA54=Lists!$L$5,AA54=Lists!$L$7,AA54=Lists!$L$9,AA54=Lists!$L$10,AA54=Lists!$L$6)),Lists!$N$6,
AND(OR(AA49=Lists!$L$5,AA49=Lists!$L$7,AA49=Lists!$L$9,AA49=Lists!$L$10),AA54=Lists!$L$8),Lists!$N$7))</f>
        <v>no change</v>
      </c>
      <c r="AC49">
        <v>0</v>
      </c>
      <c r="AD49">
        <v>0</v>
      </c>
      <c r="AE49" s="102">
        <f t="array" ref="AE49">IF(OR(ISNUMBER(SEARCH("heavy",A49))=TRUE, ISNUMBER(SEARCH("medium",A49))=TRUE),
(LEN(_xlfn.SINGLE(
INDEX('Focus Data Tillage by farm'!$D$4:$P$9,MATCH(D49,'Focus Data Tillage by farm'!$C$4:$C$9,0),_xlfn.SINGLE(_xlfn.IFS(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-LEN(SUBSTITUTE(_xlfn.SINGLE(
INDEX('Focus Data Tillage by farm'!$D$4:$P$9,MATCH(D49,'Focus Data Tillage by farm'!$C$4:$C$9,0),_xlfn.SINGLE(_xlfn.IFS(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"disc","")))/LEN("disc"),
(LEN(_xlfn.SINGLE(
INDEX('Focus Data Tillage by farm'!$D$12:$P$17,MATCH(D49,'Focus Data Tillage by farm'!$C$12:$C$17,0),_xlfn.SINGLE(_xlfn.IFS(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-LEN(SUBSTITUTE(_xlfn.SINGLE(
INDEX('Focus Data Tillage by farm'!$D$12:$P$17,MATCH(D49,'Focus Data Tillage by farm'!$C$12:$C$17,0),_xlfn.SINGLE(_xlfn.IFS(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"disc","")))/LEN("disc"))</f>
        <v>2</v>
      </c>
      <c r="AF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"field cultivator","")))/LEN("field cultivator"),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"field cultivator","")))/LEN("field cultivator"))</f>
        <v>0</v>
      </c>
      <c r="AG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"grain drill","")))/LEN("grain drill"),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"grain drill","")))/LEN("grain drill"))</f>
        <v>1</v>
      </c>
      <c r="AH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"minimum tillage","")))/LEN("minimum tillage"),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"minimum tillage","")))/LEN("minimum tillage"))</f>
        <v>0</v>
      </c>
      <c r="AI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"row crop planter","")))/LEN("row crop planter"),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"row crop planter","")))/LEN("row crop planter"))</f>
        <v>0</v>
      </c>
      <c r="AJ49" s="102">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"plough","")))/LEN("plough"),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"plough","")))/LEN("plough"))</f>
        <v>0</v>
      </c>
      <c r="AK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harrow","")))/LEN("roller harrow"),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harrow","")))/LEN("roller harrow"))</f>
        <v>0</v>
      </c>
      <c r="AL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packer","")))/LEN("roller packer"),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"roller packer","")))/LEN("roller packer"))</f>
        <v>2</v>
      </c>
      <c r="AM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"rotary hoe","")))/LEN("rotary hoe"),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"rotary hoe","")))/LEN("rotary hoe"))</f>
        <v>0</v>
      </c>
      <c r="AN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"subsoil","")))/LEN("subsoil"),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"subsoil","")))/LEN("subsoil"))</f>
        <v>0</v>
      </c>
      <c r="AO49">
        <f>IF(OR(ISNUMBER(SEARCH("heavy",A49))=TRUE, ISNUMBER(SEARCH("medium",A49))=TRUE),
(LEN(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farm'!$D$4:$P$9,MATCH(D49,'Focus Data Tillage by farm'!$C$4:$C$9,0),_xlfn.IFS(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"tine harrow","")))/LEN("tine harrow"),
(LEN(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-LEN(SUBSTITUTE(
INDEX('Focus Data Tillage by farm'!$D$12:$P$17,MATCH(D49,'Focus Data Tillage by farm'!$C$12:$C$17,0),_xlfn.IFS(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
"tine harrow","")))/LEN("tine harrow"))</f>
        <v>0</v>
      </c>
      <c r="AP49" s="102">
        <f>INDEX('Focus Data NSpraying'!$D$4:$P$19,MATCH(F49,'Focus Data NSpraying'!$C$4:$C$19,0),_xlfn.IFS(
AND(ISNUMBER(SEARCH("H-Dsty.",A49))=TRUE,ISNUMBER(SEARCH("H-Res",A49))=TRUE,ISNUMBER(SEARCH("E.",A49))=TRUE),1,
AND(ISNUMBER(SEARCH("H-Dsty.",A49))=TRUE,ISNUMBER(SEARCH("H-Res",A49))=TRUE,OR(ISNUMBER(SEARCH("N.he",A49))=TRUE,ISNUMBER(SEARCH("N.me",A49))=TRUE,ISNUMBER(SEARCH("N.li",A49))=TRUE)),2,
AND(ISNUMBER(SEARCH("H-Dsty.",A49))=TRUE,ISNUMBER(SEARCH("H-Res",A49))=TRUE,ISNUMBER(SEARCH("C.",A49))=TRUE),3,
AND(ISNUMBER(SEARCH("L-Dsty.",A49))=TRUE,ISNUMBER(SEARCH("H-Res",A49))=TRUE,ISNUMBER(SEARCH("E.",A49))=TRUE),6,
AND(ISNUMBER(SEARCH("L-Dsty.",A49))=TRUE,ISNUMBER(SEARCH("H-Res",A49))=TRUE,OR(ISNUMBER(SEARCH("N.he",A49))=TRUE,ISNUMBER(SEARCH("N.me",A49))=TRUE,ISNUMBER(SEARCH("N.li",A49))=TRUE)),7,
AND(ISNUMBER(SEARCH("L-Dsty.",A49))=TRUE,ISNUMBER(SEARCH("H-Res",A49))=TRUE,ISNUMBER(SEARCH("C.",A49))=TRUE),8,
AND(ISNUMBER(SEARCH("L-Dsty.",A49))=TRUE,ISNUMBER(SEARCH("L-Res",A49))=TRUE,ISNUMBER(SEARCH("E.",A49))=TRUE),11,
AND(ISNUMBER(SEARCH("L-Dsty.",A49))=TRUE,ISNUMBER(SEARCH("L-Res",A49))=TRUE,OR(ISNUMBER(SEARCH("N.he",A49))=TRUE,ISNUMBER(SEARCH("N.me",A49))=TRUE,ISNUMBER(SEARCH("N.li",A49))=TRUE)),12,
AND(ISNUMBER(SEARCH("L-Dsty.",A49))=TRUE,ISNUMBER(SEARCH("L-Res",A49))=TRUE,ISNUMBER(SEARCH("C.",A49))=TRUE),13))</f>
        <v>3</v>
      </c>
    </row>
    <row r="50" spans="1:42" x14ac:dyDescent="0.2">
      <c r="A50" t="s">
        <v>492</v>
      </c>
      <c r="B50" s="210" t="str">
        <f t="array" ref="B50">INDEX(ECOMOD_input_estimate!$A$2:$A$55, MATCH(CFT_input!$A50, ECOMOD_input_estimate!$B:$B, 0))</f>
        <v>FF_14.2</v>
      </c>
      <c r="C50" s="210">
        <v>2020</v>
      </c>
      <c r="D50" s="395" t="s">
        <v>731</v>
      </c>
      <c r="E50" s="210" t="str">
        <f t="shared" si="0"/>
        <v>N.light.L-Dsty.L-Res</v>
      </c>
      <c r="F50" s="210" t="str">
        <f t="array" ref="F50">_xlfn.SINGLE(IF(OR(ISNUMBER(SEARCH("heavy",A50))=TRUE,ISNUMBER(SEARCH("medium",A50))=TRUE),
INDEX('Focus Data Crop Rotations'!$D$4:$P$9,MATCH(D50,'Focus Data Crop Rotations'!$C$4:$C$9,0),_xlfn.SINGLE(_xlfn.IFS(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INDEX('Focus Data Crop Rotations'!$D$12:$P$17,MATCH(D50,'Focus Data Crop Rotations'!$C$12:$C$17,0),_xlfn.SINGLE(_xlfn.IFS(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winterwheat</v>
      </c>
      <c r="G50">
        <v>7.2</v>
      </c>
      <c r="H50" s="227">
        <f>VLOOKUP(F50,'CFT Specific Data'!$F$4:$H$19,3,FALSE)*G50*
IF(B50=B49,
IF(AND(ISNUMBER(SEARCH("wheat",F50))=TRUE,ISNUMBER(SEARCH("Barley",F49))=TRUE),0.89,
IF(AND(ISNUMBER(SEARCH("wheat",F50))=TRUE,F49="setaside"),0.94,
IF(AND(ISNUMBER(SEARCH("barley",F50))=TRUE,ISNUMBER(SEARCH("wheat",F49))=TRUE),0.89,
IF(AND(F50="winterbarley",F49="setaside"),0.94,
IF(AND(F50="sugarbeet",F49="warepotatoes"),0.95,
IF(AND((OR(ISNUMBER(SEARCH("beans",F50)),ISNUMBER(SEARCH("driedpeas",F50)),ISNUMBER(SEARCH("sugarbeet",F50)))=TRUE),ISNUMBER(SEARCH("osr",F49))=TRUE),0,
IF(AND((OR((ISNUMBER(SEARCH("wheat",F50))),ISNUMBER(SEARCH("linseed",F50)),ISNUMBER(SEARCH("driedpeas",F50)),ISNUMBER(SEARCH("osr",F50)))=TRUE),F49="sugarbeet"),0,
IF(AND((OR((ISNUMBER(SEARCH("osr",F50))),ISNUMBER(SEARCH("linseed",F50)))=TRUE),ISNUMBER(SEARCH("beans",F49))=TRUE),0,
IF(AND(F50="wosr",ISNUMBER(SEARCH("linseed",F49))=TRUE),0,
IF(AND(F50="sugarbeet",F49="warepotatoes"),0,
1)))))))))),
IF(AND(ISNUMBER(SEARCH("wheat",F50))=TRUE,ISNUMBER(SEARCH("Barley",F55))=TRUE),0.89,
IF(AND(ISNUMBER(SEARCH("wheat",F50))=TRUE,F55="setaside"),0.94,
IF(AND(ISNUMBER(SEARCH("barley",F50))=TRUE,ISNUMBER(SEARCH("wheat",F55))=TRUE),0.89,
IF(AND(F50="winterbarley",F55="setaside"),0.94,
IF(AND(F50="sugarbeet",F55="warepotatoes"),0.95,
IF(AND((OR(ISNUMBER(SEARCH("beans",F50)),ISNUMBER(SEARCH("driedpeas",F50)),ISNUMBER(SEARCH("sugarbeet",F50)))=TRUE),ISNUMBER(SEARCH("osr",F55))=TRUE),0,
IF(AND((OR((ISNUMBER(SEARCH("wheat",F50))),ISNUMBER(SEARCH("linseed",F50)),ISNUMBER(SEARCH("driedpeas",F50)),ISNUMBER(SEARCH("osr",F50)))=TRUE),F55="sugarbeet"),0,
IF(AND((OR((ISNUMBER(SEARCH("osr",F50))),ISNUMBER(SEARCH("linseed",F50)))=TRUE),ISNUMBER(SEARCH("beans",F55))=TRUE),0,
IF(AND(F50="wosr",ISNUMBER(SEARCH("linseed",F55))=TRUE),0,
IF(AND(F50="sugarbeet",F55="warepotatoes"),0,
1)))))))))))
*IF(OR(ISNUMBER(SEARCH("wheat",F50)),ISNUMBER(SEARCH("barley",F50)),ISNUMBER(SEARCH("driedpeas",F50)),ISNUMBER(SEARCH("warepotatoes",F50)),ISNUMBER(SEARCH("osr",F50)),ISNUMBER(SEARCH("linseed",F50)),ISNUMBER(SEARCH("sugarbeet",F50))),
IF(COUNTIF(B45:B49,B50)=5,
INDEX('CFT Specific Data'!$G$24:$L$39,MATCH(F50,'CFT Specific Data'!$F$24:$F$39,0),IF(COUNTIF(F45:F49,F50)=5,6,IF(COUNTIF(F46:F49,F50)=4,5,IF(COUNTIF(F47:F49,F50)=3,4,IF(COUNTIF(F48:F49,F50)=2,3,IF(F49=F50,2,1)))))),
IF(COUNTIF(B45:B49,B50)=4,
INDEX('CFT Specific Data'!$G$24:$L$39,MATCH(F50,'CFT Specific Data'!$F$24:$F$39,0),IF(SUM(COUNTIF(F46:F49,F50),COUNTIF(F51,F50))=5,6,IF(COUNTIF(F46:F49,F50)=4,5,IF(COUNTIF(F47:F49,F50)=3,4,IF(COUNTIF(F48:F49,F50)=2,3,IF(F49=F50,2,1)))))),
IF(COUNTIF(B45:B49,B50)=3,
INDEX('CFT Specific Data'!$G$24:$L$39,MATCH(F50,'CFT Specific Data'!$F$24:$F$39,0),IF(SUM(COUNTIF(F47:F49,F50),COUNTIF(F51:F52,F50))=5,6,IF(SUM(COUNTIF(F47:F49,F50),COUNTIF(F52,F50))=4,5,IF(COUNTIF(F47:F49,F50)=3,4,IF(COUNTIF(F48:F49,F50)=2,3,IF(F49=F50,2,1)))))),
IF(COUNTIF(B45:B49,B50)=2,
INDEX('CFT Specific Data'!$G$24:$L$39,MATCH(F50,'CFT Specific Data'!$F$24:$F$39,0),IF(SUM(COUNTIF(F48:F49,F50),COUNTIF(F51:F53,F50))=5,6,IF(SUM(COUNTIF(F48:F49,F50),COUNTIF(F52:F53,F50))=4,5,IF(SUM(COUNTIF(F48:F49,F50),COUNTIF(F53,F50))=3,4,IF(COUNTIF(F48:F49,F50)=2,3,IF(F49=F50,2,1)))))),
IF(COUNTIF(B45:B49,B50)=1,
INDEX('CFT Specific Data'!$G$24:$L$39,MATCH(F50,'CFT Specific Data'!$F$24:$F$39,0),IF(SUM(COUNTIF(F49,F50),COUNTIF(F51:F54,F50))=5,6,IF(SUM(COUNTIF(F49,F50),COUNTIF(F52:F54,F50))=4,5,IF(SUM(COUNTIF(F49,F50),COUNTIF(F53:F54,F50))=3,4,IF(SUM(COUNTIF(F49,F50),COUNTIF(F54,F50))=2,3,IF(F49=F50,2,1)))))),
IF(COUNTIF(B45:B49,B50)=0,
INDEX('CFT Specific Data'!$G$24:$L$39,MATCH(F50,'CFT Specific Data'!$F$24:$F$39,0),IF(COUNTIF(F51:F55,F50)=5,6,IF(COUNTIF(F52:F55,F50)=4,5,IF(COUNTIF(F53:F55,F50)=3,4,IF(COUNTIF(F54:F55,F50)=2,3,IF(F55=F50,2,1)))))))))))),1)</f>
        <v>55.728000000000002</v>
      </c>
      <c r="I50" s="210" t="s">
        <v>348</v>
      </c>
      <c r="J50">
        <v>10</v>
      </c>
      <c r="K50" s="210" t="str">
        <f>VLOOKUP(F50,'CFT Specific Data'!$F$4:$G$19,2,FALSE)</f>
        <v>Winter wheat</v>
      </c>
      <c r="L50" t="str">
        <f t="shared" si="1"/>
        <v>Coarse</v>
      </c>
      <c r="M50">
        <f t="shared" si="2"/>
        <v>5.16</v>
      </c>
      <c r="N50" t="str">
        <f t="shared" si="3"/>
        <v>1.72 &lt; SOM &lt;= 5.16</v>
      </c>
      <c r="O50" t="s">
        <v>349</v>
      </c>
      <c r="P50" t="s">
        <v>350</v>
      </c>
      <c r="Q50">
        <v>7</v>
      </c>
      <c r="R50" t="str">
        <f t="shared" si="5"/>
        <v>5.5 &lt; pH &lt;= 7.3</v>
      </c>
      <c r="S50" t="s">
        <v>351</v>
      </c>
      <c r="T50" s="210">
        <f t="array" ref="T50">_xlfn.SINGLE(INDEX('Focus Data NFertiliser Rate'!$D$4:$P$19,MATCH(F50,'Focus Data NFertiliser Rate'!$C$4:$C$19,0),_xlfn.SINGLE(_xlfn.IFS(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220</v>
      </c>
      <c r="U50" t="str">
        <f t="shared" si="4"/>
        <v>Apply in solution</v>
      </c>
      <c r="V50" s="210">
        <f t="array" ref="V50">_xlfn.SINGLE(INDEX('№ Fertiliser sprayings'!$D$4:$P$19,MATCH(F50,'№ Fertiliser sprayings'!$C$4:$C$19,0),_xlfn.SINGLE(_xlfn.IFS(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3</v>
      </c>
      <c r="W50" s="264">
        <f t="array" ref="W50">_xlfn.SINGLE(INDEX('Focus Data CFT NSpraying'!$D$4:$P$19,MATCH(F50,'Focus Data CFT NSpraying'!$C$4:$C$19,0),_xlfn.SINGLE(_xlfn.IFS(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2.7888000000000002</v>
      </c>
      <c r="X50" t="s">
        <v>363</v>
      </c>
      <c r="Y50">
        <v>0</v>
      </c>
      <c r="Z50">
        <v>100</v>
      </c>
      <c r="AA50" t="s">
        <v>352</v>
      </c>
      <c r="AB50" s="226" t="str">
        <f>IF(B50=B49,_xlfn.IFS(
AND(AA50=Lists!$L$8,AA49=Lists!$L$8),Lists!$N$5,
AND(OR(AA50=Lists!$L$5,AA50=Lists!$L$7,AA50=Lists!$L$9,AA50=Lists!$L$10,AA50=Lists!$L$6),OR(AA49=Lists!$L$5,AA49=Lists!$L$7,AA49=Lists!$L$9,AA49=Lists!$L$10,AA49=Lists!$L$6)),Lists!$N$5,
AND(AA50=Lists!$L$8,OR(AA49=Lists!$L$5,AA49=Lists!$L$7,AA49=Lists!$L$9,AA49=Lists!$L$10,AA49=Lists!$L$6)),Lists!$N$6,
AND(OR(AA50=Lists!$L$5,AA50=Lists!$L$6,AA50=Lists!$L$7,AA50=Lists!$L$9,AA50=Lists!$L$10),AA49=Lists!$L$8),Lists!$N$7),
_xlfn.IFS(
AND(AA50=Lists!$L$8,AA55=Lists!$L$8),Lists!$N$5,
AND(OR(AA50=Lists!$L$5,AA50=Lists!$L$7,AA50=Lists!$L$9,AA50=Lists!$L$10,AA50=Lists!$L$6),OR(AA55=Lists!$L$5,AA55=Lists!$L$7,AA55=Lists!$L$9,AA55=Lists!$L$10,AA55=Lists!$L$6)),Lists!$N$5,
AND(AA50=Lists!$L$8,OR(AA55=Lists!$L$5,AA55=Lists!$L$7,AA55=Lists!$L$9,AA55=Lists!$L$10,AA55=Lists!$L$6)),Lists!$N$6,
AND(OR(AA50=Lists!$L$5,AA50=Lists!$L$7,AA50=Lists!$L$9,AA50=Lists!$L$10),AA55=Lists!$L$8),Lists!$N$7))</f>
        <v>no change</v>
      </c>
      <c r="AC50">
        <v>0</v>
      </c>
      <c r="AD50">
        <v>0</v>
      </c>
      <c r="AE50" s="102">
        <f t="array" ref="AE50">IF(OR(ISNUMBER(SEARCH("heavy",A50))=TRUE, ISNUMBER(SEARCH("medium",A50))=TRUE),
(LEN(_xlfn.SINGLE(
INDEX('Focus Data Tillage by farm'!$D$4:$P$9,MATCH(D50,'Focus Data Tillage by farm'!$C$4:$C$9,0),_xlfn.SINGLE(_xlfn.IFS(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-LEN(SUBSTITUTE(_xlfn.SINGLE(
INDEX('Focus Data Tillage by farm'!$D$4:$P$9,MATCH(D50,'Focus Data Tillage by farm'!$C$4:$C$9,0),_xlfn.SINGLE(_xlfn.IFS(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"disc","")))/LEN("disc"),
(LEN(_xlfn.SINGLE(
INDEX('Focus Data Tillage by farm'!$D$12:$P$17,MATCH(D50,'Focus Data Tillage by farm'!$C$12:$C$17,0),_xlfn.SINGLE(_xlfn.IFS(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-LEN(SUBSTITUTE(_xlfn.SINGLE(
INDEX('Focus Data Tillage by farm'!$D$12:$P$17,MATCH(D50,'Focus Data Tillage by farm'!$C$12:$C$17,0),_xlfn.SINGLE(_xlfn.IFS(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"disc","")))/LEN("disc"))</f>
        <v>1</v>
      </c>
      <c r="AF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"field cultivator","")))/LEN("field cultivator"),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"field cultivator","")))/LEN("field cultivator"))</f>
        <v>0</v>
      </c>
      <c r="AG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"grain drill","")))/LEN("grain drill"),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"grain drill","")))/LEN("grain drill"))</f>
        <v>1</v>
      </c>
      <c r="AH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"minimum tillage","")))/LEN("minimum tillage"),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"minimum tillage","")))/LEN("minimum tillage"))</f>
        <v>0</v>
      </c>
      <c r="AI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"row crop planter","")))/LEN("row crop planter"),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"row crop planter","")))/LEN("row crop planter"))</f>
        <v>0</v>
      </c>
      <c r="AJ50" s="102">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"plough","")))/LEN("plough"),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"plough","")))/LEN("plough"))</f>
        <v>0</v>
      </c>
      <c r="AK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harrow","")))/LEN("roller harrow"),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harrow","")))/LEN("roller harrow"))</f>
        <v>0</v>
      </c>
      <c r="AL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packer","")))/LEN("roller packer"),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"roller packer","")))/LEN("roller packer"))</f>
        <v>2</v>
      </c>
      <c r="AM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"rotary hoe","")))/LEN("rotary hoe"),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"rotary hoe","")))/LEN("rotary hoe"))</f>
        <v>0</v>
      </c>
      <c r="AN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"subsoil","")))/LEN("subsoil"),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"subsoil","")))/LEN("subsoil"))</f>
        <v>0</v>
      </c>
      <c r="AO50">
        <f>IF(OR(ISNUMBER(SEARCH("heavy",A50))=TRUE, ISNUMBER(SEARCH("medium",A50))=TRUE),
(LEN(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farm'!$D$4:$P$9,MATCH(D50,'Focus Data Tillage by farm'!$C$4:$C$9,0),_xlfn.IFS(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"tine harrow","")))/LEN("tine harrow"),
(LEN(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-LEN(SUBSTITUTE(
INDEX('Focus Data Tillage by farm'!$D$12:$P$17,MATCH(D50,'Focus Data Tillage by farm'!$C$12:$C$17,0),_xlfn.IFS(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
"tine harrow","")))/LEN("tine harrow"))</f>
        <v>0</v>
      </c>
      <c r="AP50" s="102">
        <f>INDEX('Focus Data NSpraying'!$D$4:$P$19,MATCH(F50,'Focus Data NSpraying'!$C$4:$C$19,0),_xlfn.IFS(
AND(ISNUMBER(SEARCH("H-Dsty.",A50))=TRUE,ISNUMBER(SEARCH("H-Res",A50))=TRUE,ISNUMBER(SEARCH("E.",A50))=TRUE),1,
AND(ISNUMBER(SEARCH("H-Dsty.",A50))=TRUE,ISNUMBER(SEARCH("H-Res",A50))=TRUE,OR(ISNUMBER(SEARCH("N.he",A50))=TRUE,ISNUMBER(SEARCH("N.me",A50))=TRUE,ISNUMBER(SEARCH("N.li",A50))=TRUE)),2,
AND(ISNUMBER(SEARCH("H-Dsty.",A50))=TRUE,ISNUMBER(SEARCH("H-Res",A50))=TRUE,ISNUMBER(SEARCH("C.",A50))=TRUE),3,
AND(ISNUMBER(SEARCH("L-Dsty.",A50))=TRUE,ISNUMBER(SEARCH("H-Res",A50))=TRUE,ISNUMBER(SEARCH("E.",A50))=TRUE),6,
AND(ISNUMBER(SEARCH("L-Dsty.",A50))=TRUE,ISNUMBER(SEARCH("H-Res",A50))=TRUE,OR(ISNUMBER(SEARCH("N.he",A50))=TRUE,ISNUMBER(SEARCH("N.me",A50))=TRUE,ISNUMBER(SEARCH("N.li",A50))=TRUE)),7,
AND(ISNUMBER(SEARCH("L-Dsty.",A50))=TRUE,ISNUMBER(SEARCH("H-Res",A50))=TRUE,ISNUMBER(SEARCH("C.",A50))=TRUE),8,
AND(ISNUMBER(SEARCH("L-Dsty.",A50))=TRUE,ISNUMBER(SEARCH("L-Res",A50))=TRUE,ISNUMBER(SEARCH("E.",A50))=TRUE),11,
AND(ISNUMBER(SEARCH("L-Dsty.",A50))=TRUE,ISNUMBER(SEARCH("L-Res",A50))=TRUE,OR(ISNUMBER(SEARCH("N.he",A50))=TRUE,ISNUMBER(SEARCH("N.me",A50))=TRUE,ISNUMBER(SEARCH("N.li",A50))=TRUE)),12,
AND(ISNUMBER(SEARCH("L-Dsty.",A50))=TRUE,ISNUMBER(SEARCH("L-Res",A50))=TRUE,ISNUMBER(SEARCH("C.",A50))=TRUE),13))</f>
        <v>3</v>
      </c>
    </row>
    <row r="51" spans="1:42" x14ac:dyDescent="0.2">
      <c r="A51" t="s">
        <v>492</v>
      </c>
      <c r="B51" s="210" t="str">
        <f t="array" ref="B51">INDEX(ECOMOD_input_estimate!$A$2:$A$55, MATCH(CFT_input!$A51, ECOMOD_input_estimate!$B:$B, 0))</f>
        <v>FF_14.2</v>
      </c>
      <c r="C51" s="210">
        <v>2020</v>
      </c>
      <c r="D51" s="395" t="s">
        <v>730</v>
      </c>
      <c r="E51" s="210" t="str">
        <f t="shared" si="0"/>
        <v>N.light.L-Dsty.L-Res</v>
      </c>
      <c r="F51" s="210" t="str">
        <f t="array" ref="F51">_xlfn.SINGLE(IF(OR(ISNUMBER(SEARCH("heavy",A51))=TRUE,ISNUMBER(SEARCH("medium",A51))=TRUE),
INDEX('Focus Data Crop Rotations'!$D$4:$P$9,MATCH(D51,'Focus Data Crop Rotations'!$C$4:$C$9,0),_xlfn.SINGLE(_xlfn.IFS(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INDEX('Focus Data Crop Rotations'!$D$12:$P$17,MATCH(D51,'Focus Data Crop Rotations'!$C$12:$C$17,0),_xlfn.SINGLE(_xlfn.IFS(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winterbarley</v>
      </c>
      <c r="G51">
        <v>7.2</v>
      </c>
      <c r="H51" s="227">
        <f>VLOOKUP(F51,'CFT Specific Data'!$F$4:$H$19,3,FALSE)*G51*
IF(B51=B50,
IF(AND(ISNUMBER(SEARCH("wheat",F51))=TRUE,ISNUMBER(SEARCH("Barley",F50))=TRUE),0.89,
IF(AND(ISNUMBER(SEARCH("wheat",F51))=TRUE,F50="setaside"),0.94,
IF(AND(ISNUMBER(SEARCH("barley",F51))=TRUE,ISNUMBER(SEARCH("wheat",F50))=TRUE),0.89,
IF(AND(F51="winterbarley",F50="setaside"),0.94,
IF(AND(F51="sugarbeet",F50="warepotatoes"),0.95,
IF(AND((OR(ISNUMBER(SEARCH("beans",F51)),ISNUMBER(SEARCH("driedpeas",F51)),ISNUMBER(SEARCH("sugarbeet",F51)))=TRUE),ISNUMBER(SEARCH("osr",F50))=TRUE),0,
IF(AND((OR((ISNUMBER(SEARCH("wheat",F51))),ISNUMBER(SEARCH("linseed",F51)),ISNUMBER(SEARCH("driedpeas",F51)),ISNUMBER(SEARCH("osr",F51)))=TRUE),F50="sugarbeet"),0,
IF(AND((OR((ISNUMBER(SEARCH("osr",F51))),ISNUMBER(SEARCH("linseed",F51)))=TRUE),ISNUMBER(SEARCH("beans",F50))=TRUE),0,
IF(AND(F51="wosr",ISNUMBER(SEARCH("linseed",F50))=TRUE),0,
IF(AND(F51="sugarbeet",F50="warepotatoes"),0,
1)))))))))),
IF(AND(ISNUMBER(SEARCH("wheat",F51))=TRUE,ISNUMBER(SEARCH("Barley",F56))=TRUE),0.89,
IF(AND(ISNUMBER(SEARCH("wheat",F51))=TRUE,F56="setaside"),0.94,
IF(AND(ISNUMBER(SEARCH("barley",F51))=TRUE,ISNUMBER(SEARCH("wheat",F56))=TRUE),0.89,
IF(AND(F51="winterbarley",F56="setaside"),0.94,
IF(AND(F51="sugarbeet",F56="warepotatoes"),0.95,
IF(AND((OR(ISNUMBER(SEARCH("beans",F51)),ISNUMBER(SEARCH("driedpeas",F51)),ISNUMBER(SEARCH("sugarbeet",F51)))=TRUE),ISNUMBER(SEARCH("osr",F56))=TRUE),0,
IF(AND((OR((ISNUMBER(SEARCH("wheat",F51))),ISNUMBER(SEARCH("linseed",F51)),ISNUMBER(SEARCH("driedpeas",F51)),ISNUMBER(SEARCH("osr",F51)))=TRUE),F56="sugarbeet"),0,
IF(AND((OR((ISNUMBER(SEARCH("osr",F51))),ISNUMBER(SEARCH("linseed",F51)))=TRUE),ISNUMBER(SEARCH("beans",F56))=TRUE),0,
IF(AND(F51="wosr",ISNUMBER(SEARCH("linseed",F56))=TRUE),0,
IF(AND(F51="sugarbeet",F56="warepotatoes"),0,
1)))))))))))
*IF(OR(ISNUMBER(SEARCH("wheat",F51)),ISNUMBER(SEARCH("barley",F51)),ISNUMBER(SEARCH("driedpeas",F51)),ISNUMBER(SEARCH("warepotatoes",F51)),ISNUMBER(SEARCH("osr",F51)),ISNUMBER(SEARCH("linseed",F51)),ISNUMBER(SEARCH("sugarbeet",F51))),
IF(COUNTIF(B46:B50,B51)=5,
INDEX('CFT Specific Data'!$G$24:$L$39,MATCH(F51,'CFT Specific Data'!$F$24:$F$39,0),IF(COUNTIF(F46:F50,F51)=5,6,IF(COUNTIF(F47:F50,F51)=4,5,IF(COUNTIF(F48:F50,F51)=3,4,IF(COUNTIF(F49:F50,F51)=2,3,IF(F50=F51,2,1)))))),
IF(COUNTIF(B46:B50,B51)=4,
INDEX('CFT Specific Data'!$G$24:$L$39,MATCH(F51,'CFT Specific Data'!$F$24:$F$39,0),IF(SUM(COUNTIF(F47:F50,F51),COUNTIF(F52,F51))=5,6,IF(COUNTIF(F47:F50,F51)=4,5,IF(COUNTIF(F48:F50,F51)=3,4,IF(COUNTIF(F49:F50,F51)=2,3,IF(F50=F51,2,1)))))),
IF(COUNTIF(B46:B50,B51)=3,
INDEX('CFT Specific Data'!$G$24:$L$39,MATCH(F51,'CFT Specific Data'!$F$24:$F$39,0),IF(SUM(COUNTIF(F48:F50,F51),COUNTIF(F52:F53,F51))=5,6,IF(SUM(COUNTIF(F48:F50,F51),COUNTIF(F53,F51))=4,5,IF(COUNTIF(F48:F50,F51)=3,4,IF(COUNTIF(F49:F50,F51)=2,3,IF(F50=F51,2,1)))))),
IF(COUNTIF(B46:B50,B51)=2,
INDEX('CFT Specific Data'!$G$24:$L$39,MATCH(F51,'CFT Specific Data'!$F$24:$F$39,0),IF(SUM(COUNTIF(F49:F50,F51),COUNTIF(F52:F54,F51))=5,6,IF(SUM(COUNTIF(F49:F50,F51),COUNTIF(F53:F54,F51))=4,5,IF(SUM(COUNTIF(F49:F50,F51),COUNTIF(F54,F51))=3,4,IF(COUNTIF(F49:F50,F51)=2,3,IF(F50=F51,2,1)))))),
IF(COUNTIF(B46:B50,B51)=1,
INDEX('CFT Specific Data'!$G$24:$L$39,MATCH(F51,'CFT Specific Data'!$F$24:$F$39,0),IF(SUM(COUNTIF(F50,F51),COUNTIF(F52:F55,F51))=5,6,IF(SUM(COUNTIF(F50,F51),COUNTIF(F53:F55,F51))=4,5,IF(SUM(COUNTIF(F50,F51),COUNTIF(F54:F55,F51))=3,4,IF(SUM(COUNTIF(F50,F51),COUNTIF(F55,F51))=2,3,IF(F50=F51,2,1)))))),
IF(COUNTIF(B46:B50,B51)=0,
INDEX('CFT Specific Data'!$G$24:$L$39,MATCH(F51,'CFT Specific Data'!$F$24:$F$39,0),IF(COUNTIF(F52:F56,F51)=5,6,IF(COUNTIF(F53:F56,F51)=4,5,IF(COUNTIF(F54:F56,F51)=3,4,IF(COUNTIF(F55:F56,F51)=2,3,IF(F56=F51,2,1)))))))))))),1)</f>
        <v>47.419200000000004</v>
      </c>
      <c r="I51" s="210" t="s">
        <v>348</v>
      </c>
      <c r="J51">
        <v>10</v>
      </c>
      <c r="K51" s="210" t="str">
        <f>VLOOKUP(F51,'CFT Specific Data'!$F$4:$G$19,2,FALSE)</f>
        <v>Barley</v>
      </c>
      <c r="L51" t="str">
        <f t="shared" si="1"/>
        <v>Coarse</v>
      </c>
      <c r="M51">
        <f t="shared" si="2"/>
        <v>5.16</v>
      </c>
      <c r="N51" t="str">
        <f t="shared" si="3"/>
        <v>1.72 &lt; SOM &lt;= 5.16</v>
      </c>
      <c r="O51" t="s">
        <v>349</v>
      </c>
      <c r="P51" t="s">
        <v>350</v>
      </c>
      <c r="Q51">
        <v>7</v>
      </c>
      <c r="R51" t="str">
        <f t="shared" si="5"/>
        <v>5.5 &lt; pH &lt;= 7.3</v>
      </c>
      <c r="S51" t="s">
        <v>351</v>
      </c>
      <c r="T51" s="210">
        <f t="array" ref="T51">_xlfn.SINGLE(INDEX('Focus Data NFertiliser Rate'!$D$4:$P$19,MATCH(F51,'Focus Data NFertiliser Rate'!$C$4:$C$19,0),_xlfn.SINGLE(_xlfn.IFS(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190</v>
      </c>
      <c r="U51" t="str">
        <f t="shared" si="4"/>
        <v>Apply in solution</v>
      </c>
      <c r="V51" s="210">
        <f t="array" ref="V51">_xlfn.SINGLE(INDEX('№ Fertiliser sprayings'!$D$4:$P$19,MATCH(F51,'№ Fertiliser sprayings'!$C$4:$C$19,0),_xlfn.SINGLE(_xlfn.IFS(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3</v>
      </c>
      <c r="W51" s="264">
        <f t="array" ref="W51">_xlfn.SINGLE(INDEX('Focus Data CFT NSpraying'!$D$4:$P$19,MATCH(F51,'Focus Data CFT NSpraying'!$C$4:$C$19,0),_xlfn.SINGLE(_xlfn.IFS(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2.56</v>
      </c>
      <c r="X51" t="s">
        <v>363</v>
      </c>
      <c r="Y51">
        <v>0</v>
      </c>
      <c r="Z51">
        <v>100</v>
      </c>
      <c r="AA51" t="s">
        <v>352</v>
      </c>
      <c r="AB51" s="226" t="str">
        <f>IF(B51=B50,_xlfn.IFS(
AND(AA51=Lists!$L$8,AA50=Lists!$L$8),Lists!$N$5,
AND(OR(AA51=Lists!$L$5,AA51=Lists!$L$7,AA51=Lists!$L$9,AA51=Lists!$L$10,AA51=Lists!$L$6),OR(AA50=Lists!$L$5,AA50=Lists!$L$7,AA50=Lists!$L$9,AA50=Lists!$L$10,AA50=Lists!$L$6)),Lists!$N$5,
AND(AA51=Lists!$L$8,OR(AA50=Lists!$L$5,AA50=Lists!$L$7,AA50=Lists!$L$9,AA50=Lists!$L$10,AA50=Lists!$L$6)),Lists!$N$6,
AND(OR(AA51=Lists!$L$5,AA51=Lists!$L$6,AA51=Lists!$L$7,AA51=Lists!$L$9,AA51=Lists!$L$10),AA50=Lists!$L$8),Lists!$N$7),
_xlfn.IFS(
AND(AA51=Lists!$L$8,AA56=Lists!$L$8),Lists!$N$5,
AND(OR(AA51=Lists!$L$5,AA51=Lists!$L$7,AA51=Lists!$L$9,AA51=Lists!$L$10,AA51=Lists!$L$6),OR(AA56=Lists!$L$5,AA56=Lists!$L$7,AA56=Lists!$L$9,AA56=Lists!$L$10,AA56=Lists!$L$6)),Lists!$N$5,
AND(AA51=Lists!$L$8,OR(AA56=Lists!$L$5,AA56=Lists!$L$7,AA56=Lists!$L$9,AA56=Lists!$L$10,AA56=Lists!$L$6)),Lists!$N$6,
AND(OR(AA51=Lists!$L$5,AA51=Lists!$L$7,AA51=Lists!$L$9,AA51=Lists!$L$10),AA56=Lists!$L$8),Lists!$N$7))</f>
        <v>no change</v>
      </c>
      <c r="AC51">
        <v>0</v>
      </c>
      <c r="AD51">
        <v>0</v>
      </c>
      <c r="AE51" s="102">
        <f t="array" ref="AE51">IF(OR(ISNUMBER(SEARCH("heavy",A51))=TRUE, ISNUMBER(SEARCH("medium",A51))=TRUE),
(LEN(_xlfn.SINGLE(
INDEX('Focus Data Tillage by farm'!$D$4:$P$9,MATCH(D51,'Focus Data Tillage by farm'!$C$4:$C$9,0),_xlfn.SINGLE(_xlfn.IFS(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-LEN(SUBSTITUTE(_xlfn.SINGLE(
INDEX('Focus Data Tillage by farm'!$D$4:$P$9,MATCH(D51,'Focus Data Tillage by farm'!$C$4:$C$9,0),_xlfn.SINGLE(_xlfn.IFS(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"disc","")))/LEN("disc"),
(LEN(_xlfn.SINGLE(
INDEX('Focus Data Tillage by farm'!$D$12:$P$17,MATCH(D51,'Focus Data Tillage by farm'!$C$12:$C$17,0),_xlfn.SINGLE(_xlfn.IFS(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-LEN(SUBSTITUTE(_xlfn.SINGLE(
INDEX('Focus Data Tillage by farm'!$D$12:$P$17,MATCH(D51,'Focus Data Tillage by farm'!$C$12:$C$17,0),_xlfn.SINGLE(_xlfn.IFS(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"disc","")))/LEN("disc"))</f>
        <v>1</v>
      </c>
      <c r="AF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"field cultivator","")))/LEN("field cultivator"),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"field cultivator","")))/LEN("field cultivator"))</f>
        <v>0</v>
      </c>
      <c r="AG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"grain drill","")))/LEN("grain drill"),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"grain drill","")))/LEN("grain drill"))</f>
        <v>1</v>
      </c>
      <c r="AH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"minimum tillage","")))/LEN("minimum tillage"),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"minimum tillage","")))/LEN("minimum tillage"))</f>
        <v>0</v>
      </c>
      <c r="AI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"row crop planter","")))/LEN("row crop planter"),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"row crop planter","")))/LEN("row crop planter"))</f>
        <v>0</v>
      </c>
      <c r="AJ51" s="102">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"plough","")))/LEN("plough"),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"plough","")))/LEN("plough"))</f>
        <v>0</v>
      </c>
      <c r="AK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harrow","")))/LEN("roller harrow"),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harrow","")))/LEN("roller harrow"))</f>
        <v>0</v>
      </c>
      <c r="AL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packer","")))/LEN("roller packer"),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"roller packer","")))/LEN("roller packer"))</f>
        <v>2</v>
      </c>
      <c r="AM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"rotary hoe","")))/LEN("rotary hoe"),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"rotary hoe","")))/LEN("rotary hoe"))</f>
        <v>0</v>
      </c>
      <c r="AN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"subsoil","")))/LEN("subsoil"),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"subsoil","")))/LEN("subsoil"))</f>
        <v>0</v>
      </c>
      <c r="AO51">
        <f>IF(OR(ISNUMBER(SEARCH("heavy",A51))=TRUE, ISNUMBER(SEARCH("medium",A51))=TRUE),
(LEN(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farm'!$D$4:$P$9,MATCH(D51,'Focus Data Tillage by farm'!$C$4:$C$9,0),_xlfn.IFS(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"tine harrow","")))/LEN("tine harrow"),
(LEN(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-LEN(SUBSTITUTE(
INDEX('Focus Data Tillage by farm'!$D$12:$P$17,MATCH(D51,'Focus Data Tillage by farm'!$C$12:$C$17,0),_xlfn.IFS(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
"tine harrow","")))/LEN("tine harrow"))</f>
        <v>0</v>
      </c>
      <c r="AP51" s="102">
        <f>INDEX('Focus Data NSpraying'!$D$4:$P$19,MATCH(F51,'Focus Data NSpraying'!$C$4:$C$19,0),_xlfn.IFS(
AND(ISNUMBER(SEARCH("H-Dsty.",A51))=TRUE,ISNUMBER(SEARCH("H-Res",A51))=TRUE,ISNUMBER(SEARCH("E.",A51))=TRUE),1,
AND(ISNUMBER(SEARCH("H-Dsty.",A51))=TRUE,ISNUMBER(SEARCH("H-Res",A51))=TRUE,OR(ISNUMBER(SEARCH("N.he",A51))=TRUE,ISNUMBER(SEARCH("N.me",A51))=TRUE,ISNUMBER(SEARCH("N.li",A51))=TRUE)),2,
AND(ISNUMBER(SEARCH("H-Dsty.",A51))=TRUE,ISNUMBER(SEARCH("H-Res",A51))=TRUE,ISNUMBER(SEARCH("C.",A51))=TRUE),3,
AND(ISNUMBER(SEARCH("L-Dsty.",A51))=TRUE,ISNUMBER(SEARCH("H-Res",A51))=TRUE,ISNUMBER(SEARCH("E.",A51))=TRUE),6,
AND(ISNUMBER(SEARCH("L-Dsty.",A51))=TRUE,ISNUMBER(SEARCH("H-Res",A51))=TRUE,OR(ISNUMBER(SEARCH("N.he",A51))=TRUE,ISNUMBER(SEARCH("N.me",A51))=TRUE,ISNUMBER(SEARCH("N.li",A51))=TRUE)),7,
AND(ISNUMBER(SEARCH("L-Dsty.",A51))=TRUE,ISNUMBER(SEARCH("H-Res",A51))=TRUE,ISNUMBER(SEARCH("C.",A51))=TRUE),8,
AND(ISNUMBER(SEARCH("L-Dsty.",A51))=TRUE,ISNUMBER(SEARCH("L-Res",A51))=TRUE,ISNUMBER(SEARCH("E.",A51))=TRUE),11,
AND(ISNUMBER(SEARCH("L-Dsty.",A51))=TRUE,ISNUMBER(SEARCH("L-Res",A51))=TRUE,OR(ISNUMBER(SEARCH("N.he",A51))=TRUE,ISNUMBER(SEARCH("N.me",A51))=TRUE,ISNUMBER(SEARCH("N.li",A51))=TRUE)),12,
AND(ISNUMBER(SEARCH("L-Dsty.",A51))=TRUE,ISNUMBER(SEARCH("L-Res",A51))=TRUE,ISNUMBER(SEARCH("C.",A51))=TRUE),13))</f>
        <v>2</v>
      </c>
    </row>
    <row r="52" spans="1:42" x14ac:dyDescent="0.2">
      <c r="A52" t="s">
        <v>492</v>
      </c>
      <c r="B52" s="210" t="str">
        <f t="array" ref="B52">INDEX(ECOMOD_input_estimate!$A$2:$A$55, MATCH(CFT_input!$A52, ECOMOD_input_estimate!$B:$B, 0))</f>
        <v>FF_14.2</v>
      </c>
      <c r="C52" s="210">
        <v>2020</v>
      </c>
      <c r="D52" s="395" t="s">
        <v>1694</v>
      </c>
      <c r="E52" s="210" t="str">
        <f t="shared" si="0"/>
        <v>N.light.L-Dsty.L-Res</v>
      </c>
      <c r="F52" s="210" t="str">
        <f t="array" ref="F52">_xlfn.SINGLE(IF(OR(ISNUMBER(SEARCH("heavy",A52))=TRUE,ISNUMBER(SEARCH("medium",A52))=TRUE),
INDEX('Focus Data Crop Rotations'!$D$4:$P$9,MATCH(D52,'Focus Data Crop Rotations'!$C$4:$C$9,0),_xlfn.SINGLE(_xlfn.IFS(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INDEX('Focus Data Crop Rotations'!$D$12:$P$17,MATCH(D52,'Focus Data Crop Rotations'!$C$12:$C$17,0),_xlfn.SINGLE(_xlfn.IFS(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wosr</v>
      </c>
      <c r="G52">
        <v>7.2</v>
      </c>
      <c r="H52" s="227">
        <f>VLOOKUP(F52,'CFT Specific Data'!$F$4:$H$19,3,FALSE)*G52*
IF(B52=B51,
IF(AND(ISNUMBER(SEARCH("wheat",F52))=TRUE,ISNUMBER(SEARCH("Barley",F51))=TRUE),0.89,
IF(AND(ISNUMBER(SEARCH("wheat",F52))=TRUE,F51="setaside"),0.94,
IF(AND(ISNUMBER(SEARCH("barley",F52))=TRUE,ISNUMBER(SEARCH("wheat",F51))=TRUE),0.89,
IF(AND(F52="winterbarley",F51="setaside"),0.94,
IF(AND(F52="sugarbeet",F51="warepotatoes"),0.95,
IF(AND((OR(ISNUMBER(SEARCH("beans",F52)),ISNUMBER(SEARCH("driedpeas",F52)),ISNUMBER(SEARCH("sugarbeet",F52)))=TRUE),ISNUMBER(SEARCH("osr",F51))=TRUE),0,
IF(AND((OR((ISNUMBER(SEARCH("wheat",F52))),ISNUMBER(SEARCH("linseed",F52)),ISNUMBER(SEARCH("driedpeas",F52)),ISNUMBER(SEARCH("osr",F52)))=TRUE),F51="sugarbeet"),0,
IF(AND((OR((ISNUMBER(SEARCH("osr",F52))),ISNUMBER(SEARCH("linseed",F52)))=TRUE),ISNUMBER(SEARCH("beans",F51))=TRUE),0,
IF(AND(F52="wosr",ISNUMBER(SEARCH("linseed",F51))=TRUE),0,
IF(AND(F52="sugarbeet",F51="warepotatoes"),0,
1)))))))))),
IF(AND(ISNUMBER(SEARCH("wheat",F52))=TRUE,ISNUMBER(SEARCH("Barley",F57))=TRUE),0.89,
IF(AND(ISNUMBER(SEARCH("wheat",F52))=TRUE,F57="setaside"),0.94,
IF(AND(ISNUMBER(SEARCH("barley",F52))=TRUE,ISNUMBER(SEARCH("wheat",F57))=TRUE),0.89,
IF(AND(F52="winterbarley",F57="setaside"),0.94,
IF(AND(F52="sugarbeet",F57="warepotatoes"),0.95,
IF(AND((OR(ISNUMBER(SEARCH("beans",F52)),ISNUMBER(SEARCH("driedpeas",F52)),ISNUMBER(SEARCH("sugarbeet",F52)))=TRUE),ISNUMBER(SEARCH("osr",F57))=TRUE),0,
IF(AND((OR((ISNUMBER(SEARCH("wheat",F52))),ISNUMBER(SEARCH("linseed",F52)),ISNUMBER(SEARCH("driedpeas",F52)),ISNUMBER(SEARCH("osr",F52)))=TRUE),F57="sugarbeet"),0,
IF(AND((OR((ISNUMBER(SEARCH("osr",F52))),ISNUMBER(SEARCH("linseed",F52)))=TRUE),ISNUMBER(SEARCH("beans",F57))=TRUE),0,
IF(AND(F52="wosr",ISNUMBER(SEARCH("linseed",F57))=TRUE),0,
IF(AND(F52="sugarbeet",F57="warepotatoes"),0,
1)))))))))))
*IF(OR(ISNUMBER(SEARCH("wheat",F52)),ISNUMBER(SEARCH("barley",F52)),ISNUMBER(SEARCH("driedpeas",F52)),ISNUMBER(SEARCH("warepotatoes",F52)),ISNUMBER(SEARCH("osr",F52)),ISNUMBER(SEARCH("linseed",F52)),ISNUMBER(SEARCH("sugarbeet",F52))),
IF(COUNTIF(B47:B51,B52)=5,
INDEX('CFT Specific Data'!$G$24:$L$39,MATCH(F52,'CFT Specific Data'!$F$24:$F$39,0),IF(COUNTIF(F47:F51,F52)=5,6,IF(COUNTIF(F48:F51,F52)=4,5,IF(COUNTIF(F49:F51,F52)=3,4,IF(COUNTIF(F50:F51,F52)=2,3,IF(F51=F52,2,1)))))),
IF(COUNTIF(B47:B51,B52)=4,
INDEX('CFT Specific Data'!$G$24:$L$39,MATCH(F52,'CFT Specific Data'!$F$24:$F$39,0),IF(SUM(COUNTIF(F48:F51,F52),COUNTIF(F53,F52))=5,6,IF(COUNTIF(F48:F51,F52)=4,5,IF(COUNTIF(F49:F51,F52)=3,4,IF(COUNTIF(F50:F51,F52)=2,3,IF(F51=F52,2,1)))))),
IF(COUNTIF(B47:B51,B52)=3,
INDEX('CFT Specific Data'!$G$24:$L$39,MATCH(F52,'CFT Specific Data'!$F$24:$F$39,0),IF(SUM(COUNTIF(F49:F51,F52),COUNTIF(F53:F54,F52))=5,6,IF(SUM(COUNTIF(F49:F51,F52),COUNTIF(F54,F52))=4,5,IF(COUNTIF(F49:F51,F52)=3,4,IF(COUNTIF(F50:F51,F52)=2,3,IF(F51=F52,2,1)))))),
IF(COUNTIF(B47:B51,B52)=2,
INDEX('CFT Specific Data'!$G$24:$L$39,MATCH(F52,'CFT Specific Data'!$F$24:$F$39,0),IF(SUM(COUNTIF(F50:F51,F52),COUNTIF(F53:F55,F52))=5,6,IF(SUM(COUNTIF(F50:F51,F52),COUNTIF(F54:F55,F52))=4,5,IF(SUM(COUNTIF(F50:F51,F52),COUNTIF(F55,F52))=3,4,IF(COUNTIF(F50:F51,F52)=2,3,IF(F51=F52,2,1)))))),
IF(COUNTIF(B47:B51,B52)=1,
INDEX('CFT Specific Data'!$G$24:$L$39,MATCH(F52,'CFT Specific Data'!$F$24:$F$39,0),IF(SUM(COUNTIF(F51,F52),COUNTIF(F53:F56,F52))=5,6,IF(SUM(COUNTIF(F51,F52),COUNTIF(F54:F56,F52))=4,5,IF(SUM(COUNTIF(F51,F52),COUNTIF(F55:F56,F52))=3,4,IF(SUM(COUNTIF(F51,F52),COUNTIF(F56,F52))=2,3,IF(F51=F52,2,1)))))),
IF(COUNTIF(B47:B51,B52)=0,
INDEX('CFT Specific Data'!$G$24:$L$39,MATCH(F52,'CFT Specific Data'!$F$24:$F$39,0),IF(COUNTIF(F53:F57,F52)=5,6,IF(COUNTIF(F54:F57,F52)=4,5,IF(COUNTIF(F55:F57,F52)=3,4,IF(COUNTIF(F56:F57,F52)=2,3,IF(F57=F52,2,1)))))))))))),1)</f>
        <v>25.2</v>
      </c>
      <c r="I52" s="210" t="s">
        <v>348</v>
      </c>
      <c r="J52">
        <v>10</v>
      </c>
      <c r="K52" s="210" t="str">
        <f>VLOOKUP(F52,'CFT Specific Data'!$F$4:$G$19,2,FALSE)</f>
        <v>Other</v>
      </c>
      <c r="L52" t="str">
        <f t="shared" si="1"/>
        <v>Coarse</v>
      </c>
      <c r="M52">
        <f t="shared" si="2"/>
        <v>5.16</v>
      </c>
      <c r="N52" t="str">
        <f t="shared" si="3"/>
        <v>1.72 &lt; SOM &lt;= 5.16</v>
      </c>
      <c r="O52" t="s">
        <v>349</v>
      </c>
      <c r="P52" t="s">
        <v>350</v>
      </c>
      <c r="Q52">
        <v>7</v>
      </c>
      <c r="R52" t="str">
        <f t="shared" si="5"/>
        <v>5.5 &lt; pH &lt;= 7.3</v>
      </c>
      <c r="S52" t="s">
        <v>351</v>
      </c>
      <c r="T52" s="210">
        <f t="array" ref="T52">_xlfn.SINGLE(INDEX('Focus Data NFertiliser Rate'!$D$4:$P$19,MATCH(F52,'Focus Data NFertiliser Rate'!$C$4:$C$19,0),_xlfn.SINGLE(_xlfn.IFS(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180</v>
      </c>
      <c r="U52" t="str">
        <f t="shared" si="4"/>
        <v>Apply in solution</v>
      </c>
      <c r="V52" s="210">
        <f t="array" ref="V52">_xlfn.SINGLE(INDEX('№ Fertiliser sprayings'!$D$4:$P$19,MATCH(F52,'№ Fertiliser sprayings'!$C$4:$C$19,0),_xlfn.SINGLE(_xlfn.IFS(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3</v>
      </c>
      <c r="W52" s="264">
        <f t="array" ref="W52">_xlfn.SINGLE(INDEX('Focus Data CFT NSpraying'!$D$4:$P$19,MATCH(F52,'Focus Data CFT NSpraying'!$C$4:$C$19,0),_xlfn.SINGLE(_xlfn.IFS(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1.4</v>
      </c>
      <c r="X52" t="s">
        <v>363</v>
      </c>
      <c r="Y52">
        <v>0</v>
      </c>
      <c r="Z52">
        <v>100</v>
      </c>
      <c r="AA52" t="s">
        <v>352</v>
      </c>
      <c r="AB52" s="226" t="str">
        <f>IF(B52=B51,_xlfn.IFS(
AND(AA52=Lists!$L$8,AA51=Lists!$L$8),Lists!$N$5,
AND(OR(AA52=Lists!$L$5,AA52=Lists!$L$7,AA52=Lists!$L$9,AA52=Lists!$L$10,AA52=Lists!$L$6),OR(AA51=Lists!$L$5,AA51=Lists!$L$7,AA51=Lists!$L$9,AA51=Lists!$L$10,AA51=Lists!$L$6)),Lists!$N$5,
AND(AA52=Lists!$L$8,OR(AA51=Lists!$L$5,AA51=Lists!$L$7,AA51=Lists!$L$9,AA51=Lists!$L$10,AA51=Lists!$L$6)),Lists!$N$6,
AND(OR(AA52=Lists!$L$5,AA52=Lists!$L$6,AA52=Lists!$L$7,AA52=Lists!$L$9,AA52=Lists!$L$10),AA51=Lists!$L$8),Lists!$N$7),
_xlfn.IFS(
AND(AA52=Lists!$L$8,AA57=Lists!$L$8),Lists!$N$5,
AND(OR(AA52=Lists!$L$5,AA52=Lists!$L$7,AA52=Lists!$L$9,AA52=Lists!$L$10,AA52=Lists!$L$6),OR(AA57=Lists!$L$5,AA57=Lists!$L$7,AA57=Lists!$L$9,AA57=Lists!$L$10,AA57=Lists!$L$6)),Lists!$N$5,
AND(AA52=Lists!$L$8,OR(AA57=Lists!$L$5,AA57=Lists!$L$7,AA57=Lists!$L$9,AA57=Lists!$L$10,AA57=Lists!$L$6)),Lists!$N$6,
AND(OR(AA52=Lists!$L$5,AA52=Lists!$L$7,AA52=Lists!$L$9,AA52=Lists!$L$10),AA57=Lists!$L$8),Lists!$N$7))</f>
        <v>no change</v>
      </c>
      <c r="AC52">
        <v>0</v>
      </c>
      <c r="AD52">
        <v>0</v>
      </c>
      <c r="AE52" s="102">
        <f t="array" ref="AE52">IF(OR(ISNUMBER(SEARCH("heavy",A52))=TRUE, ISNUMBER(SEARCH("medium",A52))=TRUE),
(LEN(_xlfn.SINGLE(
INDEX('Focus Data Tillage by farm'!$D$4:$P$9,MATCH(D52,'Focus Data Tillage by farm'!$C$4:$C$9,0),_xlfn.SINGLE(_xlfn.IFS(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-LEN(SUBSTITUTE(_xlfn.SINGLE(
INDEX('Focus Data Tillage by farm'!$D$4:$P$9,MATCH(D52,'Focus Data Tillage by farm'!$C$4:$C$9,0),_xlfn.SINGLE(_xlfn.IFS(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"disc","")))/LEN("disc"),
(LEN(_xlfn.SINGLE(
INDEX('Focus Data Tillage by farm'!$D$12:$P$17,MATCH(D52,'Focus Data Tillage by farm'!$C$12:$C$17,0),_xlfn.SINGLE(_xlfn.IFS(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-LEN(SUBSTITUTE(_xlfn.SINGLE(
INDEX('Focus Data Tillage by farm'!$D$12:$P$17,MATCH(D52,'Focus Data Tillage by farm'!$C$12:$C$17,0),_xlfn.SINGLE(_xlfn.IFS(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"disc","")))/LEN("disc"))</f>
        <v>0</v>
      </c>
      <c r="AF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"field cultivator","")))/LEN("field cultivator"),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"field cultivator","")))/LEN("field cultivator"))</f>
        <v>0</v>
      </c>
      <c r="AG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"grain drill","")))/LEN("grain drill"),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"grain drill","")))/LEN("grain drill"))</f>
        <v>0</v>
      </c>
      <c r="AH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"minimum tillage","")))/LEN("minimum tillage"),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"minimum tillage","")))/LEN("minimum tillage"))</f>
        <v>0</v>
      </c>
      <c r="AI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"row crop planter","")))/LEN("row crop planter"),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"row crop planter","")))/LEN("row crop planter"))</f>
        <v>0</v>
      </c>
      <c r="AJ52" s="10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"plough","")))/LEN("plough"),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"plough","")))/LEN("plough"))</f>
        <v>0</v>
      </c>
      <c r="AK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harrow","")))/LEN("roller harrow"),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harrow","")))/LEN("roller harrow"))</f>
        <v>0</v>
      </c>
      <c r="AL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packer","")))/LEN("roller packer"),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"roller packer","")))/LEN("roller packer"))</f>
        <v>1</v>
      </c>
      <c r="AM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"rotary hoe","")))/LEN("rotary hoe"),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"rotary hoe","")))/LEN("rotary hoe"))</f>
        <v>0</v>
      </c>
      <c r="AN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"subsoil","")))/LEN("subsoil"),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"subsoil","")))/LEN("subsoil"))</f>
        <v>1</v>
      </c>
      <c r="AO52">
        <f>IF(OR(ISNUMBER(SEARCH("heavy",A52))=TRUE, ISNUMBER(SEARCH("medium",A52))=TRUE),
(LEN(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farm'!$D$4:$P$9,MATCH(D52,'Focus Data Tillage by farm'!$C$4:$C$9,0),_xlfn.IFS(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"tine harrow","")))/LEN("tine harrow"),
(LEN(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-LEN(SUBSTITUTE(
INDEX('Focus Data Tillage by farm'!$D$12:$P$17,MATCH(D52,'Focus Data Tillage by farm'!$C$12:$C$17,0),_xlfn.IFS(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
"tine harrow","")))/LEN("tine harrow"))</f>
        <v>0</v>
      </c>
      <c r="AP52" s="102">
        <f>INDEX('Focus Data NSpraying'!$D$4:$P$19,MATCH(F52,'Focus Data NSpraying'!$C$4:$C$19,0),_xlfn.IFS(
AND(ISNUMBER(SEARCH("H-Dsty.",A52))=TRUE,ISNUMBER(SEARCH("H-Res",A52))=TRUE,ISNUMBER(SEARCH("E.",A52))=TRUE),1,
AND(ISNUMBER(SEARCH("H-Dsty.",A52))=TRUE,ISNUMBER(SEARCH("H-Res",A52))=TRUE,OR(ISNUMBER(SEARCH("N.he",A52))=TRUE,ISNUMBER(SEARCH("N.me",A52))=TRUE,ISNUMBER(SEARCH("N.li",A52))=TRUE)),2,
AND(ISNUMBER(SEARCH("H-Dsty.",A52))=TRUE,ISNUMBER(SEARCH("H-Res",A52))=TRUE,ISNUMBER(SEARCH("C.",A52))=TRUE),3,
AND(ISNUMBER(SEARCH("L-Dsty.",A52))=TRUE,ISNUMBER(SEARCH("H-Res",A52))=TRUE,ISNUMBER(SEARCH("E.",A52))=TRUE),6,
AND(ISNUMBER(SEARCH("L-Dsty.",A52))=TRUE,ISNUMBER(SEARCH("H-Res",A52))=TRUE,OR(ISNUMBER(SEARCH("N.he",A52))=TRUE,ISNUMBER(SEARCH("N.me",A52))=TRUE,ISNUMBER(SEARCH("N.li",A52))=TRUE)),7,
AND(ISNUMBER(SEARCH("L-Dsty.",A52))=TRUE,ISNUMBER(SEARCH("H-Res",A52))=TRUE,ISNUMBER(SEARCH("C.",A52))=TRUE),8,
AND(ISNUMBER(SEARCH("L-Dsty.",A52))=TRUE,ISNUMBER(SEARCH("L-Res",A52))=TRUE,ISNUMBER(SEARCH("E.",A52))=TRUE),11,
AND(ISNUMBER(SEARCH("L-Dsty.",A52))=TRUE,ISNUMBER(SEARCH("L-Res",A52))=TRUE,OR(ISNUMBER(SEARCH("N.he",A52))=TRUE,ISNUMBER(SEARCH("N.me",A52))=TRUE,ISNUMBER(SEARCH("N.li",A52))=TRUE)),12,
AND(ISNUMBER(SEARCH("L-Dsty.",A52))=TRUE,ISNUMBER(SEARCH("L-Res",A52))=TRUE,ISNUMBER(SEARCH("C.",A52))=TRUE),13))</f>
        <v>2</v>
      </c>
    </row>
    <row r="53" spans="1:42" x14ac:dyDescent="0.2">
      <c r="A53" t="s">
        <v>492</v>
      </c>
      <c r="B53" s="210" t="str">
        <f t="array" ref="B53">INDEX(ECOMOD_input_estimate!$A$2:$A$55, MATCH(CFT_input!$A53, ECOMOD_input_estimate!$B:$B, 0))</f>
        <v>FF_14.2</v>
      </c>
      <c r="C53" s="210">
        <v>2020</v>
      </c>
      <c r="D53" s="395" t="s">
        <v>1695</v>
      </c>
      <c r="E53" s="210" t="str">
        <f t="shared" si="0"/>
        <v>N.light.L-Dsty.L-Res</v>
      </c>
      <c r="F53" s="210" t="str">
        <f t="array" ref="F53">_xlfn.SINGLE(IF(OR(ISNUMBER(SEARCH("heavy",A53))=TRUE,ISNUMBER(SEARCH("medium",A53))=TRUE),
INDEX('Focus Data Crop Rotations'!$D$4:$P$9,MATCH(D53,'Focus Data Crop Rotations'!$C$4:$C$9,0),_xlfn.SINGLE(_xlfn.IFS(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INDEX('Focus Data Crop Rotations'!$D$12:$P$17,MATCH(D53,'Focus Data Crop Rotations'!$C$12:$C$17,0),_xlfn.SINGLE(_xlfn.IFS(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winterwheat</v>
      </c>
      <c r="G53">
        <v>7.2</v>
      </c>
      <c r="H53" s="227">
        <f>VLOOKUP(F53,'CFT Specific Data'!$F$4:$H$19,3,FALSE)*G53*
IF(B53=B52,
IF(AND(ISNUMBER(SEARCH("wheat",F53))=TRUE,ISNUMBER(SEARCH("Barley",F52))=TRUE),0.89,
IF(AND(ISNUMBER(SEARCH("wheat",F53))=TRUE,F52="setaside"),0.94,
IF(AND(ISNUMBER(SEARCH("barley",F53))=TRUE,ISNUMBER(SEARCH("wheat",F52))=TRUE),0.89,
IF(AND(F53="winterbarley",F52="setaside"),0.94,
IF(AND(F53="sugarbeet",F52="warepotatoes"),0.95,
IF(AND((OR(ISNUMBER(SEARCH("beans",F53)),ISNUMBER(SEARCH("driedpeas",F53)),ISNUMBER(SEARCH("sugarbeet",F53)))=TRUE),ISNUMBER(SEARCH("osr",F52))=TRUE),0,
IF(AND((OR((ISNUMBER(SEARCH("wheat",F53))),ISNUMBER(SEARCH("linseed",F53)),ISNUMBER(SEARCH("driedpeas",F53)),ISNUMBER(SEARCH("osr",F53)))=TRUE),F52="sugarbeet"),0,
IF(AND((OR((ISNUMBER(SEARCH("osr",F53))),ISNUMBER(SEARCH("linseed",F53)))=TRUE),ISNUMBER(SEARCH("beans",F52))=TRUE),0,
IF(AND(F53="wosr",ISNUMBER(SEARCH("linseed",F52))=TRUE),0,
IF(AND(F53="sugarbeet",F52="warepotatoes"),0,
1)))))))))),
IF(AND(ISNUMBER(SEARCH("wheat",F53))=TRUE,ISNUMBER(SEARCH("Barley",F58))=TRUE),0.89,
IF(AND(ISNUMBER(SEARCH("wheat",F53))=TRUE,F58="setaside"),0.94,
IF(AND(ISNUMBER(SEARCH("barley",F53))=TRUE,ISNUMBER(SEARCH("wheat",F58))=TRUE),0.89,
IF(AND(F53="winterbarley",F58="setaside"),0.94,
IF(AND(F53="sugarbeet",F58="warepotatoes"),0.95,
IF(AND((OR(ISNUMBER(SEARCH("beans",F53)),ISNUMBER(SEARCH("driedpeas",F53)),ISNUMBER(SEARCH("sugarbeet",F53)))=TRUE),ISNUMBER(SEARCH("osr",F58))=TRUE),0,
IF(AND((OR((ISNUMBER(SEARCH("wheat",F53))),ISNUMBER(SEARCH("linseed",F53)),ISNUMBER(SEARCH("driedpeas",F53)),ISNUMBER(SEARCH("osr",F53)))=TRUE),F58="sugarbeet"),0,
IF(AND((OR((ISNUMBER(SEARCH("osr",F53))),ISNUMBER(SEARCH("linseed",F53)))=TRUE),ISNUMBER(SEARCH("beans",F58))=TRUE),0,
IF(AND(F53="wosr",ISNUMBER(SEARCH("linseed",F58))=TRUE),0,
IF(AND(F53="sugarbeet",F58="warepotatoes"),0,
1)))))))))))
*IF(OR(ISNUMBER(SEARCH("wheat",F53)),ISNUMBER(SEARCH("barley",F53)),ISNUMBER(SEARCH("driedpeas",F53)),ISNUMBER(SEARCH("warepotatoes",F53)),ISNUMBER(SEARCH("osr",F53)),ISNUMBER(SEARCH("linseed",F53)),ISNUMBER(SEARCH("sugarbeet",F53))),
IF(COUNTIF(B48:B52,B53)=5,
INDEX('CFT Specific Data'!$G$24:$L$39,MATCH(F53,'CFT Specific Data'!$F$24:$F$39,0),IF(COUNTIF(F48:F52,F53)=5,6,IF(COUNTIF(F49:F52,F53)=4,5,IF(COUNTIF(F50:F52,F53)=3,4,IF(COUNTIF(F51:F52,F53)=2,3,IF(F52=F53,2,1)))))),
IF(COUNTIF(B48:B52,B53)=4,
INDEX('CFT Specific Data'!$G$24:$L$39,MATCH(F53,'CFT Specific Data'!$F$24:$F$39,0),IF(SUM(COUNTIF(F49:F52,F53),COUNTIF(F54,F53))=5,6,IF(COUNTIF(F49:F52,F53)=4,5,IF(COUNTIF(F50:F52,F53)=3,4,IF(COUNTIF(F51:F52,F53)=2,3,IF(F52=F53,2,1)))))),
IF(COUNTIF(B48:B52,B53)=3,
INDEX('CFT Specific Data'!$G$24:$L$39,MATCH(F53,'CFT Specific Data'!$F$24:$F$39,0),IF(SUM(COUNTIF(F50:F52,F53),COUNTIF(F54:F55,F53))=5,6,IF(SUM(COUNTIF(F50:F52,F53),COUNTIF(F55,F53))=4,5,IF(COUNTIF(F50:F52,F53)=3,4,IF(COUNTIF(F51:F52,F53)=2,3,IF(F52=F53,2,1)))))),
IF(COUNTIF(B48:B52,B53)=2,
INDEX('CFT Specific Data'!$G$24:$L$39,MATCH(F53,'CFT Specific Data'!$F$24:$F$39,0),IF(SUM(COUNTIF(F51:F52,F53),COUNTIF(F54:F56,F53))=5,6,IF(SUM(COUNTIF(F51:F52,F53),COUNTIF(F55:F56,F53))=4,5,IF(SUM(COUNTIF(F51:F52,F53),COUNTIF(F56,F53))=3,4,IF(COUNTIF(F51:F52,F53)=2,3,IF(F52=F53,2,1)))))),
IF(COUNTIF(B48:B52,B53)=1,
INDEX('CFT Specific Data'!$G$24:$L$39,MATCH(F53,'CFT Specific Data'!$F$24:$F$39,0),IF(SUM(COUNTIF(F52,F53),COUNTIF(F54:F57,F53))=5,6,IF(SUM(COUNTIF(F52,F53),COUNTIF(F55:F57,F53))=4,5,IF(SUM(COUNTIF(F52,F53),COUNTIF(F56:F57,F53))=3,4,IF(SUM(COUNTIF(F52,F53),COUNTIF(F57,F53))=2,3,IF(F52=F53,2,1)))))),
IF(COUNTIF(B48:B52,B53)=0,
INDEX('CFT Specific Data'!$G$24:$L$39,MATCH(F53,'CFT Specific Data'!$F$24:$F$39,0),IF(COUNTIF(F54:F58,F53)=5,6,IF(COUNTIF(F55:F58,F53)=4,5,IF(COUNTIF(F56:F58,F53)=3,4,IF(COUNTIF(F57:F58,F53)=2,3,IF(F58=F53,2,1)))))))))))),1)</f>
        <v>61.92</v>
      </c>
      <c r="I53" s="210" t="s">
        <v>348</v>
      </c>
      <c r="J53">
        <v>10</v>
      </c>
      <c r="K53" s="210" t="str">
        <f>VLOOKUP(F53,'CFT Specific Data'!$F$4:$G$19,2,FALSE)</f>
        <v>Winter wheat</v>
      </c>
      <c r="L53" t="str">
        <f t="shared" si="1"/>
        <v>Coarse</v>
      </c>
      <c r="M53">
        <f t="shared" si="2"/>
        <v>5.16</v>
      </c>
      <c r="N53" t="str">
        <f t="shared" si="3"/>
        <v>1.72 &lt; SOM &lt;= 5.16</v>
      </c>
      <c r="O53" t="s">
        <v>349</v>
      </c>
      <c r="P53" t="s">
        <v>350</v>
      </c>
      <c r="Q53">
        <v>7</v>
      </c>
      <c r="R53" t="str">
        <f t="shared" si="5"/>
        <v>5.5 &lt; pH &lt;= 7.3</v>
      </c>
      <c r="S53" t="s">
        <v>351</v>
      </c>
      <c r="T53" s="210">
        <f t="array" ref="T53">_xlfn.SINGLE(INDEX('Focus Data NFertiliser Rate'!$D$4:$P$19,MATCH(F53,'Focus Data NFertiliser Rate'!$C$4:$C$19,0),_xlfn.SINGLE(_xlfn.IFS(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220</v>
      </c>
      <c r="U53" t="str">
        <f t="shared" si="4"/>
        <v>Apply in solution</v>
      </c>
      <c r="V53" s="210">
        <f t="array" ref="V53">_xlfn.SINGLE(INDEX('№ Fertiliser sprayings'!$D$4:$P$19,MATCH(F53,'№ Fertiliser sprayings'!$C$4:$C$19,0),_xlfn.SINGLE(_xlfn.IFS(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3</v>
      </c>
      <c r="W53" s="264">
        <f t="array" ref="W53">_xlfn.SINGLE(INDEX('Focus Data CFT NSpraying'!$D$4:$P$19,MATCH(F53,'Focus Data CFT NSpraying'!$C$4:$C$19,0),_xlfn.SINGLE(_xlfn.IFS(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2.7888000000000002</v>
      </c>
      <c r="X53" t="s">
        <v>363</v>
      </c>
      <c r="Y53">
        <v>0</v>
      </c>
      <c r="Z53">
        <v>100</v>
      </c>
      <c r="AA53" t="s">
        <v>352</v>
      </c>
      <c r="AB53" s="226" t="str">
        <f>IF(B53=B52,_xlfn.IFS(
AND(AA53=Lists!$L$8,AA52=Lists!$L$8),Lists!$N$5,
AND(OR(AA53=Lists!$L$5,AA53=Lists!$L$7,AA53=Lists!$L$9,AA53=Lists!$L$10,AA53=Lists!$L$6),OR(AA52=Lists!$L$5,AA52=Lists!$L$7,AA52=Lists!$L$9,AA52=Lists!$L$10,AA52=Lists!$L$6)),Lists!$N$5,
AND(AA53=Lists!$L$8,OR(AA52=Lists!$L$5,AA52=Lists!$L$7,AA52=Lists!$L$9,AA52=Lists!$L$10,AA52=Lists!$L$6)),Lists!$N$6,
AND(OR(AA53=Lists!$L$5,AA53=Lists!$L$6,AA53=Lists!$L$7,AA53=Lists!$L$9,AA53=Lists!$L$10),AA52=Lists!$L$8),Lists!$N$7),
_xlfn.IFS(
AND(AA53=Lists!$L$8,AA58=Lists!$L$8),Lists!$N$5,
AND(OR(AA53=Lists!$L$5,AA53=Lists!$L$7,AA53=Lists!$L$9,AA53=Lists!$L$10,AA53=Lists!$L$6),OR(AA58=Lists!$L$5,AA58=Lists!$L$7,AA58=Lists!$L$9,AA58=Lists!$L$10,AA58=Lists!$L$6)),Lists!$N$5,
AND(AA53=Lists!$L$8,OR(AA58=Lists!$L$5,AA58=Lists!$L$7,AA58=Lists!$L$9,AA58=Lists!$L$10,AA58=Lists!$L$6)),Lists!$N$6,
AND(OR(AA53=Lists!$L$5,AA53=Lists!$L$7,AA53=Lists!$L$9,AA53=Lists!$L$10),AA58=Lists!$L$8),Lists!$N$7))</f>
        <v>no change</v>
      </c>
      <c r="AC53">
        <v>0</v>
      </c>
      <c r="AD53">
        <v>0</v>
      </c>
      <c r="AE53" s="102">
        <f t="array" ref="AE53">IF(OR(ISNUMBER(SEARCH("heavy",A53))=TRUE, ISNUMBER(SEARCH("medium",A53))=TRUE),
(LEN(_xlfn.SINGLE(
INDEX('Focus Data Tillage by farm'!$D$4:$P$9,MATCH(D53,'Focus Data Tillage by farm'!$C$4:$C$9,0),_xlfn.SINGLE(_xlfn.IFS(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-LEN(SUBSTITUTE(_xlfn.SINGLE(
INDEX('Focus Data Tillage by farm'!$D$4:$P$9,MATCH(D53,'Focus Data Tillage by farm'!$C$4:$C$9,0),_xlfn.SINGLE(_xlfn.IFS(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"disc","")))/LEN("disc"),
(LEN(_xlfn.SINGLE(
INDEX('Focus Data Tillage by farm'!$D$12:$P$17,MATCH(D53,'Focus Data Tillage by farm'!$C$12:$C$17,0),_xlfn.SINGLE(_xlfn.IFS(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-LEN(SUBSTITUTE(_xlfn.SINGLE(
INDEX('Focus Data Tillage by farm'!$D$12:$P$17,MATCH(D53,'Focus Data Tillage by farm'!$C$12:$C$17,0),_xlfn.SINGLE(_xlfn.IFS(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"disc","")))/LEN("disc"))</f>
        <v>1</v>
      </c>
      <c r="AF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"field cultivator","")))/LEN("field cultivator"),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"field cultivator","")))/LEN("field cultivator"))</f>
        <v>0</v>
      </c>
      <c r="AG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"grain drill","")))/LEN("grain drill"),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"grain drill","")))/LEN("grain drill"))</f>
        <v>1</v>
      </c>
      <c r="AH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"minimum tillage","")))/LEN("minimum tillage"),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"minimum tillage","")))/LEN("minimum tillage"))</f>
        <v>0</v>
      </c>
      <c r="AI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"row crop planter","")))/LEN("row crop planter"),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"row crop planter","")))/LEN("row crop planter"))</f>
        <v>0</v>
      </c>
      <c r="AJ53" s="102">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"plough","")))/LEN("plough"),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"plough","")))/LEN("plough"))</f>
        <v>0</v>
      </c>
      <c r="AK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harrow","")))/LEN("roller harrow"),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harrow","")))/LEN("roller harrow"))</f>
        <v>0</v>
      </c>
      <c r="AL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packer","")))/LEN("roller packer"),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"roller packer","")))/LEN("roller packer"))</f>
        <v>2</v>
      </c>
      <c r="AM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"rotary hoe","")))/LEN("rotary hoe"),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"rotary hoe","")))/LEN("rotary hoe"))</f>
        <v>0</v>
      </c>
      <c r="AN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"subsoil","")))/LEN("subsoil"),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"subsoil","")))/LEN("subsoil"))</f>
        <v>0</v>
      </c>
      <c r="AO53">
        <f>IF(OR(ISNUMBER(SEARCH("heavy",A53))=TRUE, ISNUMBER(SEARCH("medium",A53))=TRUE),
(LEN(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farm'!$D$4:$P$9,MATCH(D53,'Focus Data Tillage by farm'!$C$4:$C$9,0),_xlfn.IFS(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"tine harrow","")))/LEN("tine harrow"),
(LEN(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-LEN(SUBSTITUTE(
INDEX('Focus Data Tillage by farm'!$D$12:$P$17,MATCH(D53,'Focus Data Tillage by farm'!$C$12:$C$17,0),_xlfn.IFS(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
"tine harrow","")))/LEN("tine harrow"))</f>
        <v>0</v>
      </c>
      <c r="AP53" s="102">
        <f>INDEX('Focus Data NSpraying'!$D$4:$P$19,MATCH(F53,'Focus Data NSpraying'!$C$4:$C$19,0),_xlfn.IFS(
AND(ISNUMBER(SEARCH("H-Dsty.",A53))=TRUE,ISNUMBER(SEARCH("H-Res",A53))=TRUE,ISNUMBER(SEARCH("E.",A53))=TRUE),1,
AND(ISNUMBER(SEARCH("H-Dsty.",A53))=TRUE,ISNUMBER(SEARCH("H-Res",A53))=TRUE,OR(ISNUMBER(SEARCH("N.he",A53))=TRUE,ISNUMBER(SEARCH("N.me",A53))=TRUE,ISNUMBER(SEARCH("N.li",A53))=TRUE)),2,
AND(ISNUMBER(SEARCH("H-Dsty.",A53))=TRUE,ISNUMBER(SEARCH("H-Res",A53))=TRUE,ISNUMBER(SEARCH("C.",A53))=TRUE),3,
AND(ISNUMBER(SEARCH("L-Dsty.",A53))=TRUE,ISNUMBER(SEARCH("H-Res",A53))=TRUE,ISNUMBER(SEARCH("E.",A53))=TRUE),6,
AND(ISNUMBER(SEARCH("L-Dsty.",A53))=TRUE,ISNUMBER(SEARCH("H-Res",A53))=TRUE,OR(ISNUMBER(SEARCH("N.he",A53))=TRUE,ISNUMBER(SEARCH("N.me",A53))=TRUE,ISNUMBER(SEARCH("N.li",A53))=TRUE)),7,
AND(ISNUMBER(SEARCH("L-Dsty.",A53))=TRUE,ISNUMBER(SEARCH("H-Res",A53))=TRUE,ISNUMBER(SEARCH("C.",A53))=TRUE),8,
AND(ISNUMBER(SEARCH("L-Dsty.",A53))=TRUE,ISNUMBER(SEARCH("L-Res",A53))=TRUE,ISNUMBER(SEARCH("E.",A53))=TRUE),11,
AND(ISNUMBER(SEARCH("L-Dsty.",A53))=TRUE,ISNUMBER(SEARCH("L-Res",A53))=TRUE,OR(ISNUMBER(SEARCH("N.he",A53))=TRUE,ISNUMBER(SEARCH("N.me",A53))=TRUE,ISNUMBER(SEARCH("N.li",A53))=TRUE)),12,
AND(ISNUMBER(SEARCH("L-Dsty.",A53))=TRUE,ISNUMBER(SEARCH("L-Res",A53))=TRUE,ISNUMBER(SEARCH("C.",A53))=TRUE),13))</f>
        <v>3</v>
      </c>
    </row>
    <row r="54" spans="1:42" x14ac:dyDescent="0.2">
      <c r="A54" t="s">
        <v>492</v>
      </c>
      <c r="B54" s="210" t="str">
        <f t="array" ref="B54">INDEX(ECOMOD_input_estimate!$A$2:$A$55, MATCH(CFT_input!$A54, ECOMOD_input_estimate!$B:$B, 0))</f>
        <v>FF_14.2</v>
      </c>
      <c r="C54" s="210">
        <v>2020</v>
      </c>
      <c r="D54" s="395" t="s">
        <v>1696</v>
      </c>
      <c r="E54" s="210" t="str">
        <f t="shared" si="0"/>
        <v>N.light.L-Dsty.L-Res</v>
      </c>
      <c r="F54" s="210" t="str">
        <f t="array" ref="F54">_xlfn.SINGLE(IF(OR(ISNUMBER(SEARCH("heavy",A54))=TRUE,ISNUMBER(SEARCH("medium",A54))=TRUE),
INDEX('Focus Data Crop Rotations'!$D$4:$P$9,MATCH(D54,'Focus Data Crop Rotations'!$C$4:$C$9,0),_xlfn.SINGLE(_xlfn.IFS(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INDEX('Focus Data Crop Rotations'!$D$12:$P$17,MATCH(D54,'Focus Data Crop Rotations'!$C$12:$C$17,0),_xlfn.SINGLE(_xlfn.IFS(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driedpeas</v>
      </c>
      <c r="G54">
        <v>7.2</v>
      </c>
      <c r="H54" s="227">
        <f>VLOOKUP(F54,'CFT Specific Data'!$F$4:$H$19,3,FALSE)*G54*
IF(B54=B53,
IF(AND(ISNUMBER(SEARCH("wheat",F54))=TRUE,ISNUMBER(SEARCH("Barley",F53))=TRUE),0.89,
IF(AND(ISNUMBER(SEARCH("wheat",F54))=TRUE,F53="setaside"),0.94,
IF(AND(ISNUMBER(SEARCH("barley",F54))=TRUE,ISNUMBER(SEARCH("wheat",F53))=TRUE),0.89,
IF(AND(F54="winterbarley",F53="setaside"),0.94,
IF(AND(F54="sugarbeet",F53="warepotatoes"),0.95,
IF(AND((OR(ISNUMBER(SEARCH("beans",F54)),ISNUMBER(SEARCH("driedpeas",F54)),ISNUMBER(SEARCH("sugarbeet",F54)))=TRUE),ISNUMBER(SEARCH("osr",F53))=TRUE),0,
IF(AND((OR((ISNUMBER(SEARCH("wheat",F54))),ISNUMBER(SEARCH("linseed",F54)),ISNUMBER(SEARCH("driedpeas",F54)),ISNUMBER(SEARCH("osr",F54)))=TRUE),F53="sugarbeet"),0,
IF(AND((OR((ISNUMBER(SEARCH("osr",F54))),ISNUMBER(SEARCH("linseed",F54)))=TRUE),ISNUMBER(SEARCH("beans",F53))=TRUE),0,
IF(AND(F54="wosr",ISNUMBER(SEARCH("linseed",F53))=TRUE),0,
IF(AND(F54="sugarbeet",F53="warepotatoes"),0,
1)))))))))),
IF(AND(ISNUMBER(SEARCH("wheat",F54))=TRUE,ISNUMBER(SEARCH("Barley",F59))=TRUE),0.89,
IF(AND(ISNUMBER(SEARCH("wheat",F54))=TRUE,F59="setaside"),0.94,
IF(AND(ISNUMBER(SEARCH("barley",F54))=TRUE,ISNUMBER(SEARCH("wheat",F59))=TRUE),0.89,
IF(AND(F54="winterbarley",F59="setaside"),0.94,
IF(AND(F54="sugarbeet",F59="warepotatoes"),0.95,
IF(AND((OR(ISNUMBER(SEARCH("beans",F54)),ISNUMBER(SEARCH("driedpeas",F54)),ISNUMBER(SEARCH("sugarbeet",F54)))=TRUE),ISNUMBER(SEARCH("osr",F59))=TRUE),0,
IF(AND((OR((ISNUMBER(SEARCH("wheat",F54))),ISNUMBER(SEARCH("linseed",F54)),ISNUMBER(SEARCH("driedpeas",F54)),ISNUMBER(SEARCH("osr",F54)))=TRUE),F59="sugarbeet"),0,
IF(AND((OR((ISNUMBER(SEARCH("osr",F54))),ISNUMBER(SEARCH("linseed",F54)))=TRUE),ISNUMBER(SEARCH("beans",F59))=TRUE),0,
IF(AND(F54="wosr",ISNUMBER(SEARCH("linseed",F59))=TRUE),0,
IF(AND(F54="sugarbeet",F59="warepotatoes"),0,
1)))))))))))
*IF(OR(ISNUMBER(SEARCH("wheat",F54)),ISNUMBER(SEARCH("barley",F54)),ISNUMBER(SEARCH("driedpeas",F54)),ISNUMBER(SEARCH("warepotatoes",F54)),ISNUMBER(SEARCH("osr",F54)),ISNUMBER(SEARCH("linseed",F54)),ISNUMBER(SEARCH("sugarbeet",F54))),
IF(COUNTIF(B49:B53,B54)=5,
INDEX('CFT Specific Data'!$G$24:$L$39,MATCH(F54,'CFT Specific Data'!$F$24:$F$39,0),IF(COUNTIF(F49:F53,F54)=5,6,IF(COUNTIF(F50:F53,F54)=4,5,IF(COUNTIF(F51:F53,F54)=3,4,IF(COUNTIF(F52:F53,F54)=2,3,IF(F53=F54,2,1)))))),
IF(COUNTIF(B49:B53,B54)=4,
INDEX('CFT Specific Data'!$G$24:$L$39,MATCH(F54,'CFT Specific Data'!$F$24:$F$39,0),IF(SUM(COUNTIF(F50:F53,F54),COUNTIF(F55,F54))=5,6,IF(COUNTIF(F50:F53,F54)=4,5,IF(COUNTIF(F51:F53,F54)=3,4,IF(COUNTIF(F52:F53,F54)=2,3,IF(F53=F54,2,1)))))),
IF(COUNTIF(B49:B53,B54)=3,
INDEX('CFT Specific Data'!$G$24:$L$39,MATCH(F54,'CFT Specific Data'!$F$24:$F$39,0),IF(SUM(COUNTIF(F51:F53,F54),COUNTIF(F55:F56,F54))=5,6,IF(SUM(COUNTIF(F51:F53,F54),COUNTIF(F56,F54))=4,5,IF(COUNTIF(F51:F53,F54)=3,4,IF(COUNTIF(F52:F53,F54)=2,3,IF(F53=F54,2,1)))))),
IF(COUNTIF(B49:B53,B54)=2,
INDEX('CFT Specific Data'!$G$24:$L$39,MATCH(F54,'CFT Specific Data'!$F$24:$F$39,0),IF(SUM(COUNTIF(F52:F53,F54),COUNTIF(F55:F57,F54))=5,6,IF(SUM(COUNTIF(F52:F53,F54),COUNTIF(F56:F57,F54))=4,5,IF(SUM(COUNTIF(F52:F53,F54),COUNTIF(F57,F54))=3,4,IF(COUNTIF(F52:F53,F54)=2,3,IF(F53=F54,2,1)))))),
IF(COUNTIF(B49:B53,B54)=1,
INDEX('CFT Specific Data'!$G$24:$L$39,MATCH(F54,'CFT Specific Data'!$F$24:$F$39,0),IF(SUM(COUNTIF(F53,F54),COUNTIF(F55:F58,F54))=5,6,IF(SUM(COUNTIF(F53,F54),COUNTIF(F56:F58,F54))=4,5,IF(SUM(COUNTIF(F53,F54),COUNTIF(F57:F58,F54))=3,4,IF(SUM(COUNTIF(F53,F54),COUNTIF(F58,F54))=2,3,IF(F53=F54,2,1)))))),
IF(COUNTIF(B49:B53,B54)=0,
INDEX('CFT Specific Data'!$G$24:$L$39,MATCH(F54,'CFT Specific Data'!$F$24:$F$39,0),IF(COUNTIF(F55:F59,F54)=5,6,IF(COUNTIF(F56:F59,F54)=4,5,IF(COUNTIF(F57:F59,F54)=3,4,IF(COUNTIF(F58:F59,F54)=2,3,IF(F59=F54,2,1)))))))))))),1)</f>
        <v>28.8</v>
      </c>
      <c r="I54" s="210" t="s">
        <v>348</v>
      </c>
      <c r="J54">
        <v>10</v>
      </c>
      <c r="K54" s="210" t="str">
        <f>VLOOKUP(F54,'CFT Specific Data'!$F$4:$G$19,2,FALSE)</f>
        <v>Other legume</v>
      </c>
      <c r="L54" t="str">
        <f t="shared" si="1"/>
        <v>Coarse</v>
      </c>
      <c r="M54">
        <f t="shared" si="2"/>
        <v>5.16</v>
      </c>
      <c r="N54" t="str">
        <f t="shared" si="3"/>
        <v>1.72 &lt; SOM &lt;= 5.16</v>
      </c>
      <c r="O54" t="s">
        <v>349</v>
      </c>
      <c r="P54" t="s">
        <v>350</v>
      </c>
      <c r="Q54">
        <v>7</v>
      </c>
      <c r="R54" t="str">
        <f t="shared" si="5"/>
        <v>5.5 &lt; pH &lt;= 7.3</v>
      </c>
      <c r="S54" t="s">
        <v>351</v>
      </c>
      <c r="T54" s="210">
        <f t="array" ref="T54">_xlfn.SINGLE(INDEX('Focus Data NFertiliser Rate'!$D$4:$P$19,MATCH(F54,'Focus Data NFertiliser Rate'!$C$4:$C$19,0),_xlfn.SINGLE(_xlfn.IFS(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0</v>
      </c>
      <c r="U54">
        <f t="shared" si="4"/>
        <v>0</v>
      </c>
      <c r="V54" s="210">
        <f t="array" ref="V54">_xlfn.SINGLE(INDEX('№ Fertiliser sprayings'!$D$4:$P$19,MATCH(F54,'№ Fertiliser sprayings'!$C$4:$C$19,0),_xlfn.SINGLE(_xlfn.IFS(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0</v>
      </c>
      <c r="W54" s="264">
        <f t="array" ref="W54">_xlfn.SINGLE(INDEX('Focus Data CFT NSpraying'!$D$4:$P$19,MATCH(F54,'Focus Data CFT NSpraying'!$C$4:$C$19,0),_xlfn.SINGLE(_xlfn.IFS(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6.6696</v>
      </c>
      <c r="X54" t="s">
        <v>363</v>
      </c>
      <c r="Y54">
        <v>0</v>
      </c>
      <c r="Z54">
        <v>100</v>
      </c>
      <c r="AA54" t="s">
        <v>352</v>
      </c>
      <c r="AB54" s="226" t="str">
        <f>IF(B54=B53,_xlfn.IFS(
AND(AA54=Lists!$L$8,AA53=Lists!$L$8),Lists!$N$5,
AND(OR(AA54=Lists!$L$5,AA54=Lists!$L$7,AA54=Lists!$L$9,AA54=Lists!$L$10,AA54=Lists!$L$6),OR(AA53=Lists!$L$5,AA53=Lists!$L$7,AA53=Lists!$L$9,AA53=Lists!$L$10,AA53=Lists!$L$6)),Lists!$N$5,
AND(AA54=Lists!$L$8,OR(AA53=Lists!$L$5,AA53=Lists!$L$7,AA53=Lists!$L$9,AA53=Lists!$L$10,AA53=Lists!$L$6)),Lists!$N$6,
AND(OR(AA54=Lists!$L$5,AA54=Lists!$L$6,AA54=Lists!$L$7,AA54=Lists!$L$9,AA54=Lists!$L$10),AA53=Lists!$L$8),Lists!$N$7),
_xlfn.IFS(
AND(AA54=Lists!$L$8,AA59=Lists!$L$8),Lists!$N$5,
AND(OR(AA54=Lists!$L$5,AA54=Lists!$L$7,AA54=Lists!$L$9,AA54=Lists!$L$10,AA54=Lists!$L$6),OR(AA59=Lists!$L$5,AA59=Lists!$L$7,AA59=Lists!$L$9,AA59=Lists!$L$10,AA59=Lists!$L$6)),Lists!$N$5,
AND(AA54=Lists!$L$8,OR(AA59=Lists!$L$5,AA59=Lists!$L$7,AA59=Lists!$L$9,AA59=Lists!$L$10,AA59=Lists!$L$6)),Lists!$N$6,
AND(OR(AA54=Lists!$L$5,AA54=Lists!$L$7,AA54=Lists!$L$9,AA54=Lists!$L$10),AA59=Lists!$L$8),Lists!$N$7))</f>
        <v>no change</v>
      </c>
      <c r="AC54">
        <v>0</v>
      </c>
      <c r="AD54">
        <v>0</v>
      </c>
      <c r="AE54" s="102">
        <f t="array" ref="AE54">IF(OR(ISNUMBER(SEARCH("heavy",A54))=TRUE, ISNUMBER(SEARCH("medium",A54))=TRUE),
(LEN(_xlfn.SINGLE(
INDEX('Focus Data Tillage by farm'!$D$4:$P$9,MATCH(D54,'Focus Data Tillage by farm'!$C$4:$C$9,0),_xlfn.SINGLE(_xlfn.IFS(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-LEN(SUBSTITUTE(_xlfn.SINGLE(
INDEX('Focus Data Tillage by farm'!$D$4:$P$9,MATCH(D54,'Focus Data Tillage by farm'!$C$4:$C$9,0),_xlfn.SINGLE(_xlfn.IFS(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"disc","")))/LEN("disc"),
(LEN(_xlfn.SINGLE(
INDEX('Focus Data Tillage by farm'!$D$12:$P$17,MATCH(D54,'Focus Data Tillage by farm'!$C$12:$C$17,0),_xlfn.SINGLE(_xlfn.IFS(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-LEN(SUBSTITUTE(_xlfn.SINGLE(
INDEX('Focus Data Tillage by farm'!$D$12:$P$17,MATCH(D54,'Focus Data Tillage by farm'!$C$12:$C$17,0),_xlfn.SINGLE(_xlfn.IFS(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"disc","")))/LEN("disc"))</f>
        <v>2</v>
      </c>
      <c r="AF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"field cultivator","")))/LEN("field cultivator"),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"field cultivator","")))/LEN("field cultivator"))</f>
        <v>0</v>
      </c>
      <c r="AG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"grain drill","")))/LEN("grain drill"),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"grain drill","")))/LEN("grain drill"))</f>
        <v>1</v>
      </c>
      <c r="AH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"minimum tillage","")))/LEN("minimum tillage"),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"minimum tillage","")))/LEN("minimum tillage"))</f>
        <v>0</v>
      </c>
      <c r="AI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"row crop planter","")))/LEN("row crop planter"),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"row crop planter","")))/LEN("row crop planter"))</f>
        <v>0</v>
      </c>
      <c r="AJ54" s="102">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"plough","")))/LEN("plough"),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"plough","")))/LEN("plough"))</f>
        <v>0</v>
      </c>
      <c r="AK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harrow","")))/LEN("roller harrow"),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harrow","")))/LEN("roller harrow"))</f>
        <v>0</v>
      </c>
      <c r="AL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packer","")))/LEN("roller packer"),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"roller packer","")))/LEN("roller packer"))</f>
        <v>2</v>
      </c>
      <c r="AM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"rotary hoe","")))/LEN("rotary hoe"),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"rotary hoe","")))/LEN("rotary hoe"))</f>
        <v>0</v>
      </c>
      <c r="AN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"subsoil","")))/LEN("subsoil"),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"subsoil","")))/LEN("subsoil"))</f>
        <v>0</v>
      </c>
      <c r="AO54">
        <f>IF(OR(ISNUMBER(SEARCH("heavy",A54))=TRUE, ISNUMBER(SEARCH("medium",A54))=TRUE),
(LEN(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farm'!$D$4:$P$9,MATCH(D54,'Focus Data Tillage by farm'!$C$4:$C$9,0),_xlfn.IFS(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"tine harrow","")))/LEN("tine harrow"),
(LEN(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-LEN(SUBSTITUTE(
INDEX('Focus Data Tillage by farm'!$D$12:$P$17,MATCH(D54,'Focus Data Tillage by farm'!$C$12:$C$17,0),_xlfn.IFS(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
"tine harrow","")))/LEN("tine harrow"))</f>
        <v>0</v>
      </c>
      <c r="AP54" s="102">
        <f>INDEX('Focus Data NSpraying'!$D$4:$P$19,MATCH(F54,'Focus Data NSpraying'!$C$4:$C$19,0),_xlfn.IFS(
AND(ISNUMBER(SEARCH("H-Dsty.",A54))=TRUE,ISNUMBER(SEARCH("H-Res",A54))=TRUE,ISNUMBER(SEARCH("E.",A54))=TRUE),1,
AND(ISNUMBER(SEARCH("H-Dsty.",A54))=TRUE,ISNUMBER(SEARCH("H-Res",A54))=TRUE,OR(ISNUMBER(SEARCH("N.he",A54))=TRUE,ISNUMBER(SEARCH("N.me",A54))=TRUE,ISNUMBER(SEARCH("N.li",A54))=TRUE)),2,
AND(ISNUMBER(SEARCH("H-Dsty.",A54))=TRUE,ISNUMBER(SEARCH("H-Res",A54))=TRUE,ISNUMBER(SEARCH("C.",A54))=TRUE),3,
AND(ISNUMBER(SEARCH("L-Dsty.",A54))=TRUE,ISNUMBER(SEARCH("H-Res",A54))=TRUE,ISNUMBER(SEARCH("E.",A54))=TRUE),6,
AND(ISNUMBER(SEARCH("L-Dsty.",A54))=TRUE,ISNUMBER(SEARCH("H-Res",A54))=TRUE,OR(ISNUMBER(SEARCH("N.he",A54))=TRUE,ISNUMBER(SEARCH("N.me",A54))=TRUE,ISNUMBER(SEARCH("N.li",A54))=TRUE)),7,
AND(ISNUMBER(SEARCH("L-Dsty.",A54))=TRUE,ISNUMBER(SEARCH("H-Res",A54))=TRUE,ISNUMBER(SEARCH("C.",A54))=TRUE),8,
AND(ISNUMBER(SEARCH("L-Dsty.",A54))=TRUE,ISNUMBER(SEARCH("L-Res",A54))=TRUE,ISNUMBER(SEARCH("E.",A54))=TRUE),11,
AND(ISNUMBER(SEARCH("L-Dsty.",A54))=TRUE,ISNUMBER(SEARCH("L-Res",A54))=TRUE,OR(ISNUMBER(SEARCH("N.he",A54))=TRUE,ISNUMBER(SEARCH("N.me",A54))=TRUE,ISNUMBER(SEARCH("N.li",A54))=TRUE)),12,
AND(ISNUMBER(SEARCH("L-Dsty.",A54))=TRUE,ISNUMBER(SEARCH("L-Res",A54))=TRUE,ISNUMBER(SEARCH("C.",A54))=TRUE),13))</f>
        <v>3</v>
      </c>
    </row>
    <row r="55" spans="1:42" x14ac:dyDescent="0.2">
      <c r="A55" t="s">
        <v>492</v>
      </c>
      <c r="B55" s="210" t="str">
        <f t="array" ref="B55">INDEX(ECOMOD_input_estimate!$A$2:$A$55, MATCH(CFT_input!$A55, ECOMOD_input_estimate!$B:$B, 0))</f>
        <v>FF_14.2</v>
      </c>
      <c r="C55" s="210">
        <v>2020</v>
      </c>
      <c r="D55" s="395" t="s">
        <v>735</v>
      </c>
      <c r="E55" s="210" t="str">
        <f t="shared" si="0"/>
        <v>N.light.L-Dsty.L-Res</v>
      </c>
      <c r="F55" s="210" t="str">
        <f t="array" ref="F55">_xlfn.SINGLE(IF(OR(ISNUMBER(SEARCH("heavy",A55))=TRUE,ISNUMBER(SEARCH("medium",A55))=TRUE),
INDEX('Focus Data Crop Rotations'!$D$4:$P$9,MATCH(D55,'Focus Data Crop Rotations'!$C$4:$C$9,0),_xlfn.SINGLE(_xlfn.IFS(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INDEX('Focus Data Crop Rotations'!$D$12:$P$17,MATCH(D55,'Focus Data Crop Rotations'!$C$12:$C$17,0),_xlfn.SINGLE(_xlfn.IFS(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winterwheat</v>
      </c>
      <c r="G55">
        <v>7.2</v>
      </c>
      <c r="H55" s="227">
        <f>VLOOKUP(F55,'CFT Specific Data'!$F$4:$H$19,3,FALSE)*G55*
IF(B55=B54,
IF(AND(ISNUMBER(SEARCH("wheat",F55))=TRUE,ISNUMBER(SEARCH("Barley",F54))=TRUE),0.89,
IF(AND(ISNUMBER(SEARCH("wheat",F55))=TRUE,F54="setaside"),0.94,
IF(AND(ISNUMBER(SEARCH("barley",F55))=TRUE,ISNUMBER(SEARCH("wheat",F54))=TRUE),0.89,
IF(AND(F55="winterbarley",F54="setaside"),0.94,
IF(AND(F55="sugarbeet",F54="warepotatoes"),0.95,
IF(AND((OR(ISNUMBER(SEARCH("beans",F55)),ISNUMBER(SEARCH("driedpeas",F55)),ISNUMBER(SEARCH("sugarbeet",F55)))=TRUE),ISNUMBER(SEARCH("osr",F54))=TRUE),0,
IF(AND((OR((ISNUMBER(SEARCH("wheat",F55))),ISNUMBER(SEARCH("linseed",F55)),ISNUMBER(SEARCH("driedpeas",F55)),ISNUMBER(SEARCH("osr",F55)))=TRUE),F54="sugarbeet"),0,
IF(AND((OR((ISNUMBER(SEARCH("osr",F55))),ISNUMBER(SEARCH("linseed",F55)))=TRUE),ISNUMBER(SEARCH("beans",F54))=TRUE),0,
IF(AND(F55="wosr",ISNUMBER(SEARCH("linseed",F54))=TRUE),0,
IF(AND(F55="sugarbeet",F54="warepotatoes"),0,
1)))))))))),
IF(AND(ISNUMBER(SEARCH("wheat",F55))=TRUE,ISNUMBER(SEARCH("Barley",F60))=TRUE),0.89,
IF(AND(ISNUMBER(SEARCH("wheat",F55))=TRUE,F60="setaside"),0.94,
IF(AND(ISNUMBER(SEARCH("barley",F55))=TRUE,ISNUMBER(SEARCH("wheat",F60))=TRUE),0.89,
IF(AND(F55="winterbarley",F60="setaside"),0.94,
IF(AND(F55="sugarbeet",F60="warepotatoes"),0.95,
IF(AND((OR(ISNUMBER(SEARCH("beans",F55)),ISNUMBER(SEARCH("driedpeas",F55)),ISNUMBER(SEARCH("sugarbeet",F55)))=TRUE),ISNUMBER(SEARCH("osr",F60))=TRUE),0,
IF(AND((OR((ISNUMBER(SEARCH("wheat",F55))),ISNUMBER(SEARCH("linseed",F55)),ISNUMBER(SEARCH("driedpeas",F55)),ISNUMBER(SEARCH("osr",F55)))=TRUE),F60="sugarbeet"),0,
IF(AND((OR((ISNUMBER(SEARCH("osr",F55))),ISNUMBER(SEARCH("linseed",F55)))=TRUE),ISNUMBER(SEARCH("beans",F60))=TRUE),0,
IF(AND(F55="wosr",ISNUMBER(SEARCH("linseed",F60))=TRUE),0,
IF(AND(F55="sugarbeet",F60="warepotatoes"),0,
1)))))))))))
*IF(OR(ISNUMBER(SEARCH("wheat",F55)),ISNUMBER(SEARCH("barley",F55)),ISNUMBER(SEARCH("driedpeas",F55)),ISNUMBER(SEARCH("warepotatoes",F55)),ISNUMBER(SEARCH("osr",F55)),ISNUMBER(SEARCH("linseed",F55)),ISNUMBER(SEARCH("sugarbeet",F55))),
IF(COUNTIF(B50:B54,B55)=5,
INDEX('CFT Specific Data'!$G$24:$L$39,MATCH(F55,'CFT Specific Data'!$F$24:$F$39,0),IF(COUNTIF(F50:F54,F55)=5,6,IF(COUNTIF(F51:F54,F55)=4,5,IF(COUNTIF(F52:F54,F55)=3,4,IF(COUNTIF(F53:F54,F55)=2,3,IF(F54=F55,2,1)))))),
IF(COUNTIF(B50:B54,B55)=4,
INDEX('CFT Specific Data'!$G$24:$L$39,MATCH(F55,'CFT Specific Data'!$F$24:$F$39,0),IF(SUM(COUNTIF(F51:F54,F55),COUNTIF(F56,F55))=5,6,IF(COUNTIF(F51:F54,F55)=4,5,IF(COUNTIF(F52:F54,F55)=3,4,IF(COUNTIF(F53:F54,F55)=2,3,IF(F54=F55,2,1)))))),
IF(COUNTIF(B50:B54,B55)=3,
INDEX('CFT Specific Data'!$G$24:$L$39,MATCH(F55,'CFT Specific Data'!$F$24:$F$39,0),IF(SUM(COUNTIF(F52:F54,F55),COUNTIF(F56:F57,F55))=5,6,IF(SUM(COUNTIF(F52:F54,F55),COUNTIF(F57,F55))=4,5,IF(COUNTIF(F52:F54,F55)=3,4,IF(COUNTIF(F53:F54,F55)=2,3,IF(F54=F55,2,1)))))),
IF(COUNTIF(B50:B54,B55)=2,
INDEX('CFT Specific Data'!$G$24:$L$39,MATCH(F55,'CFT Specific Data'!$F$24:$F$39,0),IF(SUM(COUNTIF(F53:F54,F55),COUNTIF(F56:F58,F55))=5,6,IF(SUM(COUNTIF(F53:F54,F55),COUNTIF(F57:F58,F55))=4,5,IF(SUM(COUNTIF(F53:F54,F55),COUNTIF(F58,F55))=3,4,IF(COUNTIF(F53:F54,F55)=2,3,IF(F54=F55,2,1)))))),
IF(COUNTIF(B50:B54,B55)=1,
INDEX('CFT Specific Data'!$G$24:$L$39,MATCH(F55,'CFT Specific Data'!$F$24:$F$39,0),IF(SUM(COUNTIF(F54,F55),COUNTIF(F56:F59,F55))=5,6,IF(SUM(COUNTIF(F54,F55),COUNTIF(F57:F59,F55))=4,5,IF(SUM(COUNTIF(F54,F55),COUNTIF(F58:F59,F55))=3,4,IF(SUM(COUNTIF(F54,F55),COUNTIF(F59,F55))=2,3,IF(F54=F55,2,1)))))),
IF(COUNTIF(B50:B54,B55)=0,
INDEX('CFT Specific Data'!$G$24:$L$39,MATCH(F55,'CFT Specific Data'!$F$24:$F$39,0),IF(COUNTIF(F56:F60,F55)=5,6,IF(COUNTIF(F57:F60,F55)=4,5,IF(COUNTIF(F58:F60,F55)=3,4,IF(COUNTIF(F59:F60,F55)=2,3,IF(F60=F55,2,1)))))))))))),1)</f>
        <v>61.92</v>
      </c>
      <c r="I55" s="210" t="s">
        <v>348</v>
      </c>
      <c r="J55">
        <v>10</v>
      </c>
      <c r="K55" s="210" t="str">
        <f>VLOOKUP(F55,'CFT Specific Data'!$F$4:$G$19,2,FALSE)</f>
        <v>Winter wheat</v>
      </c>
      <c r="L55" t="str">
        <f t="shared" si="1"/>
        <v>Coarse</v>
      </c>
      <c r="M55">
        <f t="shared" si="2"/>
        <v>5.16</v>
      </c>
      <c r="N55" t="str">
        <f t="shared" si="3"/>
        <v>1.72 &lt; SOM &lt;= 5.16</v>
      </c>
      <c r="O55" t="s">
        <v>349</v>
      </c>
      <c r="P55" t="s">
        <v>350</v>
      </c>
      <c r="Q55">
        <v>7</v>
      </c>
      <c r="R55" t="str">
        <f t="shared" si="5"/>
        <v>5.5 &lt; pH &lt;= 7.3</v>
      </c>
      <c r="S55" t="s">
        <v>351</v>
      </c>
      <c r="T55" s="210">
        <f t="array" ref="T55">_xlfn.SINGLE(INDEX('Focus Data NFertiliser Rate'!$D$4:$P$19,MATCH(F55,'Focus Data NFertiliser Rate'!$C$4:$C$19,0),_xlfn.SINGLE(_xlfn.IFS(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220</v>
      </c>
      <c r="U55" t="str">
        <f t="shared" si="4"/>
        <v>Apply in solution</v>
      </c>
      <c r="V55" s="210">
        <f t="array" ref="V55">_xlfn.SINGLE(INDEX('№ Fertiliser sprayings'!$D$4:$P$19,MATCH(F55,'№ Fertiliser sprayings'!$C$4:$C$19,0),_xlfn.SINGLE(_xlfn.IFS(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3</v>
      </c>
      <c r="W55" s="264">
        <f t="array" ref="W55">_xlfn.SINGLE(INDEX('Focus Data CFT NSpraying'!$D$4:$P$19,MATCH(F55,'Focus Data CFT NSpraying'!$C$4:$C$19,0),_xlfn.SINGLE(_xlfn.IFS(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2.7888000000000002</v>
      </c>
      <c r="X55" t="s">
        <v>363</v>
      </c>
      <c r="Y55">
        <v>0</v>
      </c>
      <c r="Z55">
        <v>100</v>
      </c>
      <c r="AA55" t="s">
        <v>352</v>
      </c>
      <c r="AB55" s="226" t="str">
        <f>IF(B55=B54,_xlfn.IFS(
AND(AA55=Lists!$L$8,AA54=Lists!$L$8),Lists!$N$5,
AND(OR(AA55=Lists!$L$5,AA55=Lists!$L$7,AA55=Lists!$L$9,AA55=Lists!$L$10,AA55=Lists!$L$6),OR(AA54=Lists!$L$5,AA54=Lists!$L$7,AA54=Lists!$L$9,AA54=Lists!$L$10,AA54=Lists!$L$6)),Lists!$N$5,
AND(AA55=Lists!$L$8,OR(AA54=Lists!$L$5,AA54=Lists!$L$7,AA54=Lists!$L$9,AA54=Lists!$L$10,AA54=Lists!$L$6)),Lists!$N$6,
AND(OR(AA55=Lists!$L$5,AA55=Lists!$L$6,AA55=Lists!$L$7,AA55=Lists!$L$9,AA55=Lists!$L$10),AA54=Lists!$L$8),Lists!$N$7),
_xlfn.IFS(
AND(AA55=Lists!$L$8,AA60=Lists!$L$8),Lists!$N$5,
AND(OR(AA55=Lists!$L$5,AA55=Lists!$L$7,AA55=Lists!$L$9,AA55=Lists!$L$10,AA55=Lists!$L$6),OR(AA60=Lists!$L$5,AA60=Lists!$L$7,AA60=Lists!$L$9,AA60=Lists!$L$10,AA60=Lists!$L$6)),Lists!$N$5,
AND(AA55=Lists!$L$8,OR(AA60=Lists!$L$5,AA60=Lists!$L$7,AA60=Lists!$L$9,AA60=Lists!$L$10,AA60=Lists!$L$6)),Lists!$N$6,
AND(OR(AA55=Lists!$L$5,AA55=Lists!$L$7,AA55=Lists!$L$9,AA55=Lists!$L$10),AA60=Lists!$L$8),Lists!$N$7))</f>
        <v>no change</v>
      </c>
      <c r="AC55">
        <v>0</v>
      </c>
      <c r="AD55">
        <v>0</v>
      </c>
      <c r="AE55" s="102">
        <f t="array" ref="AE55">IF(OR(ISNUMBER(SEARCH("heavy",A55))=TRUE, ISNUMBER(SEARCH("medium",A55))=TRUE),
(LEN(_xlfn.SINGLE(
INDEX('Focus Data Tillage by farm'!$D$4:$P$9,MATCH(D55,'Focus Data Tillage by farm'!$C$4:$C$9,0),_xlfn.SINGLE(_xlfn.IFS(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-LEN(SUBSTITUTE(_xlfn.SINGLE(
INDEX('Focus Data Tillage by farm'!$D$4:$P$9,MATCH(D55,'Focus Data Tillage by farm'!$C$4:$C$9,0),_xlfn.SINGLE(_xlfn.IFS(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"disc","")))/LEN("disc"),
(LEN(_xlfn.SINGLE(
INDEX('Focus Data Tillage by farm'!$D$12:$P$17,MATCH(D55,'Focus Data Tillage by farm'!$C$12:$C$17,0),_xlfn.SINGLE(_xlfn.IFS(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-LEN(SUBSTITUTE(_xlfn.SINGLE(
INDEX('Focus Data Tillage by farm'!$D$12:$P$17,MATCH(D55,'Focus Data Tillage by farm'!$C$12:$C$17,0),_xlfn.SINGLE(_xlfn.IFS(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"disc","")))/LEN("disc"))</f>
        <v>1</v>
      </c>
      <c r="AF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"field cultivator","")))/LEN("field cultivator"),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"field cultivator","")))/LEN("field cultivator"))</f>
        <v>0</v>
      </c>
      <c r="AG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"grain drill","")))/LEN("grain drill"),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"grain drill","")))/LEN("grain drill"))</f>
        <v>1</v>
      </c>
      <c r="AH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"minimum tillage","")))/LEN("minimum tillage"),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"minimum tillage","")))/LEN("minimum tillage"))</f>
        <v>0</v>
      </c>
      <c r="AI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"row crop planter","")))/LEN("row crop planter"),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"row crop planter","")))/LEN("row crop planter"))</f>
        <v>0</v>
      </c>
      <c r="AJ55" s="102">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"plough","")))/LEN("plough"),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"plough","")))/LEN("plough"))</f>
        <v>0</v>
      </c>
      <c r="AK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harrow","")))/LEN("roller harrow"),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harrow","")))/LEN("roller harrow"))</f>
        <v>0</v>
      </c>
      <c r="AL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packer","")))/LEN("roller packer"),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"roller packer","")))/LEN("roller packer"))</f>
        <v>2</v>
      </c>
      <c r="AM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"rotary hoe","")))/LEN("rotary hoe"),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"rotary hoe","")))/LEN("rotary hoe"))</f>
        <v>0</v>
      </c>
      <c r="AN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"subsoil","")))/LEN("subsoil"),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"subsoil","")))/LEN("subsoil"))</f>
        <v>0</v>
      </c>
      <c r="AO55">
        <f>IF(OR(ISNUMBER(SEARCH("heavy",A55))=TRUE, ISNUMBER(SEARCH("medium",A55))=TRUE),
(LEN(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farm'!$D$4:$P$9,MATCH(D55,'Focus Data Tillage by farm'!$C$4:$C$9,0),_xlfn.IFS(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"tine harrow","")))/LEN("tine harrow"),
(LEN(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-LEN(SUBSTITUTE(
INDEX('Focus Data Tillage by farm'!$D$12:$P$17,MATCH(D55,'Focus Data Tillage by farm'!$C$12:$C$17,0),_xlfn.IFS(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
"tine harrow","")))/LEN("tine harrow"))</f>
        <v>0</v>
      </c>
      <c r="AP55" s="102">
        <f>INDEX('Focus Data NSpraying'!$D$4:$P$19,MATCH(F55,'Focus Data NSpraying'!$C$4:$C$19,0),_xlfn.IFS(
AND(ISNUMBER(SEARCH("H-Dsty.",A55))=TRUE,ISNUMBER(SEARCH("H-Res",A55))=TRUE,ISNUMBER(SEARCH("E.",A55))=TRUE),1,
AND(ISNUMBER(SEARCH("H-Dsty.",A55))=TRUE,ISNUMBER(SEARCH("H-Res",A55))=TRUE,OR(ISNUMBER(SEARCH("N.he",A55))=TRUE,ISNUMBER(SEARCH("N.me",A55))=TRUE,ISNUMBER(SEARCH("N.li",A55))=TRUE)),2,
AND(ISNUMBER(SEARCH("H-Dsty.",A55))=TRUE,ISNUMBER(SEARCH("H-Res",A55))=TRUE,ISNUMBER(SEARCH("C.",A55))=TRUE),3,
AND(ISNUMBER(SEARCH("L-Dsty.",A55))=TRUE,ISNUMBER(SEARCH("H-Res",A55))=TRUE,ISNUMBER(SEARCH("E.",A55))=TRUE),6,
AND(ISNUMBER(SEARCH("L-Dsty.",A55))=TRUE,ISNUMBER(SEARCH("H-Res",A55))=TRUE,OR(ISNUMBER(SEARCH("N.he",A55))=TRUE,ISNUMBER(SEARCH("N.me",A55))=TRUE,ISNUMBER(SEARCH("N.li",A55))=TRUE)),7,
AND(ISNUMBER(SEARCH("L-Dsty.",A55))=TRUE,ISNUMBER(SEARCH("H-Res",A55))=TRUE,ISNUMBER(SEARCH("C.",A55))=TRUE),8,
AND(ISNUMBER(SEARCH("L-Dsty.",A55))=TRUE,ISNUMBER(SEARCH("L-Res",A55))=TRUE,ISNUMBER(SEARCH("E.",A55))=TRUE),11,
AND(ISNUMBER(SEARCH("L-Dsty.",A55))=TRUE,ISNUMBER(SEARCH("L-Res",A55))=TRUE,OR(ISNUMBER(SEARCH("N.he",A55))=TRUE,ISNUMBER(SEARCH("N.me",A55))=TRUE,ISNUMBER(SEARCH("N.li",A55))=TRUE)),12,
AND(ISNUMBER(SEARCH("L-Dsty.",A55))=TRUE,ISNUMBER(SEARCH("L-Res",A55))=TRUE,ISNUMBER(SEARCH("C.",A55))=TRUE),13))</f>
        <v>3</v>
      </c>
    </row>
    <row r="56" spans="1:42" x14ac:dyDescent="0.2">
      <c r="A56" t="s">
        <v>502</v>
      </c>
      <c r="B56" s="210" t="str">
        <f t="array" ref="B56">INDEX(ECOMOD_input_estimate!$A$2:$A$55, MATCH(CFT_input!$A56, ECOMOD_input_estimate!$B:$B, 0))</f>
        <v>FF_05.2</v>
      </c>
      <c r="C56" s="210">
        <v>2020</v>
      </c>
      <c r="D56" s="395" t="s">
        <v>731</v>
      </c>
      <c r="E56" s="210" t="str">
        <f t="shared" si="0"/>
        <v>E.heavy.H-Dsty.H-Res</v>
      </c>
      <c r="F56" s="210" t="str">
        <f t="array" ref="F56">_xlfn.SINGLE(IF(OR(ISNUMBER(SEARCH("heavy",A56))=TRUE,ISNUMBER(SEARCH("medium",A56))=TRUE),
INDEX('Focus Data Crop Rotations'!$D$4:$P$9,MATCH(D56,'Focus Data Crop Rotations'!$C$4:$C$9,0),_xlfn.SINGLE(_xlfn.IFS(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INDEX('Focus Data Crop Rotations'!$D$12:$P$17,MATCH(D56,'Focus Data Crop Rotations'!$C$12:$C$17,0),_xlfn.SINGLE(_xlfn.IFS(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springlinseed</v>
      </c>
      <c r="G56">
        <v>7.2</v>
      </c>
      <c r="H56" s="227">
        <f>VLOOKUP(F56,'CFT Specific Data'!$F$4:$H$19,3,FALSE)*G56*
IF(B56=B55,
IF(AND(ISNUMBER(SEARCH("wheat",F56))=TRUE,ISNUMBER(SEARCH("Barley",F55))=TRUE),0.89,
IF(AND(ISNUMBER(SEARCH("wheat",F56))=TRUE,F55="setaside"),0.94,
IF(AND(ISNUMBER(SEARCH("barley",F56))=TRUE,ISNUMBER(SEARCH("wheat",F55))=TRUE),0.89,
IF(AND(F56="winterbarley",F55="setaside"),0.94,
IF(AND(F56="sugarbeet",F55="warepotatoes"),0.95,
IF(AND((OR(ISNUMBER(SEARCH("beans",F56)),ISNUMBER(SEARCH("driedpeas",F56)),ISNUMBER(SEARCH("sugarbeet",F56)))=TRUE),ISNUMBER(SEARCH("osr",F55))=TRUE),0,
IF(AND((OR((ISNUMBER(SEARCH("wheat",F56))),ISNUMBER(SEARCH("linseed",F56)),ISNUMBER(SEARCH("driedpeas",F56)),ISNUMBER(SEARCH("osr",F56)))=TRUE),F55="sugarbeet"),0,
IF(AND((OR((ISNUMBER(SEARCH("osr",F56))),ISNUMBER(SEARCH("linseed",F56)))=TRUE),ISNUMBER(SEARCH("beans",F55))=TRUE),0,
IF(AND(F56="wosr",ISNUMBER(SEARCH("linseed",F55))=TRUE),0,
IF(AND(F56="sugarbeet",F55="warepotatoes"),0,
1)))))))))),
IF(AND(ISNUMBER(SEARCH("wheat",F56))=TRUE,ISNUMBER(SEARCH("Barley",F61))=TRUE),0.89,
IF(AND(ISNUMBER(SEARCH("wheat",F56))=TRUE,F61="setaside"),0.94,
IF(AND(ISNUMBER(SEARCH("barley",F56))=TRUE,ISNUMBER(SEARCH("wheat",F61))=TRUE),0.89,
IF(AND(F56="winterbarley",F61="setaside"),0.94,
IF(AND(F56="sugarbeet",F61="warepotatoes"),0.95,
IF(AND((OR(ISNUMBER(SEARCH("beans",F56)),ISNUMBER(SEARCH("driedpeas",F56)),ISNUMBER(SEARCH("sugarbeet",F56)))=TRUE),ISNUMBER(SEARCH("osr",F61))=TRUE),0,
IF(AND((OR((ISNUMBER(SEARCH("wheat",F56))),ISNUMBER(SEARCH("linseed",F56)),ISNUMBER(SEARCH("driedpeas",F56)),ISNUMBER(SEARCH("osr",F56)))=TRUE),F61="sugarbeet"),0,
IF(AND((OR((ISNUMBER(SEARCH("osr",F56))),ISNUMBER(SEARCH("linseed",F56)))=TRUE),ISNUMBER(SEARCH("beans",F61))=TRUE),0,
IF(AND(F56="wosr",ISNUMBER(SEARCH("linseed",F61))=TRUE),0,
IF(AND(F56="sugarbeet",F61="warepotatoes"),0,
1)))))))))))
*IF(OR(ISNUMBER(SEARCH("wheat",F56)),ISNUMBER(SEARCH("barley",F56)),ISNUMBER(SEARCH("driedpeas",F56)),ISNUMBER(SEARCH("warepotatoes",F56)),ISNUMBER(SEARCH("osr",F56)),ISNUMBER(SEARCH("linseed",F56)),ISNUMBER(SEARCH("sugarbeet",F56))),
IF(COUNTIF(B51:B55,B56)=5,
INDEX('CFT Specific Data'!$G$24:$L$39,MATCH(F56,'CFT Specific Data'!$F$24:$F$39,0),IF(COUNTIF(F51:F55,F56)=5,6,IF(COUNTIF(F52:F55,F56)=4,5,IF(COUNTIF(F53:F55,F56)=3,4,IF(COUNTIF(F54:F55,F56)=2,3,IF(F55=F56,2,1)))))),
IF(COUNTIF(B51:B55,B56)=4,
INDEX('CFT Specific Data'!$G$24:$L$39,MATCH(F56,'CFT Specific Data'!$F$24:$F$39,0),IF(SUM(COUNTIF(F52:F55,F56),COUNTIF(F57,F56))=5,6,IF(COUNTIF(F52:F55,F56)=4,5,IF(COUNTIF(F53:F55,F56)=3,4,IF(COUNTIF(F54:F55,F56)=2,3,IF(F55=F56,2,1)))))),
IF(COUNTIF(B51:B55,B56)=3,
INDEX('CFT Specific Data'!$G$24:$L$39,MATCH(F56,'CFT Specific Data'!$F$24:$F$39,0),IF(SUM(COUNTIF(F53:F55,F56),COUNTIF(F57:F58,F56))=5,6,IF(SUM(COUNTIF(F53:F55,F56),COUNTIF(F58,F56))=4,5,IF(COUNTIF(F53:F55,F56)=3,4,IF(COUNTIF(F54:F55,F56)=2,3,IF(F55=F56,2,1)))))),
IF(COUNTIF(B51:B55,B56)=2,
INDEX('CFT Specific Data'!$G$24:$L$39,MATCH(F56,'CFT Specific Data'!$F$24:$F$39,0),IF(SUM(COUNTIF(F54:F55,F56),COUNTIF(F57:F59,F56))=5,6,IF(SUM(COUNTIF(F54:F55,F56),COUNTIF(F58:F59,F56))=4,5,IF(SUM(COUNTIF(F54:F55,F56),COUNTIF(F59,F56))=3,4,IF(COUNTIF(F54:F55,F56)=2,3,IF(F55=F56,2,1)))))),
IF(COUNTIF(B51:B55,B56)=1,
INDEX('CFT Specific Data'!$G$24:$L$39,MATCH(F56,'CFT Specific Data'!$F$24:$F$39,0),IF(SUM(COUNTIF(F55,F56),COUNTIF(F57:F60,F56))=5,6,IF(SUM(COUNTIF(F55,F56),COUNTIF(F58:F60,F56))=4,5,IF(SUM(COUNTIF(F55,F56),COUNTIF(F59:F60,F56))=3,4,IF(SUM(COUNTIF(F55,F56),COUNTIF(F60,F56))=2,3,IF(F55=F56,2,1)))))),
IF(COUNTIF(B51:B55,B56)=0,
INDEX('CFT Specific Data'!$G$24:$L$39,MATCH(F56,'CFT Specific Data'!$F$24:$F$39,0),IF(COUNTIF(F57:F61,F56)=5,6,IF(COUNTIF(F58:F61,F56)=4,5,IF(COUNTIF(F59:F61,F56)=3,4,IF(COUNTIF(F60:F61,F56)=2,3,IF(F61=F56,2,1)))))))))))),1)</f>
        <v>0</v>
      </c>
      <c r="I56" s="210" t="s">
        <v>348</v>
      </c>
      <c r="J56">
        <v>10</v>
      </c>
      <c r="K56" s="210" t="str">
        <f>VLOOKUP(F56,'CFT Specific Data'!$F$4:$G$19,2,FALSE)</f>
        <v>Other</v>
      </c>
      <c r="L56" t="str">
        <f t="shared" si="1"/>
        <v>Fine</v>
      </c>
      <c r="M56">
        <f t="shared" si="2"/>
        <v>5.8479999999999999</v>
      </c>
      <c r="N56" t="str">
        <f t="shared" si="3"/>
        <v>5.16 &lt; SOM &lt;= 10.32</v>
      </c>
      <c r="O56" t="s">
        <v>349</v>
      </c>
      <c r="P56" t="s">
        <v>350</v>
      </c>
      <c r="Q56">
        <v>7</v>
      </c>
      <c r="R56" t="str">
        <f t="shared" si="5"/>
        <v>5.5 &lt; pH &lt;= 7.3</v>
      </c>
      <c r="S56" t="s">
        <v>351</v>
      </c>
      <c r="T56" s="210">
        <f t="array" ref="T56">_xlfn.SINGLE(INDEX('Focus Data NFertiliser Rate'!$D$4:$P$19,MATCH(F56,'Focus Data NFertiliser Rate'!$C$4:$C$19,0),_xlfn.SINGLE(_xlfn.IFS(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80</v>
      </c>
      <c r="U56" t="str">
        <f t="shared" si="4"/>
        <v>Apply in solution</v>
      </c>
      <c r="V56" s="210">
        <f t="array" ref="V56">_xlfn.SINGLE(INDEX('№ Fertiliser sprayings'!$D$4:$P$19,MATCH(F56,'№ Fertiliser sprayings'!$C$4:$C$19,0),_xlfn.SINGLE(_xlfn.IFS(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1</v>
      </c>
      <c r="W56" s="264">
        <f t="array" ref="W56">_xlfn.SINGLE(INDEX('Focus Data CFT NSpraying'!$D$4:$P$19,MATCH(F56,'Focus Data CFT NSpraying'!$C$4:$C$19,0),_xlfn.SINGLE(_xlfn.IFS(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11.246</v>
      </c>
      <c r="X56" t="s">
        <v>363</v>
      </c>
      <c r="Y56">
        <v>0</v>
      </c>
      <c r="Z56">
        <v>100</v>
      </c>
      <c r="AA56" t="s">
        <v>352</v>
      </c>
      <c r="AB56" s="226" t="str">
        <f>IF(B56=B55,_xlfn.IFS(
AND(AA56=Lists!$L$8,AA55=Lists!$L$8),Lists!$N$5,
AND(OR(AA56=Lists!$L$5,AA56=Lists!$L$7,AA56=Lists!$L$9,AA56=Lists!$L$10,AA56=Lists!$L$6),OR(AA55=Lists!$L$5,AA55=Lists!$L$7,AA55=Lists!$L$9,AA55=Lists!$L$10,AA55=Lists!$L$6)),Lists!$N$5,
AND(AA56=Lists!$L$8,OR(AA55=Lists!$L$5,AA55=Lists!$L$7,AA55=Lists!$L$9,AA55=Lists!$L$10,AA55=Lists!$L$6)),Lists!$N$6,
AND(OR(AA56=Lists!$L$5,AA56=Lists!$L$6,AA56=Lists!$L$7,AA56=Lists!$L$9,AA56=Lists!$L$10),AA55=Lists!$L$8),Lists!$N$7),
_xlfn.IFS(
AND(AA56=Lists!$L$8,AA61=Lists!$L$8),Lists!$N$5,
AND(OR(AA56=Lists!$L$5,AA56=Lists!$L$7,AA56=Lists!$L$9,AA56=Lists!$L$10,AA56=Lists!$L$6),OR(AA61=Lists!$L$5,AA61=Lists!$L$7,AA61=Lists!$L$9,AA61=Lists!$L$10,AA61=Lists!$L$6)),Lists!$N$5,
AND(AA56=Lists!$L$8,OR(AA61=Lists!$L$5,AA61=Lists!$L$7,AA61=Lists!$L$9,AA61=Lists!$L$10,AA61=Lists!$L$6)),Lists!$N$6,
AND(OR(AA56=Lists!$L$5,AA56=Lists!$L$7,AA56=Lists!$L$9,AA56=Lists!$L$10),AA61=Lists!$L$8),Lists!$N$7))</f>
        <v>no change</v>
      </c>
      <c r="AC56">
        <v>0</v>
      </c>
      <c r="AD56">
        <v>0</v>
      </c>
      <c r="AE56" s="102">
        <f t="array" ref="AE56">IF(OR(ISNUMBER(SEARCH("heavy",A56))=TRUE, ISNUMBER(SEARCH("medium",A56))=TRUE),
(LEN(_xlfn.SINGLE(
INDEX('Focus Data Tillage by farm'!$D$4:$P$9,MATCH(D56,'Focus Data Tillage by farm'!$C$4:$C$9,0),_xlfn.SINGLE(_xlfn.IFS(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-LEN(SUBSTITUTE(_xlfn.SINGLE(
INDEX('Focus Data Tillage by farm'!$D$4:$P$9,MATCH(D56,'Focus Data Tillage by farm'!$C$4:$C$9,0),_xlfn.SINGLE(_xlfn.IFS(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"disc","")))/LEN("disc"),
(LEN(_xlfn.SINGLE(
INDEX('Focus Data Tillage by farm'!$D$12:$P$17,MATCH(D56,'Focus Data Tillage by farm'!$C$12:$C$17,0),_xlfn.SINGLE(_xlfn.IFS(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-LEN(SUBSTITUTE(_xlfn.SINGLE(
INDEX('Focus Data Tillage by farm'!$D$12:$P$17,MATCH(D56,'Focus Data Tillage by farm'!$C$12:$C$17,0),_xlfn.SINGLE(_xlfn.IFS(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"disc","")))/LEN("disc"))</f>
        <v>3</v>
      </c>
      <c r="AF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"field cultivator","")))/LEN("field cultivator"),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"field cultivator","")))/LEN("field cultivator"))</f>
        <v>0</v>
      </c>
      <c r="AG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"grain drill","")))/LEN("grain drill"),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"grain drill","")))/LEN("grain drill"))</f>
        <v>0</v>
      </c>
      <c r="AH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"minimum tillage","")))/LEN("minimum tillage"),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"minimum tillage","")))/LEN("minimum tillage"))</f>
        <v>1</v>
      </c>
      <c r="AI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"row crop planter","")))/LEN("row crop planter"),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"row crop planter","")))/LEN("row crop planter"))</f>
        <v>0</v>
      </c>
      <c r="AJ56" s="102">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"plough","")))/LEN("plough"),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"plough","")))/LEN("plough"))</f>
        <v>0</v>
      </c>
      <c r="AK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harrow","")))/LEN("roller harrow"),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harrow","")))/LEN("roller harrow"))</f>
        <v>0</v>
      </c>
      <c r="AL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packer","")))/LEN("roller packer"),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"roller packer","")))/LEN("roller packer"))</f>
        <v>2</v>
      </c>
      <c r="AM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"rotary hoe","")))/LEN("rotary hoe"),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"rotary hoe","")))/LEN("rotary hoe"))</f>
        <v>0</v>
      </c>
      <c r="AN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"subsoil","")))/LEN("subsoil"),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"subsoil","")))/LEN("subsoil"))</f>
        <v>0</v>
      </c>
      <c r="AO56">
        <f>IF(OR(ISNUMBER(SEARCH("heavy",A56))=TRUE, ISNUMBER(SEARCH("medium",A56))=TRUE),
(LEN(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farm'!$D$4:$P$9,MATCH(D56,'Focus Data Tillage by farm'!$C$4:$C$9,0),_xlfn.IFS(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"tine harrow","")))/LEN("tine harrow"),
(LEN(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-LEN(SUBSTITUTE(
INDEX('Focus Data Tillage by farm'!$D$12:$P$17,MATCH(D56,'Focus Data Tillage by farm'!$C$12:$C$17,0),_xlfn.IFS(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
"tine harrow","")))/LEN("tine harrow"))</f>
        <v>0</v>
      </c>
      <c r="AP56" s="102">
        <f>INDEX('Focus Data NSpraying'!$D$4:$P$19,MATCH(F56,'Focus Data NSpraying'!$C$4:$C$19,0),_xlfn.IFS(
AND(ISNUMBER(SEARCH("H-Dsty.",A56))=TRUE,ISNUMBER(SEARCH("H-Res",A56))=TRUE,ISNUMBER(SEARCH("E.",A56))=TRUE),1,
AND(ISNUMBER(SEARCH("H-Dsty.",A56))=TRUE,ISNUMBER(SEARCH("H-Res",A56))=TRUE,OR(ISNUMBER(SEARCH("N.he",A56))=TRUE,ISNUMBER(SEARCH("N.me",A56))=TRUE,ISNUMBER(SEARCH("N.li",A56))=TRUE)),2,
AND(ISNUMBER(SEARCH("H-Dsty.",A56))=TRUE,ISNUMBER(SEARCH("H-Res",A56))=TRUE,ISNUMBER(SEARCH("C.",A56))=TRUE),3,
AND(ISNUMBER(SEARCH("L-Dsty.",A56))=TRUE,ISNUMBER(SEARCH("H-Res",A56))=TRUE,ISNUMBER(SEARCH("E.",A56))=TRUE),6,
AND(ISNUMBER(SEARCH("L-Dsty.",A56))=TRUE,ISNUMBER(SEARCH("H-Res",A56))=TRUE,OR(ISNUMBER(SEARCH("N.he",A56))=TRUE,ISNUMBER(SEARCH("N.me",A56))=TRUE,ISNUMBER(SEARCH("N.li",A56))=TRUE)),7,
AND(ISNUMBER(SEARCH("L-Dsty.",A56))=TRUE,ISNUMBER(SEARCH("H-Res",A56))=TRUE,ISNUMBER(SEARCH("C.",A56))=TRUE),8,
AND(ISNUMBER(SEARCH("L-Dsty.",A56))=TRUE,ISNUMBER(SEARCH("L-Res",A56))=TRUE,ISNUMBER(SEARCH("E.",A56))=TRUE),11,
AND(ISNUMBER(SEARCH("L-Dsty.",A56))=TRUE,ISNUMBER(SEARCH("L-Res",A56))=TRUE,OR(ISNUMBER(SEARCH("N.he",A56))=TRUE,ISNUMBER(SEARCH("N.me",A56))=TRUE,ISNUMBER(SEARCH("N.li",A56))=TRUE)),12,
AND(ISNUMBER(SEARCH("L-Dsty.",A56))=TRUE,ISNUMBER(SEARCH("L-Res",A56))=TRUE,ISNUMBER(SEARCH("C.",A56))=TRUE),13))</f>
        <v>5</v>
      </c>
    </row>
    <row r="57" spans="1:42" x14ac:dyDescent="0.2">
      <c r="A57" t="s">
        <v>502</v>
      </c>
      <c r="B57" s="210" t="str">
        <f t="array" ref="B57">INDEX(ECOMOD_input_estimate!$A$2:$A$55, MATCH(CFT_input!$A57, ECOMOD_input_estimate!$B:$B, 0))</f>
        <v>FF_05.2</v>
      </c>
      <c r="C57" s="210">
        <v>2020</v>
      </c>
      <c r="D57" s="395" t="s">
        <v>730</v>
      </c>
      <c r="E57" s="210" t="str">
        <f t="shared" si="0"/>
        <v>E.heavy.H-Dsty.H-Res</v>
      </c>
      <c r="F57" s="210" t="str">
        <f t="array" ref="F57">_xlfn.SINGLE(IF(OR(ISNUMBER(SEARCH("heavy",A57))=TRUE,ISNUMBER(SEARCH("medium",A57))=TRUE),
INDEX('Focus Data Crop Rotations'!$D$4:$P$9,MATCH(D57,'Focus Data Crop Rotations'!$C$4:$C$9,0),_xlfn.SINGLE(_xlfn.IFS(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INDEX('Focus Data Crop Rotations'!$D$12:$P$17,MATCH(D57,'Focus Data Crop Rotations'!$C$12:$C$17,0),_xlfn.SINGLE(_xlfn.IFS(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springbeans</v>
      </c>
      <c r="G57">
        <v>7.2</v>
      </c>
      <c r="H57" s="227">
        <f>VLOOKUP(F57,'CFT Specific Data'!$F$4:$H$19,3,FALSE)*G57*
IF(B57=B56,
IF(AND(ISNUMBER(SEARCH("wheat",F57))=TRUE,ISNUMBER(SEARCH("Barley",F56))=TRUE),0.89,
IF(AND(ISNUMBER(SEARCH("wheat",F57))=TRUE,F56="setaside"),0.94,
IF(AND(ISNUMBER(SEARCH("barley",F57))=TRUE,ISNUMBER(SEARCH("wheat",F56))=TRUE),0.89,
IF(AND(F57="winterbarley",F56="setaside"),0.94,
IF(AND(F57="sugarbeet",F56="warepotatoes"),0.95,
IF(AND((OR(ISNUMBER(SEARCH("beans",F57)),ISNUMBER(SEARCH("driedpeas",F57)),ISNUMBER(SEARCH("sugarbeet",F57)))=TRUE),ISNUMBER(SEARCH("osr",F56))=TRUE),0,
IF(AND((OR((ISNUMBER(SEARCH("wheat",F57))),ISNUMBER(SEARCH("linseed",F57)),ISNUMBER(SEARCH("driedpeas",F57)),ISNUMBER(SEARCH("osr",F57)))=TRUE),F56="sugarbeet"),0,
IF(AND((OR((ISNUMBER(SEARCH("osr",F57))),ISNUMBER(SEARCH("linseed",F57)))=TRUE),ISNUMBER(SEARCH("beans",F56))=TRUE),0,
IF(AND(F57="wosr",ISNUMBER(SEARCH("linseed",F56))=TRUE),0,
IF(AND(F57="sugarbeet",F56="warepotatoes"),0,
1)))))))))),
IF(AND(ISNUMBER(SEARCH("wheat",F57))=TRUE,ISNUMBER(SEARCH("Barley",F62))=TRUE),0.89,
IF(AND(ISNUMBER(SEARCH("wheat",F57))=TRUE,F62="setaside"),0.94,
IF(AND(ISNUMBER(SEARCH("barley",F57))=TRUE,ISNUMBER(SEARCH("wheat",F62))=TRUE),0.89,
IF(AND(F57="winterbarley",F62="setaside"),0.94,
IF(AND(F57="sugarbeet",F62="warepotatoes"),0.95,
IF(AND((OR(ISNUMBER(SEARCH("beans",F57)),ISNUMBER(SEARCH("driedpeas",F57)),ISNUMBER(SEARCH("sugarbeet",F57)))=TRUE),ISNUMBER(SEARCH("osr",F62))=TRUE),0,
IF(AND((OR((ISNUMBER(SEARCH("wheat",F57))),ISNUMBER(SEARCH("linseed",F57)),ISNUMBER(SEARCH("driedpeas",F57)),ISNUMBER(SEARCH("osr",F57)))=TRUE),F62="sugarbeet"),0,
IF(AND((OR((ISNUMBER(SEARCH("osr",F57))),ISNUMBER(SEARCH("linseed",F57)))=TRUE),ISNUMBER(SEARCH("beans",F62))=TRUE),0,
IF(AND(F57="wosr",ISNUMBER(SEARCH("linseed",F62))=TRUE),0,
IF(AND(F57="sugarbeet",F62="warepotatoes"),0,
1)))))))))))
*IF(OR(ISNUMBER(SEARCH("wheat",F57)),ISNUMBER(SEARCH("barley",F57)),ISNUMBER(SEARCH("driedpeas",F57)),ISNUMBER(SEARCH("warepotatoes",F57)),ISNUMBER(SEARCH("osr",F57)),ISNUMBER(SEARCH("linseed",F57)),ISNUMBER(SEARCH("sugarbeet",F57))),
IF(COUNTIF(B52:B56,B57)=5,
INDEX('CFT Specific Data'!$G$24:$L$39,MATCH(F57,'CFT Specific Data'!$F$24:$F$39,0),IF(COUNTIF(F52:F56,F57)=5,6,IF(COUNTIF(F53:F56,F57)=4,5,IF(COUNTIF(F54:F56,F57)=3,4,IF(COUNTIF(F55:F56,F57)=2,3,IF(F56=F57,2,1)))))),
IF(COUNTIF(B52:B56,B57)=4,
INDEX('CFT Specific Data'!$G$24:$L$39,MATCH(F57,'CFT Specific Data'!$F$24:$F$39,0),IF(SUM(COUNTIF(F53:F56,F57),COUNTIF(F58,F57))=5,6,IF(COUNTIF(F53:F56,F57)=4,5,IF(COUNTIF(F54:F56,F57)=3,4,IF(COUNTIF(F55:F56,F57)=2,3,IF(F56=F57,2,1)))))),
IF(COUNTIF(B52:B56,B57)=3,
INDEX('CFT Specific Data'!$G$24:$L$39,MATCH(F57,'CFT Specific Data'!$F$24:$F$39,0),IF(SUM(COUNTIF(F54:F56,F57),COUNTIF(F58:F59,F57))=5,6,IF(SUM(COUNTIF(F54:F56,F57),COUNTIF(F59,F57))=4,5,IF(COUNTIF(F54:F56,F57)=3,4,IF(COUNTIF(F55:F56,F57)=2,3,IF(F56=F57,2,1)))))),
IF(COUNTIF(B52:B56,B57)=2,
INDEX('CFT Specific Data'!$G$24:$L$39,MATCH(F57,'CFT Specific Data'!$F$24:$F$39,0),IF(SUM(COUNTIF(F55:F56,F57),COUNTIF(F58:F60,F57))=5,6,IF(SUM(COUNTIF(F55:F56,F57),COUNTIF(F59:F60,F57))=4,5,IF(SUM(COUNTIF(F55:F56,F57),COUNTIF(F60,F57))=3,4,IF(COUNTIF(F55:F56,F57)=2,3,IF(F56=F57,2,1)))))),
IF(COUNTIF(B52:B56,B57)=1,
INDEX('CFT Specific Data'!$G$24:$L$39,MATCH(F57,'CFT Specific Data'!$F$24:$F$39,0),IF(SUM(COUNTIF(F56,F57),COUNTIF(F58:F61,F57))=5,6,IF(SUM(COUNTIF(F56,F57),COUNTIF(F59:F61,F57))=4,5,IF(SUM(COUNTIF(F56,F57),COUNTIF(F60:F61,F57))=3,4,IF(SUM(COUNTIF(F56,F57),COUNTIF(F61,F57))=2,3,IF(F56=F57,2,1)))))),
IF(COUNTIF(B52:B56,B57)=0,
INDEX('CFT Specific Data'!$G$24:$L$39,MATCH(F57,'CFT Specific Data'!$F$24:$F$39,0),IF(COUNTIF(F58:F62,F57)=5,6,IF(COUNTIF(F59:F62,F57)=4,5,IF(COUNTIF(F60:F62,F57)=3,4,IF(COUNTIF(F61:F62,F57)=2,3,IF(F62=F57,2,1)))))))))))),1)</f>
        <v>28.08</v>
      </c>
      <c r="I57" s="210" t="s">
        <v>348</v>
      </c>
      <c r="J57">
        <v>10</v>
      </c>
      <c r="K57" s="210" t="str">
        <f>VLOOKUP(F57,'CFT Specific Data'!$F$4:$G$19,2,FALSE)</f>
        <v>Other legume</v>
      </c>
      <c r="L57" t="str">
        <f t="shared" si="1"/>
        <v>Fine</v>
      </c>
      <c r="M57">
        <f t="shared" si="2"/>
        <v>5.8479999999999999</v>
      </c>
      <c r="N57" t="str">
        <f t="shared" si="3"/>
        <v>5.16 &lt; SOM &lt;= 10.32</v>
      </c>
      <c r="O57" t="s">
        <v>349</v>
      </c>
      <c r="P57" t="s">
        <v>350</v>
      </c>
      <c r="Q57">
        <v>7</v>
      </c>
      <c r="R57" t="str">
        <f t="shared" si="5"/>
        <v>5.5 &lt; pH &lt;= 7.3</v>
      </c>
      <c r="S57" t="s">
        <v>351</v>
      </c>
      <c r="T57" s="210">
        <f t="array" ref="T57">_xlfn.SINGLE(INDEX('Focus Data NFertiliser Rate'!$D$4:$P$19,MATCH(F57,'Focus Data NFertiliser Rate'!$C$4:$C$19,0),_xlfn.SINGLE(_xlfn.IFS(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0</v>
      </c>
      <c r="U57">
        <f t="shared" si="4"/>
        <v>0</v>
      </c>
      <c r="V57" s="210">
        <f t="array" ref="V57">_xlfn.SINGLE(INDEX('№ Fertiliser sprayings'!$D$4:$P$19,MATCH(F57,'№ Fertiliser sprayings'!$C$4:$C$19,0),_xlfn.SINGLE(_xlfn.IFS(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0</v>
      </c>
      <c r="W57" s="264">
        <f t="array" ref="W57">_xlfn.SINGLE(INDEX('Focus Data CFT NSpraying'!$D$4:$P$19,MATCH(F57,'Focus Data CFT NSpraying'!$C$4:$C$19,0),_xlfn.SINGLE(_xlfn.IFS(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10.776599999999998</v>
      </c>
      <c r="X57" t="s">
        <v>363</v>
      </c>
      <c r="Y57">
        <v>0</v>
      </c>
      <c r="Z57">
        <v>100</v>
      </c>
      <c r="AA57" t="s">
        <v>352</v>
      </c>
      <c r="AB57" s="226" t="str">
        <f>IF(B57=B56,_xlfn.IFS(
AND(AA57=Lists!$L$8,AA56=Lists!$L$8),Lists!$N$5,
AND(OR(AA57=Lists!$L$5,AA57=Lists!$L$7,AA57=Lists!$L$9,AA57=Lists!$L$10,AA57=Lists!$L$6),OR(AA56=Lists!$L$5,AA56=Lists!$L$7,AA56=Lists!$L$9,AA56=Lists!$L$10,AA56=Lists!$L$6)),Lists!$N$5,
AND(AA57=Lists!$L$8,OR(AA56=Lists!$L$5,AA56=Lists!$L$7,AA56=Lists!$L$9,AA56=Lists!$L$10,AA56=Lists!$L$6)),Lists!$N$6,
AND(OR(AA57=Lists!$L$5,AA57=Lists!$L$6,AA57=Lists!$L$7,AA57=Lists!$L$9,AA57=Lists!$L$10),AA56=Lists!$L$8),Lists!$N$7),
_xlfn.IFS(
AND(AA57=Lists!$L$8,AA62=Lists!$L$8),Lists!$N$5,
AND(OR(AA57=Lists!$L$5,AA57=Lists!$L$7,AA57=Lists!$L$9,AA57=Lists!$L$10,AA57=Lists!$L$6),OR(AA62=Lists!$L$5,AA62=Lists!$L$7,AA62=Lists!$L$9,AA62=Lists!$L$10,AA62=Lists!$L$6)),Lists!$N$5,
AND(AA57=Lists!$L$8,OR(AA62=Lists!$L$5,AA62=Lists!$L$7,AA62=Lists!$L$9,AA62=Lists!$L$10,AA62=Lists!$L$6)),Lists!$N$6,
AND(OR(AA57=Lists!$L$5,AA57=Lists!$L$7,AA57=Lists!$L$9,AA57=Lists!$L$10),AA62=Lists!$L$8),Lists!$N$7))</f>
        <v>no change</v>
      </c>
      <c r="AC57">
        <v>0</v>
      </c>
      <c r="AD57">
        <v>0</v>
      </c>
      <c r="AE57" s="102">
        <f t="array" ref="AE57">IF(OR(ISNUMBER(SEARCH("heavy",A57))=TRUE, ISNUMBER(SEARCH("medium",A57))=TRUE),
(LEN(_xlfn.SINGLE(
INDEX('Focus Data Tillage by farm'!$D$4:$P$9,MATCH(D57,'Focus Data Tillage by farm'!$C$4:$C$9,0),_xlfn.SINGLE(_xlfn.IFS(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-LEN(SUBSTITUTE(_xlfn.SINGLE(
INDEX('Focus Data Tillage by farm'!$D$4:$P$9,MATCH(D57,'Focus Data Tillage by farm'!$C$4:$C$9,0),_xlfn.SINGLE(_xlfn.IFS(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"disc","")))/LEN("disc"),
(LEN(_xlfn.SINGLE(
INDEX('Focus Data Tillage by farm'!$D$12:$P$17,MATCH(D57,'Focus Data Tillage by farm'!$C$12:$C$17,0),_xlfn.SINGLE(_xlfn.IFS(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-LEN(SUBSTITUTE(_xlfn.SINGLE(
INDEX('Focus Data Tillage by farm'!$D$12:$P$17,MATCH(D57,'Focus Data Tillage by farm'!$C$12:$C$17,0),_xlfn.SINGLE(_xlfn.IFS(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"disc","")))/LEN("disc"))</f>
        <v>2</v>
      </c>
      <c r="AF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"field cultivator","")))/LEN("field cultivator"),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"field cultivator","")))/LEN("field cultivator"))</f>
        <v>0</v>
      </c>
      <c r="AG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"grain drill","")))/LEN("grain drill"),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"grain drill","")))/LEN("grain drill"))</f>
        <v>0</v>
      </c>
      <c r="AH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"minimum tillage","")))/LEN("minimum tillage"),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"minimum tillage","")))/LEN("minimum tillage"))</f>
        <v>1</v>
      </c>
      <c r="AI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"row crop planter","")))/LEN("row crop planter"),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"row crop planter","")))/LEN("row crop planter"))</f>
        <v>0</v>
      </c>
      <c r="AJ57" s="102">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"plough","")))/LEN("plough"),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"plough","")))/LEN("plough"))</f>
        <v>0</v>
      </c>
      <c r="AK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harrow","")))/LEN("roller harrow"),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harrow","")))/LEN("roller harrow"))</f>
        <v>0</v>
      </c>
      <c r="AL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packer","")))/LEN("roller packer"),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"roller packer","")))/LEN("roller packer"))</f>
        <v>2</v>
      </c>
      <c r="AM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"rotary hoe","")))/LEN("rotary hoe"),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"rotary hoe","")))/LEN("rotary hoe"))</f>
        <v>0</v>
      </c>
      <c r="AN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"subsoil","")))/LEN("subsoil"),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"subsoil","")))/LEN("subsoil"))</f>
        <v>1</v>
      </c>
      <c r="AO57">
        <f>IF(OR(ISNUMBER(SEARCH("heavy",A57))=TRUE, ISNUMBER(SEARCH("medium",A57))=TRUE),
(LEN(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farm'!$D$4:$P$9,MATCH(D57,'Focus Data Tillage by farm'!$C$4:$C$9,0),_xlfn.IFS(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"tine harrow","")))/LEN("tine harrow"),
(LEN(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-LEN(SUBSTITUTE(
INDEX('Focus Data Tillage by farm'!$D$12:$P$17,MATCH(D57,'Focus Data Tillage by farm'!$C$12:$C$17,0),_xlfn.IFS(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
"tine harrow","")))/LEN("tine harrow"))</f>
        <v>0</v>
      </c>
      <c r="AP57" s="102">
        <f>INDEX('Focus Data NSpraying'!$D$4:$P$19,MATCH(F57,'Focus Data NSpraying'!$C$4:$C$19,0),_xlfn.IFS(
AND(ISNUMBER(SEARCH("H-Dsty.",A57))=TRUE,ISNUMBER(SEARCH("H-Res",A57))=TRUE,ISNUMBER(SEARCH("E.",A57))=TRUE),1,
AND(ISNUMBER(SEARCH("H-Dsty.",A57))=TRUE,ISNUMBER(SEARCH("H-Res",A57))=TRUE,OR(ISNUMBER(SEARCH("N.he",A57))=TRUE,ISNUMBER(SEARCH("N.me",A57))=TRUE,ISNUMBER(SEARCH("N.li",A57))=TRUE)),2,
AND(ISNUMBER(SEARCH("H-Dsty.",A57))=TRUE,ISNUMBER(SEARCH("H-Res",A57))=TRUE,ISNUMBER(SEARCH("C.",A57))=TRUE),3,
AND(ISNUMBER(SEARCH("L-Dsty.",A57))=TRUE,ISNUMBER(SEARCH("H-Res",A57))=TRUE,ISNUMBER(SEARCH("E.",A57))=TRUE),6,
AND(ISNUMBER(SEARCH("L-Dsty.",A57))=TRUE,ISNUMBER(SEARCH("H-Res",A57))=TRUE,OR(ISNUMBER(SEARCH("N.he",A57))=TRUE,ISNUMBER(SEARCH("N.me",A57))=TRUE,ISNUMBER(SEARCH("N.li",A57))=TRUE)),7,
AND(ISNUMBER(SEARCH("L-Dsty.",A57))=TRUE,ISNUMBER(SEARCH("H-Res",A57))=TRUE,ISNUMBER(SEARCH("C.",A57))=TRUE),8,
AND(ISNUMBER(SEARCH("L-Dsty.",A57))=TRUE,ISNUMBER(SEARCH("L-Res",A57))=TRUE,ISNUMBER(SEARCH("E.",A57))=TRUE),11,
AND(ISNUMBER(SEARCH("L-Dsty.",A57))=TRUE,ISNUMBER(SEARCH("L-Res",A57))=TRUE,OR(ISNUMBER(SEARCH("N.he",A57))=TRUE,ISNUMBER(SEARCH("N.me",A57))=TRUE,ISNUMBER(SEARCH("N.li",A57))=TRUE)),12,
AND(ISNUMBER(SEARCH("L-Dsty.",A57))=TRUE,ISNUMBER(SEARCH("L-Res",A57))=TRUE,ISNUMBER(SEARCH("C.",A57))=TRUE),13))</f>
        <v>5</v>
      </c>
    </row>
    <row r="58" spans="1:42" x14ac:dyDescent="0.2">
      <c r="A58" t="s">
        <v>502</v>
      </c>
      <c r="B58" s="210" t="str">
        <f t="array" ref="B58">INDEX(ECOMOD_input_estimate!$A$2:$A$55, MATCH(CFT_input!$A58, ECOMOD_input_estimate!$B:$B, 0))</f>
        <v>FF_05.2</v>
      </c>
      <c r="C58" s="210">
        <v>2020</v>
      </c>
      <c r="D58" s="395" t="s">
        <v>1694</v>
      </c>
      <c r="E58" s="210" t="str">
        <f t="shared" si="0"/>
        <v>E.heavy.H-Dsty.H-Res</v>
      </c>
      <c r="F58" s="210" t="str">
        <f t="array" ref="F58">_xlfn.SINGLE(IF(OR(ISNUMBER(SEARCH("heavy",A58))=TRUE,ISNUMBER(SEARCH("medium",A58))=TRUE),
INDEX('Focus Data Crop Rotations'!$D$4:$P$9,MATCH(D58,'Focus Data Crop Rotations'!$C$4:$C$9,0),_xlfn.SINGLE(_xlfn.IFS(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INDEX('Focus Data Crop Rotations'!$D$12:$P$17,MATCH(D58,'Focus Data Crop Rotations'!$C$12:$C$17,0),_xlfn.SINGLE(_xlfn.IFS(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winterwheat</v>
      </c>
      <c r="G58">
        <v>7.2</v>
      </c>
      <c r="H58" s="227">
        <f>VLOOKUP(F58,'CFT Specific Data'!$F$4:$H$19,3,FALSE)*G58*
IF(B58=B57,
IF(AND(ISNUMBER(SEARCH("wheat",F58))=TRUE,ISNUMBER(SEARCH("Barley",F57))=TRUE),0.89,
IF(AND(ISNUMBER(SEARCH("wheat",F58))=TRUE,F57="setaside"),0.94,
IF(AND(ISNUMBER(SEARCH("barley",F58))=TRUE,ISNUMBER(SEARCH("wheat",F57))=TRUE),0.89,
IF(AND(F58="winterbarley",F57="setaside"),0.94,
IF(AND(F58="sugarbeet",F57="warepotatoes"),0.95,
IF(AND((OR(ISNUMBER(SEARCH("beans",F58)),ISNUMBER(SEARCH("driedpeas",F58)),ISNUMBER(SEARCH("sugarbeet",F58)))=TRUE),ISNUMBER(SEARCH("osr",F57))=TRUE),0,
IF(AND((OR((ISNUMBER(SEARCH("wheat",F58))),ISNUMBER(SEARCH("linseed",F58)),ISNUMBER(SEARCH("driedpeas",F58)),ISNUMBER(SEARCH("osr",F58)))=TRUE),F57="sugarbeet"),0,
IF(AND((OR((ISNUMBER(SEARCH("osr",F58))),ISNUMBER(SEARCH("linseed",F58)))=TRUE),ISNUMBER(SEARCH("beans",F57))=TRUE),0,
IF(AND(F58="wosr",ISNUMBER(SEARCH("linseed",F57))=TRUE),0,
IF(AND(F58="sugarbeet",F57="warepotatoes"),0,
1)))))))))),
IF(AND(ISNUMBER(SEARCH("wheat",F58))=TRUE,ISNUMBER(SEARCH("Barley",F63))=TRUE),0.89,
IF(AND(ISNUMBER(SEARCH("wheat",F58))=TRUE,F63="setaside"),0.94,
IF(AND(ISNUMBER(SEARCH("barley",F58))=TRUE,ISNUMBER(SEARCH("wheat",F63))=TRUE),0.89,
IF(AND(F58="winterbarley",F63="setaside"),0.94,
IF(AND(F58="sugarbeet",F63="warepotatoes"),0.95,
IF(AND((OR(ISNUMBER(SEARCH("beans",F58)),ISNUMBER(SEARCH("driedpeas",F58)),ISNUMBER(SEARCH("sugarbeet",F58)))=TRUE),ISNUMBER(SEARCH("osr",F63))=TRUE),0,
IF(AND((OR((ISNUMBER(SEARCH("wheat",F58))),ISNUMBER(SEARCH("linseed",F58)),ISNUMBER(SEARCH("driedpeas",F58)),ISNUMBER(SEARCH("osr",F58)))=TRUE),F63="sugarbeet"),0,
IF(AND((OR((ISNUMBER(SEARCH("osr",F58))),ISNUMBER(SEARCH("linseed",F58)))=TRUE),ISNUMBER(SEARCH("beans",F63))=TRUE),0,
IF(AND(F58="wosr",ISNUMBER(SEARCH("linseed",F63))=TRUE),0,
IF(AND(F58="sugarbeet",F63="warepotatoes"),0,
1)))))))))))
*IF(OR(ISNUMBER(SEARCH("wheat",F58)),ISNUMBER(SEARCH("barley",F58)),ISNUMBER(SEARCH("driedpeas",F58)),ISNUMBER(SEARCH("warepotatoes",F58)),ISNUMBER(SEARCH("osr",F58)),ISNUMBER(SEARCH("linseed",F58)),ISNUMBER(SEARCH("sugarbeet",F58))),
IF(COUNTIF(B53:B57,B58)=5,
INDEX('CFT Specific Data'!$G$24:$L$39,MATCH(F58,'CFT Specific Data'!$F$24:$F$39,0),IF(COUNTIF(F53:F57,F58)=5,6,IF(COUNTIF(F54:F57,F58)=4,5,IF(COUNTIF(F55:F57,F58)=3,4,IF(COUNTIF(F56:F57,F58)=2,3,IF(F57=F58,2,1)))))),
IF(COUNTIF(B53:B57,B58)=4,
INDEX('CFT Specific Data'!$G$24:$L$39,MATCH(F58,'CFT Specific Data'!$F$24:$F$39,0),IF(SUM(COUNTIF(F54:F57,F58),COUNTIF(F59,F58))=5,6,IF(COUNTIF(F54:F57,F58)=4,5,IF(COUNTIF(F55:F57,F58)=3,4,IF(COUNTIF(F56:F57,F58)=2,3,IF(F57=F58,2,1)))))),
IF(COUNTIF(B53:B57,B58)=3,
INDEX('CFT Specific Data'!$G$24:$L$39,MATCH(F58,'CFT Specific Data'!$F$24:$F$39,0),IF(SUM(COUNTIF(F55:F57,F58),COUNTIF(F59:F60,F58))=5,6,IF(SUM(COUNTIF(F55:F57,F58),COUNTIF(F60,F58))=4,5,IF(COUNTIF(F55:F57,F58)=3,4,IF(COUNTIF(F56:F57,F58)=2,3,IF(F57=F58,2,1)))))),
IF(COUNTIF(B53:B57,B58)=2,
INDEX('CFT Specific Data'!$G$24:$L$39,MATCH(F58,'CFT Specific Data'!$F$24:$F$39,0),IF(SUM(COUNTIF(F56:F57,F58),COUNTIF(F59:F61,F58))=5,6,IF(SUM(COUNTIF(F56:F57,F58),COUNTIF(F60:F61,F58))=4,5,IF(SUM(COUNTIF(F56:F57,F58),COUNTIF(F61,F58))=3,4,IF(COUNTIF(F56:F57,F58)=2,3,IF(F57=F58,2,1)))))),
IF(COUNTIF(B53:B57,B58)=1,
INDEX('CFT Specific Data'!$G$24:$L$39,MATCH(F58,'CFT Specific Data'!$F$24:$F$39,0),IF(SUM(COUNTIF(F57,F58),COUNTIF(F59:F62,F58))=5,6,IF(SUM(COUNTIF(F57,F58),COUNTIF(F60:F62,F58))=4,5,IF(SUM(COUNTIF(F57,F58),COUNTIF(F61:F62,F58))=3,4,IF(SUM(COUNTIF(F57,F58),COUNTIF(F62,F58))=2,3,IF(F57=F58,2,1)))))),
IF(COUNTIF(B53:B57,B58)=0,
INDEX('CFT Specific Data'!$G$24:$L$39,MATCH(F58,'CFT Specific Data'!$F$24:$F$39,0),IF(COUNTIF(F59:F63,F58)=5,6,IF(COUNTIF(F60:F63,F58)=4,5,IF(COUNTIF(F61:F63,F58)=3,4,IF(COUNTIF(F62:F63,F58)=2,3,IF(F63=F58,2,1)))))))))))),1)</f>
        <v>61.92</v>
      </c>
      <c r="I58" s="210" t="s">
        <v>348</v>
      </c>
      <c r="J58">
        <v>10</v>
      </c>
      <c r="K58" s="210" t="str">
        <f>VLOOKUP(F58,'CFT Specific Data'!$F$4:$G$19,2,FALSE)</f>
        <v>Winter wheat</v>
      </c>
      <c r="L58" t="str">
        <f t="shared" si="1"/>
        <v>Fine</v>
      </c>
      <c r="M58">
        <f t="shared" si="2"/>
        <v>5.8479999999999999</v>
      </c>
      <c r="N58" t="str">
        <f t="shared" si="3"/>
        <v>5.16 &lt; SOM &lt;= 10.32</v>
      </c>
      <c r="O58" t="s">
        <v>349</v>
      </c>
      <c r="P58" t="s">
        <v>350</v>
      </c>
      <c r="Q58">
        <v>7</v>
      </c>
      <c r="R58" t="str">
        <f t="shared" ref="R58:R121" si="6">IF(AND(Q58&gt;5.4,Q58&lt;=7.3),"5.5 &lt; pH &lt;= 7.3",
IF(AND(Q58&gt;7.3,Q58&lt;=8.5),"7.3 &lt; pH &lt;= 8.5"))</f>
        <v>5.5 &lt; pH &lt;= 7.3</v>
      </c>
      <c r="S58" t="s">
        <v>351</v>
      </c>
      <c r="T58" s="210">
        <f t="array" ref="T58">_xlfn.SINGLE(INDEX('Focus Data NFertiliser Rate'!$D$4:$P$19,MATCH(F58,'Focus Data NFertiliser Rate'!$C$4:$C$19,0),_xlfn.SINGLE(_xlfn.IFS(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220</v>
      </c>
      <c r="U58" t="str">
        <f t="shared" si="4"/>
        <v>Apply in solution</v>
      </c>
      <c r="V58" s="210">
        <f t="array" ref="V58">_xlfn.SINGLE(INDEX('№ Fertiliser sprayings'!$D$4:$P$19,MATCH(F58,'№ Fertiliser sprayings'!$C$4:$C$19,0),_xlfn.SINGLE(_xlfn.IFS(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3</v>
      </c>
      <c r="W58" s="264">
        <f t="array" ref="W58">_xlfn.SINGLE(INDEX('Focus Data CFT NSpraying'!$D$4:$P$19,MATCH(F58,'Focus Data CFT NSpraying'!$C$4:$C$19,0),_xlfn.SINGLE(_xlfn.IFS(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17.876000000000001</v>
      </c>
      <c r="X58" t="s">
        <v>363</v>
      </c>
      <c r="Y58">
        <v>0</v>
      </c>
      <c r="Z58">
        <v>100</v>
      </c>
      <c r="AA58" t="s">
        <v>352</v>
      </c>
      <c r="AB58" s="226" t="str">
        <f>IF(B58=B57,_xlfn.IFS(
AND(AA58=Lists!$L$8,AA57=Lists!$L$8),Lists!$N$5,
AND(OR(AA58=Lists!$L$5,AA58=Lists!$L$7,AA58=Lists!$L$9,AA58=Lists!$L$10,AA58=Lists!$L$6),OR(AA57=Lists!$L$5,AA57=Lists!$L$7,AA57=Lists!$L$9,AA57=Lists!$L$10,AA57=Lists!$L$6)),Lists!$N$5,
AND(AA58=Lists!$L$8,OR(AA57=Lists!$L$5,AA57=Lists!$L$7,AA57=Lists!$L$9,AA57=Lists!$L$10,AA57=Lists!$L$6)),Lists!$N$6,
AND(OR(AA58=Lists!$L$5,AA58=Lists!$L$6,AA58=Lists!$L$7,AA58=Lists!$L$9,AA58=Lists!$L$10),AA57=Lists!$L$8),Lists!$N$7),
_xlfn.IFS(
AND(AA58=Lists!$L$8,AA63=Lists!$L$8),Lists!$N$5,
AND(OR(AA58=Lists!$L$5,AA58=Lists!$L$7,AA58=Lists!$L$9,AA58=Lists!$L$10,AA58=Lists!$L$6),OR(AA63=Lists!$L$5,AA63=Lists!$L$7,AA63=Lists!$L$9,AA63=Lists!$L$10,AA63=Lists!$L$6)),Lists!$N$5,
AND(AA58=Lists!$L$8,OR(AA63=Lists!$L$5,AA63=Lists!$L$7,AA63=Lists!$L$9,AA63=Lists!$L$10,AA63=Lists!$L$6)),Lists!$N$6,
AND(OR(AA58=Lists!$L$5,AA58=Lists!$L$7,AA58=Lists!$L$9,AA58=Lists!$L$10),AA63=Lists!$L$8),Lists!$N$7))</f>
        <v>no change</v>
      </c>
      <c r="AC58">
        <v>0</v>
      </c>
      <c r="AD58">
        <v>0</v>
      </c>
      <c r="AE58" s="102">
        <f t="array" ref="AE58">IF(OR(ISNUMBER(SEARCH("heavy",A58))=TRUE, ISNUMBER(SEARCH("medium",A58))=TRUE),
(LEN(_xlfn.SINGLE(
INDEX('Focus Data Tillage by farm'!$D$4:$P$9,MATCH(D58,'Focus Data Tillage by farm'!$C$4:$C$9,0),_xlfn.SINGLE(_xlfn.IFS(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-LEN(SUBSTITUTE(_xlfn.SINGLE(
INDEX('Focus Data Tillage by farm'!$D$4:$P$9,MATCH(D58,'Focus Data Tillage by farm'!$C$4:$C$9,0),_xlfn.SINGLE(_xlfn.IFS(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"disc","")))/LEN("disc"),
(LEN(_xlfn.SINGLE(
INDEX('Focus Data Tillage by farm'!$D$12:$P$17,MATCH(D58,'Focus Data Tillage by farm'!$C$12:$C$17,0),_xlfn.SINGLE(_xlfn.IFS(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-LEN(SUBSTITUTE(_xlfn.SINGLE(
INDEX('Focus Data Tillage by farm'!$D$12:$P$17,MATCH(D58,'Focus Data Tillage by farm'!$C$12:$C$17,0),_xlfn.SINGLE(_xlfn.IFS(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"disc","")))/LEN("disc"))</f>
        <v>2</v>
      </c>
      <c r="AF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"field cultivator","")))/LEN("field cultivator"),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"field cultivator","")))/LEN("field cultivator"))</f>
        <v>0</v>
      </c>
      <c r="AG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"grain drill","")))/LEN("grain drill"),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"grain drill","")))/LEN("grain drill"))</f>
        <v>0</v>
      </c>
      <c r="AH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"minimum tillage","")))/LEN("minimum tillage"),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"minimum tillage","")))/LEN("minimum tillage"))</f>
        <v>1</v>
      </c>
      <c r="AI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"row crop planter","")))/LEN("row crop planter"),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"row crop planter","")))/LEN("row crop planter"))</f>
        <v>0</v>
      </c>
      <c r="AJ58" s="102">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"plough","")))/LEN("plough"),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"plough","")))/LEN("plough"))</f>
        <v>0</v>
      </c>
      <c r="AK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harrow","")))/LEN("roller harrow"),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harrow","")))/LEN("roller harrow"))</f>
        <v>0</v>
      </c>
      <c r="AL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packer","")))/LEN("roller packer"),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"roller packer","")))/LEN("roller packer"))</f>
        <v>2</v>
      </c>
      <c r="AM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"rotary hoe","")))/LEN("rotary hoe"),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"rotary hoe","")))/LEN("rotary hoe"))</f>
        <v>0</v>
      </c>
      <c r="AN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"subsoil","")))/LEN("subsoil"),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"subsoil","")))/LEN("subsoil"))</f>
        <v>0</v>
      </c>
      <c r="AO58">
        <f>IF(OR(ISNUMBER(SEARCH("heavy",A58))=TRUE, ISNUMBER(SEARCH("medium",A58))=TRUE),
(LEN(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farm'!$D$4:$P$9,MATCH(D58,'Focus Data Tillage by farm'!$C$4:$C$9,0),_xlfn.IFS(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"tine harrow","")))/LEN("tine harrow"),
(LEN(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-LEN(SUBSTITUTE(
INDEX('Focus Data Tillage by farm'!$D$12:$P$17,MATCH(D58,'Focus Data Tillage by farm'!$C$12:$C$17,0),_xlfn.IFS(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
"tine harrow","")))/LEN("tine harrow"))</f>
        <v>0</v>
      </c>
      <c r="AP58" s="102">
        <f>INDEX('Focus Data NSpraying'!$D$4:$P$19,MATCH(F58,'Focus Data NSpraying'!$C$4:$C$19,0),_xlfn.IFS(
AND(ISNUMBER(SEARCH("H-Dsty.",A58))=TRUE,ISNUMBER(SEARCH("H-Res",A58))=TRUE,ISNUMBER(SEARCH("E.",A58))=TRUE),1,
AND(ISNUMBER(SEARCH("H-Dsty.",A58))=TRUE,ISNUMBER(SEARCH("H-Res",A58))=TRUE,OR(ISNUMBER(SEARCH("N.he",A58))=TRUE,ISNUMBER(SEARCH("N.me",A58))=TRUE,ISNUMBER(SEARCH("N.li",A58))=TRUE)),2,
AND(ISNUMBER(SEARCH("H-Dsty.",A58))=TRUE,ISNUMBER(SEARCH("H-Res",A58))=TRUE,ISNUMBER(SEARCH("C.",A58))=TRUE),3,
AND(ISNUMBER(SEARCH("L-Dsty.",A58))=TRUE,ISNUMBER(SEARCH("H-Res",A58))=TRUE,ISNUMBER(SEARCH("E.",A58))=TRUE),6,
AND(ISNUMBER(SEARCH("L-Dsty.",A58))=TRUE,ISNUMBER(SEARCH("H-Res",A58))=TRUE,OR(ISNUMBER(SEARCH("N.he",A58))=TRUE,ISNUMBER(SEARCH("N.me",A58))=TRUE,ISNUMBER(SEARCH("N.li",A58))=TRUE)),7,
AND(ISNUMBER(SEARCH("L-Dsty.",A58))=TRUE,ISNUMBER(SEARCH("H-Res",A58))=TRUE,ISNUMBER(SEARCH("C.",A58))=TRUE),8,
AND(ISNUMBER(SEARCH("L-Dsty.",A58))=TRUE,ISNUMBER(SEARCH("L-Res",A58))=TRUE,ISNUMBER(SEARCH("E.",A58))=TRUE),11,
AND(ISNUMBER(SEARCH("L-Dsty.",A58))=TRUE,ISNUMBER(SEARCH("L-Res",A58))=TRUE,OR(ISNUMBER(SEARCH("N.he",A58))=TRUE,ISNUMBER(SEARCH("N.me",A58))=TRUE,ISNUMBER(SEARCH("N.li",A58))=TRUE)),12,
AND(ISNUMBER(SEARCH("L-Dsty.",A58))=TRUE,ISNUMBER(SEARCH("L-Res",A58))=TRUE,ISNUMBER(SEARCH("C.",A58))=TRUE),13))</f>
        <v>6</v>
      </c>
    </row>
    <row r="59" spans="1:42" x14ac:dyDescent="0.2">
      <c r="A59" t="s">
        <v>502</v>
      </c>
      <c r="B59" s="210" t="str">
        <f t="array" ref="B59">INDEX(ECOMOD_input_estimate!$A$2:$A$55, MATCH(CFT_input!$A59, ECOMOD_input_estimate!$B:$B, 0))</f>
        <v>FF_05.2</v>
      </c>
      <c r="C59" s="210">
        <v>2020</v>
      </c>
      <c r="D59" s="395" t="s">
        <v>1695</v>
      </c>
      <c r="E59" s="210" t="str">
        <f t="shared" si="0"/>
        <v>E.heavy.H-Dsty.H-Res</v>
      </c>
      <c r="F59" s="210" t="str">
        <f t="array" ref="F59">_xlfn.SINGLE(IF(OR(ISNUMBER(SEARCH("heavy",A59))=TRUE,ISNUMBER(SEARCH("medium",A59))=TRUE),
INDEX('Focus Data Crop Rotations'!$D$4:$P$9,MATCH(D59,'Focus Data Crop Rotations'!$C$4:$C$9,0),_xlfn.SINGLE(_xlfn.IFS(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INDEX('Focus Data Crop Rotations'!$D$12:$P$17,MATCH(D59,'Focus Data Crop Rotations'!$C$12:$C$17,0),_xlfn.SINGLE(_xlfn.IFS(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springoats</v>
      </c>
      <c r="G59">
        <v>7.2</v>
      </c>
      <c r="H59" s="227">
        <f>VLOOKUP(F59,'CFT Specific Data'!$F$4:$H$19,3,FALSE)*G59*
IF(B59=B58,
IF(AND(ISNUMBER(SEARCH("wheat",F59))=TRUE,ISNUMBER(SEARCH("Barley",F58))=TRUE),0.89,
IF(AND(ISNUMBER(SEARCH("wheat",F59))=TRUE,F58="setaside"),0.94,
IF(AND(ISNUMBER(SEARCH("barley",F59))=TRUE,ISNUMBER(SEARCH("wheat",F58))=TRUE),0.89,
IF(AND(F59="winterbarley",F58="setaside"),0.94,
IF(AND(F59="sugarbeet",F58="warepotatoes"),0.95,
IF(AND((OR(ISNUMBER(SEARCH("beans",F59)),ISNUMBER(SEARCH("driedpeas",F59)),ISNUMBER(SEARCH("sugarbeet",F59)))=TRUE),ISNUMBER(SEARCH("osr",F58))=TRUE),0,
IF(AND((OR((ISNUMBER(SEARCH("wheat",F59))),ISNUMBER(SEARCH("linseed",F59)),ISNUMBER(SEARCH("driedpeas",F59)),ISNUMBER(SEARCH("osr",F59)))=TRUE),F58="sugarbeet"),0,
IF(AND((OR((ISNUMBER(SEARCH("osr",F59))),ISNUMBER(SEARCH("linseed",F59)))=TRUE),ISNUMBER(SEARCH("beans",F58))=TRUE),0,
IF(AND(F59="wosr",ISNUMBER(SEARCH("linseed",F58))=TRUE),0,
IF(AND(F59="sugarbeet",F58="warepotatoes"),0,
1)))))))))),
IF(AND(ISNUMBER(SEARCH("wheat",F59))=TRUE,ISNUMBER(SEARCH("Barley",F64))=TRUE),0.89,
IF(AND(ISNUMBER(SEARCH("wheat",F59))=TRUE,F64="setaside"),0.94,
IF(AND(ISNUMBER(SEARCH("barley",F59))=TRUE,ISNUMBER(SEARCH("wheat",F64))=TRUE),0.89,
IF(AND(F59="winterbarley",F64="setaside"),0.94,
IF(AND(F59="sugarbeet",F64="warepotatoes"),0.95,
IF(AND((OR(ISNUMBER(SEARCH("beans",F59)),ISNUMBER(SEARCH("driedpeas",F59)),ISNUMBER(SEARCH("sugarbeet",F59)))=TRUE),ISNUMBER(SEARCH("osr",F64))=TRUE),0,
IF(AND((OR((ISNUMBER(SEARCH("wheat",F59))),ISNUMBER(SEARCH("linseed",F59)),ISNUMBER(SEARCH("driedpeas",F59)),ISNUMBER(SEARCH("osr",F59)))=TRUE),F64="sugarbeet"),0,
IF(AND((OR((ISNUMBER(SEARCH("osr",F59))),ISNUMBER(SEARCH("linseed",F59)))=TRUE),ISNUMBER(SEARCH("beans",F64))=TRUE),0,
IF(AND(F59="wosr",ISNUMBER(SEARCH("linseed",F64))=TRUE),0,
IF(AND(F59="sugarbeet",F64="warepotatoes"),0,
1)))))))))))
*IF(OR(ISNUMBER(SEARCH("wheat",F59)),ISNUMBER(SEARCH("barley",F59)),ISNUMBER(SEARCH("driedpeas",F59)),ISNUMBER(SEARCH("warepotatoes",F59)),ISNUMBER(SEARCH("osr",F59)),ISNUMBER(SEARCH("linseed",F59)),ISNUMBER(SEARCH("sugarbeet",F59))),
IF(COUNTIF(B54:B58,B59)=5,
INDEX('CFT Specific Data'!$G$24:$L$39,MATCH(F59,'CFT Specific Data'!$F$24:$F$39,0),IF(COUNTIF(F54:F58,F59)=5,6,IF(COUNTIF(F55:F58,F59)=4,5,IF(COUNTIF(F56:F58,F59)=3,4,IF(COUNTIF(F57:F58,F59)=2,3,IF(F58=F59,2,1)))))),
IF(COUNTIF(B54:B58,B59)=4,
INDEX('CFT Specific Data'!$G$24:$L$39,MATCH(F59,'CFT Specific Data'!$F$24:$F$39,0),IF(SUM(COUNTIF(F55:F58,F59),COUNTIF(F60,F59))=5,6,IF(COUNTIF(F55:F58,F59)=4,5,IF(COUNTIF(F56:F58,F59)=3,4,IF(COUNTIF(F57:F58,F59)=2,3,IF(F58=F59,2,1)))))),
IF(COUNTIF(B54:B58,B59)=3,
INDEX('CFT Specific Data'!$G$24:$L$39,MATCH(F59,'CFT Specific Data'!$F$24:$F$39,0),IF(SUM(COUNTIF(F56:F58,F59),COUNTIF(F60:F61,F59))=5,6,IF(SUM(COUNTIF(F56:F58,F59),COUNTIF(F61,F59))=4,5,IF(COUNTIF(F56:F58,F59)=3,4,IF(COUNTIF(F57:F58,F59)=2,3,IF(F58=F59,2,1)))))),
IF(COUNTIF(B54:B58,B59)=2,
INDEX('CFT Specific Data'!$G$24:$L$39,MATCH(F59,'CFT Specific Data'!$F$24:$F$39,0),IF(SUM(COUNTIF(F57:F58,F59),COUNTIF(F60:F62,F59))=5,6,IF(SUM(COUNTIF(F57:F58,F59),COUNTIF(F61:F62,F59))=4,5,IF(SUM(COUNTIF(F57:F58,F59),COUNTIF(F62,F59))=3,4,IF(COUNTIF(F57:F58,F59)=2,3,IF(F58=F59,2,1)))))),
IF(COUNTIF(B54:B58,B59)=1,
INDEX('CFT Specific Data'!$G$24:$L$39,MATCH(F59,'CFT Specific Data'!$F$24:$F$39,0),IF(SUM(COUNTIF(F58,F59),COUNTIF(F60:F63,F59))=5,6,IF(SUM(COUNTIF(F58,F59),COUNTIF(F61:F63,F59))=4,5,IF(SUM(COUNTIF(F58,F59),COUNTIF(F62:F63,F59))=3,4,IF(SUM(COUNTIF(F58,F59),COUNTIF(F63,F59))=2,3,IF(F58=F59,2,1)))))),
IF(COUNTIF(B54:B58,B59)=0,
INDEX('CFT Specific Data'!$G$24:$L$39,MATCH(F59,'CFT Specific Data'!$F$24:$F$39,0),IF(COUNTIF(F60:F64,F59)=5,6,IF(COUNTIF(F61:F64,F59)=4,5,IF(COUNTIF(F62:F64,F59)=3,4,IF(COUNTIF(F63:F64,F59)=2,3,IF(F64=F59,2,1)))))))))))),1)</f>
        <v>39.6</v>
      </c>
      <c r="I59" s="210" t="s">
        <v>348</v>
      </c>
      <c r="J59">
        <v>10</v>
      </c>
      <c r="K59" s="210" t="str">
        <f>VLOOKUP(F59,'CFT Specific Data'!$F$4:$G$19,2,FALSE)</f>
        <v>Oats</v>
      </c>
      <c r="L59" t="str">
        <f t="shared" si="1"/>
        <v>Fine</v>
      </c>
      <c r="M59">
        <f t="shared" si="2"/>
        <v>5.8479999999999999</v>
      </c>
      <c r="N59" t="str">
        <f t="shared" si="3"/>
        <v>5.16 &lt; SOM &lt;= 10.32</v>
      </c>
      <c r="O59" t="s">
        <v>349</v>
      </c>
      <c r="P59" t="s">
        <v>350</v>
      </c>
      <c r="Q59">
        <v>7</v>
      </c>
      <c r="R59" t="str">
        <f t="shared" si="6"/>
        <v>5.5 &lt; pH &lt;= 7.3</v>
      </c>
      <c r="S59" t="s">
        <v>351</v>
      </c>
      <c r="T59" s="210">
        <f t="array" ref="T59">_xlfn.SINGLE(INDEX('Focus Data NFertiliser Rate'!$D$4:$P$19,MATCH(F59,'Focus Data NFertiliser Rate'!$C$4:$C$19,0),_xlfn.SINGLE(_xlfn.IFS(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100</v>
      </c>
      <c r="U59" t="str">
        <f t="shared" si="4"/>
        <v>Apply in solution</v>
      </c>
      <c r="V59" s="210">
        <f t="array" ref="V59">_xlfn.SINGLE(INDEX('№ Fertiliser sprayings'!$D$4:$P$19,MATCH(F59,'№ Fertiliser sprayings'!$C$4:$C$19,0),_xlfn.SINGLE(_xlfn.IFS(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1</v>
      </c>
      <c r="W59" s="264">
        <f t="array" ref="W59">_xlfn.SINGLE(INDEX('Focus Data CFT NSpraying'!$D$4:$P$19,MATCH(F59,'Focus Data CFT NSpraying'!$C$4:$C$19,0),_xlfn.SINGLE(_xlfn.IFS(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4.7859999999999996</v>
      </c>
      <c r="X59" t="s">
        <v>363</v>
      </c>
      <c r="Y59">
        <v>0</v>
      </c>
      <c r="Z59">
        <v>100</v>
      </c>
      <c r="AA59" t="s">
        <v>352</v>
      </c>
      <c r="AB59" s="226" t="str">
        <f>IF(B59=B58,_xlfn.IFS(
AND(AA59=Lists!$L$8,AA58=Lists!$L$8),Lists!$N$5,
AND(OR(AA59=Lists!$L$5,AA59=Lists!$L$7,AA59=Lists!$L$9,AA59=Lists!$L$10,AA59=Lists!$L$6),OR(AA58=Lists!$L$5,AA58=Lists!$L$7,AA58=Lists!$L$9,AA58=Lists!$L$10,AA58=Lists!$L$6)),Lists!$N$5,
AND(AA59=Lists!$L$8,OR(AA58=Lists!$L$5,AA58=Lists!$L$7,AA58=Lists!$L$9,AA58=Lists!$L$10,AA58=Lists!$L$6)),Lists!$N$6,
AND(OR(AA59=Lists!$L$5,AA59=Lists!$L$6,AA59=Lists!$L$7,AA59=Lists!$L$9,AA59=Lists!$L$10),AA58=Lists!$L$8),Lists!$N$7),
_xlfn.IFS(
AND(AA59=Lists!$L$8,AA64=Lists!$L$8),Lists!$N$5,
AND(OR(AA59=Lists!$L$5,AA59=Lists!$L$7,AA59=Lists!$L$9,AA59=Lists!$L$10,AA59=Lists!$L$6),OR(AA64=Lists!$L$5,AA64=Lists!$L$7,AA64=Lists!$L$9,AA64=Lists!$L$10,AA64=Lists!$L$6)),Lists!$N$5,
AND(AA59=Lists!$L$8,OR(AA64=Lists!$L$5,AA64=Lists!$L$7,AA64=Lists!$L$9,AA64=Lists!$L$10,AA64=Lists!$L$6)),Lists!$N$6,
AND(OR(AA59=Lists!$L$5,AA59=Lists!$L$7,AA59=Lists!$L$9,AA59=Lists!$L$10),AA64=Lists!$L$8),Lists!$N$7))</f>
        <v>no change</v>
      </c>
      <c r="AC59">
        <v>0</v>
      </c>
      <c r="AD59">
        <v>0</v>
      </c>
      <c r="AE59" s="102">
        <f t="array" ref="AE59">IF(OR(ISNUMBER(SEARCH("heavy",A59))=TRUE, ISNUMBER(SEARCH("medium",A59))=TRUE),
(LEN(_xlfn.SINGLE(
INDEX('Focus Data Tillage by farm'!$D$4:$P$9,MATCH(D59,'Focus Data Tillage by farm'!$C$4:$C$9,0),_xlfn.SINGLE(_xlfn.IFS(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-LEN(SUBSTITUTE(_xlfn.SINGLE(
INDEX('Focus Data Tillage by farm'!$D$4:$P$9,MATCH(D59,'Focus Data Tillage by farm'!$C$4:$C$9,0),_xlfn.SINGLE(_xlfn.IFS(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"disc","")))/LEN("disc"),
(LEN(_xlfn.SINGLE(
INDEX('Focus Data Tillage by farm'!$D$12:$P$17,MATCH(D59,'Focus Data Tillage by farm'!$C$12:$C$17,0),_xlfn.SINGLE(_xlfn.IFS(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-LEN(SUBSTITUTE(_xlfn.SINGLE(
INDEX('Focus Data Tillage by farm'!$D$12:$P$17,MATCH(D59,'Focus Data Tillage by farm'!$C$12:$C$17,0),_xlfn.SINGLE(_xlfn.IFS(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"disc","")))/LEN("disc"))</f>
        <v>2</v>
      </c>
      <c r="AF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"field cultivator","")))/LEN("field cultivator"),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"field cultivator","")))/LEN("field cultivator"))</f>
        <v>0</v>
      </c>
      <c r="AG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"grain drill","")))/LEN("grain drill"),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"grain drill","")))/LEN("grain drill"))</f>
        <v>0</v>
      </c>
      <c r="AH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"minimum tillage","")))/LEN("minimum tillage"),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"minimum tillage","")))/LEN("minimum tillage"))</f>
        <v>1</v>
      </c>
      <c r="AI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"row crop planter","")))/LEN("row crop planter"),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"row crop planter","")))/LEN("row crop planter"))</f>
        <v>0</v>
      </c>
      <c r="AJ59" s="102">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"plough","")))/LEN("plough"),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"plough","")))/LEN("plough"))</f>
        <v>0</v>
      </c>
      <c r="AK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harrow","")))/LEN("roller harrow"),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harrow","")))/LEN("roller harrow"))</f>
        <v>0</v>
      </c>
      <c r="AL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packer","")))/LEN("roller packer"),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"roller packer","")))/LEN("roller packer"))</f>
        <v>2</v>
      </c>
      <c r="AM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"rotary hoe","")))/LEN("rotary hoe"),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"rotary hoe","")))/LEN("rotary hoe"))</f>
        <v>0</v>
      </c>
      <c r="AN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"subsoil","")))/LEN("subsoil"),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"subsoil","")))/LEN("subsoil"))</f>
        <v>0</v>
      </c>
      <c r="AO59">
        <f>IF(OR(ISNUMBER(SEARCH("heavy",A59))=TRUE, ISNUMBER(SEARCH("medium",A59))=TRUE),
(LEN(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farm'!$D$4:$P$9,MATCH(D59,'Focus Data Tillage by farm'!$C$4:$C$9,0),_xlfn.IFS(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"tine harrow","")))/LEN("tine harrow"),
(LEN(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-LEN(SUBSTITUTE(
INDEX('Focus Data Tillage by farm'!$D$12:$P$17,MATCH(D59,'Focus Data Tillage by farm'!$C$12:$C$17,0),_xlfn.IFS(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
"tine harrow","")))/LEN("tine harrow"))</f>
        <v>0</v>
      </c>
      <c r="AP59" s="102">
        <f>INDEX('Focus Data NSpraying'!$D$4:$P$19,MATCH(F59,'Focus Data NSpraying'!$C$4:$C$19,0),_xlfn.IFS(
AND(ISNUMBER(SEARCH("H-Dsty.",A59))=TRUE,ISNUMBER(SEARCH("H-Res",A59))=TRUE,ISNUMBER(SEARCH("E.",A59))=TRUE),1,
AND(ISNUMBER(SEARCH("H-Dsty.",A59))=TRUE,ISNUMBER(SEARCH("H-Res",A59))=TRUE,OR(ISNUMBER(SEARCH("N.he",A59))=TRUE,ISNUMBER(SEARCH("N.me",A59))=TRUE,ISNUMBER(SEARCH("N.li",A59))=TRUE)),2,
AND(ISNUMBER(SEARCH("H-Dsty.",A59))=TRUE,ISNUMBER(SEARCH("H-Res",A59))=TRUE,ISNUMBER(SEARCH("C.",A59))=TRUE),3,
AND(ISNUMBER(SEARCH("L-Dsty.",A59))=TRUE,ISNUMBER(SEARCH("H-Res",A59))=TRUE,ISNUMBER(SEARCH("E.",A59))=TRUE),6,
AND(ISNUMBER(SEARCH("L-Dsty.",A59))=TRUE,ISNUMBER(SEARCH("H-Res",A59))=TRUE,OR(ISNUMBER(SEARCH("N.he",A59))=TRUE,ISNUMBER(SEARCH("N.me",A59))=TRUE,ISNUMBER(SEARCH("N.li",A59))=TRUE)),7,
AND(ISNUMBER(SEARCH("L-Dsty.",A59))=TRUE,ISNUMBER(SEARCH("H-Res",A59))=TRUE,ISNUMBER(SEARCH("C.",A59))=TRUE),8,
AND(ISNUMBER(SEARCH("L-Dsty.",A59))=TRUE,ISNUMBER(SEARCH("L-Res",A59))=TRUE,ISNUMBER(SEARCH("E.",A59))=TRUE),11,
AND(ISNUMBER(SEARCH("L-Dsty.",A59))=TRUE,ISNUMBER(SEARCH("L-Res",A59))=TRUE,OR(ISNUMBER(SEARCH("N.he",A59))=TRUE,ISNUMBER(SEARCH("N.me",A59))=TRUE,ISNUMBER(SEARCH("N.li",A59))=TRUE)),12,
AND(ISNUMBER(SEARCH("L-Dsty.",A59))=TRUE,ISNUMBER(SEARCH("L-Res",A59))=TRUE,ISNUMBER(SEARCH("C.",A59))=TRUE),13))</f>
        <v>4</v>
      </c>
    </row>
    <row r="60" spans="1:42" x14ac:dyDescent="0.2">
      <c r="A60" t="s">
        <v>502</v>
      </c>
      <c r="B60" s="210" t="str">
        <f t="array" ref="B60">INDEX(ECOMOD_input_estimate!$A$2:$A$55, MATCH(CFT_input!$A60, ECOMOD_input_estimate!$B:$B, 0))</f>
        <v>FF_05.2</v>
      </c>
      <c r="C60" s="210">
        <v>2020</v>
      </c>
      <c r="D60" s="395" t="s">
        <v>1696</v>
      </c>
      <c r="E60" s="210" t="str">
        <f t="shared" si="0"/>
        <v>E.heavy.H-Dsty.H-Res</v>
      </c>
      <c r="F60" s="210" t="str">
        <f t="array" ref="F60">_xlfn.SINGLE(IF(OR(ISNUMBER(SEARCH("heavy",A60))=TRUE,ISNUMBER(SEARCH("medium",A60))=TRUE),
INDEX('Focus Data Crop Rotations'!$D$4:$P$9,MATCH(D60,'Focus Data Crop Rotations'!$C$4:$C$9,0),_xlfn.SINGLE(_xlfn.IFS(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INDEX('Focus Data Crop Rotations'!$D$12:$P$17,MATCH(D60,'Focus Data Crop Rotations'!$C$12:$C$17,0),_xlfn.SINGLE(_xlfn.IFS(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winterwheat</v>
      </c>
      <c r="G60">
        <v>7.2</v>
      </c>
      <c r="H60" s="227">
        <f>VLOOKUP(F60,'CFT Specific Data'!$F$4:$H$19,3,FALSE)*G60*
IF(B60=B59,
IF(AND(ISNUMBER(SEARCH("wheat",F60))=TRUE,ISNUMBER(SEARCH("Barley",F59))=TRUE),0.89,
IF(AND(ISNUMBER(SEARCH("wheat",F60))=TRUE,F59="setaside"),0.94,
IF(AND(ISNUMBER(SEARCH("barley",F60))=TRUE,ISNUMBER(SEARCH("wheat",F59))=TRUE),0.89,
IF(AND(F60="winterbarley",F59="setaside"),0.94,
IF(AND(F60="sugarbeet",F59="warepotatoes"),0.95,
IF(AND((OR(ISNUMBER(SEARCH("beans",F60)),ISNUMBER(SEARCH("driedpeas",F60)),ISNUMBER(SEARCH("sugarbeet",F60)))=TRUE),ISNUMBER(SEARCH("osr",F59))=TRUE),0,
IF(AND((OR((ISNUMBER(SEARCH("wheat",F60))),ISNUMBER(SEARCH("linseed",F60)),ISNUMBER(SEARCH("driedpeas",F60)),ISNUMBER(SEARCH("osr",F60)))=TRUE),F59="sugarbeet"),0,
IF(AND((OR((ISNUMBER(SEARCH("osr",F60))),ISNUMBER(SEARCH("linseed",F60)))=TRUE),ISNUMBER(SEARCH("beans",F59))=TRUE),0,
IF(AND(F60="wosr",ISNUMBER(SEARCH("linseed",F59))=TRUE),0,
IF(AND(F60="sugarbeet",F59="warepotatoes"),0,
1)))))))))),
IF(AND(ISNUMBER(SEARCH("wheat",F60))=TRUE,ISNUMBER(SEARCH("Barley",F65))=TRUE),0.89,
IF(AND(ISNUMBER(SEARCH("wheat",F60))=TRUE,F65="setaside"),0.94,
IF(AND(ISNUMBER(SEARCH("barley",F60))=TRUE,ISNUMBER(SEARCH("wheat",F65))=TRUE),0.89,
IF(AND(F60="winterbarley",F65="setaside"),0.94,
IF(AND(F60="sugarbeet",F65="warepotatoes"),0.95,
IF(AND((OR(ISNUMBER(SEARCH("beans",F60)),ISNUMBER(SEARCH("driedpeas",F60)),ISNUMBER(SEARCH("sugarbeet",F60)))=TRUE),ISNUMBER(SEARCH("osr",F65))=TRUE),0,
IF(AND((OR((ISNUMBER(SEARCH("wheat",F60))),ISNUMBER(SEARCH("linseed",F60)),ISNUMBER(SEARCH("driedpeas",F60)),ISNUMBER(SEARCH("osr",F60)))=TRUE),F65="sugarbeet"),0,
IF(AND((OR((ISNUMBER(SEARCH("osr",F60))),ISNUMBER(SEARCH("linseed",F60)))=TRUE),ISNUMBER(SEARCH("beans",F65))=TRUE),0,
IF(AND(F60="wosr",ISNUMBER(SEARCH("linseed",F65))=TRUE),0,
IF(AND(F60="sugarbeet",F65="warepotatoes"),0,
1)))))))))))
*IF(OR(ISNUMBER(SEARCH("wheat",F60)),ISNUMBER(SEARCH("barley",F60)),ISNUMBER(SEARCH("driedpeas",F60)),ISNUMBER(SEARCH("warepotatoes",F60)),ISNUMBER(SEARCH("osr",F60)),ISNUMBER(SEARCH("linseed",F60)),ISNUMBER(SEARCH("sugarbeet",F60))),
IF(COUNTIF(B55:B59,B60)=5,
INDEX('CFT Specific Data'!$G$24:$L$39,MATCH(F60,'CFT Specific Data'!$F$24:$F$39,0),IF(COUNTIF(F55:F59,F60)=5,6,IF(COUNTIF(F56:F59,F60)=4,5,IF(COUNTIF(F57:F59,F60)=3,4,IF(COUNTIF(F58:F59,F60)=2,3,IF(F59=F60,2,1)))))),
IF(COUNTIF(B55:B59,B60)=4,
INDEX('CFT Specific Data'!$G$24:$L$39,MATCH(F60,'CFT Specific Data'!$F$24:$F$39,0),IF(SUM(COUNTIF(F56:F59,F60),COUNTIF(F61,F60))=5,6,IF(COUNTIF(F56:F59,F60)=4,5,IF(COUNTIF(F57:F59,F60)=3,4,IF(COUNTIF(F58:F59,F60)=2,3,IF(F59=F60,2,1)))))),
IF(COUNTIF(B55:B59,B60)=3,
INDEX('CFT Specific Data'!$G$24:$L$39,MATCH(F60,'CFT Specific Data'!$F$24:$F$39,0),IF(SUM(COUNTIF(F57:F59,F60),COUNTIF(F61:F62,F60))=5,6,IF(SUM(COUNTIF(F57:F59,F60),COUNTIF(F62,F60))=4,5,IF(COUNTIF(F57:F59,F60)=3,4,IF(COUNTIF(F58:F59,F60)=2,3,IF(F59=F60,2,1)))))),
IF(COUNTIF(B55:B59,B60)=2,
INDEX('CFT Specific Data'!$G$24:$L$39,MATCH(F60,'CFT Specific Data'!$F$24:$F$39,0),IF(SUM(COUNTIF(F58:F59,F60),COUNTIF(F61:F63,F60))=5,6,IF(SUM(COUNTIF(F58:F59,F60),COUNTIF(F62:F63,F60))=4,5,IF(SUM(COUNTIF(F58:F59,F60),COUNTIF(F63,F60))=3,4,IF(COUNTIF(F58:F59,F60)=2,3,IF(F59=F60,2,1)))))),
IF(COUNTIF(B55:B59,B60)=1,
INDEX('CFT Specific Data'!$G$24:$L$39,MATCH(F60,'CFT Specific Data'!$F$24:$F$39,0),IF(SUM(COUNTIF(F59,F60),COUNTIF(F61:F64,F60))=5,6,IF(SUM(COUNTIF(F59,F60),COUNTIF(F62:F64,F60))=4,5,IF(SUM(COUNTIF(F59,F60),COUNTIF(F63:F64,F60))=3,4,IF(SUM(COUNTIF(F59,F60),COUNTIF(F64,F60))=2,3,IF(F59=F60,2,1)))))),
IF(COUNTIF(B55:B59,B60)=0,
INDEX('CFT Specific Data'!$G$24:$L$39,MATCH(F60,'CFT Specific Data'!$F$24:$F$39,0),IF(COUNTIF(F61:F65,F60)=5,6,IF(COUNTIF(F62:F65,F60)=4,5,IF(COUNTIF(F63:F65,F60)=3,4,IF(COUNTIF(F64:F65,F60)=2,3,IF(F65=F60,2,1)))))))))))),1)</f>
        <v>61.92</v>
      </c>
      <c r="I60" s="210" t="s">
        <v>348</v>
      </c>
      <c r="J60">
        <v>10</v>
      </c>
      <c r="K60" s="210" t="str">
        <f>VLOOKUP(F60,'CFT Specific Data'!$F$4:$G$19,2,FALSE)</f>
        <v>Winter wheat</v>
      </c>
      <c r="L60" t="str">
        <f t="shared" si="1"/>
        <v>Fine</v>
      </c>
      <c r="M60">
        <f t="shared" si="2"/>
        <v>5.8479999999999999</v>
      </c>
      <c r="N60" t="str">
        <f t="shared" si="3"/>
        <v>5.16 &lt; SOM &lt;= 10.32</v>
      </c>
      <c r="O60" t="s">
        <v>349</v>
      </c>
      <c r="P60" t="s">
        <v>350</v>
      </c>
      <c r="Q60">
        <v>7</v>
      </c>
      <c r="R60" t="str">
        <f t="shared" si="6"/>
        <v>5.5 &lt; pH &lt;= 7.3</v>
      </c>
      <c r="S60" t="s">
        <v>351</v>
      </c>
      <c r="T60" s="210">
        <f t="array" ref="T60">_xlfn.SINGLE(INDEX('Focus Data NFertiliser Rate'!$D$4:$P$19,MATCH(F60,'Focus Data NFertiliser Rate'!$C$4:$C$19,0),_xlfn.SINGLE(_xlfn.IFS(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220</v>
      </c>
      <c r="U60" t="str">
        <f t="shared" si="4"/>
        <v>Apply in solution</v>
      </c>
      <c r="V60" s="210">
        <f t="array" ref="V60">_xlfn.SINGLE(INDEX('№ Fertiliser sprayings'!$D$4:$P$19,MATCH(F60,'№ Fertiliser sprayings'!$C$4:$C$19,0),_xlfn.SINGLE(_xlfn.IFS(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3</v>
      </c>
      <c r="W60" s="264">
        <f t="array" ref="W60">_xlfn.SINGLE(INDEX('Focus Data CFT NSpraying'!$D$4:$P$19,MATCH(F60,'Focus Data CFT NSpraying'!$C$4:$C$19,0),_xlfn.SINGLE(_xlfn.IFS(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17.876000000000001</v>
      </c>
      <c r="X60" t="s">
        <v>363</v>
      </c>
      <c r="Y60">
        <v>0</v>
      </c>
      <c r="Z60">
        <v>100</v>
      </c>
      <c r="AA60" t="s">
        <v>352</v>
      </c>
      <c r="AB60" s="226" t="str">
        <f>IF(B60=B59,_xlfn.IFS(
AND(AA60=Lists!$L$8,AA59=Lists!$L$8),Lists!$N$5,
AND(OR(AA60=Lists!$L$5,AA60=Lists!$L$7,AA60=Lists!$L$9,AA60=Lists!$L$10,AA60=Lists!$L$6),OR(AA59=Lists!$L$5,AA59=Lists!$L$7,AA59=Lists!$L$9,AA59=Lists!$L$10,AA59=Lists!$L$6)),Lists!$N$5,
AND(AA60=Lists!$L$8,OR(AA59=Lists!$L$5,AA59=Lists!$L$7,AA59=Lists!$L$9,AA59=Lists!$L$10,AA59=Lists!$L$6)),Lists!$N$6,
AND(OR(AA60=Lists!$L$5,AA60=Lists!$L$6,AA60=Lists!$L$7,AA60=Lists!$L$9,AA60=Lists!$L$10),AA59=Lists!$L$8),Lists!$N$7),
_xlfn.IFS(
AND(AA60=Lists!$L$8,AA65=Lists!$L$8),Lists!$N$5,
AND(OR(AA60=Lists!$L$5,AA60=Lists!$L$7,AA60=Lists!$L$9,AA60=Lists!$L$10,AA60=Lists!$L$6),OR(AA65=Lists!$L$5,AA65=Lists!$L$7,AA65=Lists!$L$9,AA65=Lists!$L$10,AA65=Lists!$L$6)),Lists!$N$5,
AND(AA60=Lists!$L$8,OR(AA65=Lists!$L$5,AA65=Lists!$L$7,AA65=Lists!$L$9,AA65=Lists!$L$10,AA65=Lists!$L$6)),Lists!$N$6,
AND(OR(AA60=Lists!$L$5,AA60=Lists!$L$7,AA60=Lists!$L$9,AA60=Lists!$L$10),AA65=Lists!$L$8),Lists!$N$7))</f>
        <v>no change</v>
      </c>
      <c r="AC60">
        <v>0</v>
      </c>
      <c r="AD60">
        <v>0</v>
      </c>
      <c r="AE60" s="102">
        <f t="array" ref="AE60">IF(OR(ISNUMBER(SEARCH("heavy",A60))=TRUE, ISNUMBER(SEARCH("medium",A60))=TRUE),
(LEN(_xlfn.SINGLE(
INDEX('Focus Data Tillage by farm'!$D$4:$P$9,MATCH(D60,'Focus Data Tillage by farm'!$C$4:$C$9,0),_xlfn.SINGLE(_xlfn.IFS(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-LEN(SUBSTITUTE(_xlfn.SINGLE(
INDEX('Focus Data Tillage by farm'!$D$4:$P$9,MATCH(D60,'Focus Data Tillage by farm'!$C$4:$C$9,0),_xlfn.SINGLE(_xlfn.IFS(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"disc","")))/LEN("disc"),
(LEN(_xlfn.SINGLE(
INDEX('Focus Data Tillage by farm'!$D$12:$P$17,MATCH(D60,'Focus Data Tillage by farm'!$C$12:$C$17,0),_xlfn.SINGLE(_xlfn.IFS(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-LEN(SUBSTITUTE(_xlfn.SINGLE(
INDEX('Focus Data Tillage by farm'!$D$12:$P$17,MATCH(D60,'Focus Data Tillage by farm'!$C$12:$C$17,0),_xlfn.SINGLE(_xlfn.IFS(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"disc","")))/LEN("disc"))</f>
        <v>1</v>
      </c>
      <c r="AF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"field cultivator","")))/LEN("field cultivator"),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"field cultivator","")))/LEN("field cultivator"))</f>
        <v>0</v>
      </c>
      <c r="AG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"grain drill","")))/LEN("grain drill"),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"grain drill","")))/LEN("grain drill"))</f>
        <v>0</v>
      </c>
      <c r="AH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"minimum tillage","")))/LEN("minimum tillage"),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"minimum tillage","")))/LEN("minimum tillage"))</f>
        <v>1</v>
      </c>
      <c r="AI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"row crop planter","")))/LEN("row crop planter"),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"row crop planter","")))/LEN("row crop planter"))</f>
        <v>0</v>
      </c>
      <c r="AJ60" s="102">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"plough","")))/LEN("plough"),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"plough","")))/LEN("plough"))</f>
        <v>1</v>
      </c>
      <c r="AK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harrow","")))/LEN("roller harrow"),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harrow","")))/LEN("roller harrow"))</f>
        <v>1</v>
      </c>
      <c r="AL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packer","")))/LEN("roller packer"),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"roller packer","")))/LEN("roller packer"))</f>
        <v>2</v>
      </c>
      <c r="AM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"rotary hoe","")))/LEN("rotary hoe"),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"rotary hoe","")))/LEN("rotary hoe"))</f>
        <v>0</v>
      </c>
      <c r="AN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"subsoil","")))/LEN("subsoil"),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"subsoil","")))/LEN("subsoil"))</f>
        <v>0</v>
      </c>
      <c r="AO60">
        <f>IF(OR(ISNUMBER(SEARCH("heavy",A60))=TRUE, ISNUMBER(SEARCH("medium",A60))=TRUE),
(LEN(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farm'!$D$4:$P$9,MATCH(D60,'Focus Data Tillage by farm'!$C$4:$C$9,0),_xlfn.IFS(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"tine harrow","")))/LEN("tine harrow"),
(LEN(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-LEN(SUBSTITUTE(
INDEX('Focus Data Tillage by farm'!$D$12:$P$17,MATCH(D60,'Focus Data Tillage by farm'!$C$12:$C$17,0),_xlfn.IFS(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
"tine harrow","")))/LEN("tine harrow"))</f>
        <v>0</v>
      </c>
      <c r="AP60" s="102">
        <f>INDEX('Focus Data NSpraying'!$D$4:$P$19,MATCH(F60,'Focus Data NSpraying'!$C$4:$C$19,0),_xlfn.IFS(
AND(ISNUMBER(SEARCH("H-Dsty.",A60))=TRUE,ISNUMBER(SEARCH("H-Res",A60))=TRUE,ISNUMBER(SEARCH("E.",A60))=TRUE),1,
AND(ISNUMBER(SEARCH("H-Dsty.",A60))=TRUE,ISNUMBER(SEARCH("H-Res",A60))=TRUE,OR(ISNUMBER(SEARCH("N.he",A60))=TRUE,ISNUMBER(SEARCH("N.me",A60))=TRUE,ISNUMBER(SEARCH("N.li",A60))=TRUE)),2,
AND(ISNUMBER(SEARCH("H-Dsty.",A60))=TRUE,ISNUMBER(SEARCH("H-Res",A60))=TRUE,ISNUMBER(SEARCH("C.",A60))=TRUE),3,
AND(ISNUMBER(SEARCH("L-Dsty.",A60))=TRUE,ISNUMBER(SEARCH("H-Res",A60))=TRUE,ISNUMBER(SEARCH("E.",A60))=TRUE),6,
AND(ISNUMBER(SEARCH("L-Dsty.",A60))=TRUE,ISNUMBER(SEARCH("H-Res",A60))=TRUE,OR(ISNUMBER(SEARCH("N.he",A60))=TRUE,ISNUMBER(SEARCH("N.me",A60))=TRUE,ISNUMBER(SEARCH("N.li",A60))=TRUE)),7,
AND(ISNUMBER(SEARCH("L-Dsty.",A60))=TRUE,ISNUMBER(SEARCH("H-Res",A60))=TRUE,ISNUMBER(SEARCH("C.",A60))=TRUE),8,
AND(ISNUMBER(SEARCH("L-Dsty.",A60))=TRUE,ISNUMBER(SEARCH("L-Res",A60))=TRUE,ISNUMBER(SEARCH("E.",A60))=TRUE),11,
AND(ISNUMBER(SEARCH("L-Dsty.",A60))=TRUE,ISNUMBER(SEARCH("L-Res",A60))=TRUE,OR(ISNUMBER(SEARCH("N.he",A60))=TRUE,ISNUMBER(SEARCH("N.me",A60))=TRUE,ISNUMBER(SEARCH("N.li",A60))=TRUE)),12,
AND(ISNUMBER(SEARCH("L-Dsty.",A60))=TRUE,ISNUMBER(SEARCH("L-Res",A60))=TRUE,ISNUMBER(SEARCH("C.",A60))=TRUE),13))</f>
        <v>6</v>
      </c>
    </row>
    <row r="61" spans="1:42" x14ac:dyDescent="0.2">
      <c r="A61" t="s">
        <v>502</v>
      </c>
      <c r="B61" s="210" t="str">
        <f t="array" ref="B61">INDEX(ECOMOD_input_estimate!$A$2:$A$55, MATCH(CFT_input!$A61, ECOMOD_input_estimate!$B:$B, 0))</f>
        <v>FF_05.2</v>
      </c>
      <c r="C61" s="210">
        <v>2020</v>
      </c>
      <c r="D61" s="395" t="s">
        <v>735</v>
      </c>
      <c r="E61" s="210" t="str">
        <f t="shared" si="0"/>
        <v>E.heavy.H-Dsty.H-Res</v>
      </c>
      <c r="F61" s="210" t="str">
        <f t="array" ref="F61">_xlfn.SINGLE(IF(OR(ISNUMBER(SEARCH("heavy",A61))=TRUE,ISNUMBER(SEARCH("medium",A61))=TRUE),
INDEX('Focus Data Crop Rotations'!$D$4:$P$9,MATCH(D61,'Focus Data Crop Rotations'!$C$4:$C$9,0),_xlfn.SINGLE(_xlfn.IFS(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INDEX('Focus Data Crop Rotations'!$D$12:$P$17,MATCH(D61,'Focus Data Crop Rotations'!$C$12:$C$17,0),_xlfn.SINGLE(_xlfn.IFS(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springlinseed</v>
      </c>
      <c r="G61">
        <v>7.2</v>
      </c>
      <c r="H61" s="227">
        <f>VLOOKUP(F61,'CFT Specific Data'!$F$4:$H$19,3,FALSE)*G61*
IF(B61=B60,
IF(AND(ISNUMBER(SEARCH("wheat",F61))=TRUE,ISNUMBER(SEARCH("Barley",F60))=TRUE),0.89,
IF(AND(ISNUMBER(SEARCH("wheat",F61))=TRUE,F60="setaside"),0.94,
IF(AND(ISNUMBER(SEARCH("barley",F61))=TRUE,ISNUMBER(SEARCH("wheat",F60))=TRUE),0.89,
IF(AND(F61="winterbarley",F60="setaside"),0.94,
IF(AND(F61="sugarbeet",F60="warepotatoes"),0.95,
IF(AND((OR(ISNUMBER(SEARCH("beans",F61)),ISNUMBER(SEARCH("driedpeas",F61)),ISNUMBER(SEARCH("sugarbeet",F61)))=TRUE),ISNUMBER(SEARCH("osr",F60))=TRUE),0,
IF(AND((OR((ISNUMBER(SEARCH("wheat",F61))),ISNUMBER(SEARCH("linseed",F61)),ISNUMBER(SEARCH("driedpeas",F61)),ISNUMBER(SEARCH("osr",F61)))=TRUE),F60="sugarbeet"),0,
IF(AND((OR((ISNUMBER(SEARCH("osr",F61))),ISNUMBER(SEARCH("linseed",F61)))=TRUE),ISNUMBER(SEARCH("beans",F60))=TRUE),0,
IF(AND(F61="wosr",ISNUMBER(SEARCH("linseed",F60))=TRUE),0,
IF(AND(F61="sugarbeet",F60="warepotatoes"),0,
1)))))))))),
IF(AND(ISNUMBER(SEARCH("wheat",F61))=TRUE,ISNUMBER(SEARCH("Barley",F66))=TRUE),0.89,
IF(AND(ISNUMBER(SEARCH("wheat",F61))=TRUE,F66="setaside"),0.94,
IF(AND(ISNUMBER(SEARCH("barley",F61))=TRUE,ISNUMBER(SEARCH("wheat",F66))=TRUE),0.89,
IF(AND(F61="winterbarley",F66="setaside"),0.94,
IF(AND(F61="sugarbeet",F66="warepotatoes"),0.95,
IF(AND((OR(ISNUMBER(SEARCH("beans",F61)),ISNUMBER(SEARCH("driedpeas",F61)),ISNUMBER(SEARCH("sugarbeet",F61)))=TRUE),ISNUMBER(SEARCH("osr",F66))=TRUE),0,
IF(AND((OR((ISNUMBER(SEARCH("wheat",F61))),ISNUMBER(SEARCH("linseed",F61)),ISNUMBER(SEARCH("driedpeas",F61)),ISNUMBER(SEARCH("osr",F61)))=TRUE),F66="sugarbeet"),0,
IF(AND((OR((ISNUMBER(SEARCH("osr",F61))),ISNUMBER(SEARCH("linseed",F61)))=TRUE),ISNUMBER(SEARCH("beans",F66))=TRUE),0,
IF(AND(F61="wosr",ISNUMBER(SEARCH("linseed",F66))=TRUE),0,
IF(AND(F61="sugarbeet",F66="warepotatoes"),0,
1)))))))))))
*IF(OR(ISNUMBER(SEARCH("wheat",F61)),ISNUMBER(SEARCH("barley",F61)),ISNUMBER(SEARCH("driedpeas",F61)),ISNUMBER(SEARCH("warepotatoes",F61)),ISNUMBER(SEARCH("osr",F61)),ISNUMBER(SEARCH("linseed",F61)),ISNUMBER(SEARCH("sugarbeet",F61))),
IF(COUNTIF(B56:B60,B61)=5,
INDEX('CFT Specific Data'!$G$24:$L$39,MATCH(F61,'CFT Specific Data'!$F$24:$F$39,0),IF(COUNTIF(F56:F60,F61)=5,6,IF(COUNTIF(F57:F60,F61)=4,5,IF(COUNTIF(F58:F60,F61)=3,4,IF(COUNTIF(F59:F60,F61)=2,3,IF(F60=F61,2,1)))))),
IF(COUNTIF(B56:B60,B61)=4,
INDEX('CFT Specific Data'!$G$24:$L$39,MATCH(F61,'CFT Specific Data'!$F$24:$F$39,0),IF(SUM(COUNTIF(F57:F60,F61),COUNTIF(F62,F61))=5,6,IF(COUNTIF(F57:F60,F61)=4,5,IF(COUNTIF(F58:F60,F61)=3,4,IF(COUNTIF(F59:F60,F61)=2,3,IF(F60=F61,2,1)))))),
IF(COUNTIF(B56:B60,B61)=3,
INDEX('CFT Specific Data'!$G$24:$L$39,MATCH(F61,'CFT Specific Data'!$F$24:$F$39,0),IF(SUM(COUNTIF(F58:F60,F61),COUNTIF(F62:F63,F61))=5,6,IF(SUM(COUNTIF(F58:F60,F61),COUNTIF(F63,F61))=4,5,IF(COUNTIF(F58:F60,F61)=3,4,IF(COUNTIF(F59:F60,F61)=2,3,IF(F60=F61,2,1)))))),
IF(COUNTIF(B56:B60,B61)=2,
INDEX('CFT Specific Data'!$G$24:$L$39,MATCH(F61,'CFT Specific Data'!$F$24:$F$39,0),IF(SUM(COUNTIF(F59:F60,F61),COUNTIF(F62:F64,F61))=5,6,IF(SUM(COUNTIF(F59:F60,F61),COUNTIF(F63:F64,F61))=4,5,IF(SUM(COUNTIF(F59:F60,F61),COUNTIF(F64,F61))=3,4,IF(COUNTIF(F59:F60,F61)=2,3,IF(F60=F61,2,1)))))),
IF(COUNTIF(B56:B60,B61)=1,
INDEX('CFT Specific Data'!$G$24:$L$39,MATCH(F61,'CFT Specific Data'!$F$24:$F$39,0),IF(SUM(COUNTIF(F60,F61),COUNTIF(F62:F65,F61))=5,6,IF(SUM(COUNTIF(F60,F61),COUNTIF(F63:F65,F61))=4,5,IF(SUM(COUNTIF(F60,F61),COUNTIF(F64:F65,F61))=3,4,IF(SUM(COUNTIF(F60,F61),COUNTIF(F65,F61))=2,3,IF(F60=F61,2,1)))))),
IF(COUNTIF(B56:B60,B61)=0,
INDEX('CFT Specific Data'!$G$24:$L$39,MATCH(F61,'CFT Specific Data'!$F$24:$F$39,0),IF(COUNTIF(F62:F66,F61)=5,6,IF(COUNTIF(F63:F66,F61)=4,5,IF(COUNTIF(F64:F66,F61)=3,4,IF(COUNTIF(F65:F66,F61)=2,3,IF(F66=F61,2,1)))))))))))),1)</f>
        <v>12.6</v>
      </c>
      <c r="I61" s="210" t="s">
        <v>348</v>
      </c>
      <c r="J61">
        <v>10</v>
      </c>
      <c r="K61" s="210" t="str">
        <f>VLOOKUP(F61,'CFT Specific Data'!$F$4:$G$19,2,FALSE)</f>
        <v>Other</v>
      </c>
      <c r="L61" t="str">
        <f t="shared" si="1"/>
        <v>Fine</v>
      </c>
      <c r="M61">
        <f t="shared" si="2"/>
        <v>5.8479999999999999</v>
      </c>
      <c r="N61" t="str">
        <f t="shared" si="3"/>
        <v>5.16 &lt; SOM &lt;= 10.32</v>
      </c>
      <c r="O61" t="s">
        <v>349</v>
      </c>
      <c r="P61" t="s">
        <v>350</v>
      </c>
      <c r="Q61">
        <v>7</v>
      </c>
      <c r="R61" t="str">
        <f t="shared" si="6"/>
        <v>5.5 &lt; pH &lt;= 7.3</v>
      </c>
      <c r="S61" t="s">
        <v>351</v>
      </c>
      <c r="T61" s="210">
        <f t="array" ref="T61">_xlfn.SINGLE(INDEX('Focus Data NFertiliser Rate'!$D$4:$P$19,MATCH(F61,'Focus Data NFertiliser Rate'!$C$4:$C$19,0),_xlfn.SINGLE(_xlfn.IFS(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80</v>
      </c>
      <c r="U61" t="str">
        <f t="shared" si="4"/>
        <v>Apply in solution</v>
      </c>
      <c r="V61" s="210">
        <f t="array" ref="V61">_xlfn.SINGLE(INDEX('№ Fertiliser sprayings'!$D$4:$P$19,MATCH(F61,'№ Fertiliser sprayings'!$C$4:$C$19,0),_xlfn.SINGLE(_xlfn.IFS(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1</v>
      </c>
      <c r="W61" s="264">
        <f t="array" ref="W61">_xlfn.SINGLE(INDEX('Focus Data CFT NSpraying'!$D$4:$P$19,MATCH(F61,'Focus Data CFT NSpraying'!$C$4:$C$19,0),_xlfn.SINGLE(_xlfn.IFS(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11.246</v>
      </c>
      <c r="X61" t="s">
        <v>363</v>
      </c>
      <c r="Y61">
        <v>0</v>
      </c>
      <c r="Z61">
        <v>100</v>
      </c>
      <c r="AA61" t="s">
        <v>352</v>
      </c>
      <c r="AB61" s="226" t="str">
        <f>IF(B61=B60,_xlfn.IFS(
AND(AA61=Lists!$L$8,AA60=Lists!$L$8),Lists!$N$5,
AND(OR(AA61=Lists!$L$5,AA61=Lists!$L$7,AA61=Lists!$L$9,AA61=Lists!$L$10,AA61=Lists!$L$6),OR(AA60=Lists!$L$5,AA60=Lists!$L$7,AA60=Lists!$L$9,AA60=Lists!$L$10,AA60=Lists!$L$6)),Lists!$N$5,
AND(AA61=Lists!$L$8,OR(AA60=Lists!$L$5,AA60=Lists!$L$7,AA60=Lists!$L$9,AA60=Lists!$L$10,AA60=Lists!$L$6)),Lists!$N$6,
AND(OR(AA61=Lists!$L$5,AA61=Lists!$L$6,AA61=Lists!$L$7,AA61=Lists!$L$9,AA61=Lists!$L$10),AA60=Lists!$L$8),Lists!$N$7),
_xlfn.IFS(
AND(AA61=Lists!$L$8,AA66=Lists!$L$8),Lists!$N$5,
AND(OR(AA61=Lists!$L$5,AA61=Lists!$L$7,AA61=Lists!$L$9,AA61=Lists!$L$10,AA61=Lists!$L$6),OR(AA66=Lists!$L$5,AA66=Lists!$L$7,AA66=Lists!$L$9,AA66=Lists!$L$10,AA66=Lists!$L$6)),Lists!$N$5,
AND(AA61=Lists!$L$8,OR(AA66=Lists!$L$5,AA66=Lists!$L$7,AA66=Lists!$L$9,AA66=Lists!$L$10,AA66=Lists!$L$6)),Lists!$N$6,
AND(OR(AA61=Lists!$L$5,AA61=Lists!$L$7,AA61=Lists!$L$9,AA61=Lists!$L$10),AA66=Lists!$L$8),Lists!$N$7))</f>
        <v>no change</v>
      </c>
      <c r="AC61">
        <v>0</v>
      </c>
      <c r="AD61">
        <v>0</v>
      </c>
      <c r="AE61" s="102">
        <f t="array" ref="AE61">IF(OR(ISNUMBER(SEARCH("heavy",A61))=TRUE, ISNUMBER(SEARCH("medium",A61))=TRUE),
(LEN(_xlfn.SINGLE(
INDEX('Focus Data Tillage by farm'!$D$4:$P$9,MATCH(D61,'Focus Data Tillage by farm'!$C$4:$C$9,0),_xlfn.SINGLE(_xlfn.IFS(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-LEN(SUBSTITUTE(_xlfn.SINGLE(
INDEX('Focus Data Tillage by farm'!$D$4:$P$9,MATCH(D61,'Focus Data Tillage by farm'!$C$4:$C$9,0),_xlfn.SINGLE(_xlfn.IFS(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"disc","")))/LEN("disc"),
(LEN(_xlfn.SINGLE(
INDEX('Focus Data Tillage by farm'!$D$12:$P$17,MATCH(D61,'Focus Data Tillage by farm'!$C$12:$C$17,0),_xlfn.SINGLE(_xlfn.IFS(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-LEN(SUBSTITUTE(_xlfn.SINGLE(
INDEX('Focus Data Tillage by farm'!$D$12:$P$17,MATCH(D61,'Focus Data Tillage by farm'!$C$12:$C$17,0),_xlfn.SINGLE(_xlfn.IFS(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"disc","")))/LEN("disc"))</f>
        <v>3</v>
      </c>
      <c r="AF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"field cultivator","")))/LEN("field cultivator"),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"field cultivator","")))/LEN("field cultivator"))</f>
        <v>0</v>
      </c>
      <c r="AG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"grain drill","")))/LEN("grain drill"),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"grain drill","")))/LEN("grain drill"))</f>
        <v>0</v>
      </c>
      <c r="AH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"minimum tillage","")))/LEN("minimum tillage"),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"minimum tillage","")))/LEN("minimum tillage"))</f>
        <v>1</v>
      </c>
      <c r="AI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"row crop planter","")))/LEN("row crop planter"),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"row crop planter","")))/LEN("row crop planter"))</f>
        <v>0</v>
      </c>
      <c r="AJ61" s="102">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"plough","")))/LEN("plough"),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"plough","")))/LEN("plough"))</f>
        <v>0</v>
      </c>
      <c r="AK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harrow","")))/LEN("roller harrow"),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harrow","")))/LEN("roller harrow"))</f>
        <v>0</v>
      </c>
      <c r="AL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packer","")))/LEN("roller packer"),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"roller packer","")))/LEN("roller packer"))</f>
        <v>2</v>
      </c>
      <c r="AM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"rotary hoe","")))/LEN("rotary hoe"),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"rotary hoe","")))/LEN("rotary hoe"))</f>
        <v>0</v>
      </c>
      <c r="AN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"subsoil","")))/LEN("subsoil"),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"subsoil","")))/LEN("subsoil"))</f>
        <v>0</v>
      </c>
      <c r="AO61">
        <f>IF(OR(ISNUMBER(SEARCH("heavy",A61))=TRUE, ISNUMBER(SEARCH("medium",A61))=TRUE),
(LEN(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farm'!$D$4:$P$9,MATCH(D61,'Focus Data Tillage by farm'!$C$4:$C$9,0),_xlfn.IFS(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"tine harrow","")))/LEN("tine harrow"),
(LEN(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-LEN(SUBSTITUTE(
INDEX('Focus Data Tillage by farm'!$D$12:$P$17,MATCH(D61,'Focus Data Tillage by farm'!$C$12:$C$17,0),_xlfn.IFS(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
"tine harrow","")))/LEN("tine harrow"))</f>
        <v>0</v>
      </c>
      <c r="AP61" s="102">
        <f>INDEX('Focus Data NSpraying'!$D$4:$P$19,MATCH(F61,'Focus Data NSpraying'!$C$4:$C$19,0),_xlfn.IFS(
AND(ISNUMBER(SEARCH("H-Dsty.",A61))=TRUE,ISNUMBER(SEARCH("H-Res",A61))=TRUE,ISNUMBER(SEARCH("E.",A61))=TRUE),1,
AND(ISNUMBER(SEARCH("H-Dsty.",A61))=TRUE,ISNUMBER(SEARCH("H-Res",A61))=TRUE,OR(ISNUMBER(SEARCH("N.he",A61))=TRUE,ISNUMBER(SEARCH("N.me",A61))=TRUE,ISNUMBER(SEARCH("N.li",A61))=TRUE)),2,
AND(ISNUMBER(SEARCH("H-Dsty.",A61))=TRUE,ISNUMBER(SEARCH("H-Res",A61))=TRUE,ISNUMBER(SEARCH("C.",A61))=TRUE),3,
AND(ISNUMBER(SEARCH("L-Dsty.",A61))=TRUE,ISNUMBER(SEARCH("H-Res",A61))=TRUE,ISNUMBER(SEARCH("E.",A61))=TRUE),6,
AND(ISNUMBER(SEARCH("L-Dsty.",A61))=TRUE,ISNUMBER(SEARCH("H-Res",A61))=TRUE,OR(ISNUMBER(SEARCH("N.he",A61))=TRUE,ISNUMBER(SEARCH("N.me",A61))=TRUE,ISNUMBER(SEARCH("N.li",A61))=TRUE)),7,
AND(ISNUMBER(SEARCH("L-Dsty.",A61))=TRUE,ISNUMBER(SEARCH("H-Res",A61))=TRUE,ISNUMBER(SEARCH("C.",A61))=TRUE),8,
AND(ISNUMBER(SEARCH("L-Dsty.",A61))=TRUE,ISNUMBER(SEARCH("L-Res",A61))=TRUE,ISNUMBER(SEARCH("E.",A61))=TRUE),11,
AND(ISNUMBER(SEARCH("L-Dsty.",A61))=TRUE,ISNUMBER(SEARCH("L-Res",A61))=TRUE,OR(ISNUMBER(SEARCH("N.he",A61))=TRUE,ISNUMBER(SEARCH("N.me",A61))=TRUE,ISNUMBER(SEARCH("N.li",A61))=TRUE)),12,
AND(ISNUMBER(SEARCH("L-Dsty.",A61))=TRUE,ISNUMBER(SEARCH("L-Res",A61))=TRUE,ISNUMBER(SEARCH("C.",A61))=TRUE),13))</f>
        <v>5</v>
      </c>
    </row>
    <row r="62" spans="1:42" x14ac:dyDescent="0.2">
      <c r="A62" t="s">
        <v>503</v>
      </c>
      <c r="B62" s="210" t="str">
        <f t="array" ref="B62">INDEX(ECOMOD_input_estimate!$A$2:$A$55, MATCH(CFT_input!$A62, ECOMOD_input_estimate!$B:$B, 0))</f>
        <v>FF_11.2</v>
      </c>
      <c r="C62" s="210">
        <v>2020</v>
      </c>
      <c r="D62" s="395" t="s">
        <v>731</v>
      </c>
      <c r="E62" s="210" t="str">
        <f t="shared" si="0"/>
        <v>E.heavy.L-Dsty.H-Res</v>
      </c>
      <c r="F62" s="210" t="str">
        <f t="array" ref="F62">_xlfn.SINGLE(IF(OR(ISNUMBER(SEARCH("heavy",A62))=TRUE,ISNUMBER(SEARCH("medium",A62))=TRUE),
INDEX('Focus Data Crop Rotations'!$D$4:$P$9,MATCH(D62,'Focus Data Crop Rotations'!$C$4:$C$9,0),_xlfn.SINGLE(_xlfn.IFS(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INDEX('Focus Data Crop Rotations'!$D$12:$P$17,MATCH(D62,'Focus Data Crop Rotations'!$C$12:$C$17,0),_xlfn.SINGLE(_xlfn.IFS(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winterwheat</v>
      </c>
      <c r="G62">
        <v>7.2</v>
      </c>
      <c r="H62" s="227">
        <f>VLOOKUP(F62,'CFT Specific Data'!$F$4:$H$19,3,FALSE)*G62*
IF(B62=B61,
IF(AND(ISNUMBER(SEARCH("wheat",F62))=TRUE,ISNUMBER(SEARCH("Barley",F61))=TRUE),0.89,
IF(AND(ISNUMBER(SEARCH("wheat",F62))=TRUE,F61="setaside"),0.94,
IF(AND(ISNUMBER(SEARCH("barley",F62))=TRUE,ISNUMBER(SEARCH("wheat",F61))=TRUE),0.89,
IF(AND(F62="winterbarley",F61="setaside"),0.94,
IF(AND(F62="sugarbeet",F61="warepotatoes"),0.95,
IF(AND((OR(ISNUMBER(SEARCH("beans",F62)),ISNUMBER(SEARCH("driedpeas",F62)),ISNUMBER(SEARCH("sugarbeet",F62)))=TRUE),ISNUMBER(SEARCH("osr",F61))=TRUE),0,
IF(AND((OR((ISNUMBER(SEARCH("wheat",F62))),ISNUMBER(SEARCH("linseed",F62)),ISNUMBER(SEARCH("driedpeas",F62)),ISNUMBER(SEARCH("osr",F62)))=TRUE),F61="sugarbeet"),0,
IF(AND((OR((ISNUMBER(SEARCH("osr",F62))),ISNUMBER(SEARCH("linseed",F62)))=TRUE),ISNUMBER(SEARCH("beans",F61))=TRUE),0,
IF(AND(F62="wosr",ISNUMBER(SEARCH("linseed",F61))=TRUE),0,
IF(AND(F62="sugarbeet",F61="warepotatoes"),0,
1)))))))))),
IF(AND(ISNUMBER(SEARCH("wheat",F62))=TRUE,ISNUMBER(SEARCH("Barley",F67))=TRUE),0.89,
IF(AND(ISNUMBER(SEARCH("wheat",F62))=TRUE,F67="setaside"),0.94,
IF(AND(ISNUMBER(SEARCH("barley",F62))=TRUE,ISNUMBER(SEARCH("wheat",F67))=TRUE),0.89,
IF(AND(F62="winterbarley",F67="setaside"),0.94,
IF(AND(F62="sugarbeet",F67="warepotatoes"),0.95,
IF(AND((OR(ISNUMBER(SEARCH("beans",F62)),ISNUMBER(SEARCH("driedpeas",F62)),ISNUMBER(SEARCH("sugarbeet",F62)))=TRUE),ISNUMBER(SEARCH("osr",F67))=TRUE),0,
IF(AND((OR((ISNUMBER(SEARCH("wheat",F62))),ISNUMBER(SEARCH("linseed",F62)),ISNUMBER(SEARCH("driedpeas",F62)),ISNUMBER(SEARCH("osr",F62)))=TRUE),F67="sugarbeet"),0,
IF(AND((OR((ISNUMBER(SEARCH("osr",F62))),ISNUMBER(SEARCH("linseed",F62)))=TRUE),ISNUMBER(SEARCH("beans",F67))=TRUE),0,
IF(AND(F62="wosr",ISNUMBER(SEARCH("linseed",F67))=TRUE),0,
IF(AND(F62="sugarbeet",F67="warepotatoes"),0,
1)))))))))))
*IF(OR(ISNUMBER(SEARCH("wheat",F62)),ISNUMBER(SEARCH("barley",F62)),ISNUMBER(SEARCH("driedpeas",F62)),ISNUMBER(SEARCH("warepotatoes",F62)),ISNUMBER(SEARCH("osr",F62)),ISNUMBER(SEARCH("linseed",F62)),ISNUMBER(SEARCH("sugarbeet",F62))),
IF(COUNTIF(B57:B61,B62)=5,
INDEX('CFT Specific Data'!$G$24:$L$39,MATCH(F62,'CFT Specific Data'!$F$24:$F$39,0),IF(COUNTIF(F57:F61,F62)=5,6,IF(COUNTIF(F58:F61,F62)=4,5,IF(COUNTIF(F59:F61,F62)=3,4,IF(COUNTIF(F60:F61,F62)=2,3,IF(F61=F62,2,1)))))),
IF(COUNTIF(B57:B61,B62)=4,
INDEX('CFT Specific Data'!$G$24:$L$39,MATCH(F62,'CFT Specific Data'!$F$24:$F$39,0),IF(SUM(COUNTIF(F58:F61,F62),COUNTIF(F63,F62))=5,6,IF(COUNTIF(F58:F61,F62)=4,5,IF(COUNTIF(F59:F61,F62)=3,4,IF(COUNTIF(F60:F61,F62)=2,3,IF(F61=F62,2,1)))))),
IF(COUNTIF(B57:B61,B62)=3,
INDEX('CFT Specific Data'!$G$24:$L$39,MATCH(F62,'CFT Specific Data'!$F$24:$F$39,0),IF(SUM(COUNTIF(F59:F61,F62),COUNTIF(F63:F64,F62))=5,6,IF(SUM(COUNTIF(F59:F61,F62),COUNTIF(F64,F62))=4,5,IF(COUNTIF(F59:F61,F62)=3,4,IF(COUNTIF(F60:F61,F62)=2,3,IF(F61=F62,2,1)))))),
IF(COUNTIF(B57:B61,B62)=2,
INDEX('CFT Specific Data'!$G$24:$L$39,MATCH(F62,'CFT Specific Data'!$F$24:$F$39,0),IF(SUM(COUNTIF(F60:F61,F62),COUNTIF(F63:F65,F62))=5,6,IF(SUM(COUNTIF(F60:F61,F62),COUNTIF(F64:F65,F62))=4,5,IF(SUM(COUNTIF(F60:F61,F62),COUNTIF(F65,F62))=3,4,IF(COUNTIF(F60:F61,F62)=2,3,IF(F61=F62,2,1)))))),
IF(COUNTIF(B57:B61,B62)=1,
INDEX('CFT Specific Data'!$G$24:$L$39,MATCH(F62,'CFT Specific Data'!$F$24:$F$39,0),IF(SUM(COUNTIF(F61,F62),COUNTIF(F63:F66,F62))=5,6,IF(SUM(COUNTIF(F61,F62),COUNTIF(F64:F66,F62))=4,5,IF(SUM(COUNTIF(F61,F62),COUNTIF(F65:F66,F62))=3,4,IF(SUM(COUNTIF(F61,F62),COUNTIF(F66,F62))=2,3,IF(F61=F62,2,1)))))),
IF(COUNTIF(B57:B61,B62)=0,
INDEX('CFT Specific Data'!$G$24:$L$39,MATCH(F62,'CFT Specific Data'!$F$24:$F$39,0),IF(COUNTIF(F63:F67,F62)=5,6,IF(COUNTIF(F64:F67,F62)=4,5,IF(COUNTIF(F65:F67,F62)=3,4,IF(COUNTIF(F66:F67,F62)=2,3,IF(F67=F62,2,1)))))))))))),1)</f>
        <v>55.728000000000002</v>
      </c>
      <c r="I62" s="210" t="s">
        <v>348</v>
      </c>
      <c r="J62">
        <v>10</v>
      </c>
      <c r="K62" s="210" t="str">
        <f>VLOOKUP(F62,'CFT Specific Data'!$F$4:$G$19,2,FALSE)</f>
        <v>Winter wheat</v>
      </c>
      <c r="L62" t="str">
        <f t="shared" si="1"/>
        <v>Fine</v>
      </c>
      <c r="M62">
        <f t="shared" si="2"/>
        <v>5.8479999999999999</v>
      </c>
      <c r="N62" t="str">
        <f t="shared" si="3"/>
        <v>5.16 &lt; SOM &lt;= 10.32</v>
      </c>
      <c r="O62" t="s">
        <v>349</v>
      </c>
      <c r="P62" t="s">
        <v>350</v>
      </c>
      <c r="Q62">
        <v>7</v>
      </c>
      <c r="R62" t="str">
        <f t="shared" si="6"/>
        <v>5.5 &lt; pH &lt;= 7.3</v>
      </c>
      <c r="S62" t="s">
        <v>351</v>
      </c>
      <c r="T62" s="210">
        <f t="array" ref="T62">_xlfn.SINGLE(INDEX('Focus Data NFertiliser Rate'!$D$4:$P$19,MATCH(F62,'Focus Data NFertiliser Rate'!$C$4:$C$19,0),_xlfn.SINGLE(_xlfn.IFS(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240</v>
      </c>
      <c r="U62" t="str">
        <f t="shared" si="4"/>
        <v>Apply in solution</v>
      </c>
      <c r="V62" s="210">
        <f t="array" ref="V62">_xlfn.SINGLE(INDEX('№ Fertiliser sprayings'!$D$4:$P$19,MATCH(F62,'№ Fertiliser sprayings'!$C$4:$C$19,0),_xlfn.SINGLE(_xlfn.IFS(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3</v>
      </c>
      <c r="W62" s="264">
        <f t="array" ref="W62">_xlfn.SINGLE(INDEX('Focus Data CFT NSpraying'!$D$4:$P$19,MATCH(F62,'Focus Data CFT NSpraying'!$C$4:$C$19,0),_xlfn.SINGLE(_xlfn.IFS(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13.135999999999999</v>
      </c>
      <c r="X62" t="s">
        <v>363</v>
      </c>
      <c r="Y62">
        <v>0</v>
      </c>
      <c r="Z62">
        <v>100</v>
      </c>
      <c r="AA62" t="s">
        <v>352</v>
      </c>
      <c r="AB62" s="226" t="str">
        <f>IF(B62=B61,_xlfn.IFS(
AND(AA62=Lists!$L$8,AA61=Lists!$L$8),Lists!$N$5,
AND(OR(AA62=Lists!$L$5,AA62=Lists!$L$7,AA62=Lists!$L$9,AA62=Lists!$L$10,AA62=Lists!$L$6),OR(AA61=Lists!$L$5,AA61=Lists!$L$7,AA61=Lists!$L$9,AA61=Lists!$L$10,AA61=Lists!$L$6)),Lists!$N$5,
AND(AA62=Lists!$L$8,OR(AA61=Lists!$L$5,AA61=Lists!$L$7,AA61=Lists!$L$9,AA61=Lists!$L$10,AA61=Lists!$L$6)),Lists!$N$6,
AND(OR(AA62=Lists!$L$5,AA62=Lists!$L$6,AA62=Lists!$L$7,AA62=Lists!$L$9,AA62=Lists!$L$10),AA61=Lists!$L$8),Lists!$N$7),
_xlfn.IFS(
AND(AA62=Lists!$L$8,AA67=Lists!$L$8),Lists!$N$5,
AND(OR(AA62=Lists!$L$5,AA62=Lists!$L$7,AA62=Lists!$L$9,AA62=Lists!$L$10,AA62=Lists!$L$6),OR(AA67=Lists!$L$5,AA67=Lists!$L$7,AA67=Lists!$L$9,AA67=Lists!$L$10,AA67=Lists!$L$6)),Lists!$N$5,
AND(AA62=Lists!$L$8,OR(AA67=Lists!$L$5,AA67=Lists!$L$7,AA67=Lists!$L$9,AA67=Lists!$L$10,AA67=Lists!$L$6)),Lists!$N$6,
AND(OR(AA62=Lists!$L$5,AA62=Lists!$L$7,AA62=Lists!$L$9,AA62=Lists!$L$10),AA67=Lists!$L$8),Lists!$N$7))</f>
        <v>no change</v>
      </c>
      <c r="AC62">
        <v>0</v>
      </c>
      <c r="AD62">
        <v>0</v>
      </c>
      <c r="AE62" s="102">
        <f t="array" ref="AE62">IF(OR(ISNUMBER(SEARCH("heavy",A62))=TRUE, ISNUMBER(SEARCH("medium",A62))=TRUE),
(LEN(_xlfn.SINGLE(
INDEX('Focus Data Tillage by farm'!$D$4:$P$9,MATCH(D62,'Focus Data Tillage by farm'!$C$4:$C$9,0),_xlfn.SINGLE(_xlfn.IFS(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-LEN(SUBSTITUTE(_xlfn.SINGLE(
INDEX('Focus Data Tillage by farm'!$D$4:$P$9,MATCH(D62,'Focus Data Tillage by farm'!$C$4:$C$9,0),_xlfn.SINGLE(_xlfn.IFS(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"disc","")))/LEN("disc"),
(LEN(_xlfn.SINGLE(
INDEX('Focus Data Tillage by farm'!$D$12:$P$17,MATCH(D62,'Focus Data Tillage by farm'!$C$12:$C$17,0),_xlfn.SINGLE(_xlfn.IFS(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-LEN(SUBSTITUTE(_xlfn.SINGLE(
INDEX('Focus Data Tillage by farm'!$D$12:$P$17,MATCH(D62,'Focus Data Tillage by farm'!$C$12:$C$17,0),_xlfn.SINGLE(_xlfn.IFS(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"disc","")))/LEN("disc"))</f>
        <v>2</v>
      </c>
      <c r="AF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"field cultivator","")))/LEN("field cultivator"),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"field cultivator","")))/LEN("field cultivator"))</f>
        <v>0</v>
      </c>
      <c r="AG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"grain drill","")))/LEN("grain drill"),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"grain drill","")))/LEN("grain drill"))</f>
        <v>0</v>
      </c>
      <c r="AH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"minimum tillage","")))/LEN("minimum tillage"),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"minimum tillage","")))/LEN("minimum tillage"))</f>
        <v>1</v>
      </c>
      <c r="AI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"row crop planter","")))/LEN("row crop planter"),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"row crop planter","")))/LEN("row crop planter"))</f>
        <v>0</v>
      </c>
      <c r="AJ62" s="10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"plough","")))/LEN("plough"),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"plough","")))/LEN("plough"))</f>
        <v>0</v>
      </c>
      <c r="AK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harrow","")))/LEN("roller harrow"),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harrow","")))/LEN("roller harrow"))</f>
        <v>0</v>
      </c>
      <c r="AL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packer","")))/LEN("roller packer"),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"roller packer","")))/LEN("roller packer"))</f>
        <v>2</v>
      </c>
      <c r="AM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"rotary hoe","")))/LEN("rotary hoe"),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"rotary hoe","")))/LEN("rotary hoe"))</f>
        <v>0</v>
      </c>
      <c r="AN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"subsoil","")))/LEN("subsoil"),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"subsoil","")))/LEN("subsoil"))</f>
        <v>0</v>
      </c>
      <c r="AO62">
        <f>IF(OR(ISNUMBER(SEARCH("heavy",A62))=TRUE, ISNUMBER(SEARCH("medium",A62))=TRUE),
(LEN(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farm'!$D$4:$P$9,MATCH(D62,'Focus Data Tillage by farm'!$C$4:$C$9,0),_xlfn.IFS(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"tine harrow","")))/LEN("tine harrow"),
(LEN(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-LEN(SUBSTITUTE(
INDEX('Focus Data Tillage by farm'!$D$12:$P$17,MATCH(D62,'Focus Data Tillage by farm'!$C$12:$C$17,0),_xlfn.IFS(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
"tine harrow","")))/LEN("tine harrow"))</f>
        <v>0</v>
      </c>
      <c r="AP62" s="102">
        <f>INDEX('Focus Data NSpraying'!$D$4:$P$19,MATCH(F62,'Focus Data NSpraying'!$C$4:$C$19,0),_xlfn.IFS(
AND(ISNUMBER(SEARCH("H-Dsty.",A62))=TRUE,ISNUMBER(SEARCH("H-Res",A62))=TRUE,ISNUMBER(SEARCH("E.",A62))=TRUE),1,
AND(ISNUMBER(SEARCH("H-Dsty.",A62))=TRUE,ISNUMBER(SEARCH("H-Res",A62))=TRUE,OR(ISNUMBER(SEARCH("N.he",A62))=TRUE,ISNUMBER(SEARCH("N.me",A62))=TRUE,ISNUMBER(SEARCH("N.li",A62))=TRUE)),2,
AND(ISNUMBER(SEARCH("H-Dsty.",A62))=TRUE,ISNUMBER(SEARCH("H-Res",A62))=TRUE,ISNUMBER(SEARCH("C.",A62))=TRUE),3,
AND(ISNUMBER(SEARCH("L-Dsty.",A62))=TRUE,ISNUMBER(SEARCH("H-Res",A62))=TRUE,ISNUMBER(SEARCH("E.",A62))=TRUE),6,
AND(ISNUMBER(SEARCH("L-Dsty.",A62))=TRUE,ISNUMBER(SEARCH("H-Res",A62))=TRUE,OR(ISNUMBER(SEARCH("N.he",A62))=TRUE,ISNUMBER(SEARCH("N.me",A62))=TRUE,ISNUMBER(SEARCH("N.li",A62))=TRUE)),7,
AND(ISNUMBER(SEARCH("L-Dsty.",A62))=TRUE,ISNUMBER(SEARCH("H-Res",A62))=TRUE,ISNUMBER(SEARCH("C.",A62))=TRUE),8,
AND(ISNUMBER(SEARCH("L-Dsty.",A62))=TRUE,ISNUMBER(SEARCH("L-Res",A62))=TRUE,ISNUMBER(SEARCH("E.",A62))=TRUE),11,
AND(ISNUMBER(SEARCH("L-Dsty.",A62))=TRUE,ISNUMBER(SEARCH("L-Res",A62))=TRUE,OR(ISNUMBER(SEARCH("N.he",A62))=TRUE,ISNUMBER(SEARCH("N.me",A62))=TRUE,ISNUMBER(SEARCH("N.li",A62))=TRUE)),12,
AND(ISNUMBER(SEARCH("L-Dsty.",A62))=TRUE,ISNUMBER(SEARCH("L-Res",A62))=TRUE,ISNUMBER(SEARCH("C.",A62))=TRUE),13))</f>
        <v>4</v>
      </c>
    </row>
    <row r="63" spans="1:42" x14ac:dyDescent="0.2">
      <c r="A63" t="s">
        <v>503</v>
      </c>
      <c r="B63" s="210" t="str">
        <f t="array" ref="B63">INDEX(ECOMOD_input_estimate!$A$2:$A$55, MATCH(CFT_input!$A63, ECOMOD_input_estimate!$B:$B, 0))</f>
        <v>FF_11.2</v>
      </c>
      <c r="C63" s="210">
        <v>2020</v>
      </c>
      <c r="D63" s="395" t="s">
        <v>730</v>
      </c>
      <c r="E63" s="210" t="str">
        <f t="shared" si="0"/>
        <v>E.heavy.L-Dsty.H-Res</v>
      </c>
      <c r="F63" s="210" t="str">
        <f t="array" ref="F63">_xlfn.SINGLE(IF(OR(ISNUMBER(SEARCH("heavy",A63))=TRUE,ISNUMBER(SEARCH("medium",A63))=TRUE),
INDEX('Focus Data Crop Rotations'!$D$4:$P$9,MATCH(D63,'Focus Data Crop Rotations'!$C$4:$C$9,0),_xlfn.SINGLE(_xlfn.IFS(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INDEX('Focus Data Crop Rotations'!$D$12:$P$17,MATCH(D63,'Focus Data Crop Rotations'!$C$12:$C$17,0),_xlfn.SINGLE(_xlfn.IFS(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springbeans</v>
      </c>
      <c r="G63">
        <v>7.2</v>
      </c>
      <c r="H63" s="227">
        <f>VLOOKUP(F63,'CFT Specific Data'!$F$4:$H$19,3,FALSE)*G63*
IF(B63=B62,
IF(AND(ISNUMBER(SEARCH("wheat",F63))=TRUE,ISNUMBER(SEARCH("Barley",F62))=TRUE),0.89,
IF(AND(ISNUMBER(SEARCH("wheat",F63))=TRUE,F62="setaside"),0.94,
IF(AND(ISNUMBER(SEARCH("barley",F63))=TRUE,ISNUMBER(SEARCH("wheat",F62))=TRUE),0.89,
IF(AND(F63="winterbarley",F62="setaside"),0.94,
IF(AND(F63="sugarbeet",F62="warepotatoes"),0.95,
IF(AND((OR(ISNUMBER(SEARCH("beans",F63)),ISNUMBER(SEARCH("driedpeas",F63)),ISNUMBER(SEARCH("sugarbeet",F63)))=TRUE),ISNUMBER(SEARCH("osr",F62))=TRUE),0,
IF(AND((OR((ISNUMBER(SEARCH("wheat",F63))),ISNUMBER(SEARCH("linseed",F63)),ISNUMBER(SEARCH("driedpeas",F63)),ISNUMBER(SEARCH("osr",F63)))=TRUE),F62="sugarbeet"),0,
IF(AND((OR((ISNUMBER(SEARCH("osr",F63))),ISNUMBER(SEARCH("linseed",F63)))=TRUE),ISNUMBER(SEARCH("beans",F62))=TRUE),0,
IF(AND(F63="wosr",ISNUMBER(SEARCH("linseed",F62))=TRUE),0,
IF(AND(F63="sugarbeet",F62="warepotatoes"),0,
1)))))))))),
IF(AND(ISNUMBER(SEARCH("wheat",F63))=TRUE,ISNUMBER(SEARCH("Barley",F68))=TRUE),0.89,
IF(AND(ISNUMBER(SEARCH("wheat",F63))=TRUE,F68="setaside"),0.94,
IF(AND(ISNUMBER(SEARCH("barley",F63))=TRUE,ISNUMBER(SEARCH("wheat",F68))=TRUE),0.89,
IF(AND(F63="winterbarley",F68="setaside"),0.94,
IF(AND(F63="sugarbeet",F68="warepotatoes"),0.95,
IF(AND((OR(ISNUMBER(SEARCH("beans",F63)),ISNUMBER(SEARCH("driedpeas",F63)),ISNUMBER(SEARCH("sugarbeet",F63)))=TRUE),ISNUMBER(SEARCH("osr",F68))=TRUE),0,
IF(AND((OR((ISNUMBER(SEARCH("wheat",F63))),ISNUMBER(SEARCH("linseed",F63)),ISNUMBER(SEARCH("driedpeas",F63)),ISNUMBER(SEARCH("osr",F63)))=TRUE),F68="sugarbeet"),0,
IF(AND((OR((ISNUMBER(SEARCH("osr",F63))),ISNUMBER(SEARCH("linseed",F63)))=TRUE),ISNUMBER(SEARCH("beans",F68))=TRUE),0,
IF(AND(F63="wosr",ISNUMBER(SEARCH("linseed",F68))=TRUE),0,
IF(AND(F63="sugarbeet",F68="warepotatoes"),0,
1)))))))))))
*IF(OR(ISNUMBER(SEARCH("wheat",F63)),ISNUMBER(SEARCH("barley",F63)),ISNUMBER(SEARCH("driedpeas",F63)),ISNUMBER(SEARCH("warepotatoes",F63)),ISNUMBER(SEARCH("osr",F63)),ISNUMBER(SEARCH("linseed",F63)),ISNUMBER(SEARCH("sugarbeet",F63))),
IF(COUNTIF(B58:B62,B63)=5,
INDEX('CFT Specific Data'!$G$24:$L$39,MATCH(F63,'CFT Specific Data'!$F$24:$F$39,0),IF(COUNTIF(F58:F62,F63)=5,6,IF(COUNTIF(F59:F62,F63)=4,5,IF(COUNTIF(F60:F62,F63)=3,4,IF(COUNTIF(F61:F62,F63)=2,3,IF(F62=F63,2,1)))))),
IF(COUNTIF(B58:B62,B63)=4,
INDEX('CFT Specific Data'!$G$24:$L$39,MATCH(F63,'CFT Specific Data'!$F$24:$F$39,0),IF(SUM(COUNTIF(F59:F62,F63),COUNTIF(F64,F63))=5,6,IF(COUNTIF(F59:F62,F63)=4,5,IF(COUNTIF(F60:F62,F63)=3,4,IF(COUNTIF(F61:F62,F63)=2,3,IF(F62=F63,2,1)))))),
IF(COUNTIF(B58:B62,B63)=3,
INDEX('CFT Specific Data'!$G$24:$L$39,MATCH(F63,'CFT Specific Data'!$F$24:$F$39,0),IF(SUM(COUNTIF(F60:F62,F63),COUNTIF(F64:F65,F63))=5,6,IF(SUM(COUNTIF(F60:F62,F63),COUNTIF(F65,F63))=4,5,IF(COUNTIF(F60:F62,F63)=3,4,IF(COUNTIF(F61:F62,F63)=2,3,IF(F62=F63,2,1)))))),
IF(COUNTIF(B58:B62,B63)=2,
INDEX('CFT Specific Data'!$G$24:$L$39,MATCH(F63,'CFT Specific Data'!$F$24:$F$39,0),IF(SUM(COUNTIF(F61:F62,F63),COUNTIF(F64:F66,F63))=5,6,IF(SUM(COUNTIF(F61:F62,F63),COUNTIF(F65:F66,F63))=4,5,IF(SUM(COUNTIF(F61:F62,F63),COUNTIF(F66,F63))=3,4,IF(COUNTIF(F61:F62,F63)=2,3,IF(F62=F63,2,1)))))),
IF(COUNTIF(B58:B62,B63)=1,
INDEX('CFT Specific Data'!$G$24:$L$39,MATCH(F63,'CFT Specific Data'!$F$24:$F$39,0),IF(SUM(COUNTIF(F62,F63),COUNTIF(F64:F67,F63))=5,6,IF(SUM(COUNTIF(F62,F63),COUNTIF(F65:F67,F63))=4,5,IF(SUM(COUNTIF(F62,F63),COUNTIF(F66:F67,F63))=3,4,IF(SUM(COUNTIF(F62,F63),COUNTIF(F67,F63))=2,3,IF(F62=F63,2,1)))))),
IF(COUNTIF(B58:B62,B63)=0,
INDEX('CFT Specific Data'!$G$24:$L$39,MATCH(F63,'CFT Specific Data'!$F$24:$F$39,0),IF(COUNTIF(F64:F68,F63)=5,6,IF(COUNTIF(F65:F68,F63)=4,5,IF(COUNTIF(F66:F68,F63)=3,4,IF(COUNTIF(F67:F68,F63)=2,3,IF(F68=F63,2,1)))))))))))),1)</f>
        <v>28.08</v>
      </c>
      <c r="I63" s="210" t="s">
        <v>348</v>
      </c>
      <c r="J63">
        <v>10</v>
      </c>
      <c r="K63" s="210" t="str">
        <f>VLOOKUP(F63,'CFT Specific Data'!$F$4:$G$19,2,FALSE)</f>
        <v>Other legume</v>
      </c>
      <c r="L63" t="str">
        <f t="shared" si="1"/>
        <v>Fine</v>
      </c>
      <c r="M63">
        <f t="shared" si="2"/>
        <v>5.8479999999999999</v>
      </c>
      <c r="N63" t="str">
        <f t="shared" si="3"/>
        <v>5.16 &lt; SOM &lt;= 10.32</v>
      </c>
      <c r="O63" t="s">
        <v>349</v>
      </c>
      <c r="P63" t="s">
        <v>350</v>
      </c>
      <c r="Q63">
        <v>7</v>
      </c>
      <c r="R63" t="str">
        <f t="shared" si="6"/>
        <v>5.5 &lt; pH &lt;= 7.3</v>
      </c>
      <c r="S63" t="s">
        <v>351</v>
      </c>
      <c r="T63" s="210">
        <f t="array" ref="T63">_xlfn.SINGLE(INDEX('Focus Data NFertiliser Rate'!$D$4:$P$19,MATCH(F63,'Focus Data NFertiliser Rate'!$C$4:$C$19,0),_xlfn.SINGLE(_xlfn.IFS(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0</v>
      </c>
      <c r="U63">
        <f t="shared" si="4"/>
        <v>0</v>
      </c>
      <c r="V63" s="210">
        <f t="array" ref="V63">_xlfn.SINGLE(INDEX('№ Fertiliser sprayings'!$D$4:$P$19,MATCH(F63,'№ Fertiliser sprayings'!$C$4:$C$19,0),_xlfn.SINGLE(_xlfn.IFS(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0</v>
      </c>
      <c r="W63" s="264">
        <f t="array" ref="W63">_xlfn.SINGLE(INDEX('Focus Data CFT NSpraying'!$D$4:$P$19,MATCH(F63,'Focus Data CFT NSpraying'!$C$4:$C$19,0),_xlfn.SINGLE(_xlfn.IFS(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9.3362999999999996</v>
      </c>
      <c r="X63" t="s">
        <v>363</v>
      </c>
      <c r="Y63">
        <v>0</v>
      </c>
      <c r="Z63">
        <v>100</v>
      </c>
      <c r="AA63" t="s">
        <v>352</v>
      </c>
      <c r="AB63" s="226" t="str">
        <f>IF(B63=B62,_xlfn.IFS(
AND(AA63=Lists!$L$8,AA62=Lists!$L$8),Lists!$N$5,
AND(OR(AA63=Lists!$L$5,AA63=Lists!$L$7,AA63=Lists!$L$9,AA63=Lists!$L$10,AA63=Lists!$L$6),OR(AA62=Lists!$L$5,AA62=Lists!$L$7,AA62=Lists!$L$9,AA62=Lists!$L$10,AA62=Lists!$L$6)),Lists!$N$5,
AND(AA63=Lists!$L$8,OR(AA62=Lists!$L$5,AA62=Lists!$L$7,AA62=Lists!$L$9,AA62=Lists!$L$10,AA62=Lists!$L$6)),Lists!$N$6,
AND(OR(AA63=Lists!$L$5,AA63=Lists!$L$6,AA63=Lists!$L$7,AA63=Lists!$L$9,AA63=Lists!$L$10),AA62=Lists!$L$8),Lists!$N$7),
_xlfn.IFS(
AND(AA63=Lists!$L$8,AA68=Lists!$L$8),Lists!$N$5,
AND(OR(AA63=Lists!$L$5,AA63=Lists!$L$7,AA63=Lists!$L$9,AA63=Lists!$L$10,AA63=Lists!$L$6),OR(AA68=Lists!$L$5,AA68=Lists!$L$7,AA68=Lists!$L$9,AA68=Lists!$L$10,AA68=Lists!$L$6)),Lists!$N$5,
AND(AA63=Lists!$L$8,OR(AA68=Lists!$L$5,AA68=Lists!$L$7,AA68=Lists!$L$9,AA68=Lists!$L$10,AA68=Lists!$L$6)),Lists!$N$6,
AND(OR(AA63=Lists!$L$5,AA63=Lists!$L$7,AA63=Lists!$L$9,AA63=Lists!$L$10),AA68=Lists!$L$8),Lists!$N$7))</f>
        <v>no change</v>
      </c>
      <c r="AC63">
        <v>0</v>
      </c>
      <c r="AD63">
        <v>0</v>
      </c>
      <c r="AE63" s="102">
        <f t="array" ref="AE63">IF(OR(ISNUMBER(SEARCH("heavy",A63))=TRUE, ISNUMBER(SEARCH("medium",A63))=TRUE),
(LEN(_xlfn.SINGLE(
INDEX('Focus Data Tillage by farm'!$D$4:$P$9,MATCH(D63,'Focus Data Tillage by farm'!$C$4:$C$9,0),_xlfn.SINGLE(_xlfn.IFS(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-LEN(SUBSTITUTE(_xlfn.SINGLE(
INDEX('Focus Data Tillage by farm'!$D$4:$P$9,MATCH(D63,'Focus Data Tillage by farm'!$C$4:$C$9,0),_xlfn.SINGLE(_xlfn.IFS(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"disc","")))/LEN("disc"),
(LEN(_xlfn.SINGLE(
INDEX('Focus Data Tillage by farm'!$D$12:$P$17,MATCH(D63,'Focus Data Tillage by farm'!$C$12:$C$17,0),_xlfn.SINGLE(_xlfn.IFS(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-LEN(SUBSTITUTE(_xlfn.SINGLE(
INDEX('Focus Data Tillage by farm'!$D$12:$P$17,MATCH(D63,'Focus Data Tillage by farm'!$C$12:$C$17,0),_xlfn.SINGLE(_xlfn.IFS(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"disc","")))/LEN("disc"))</f>
        <v>3</v>
      </c>
      <c r="AF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"field cultivator","")))/LEN("field cultivator"),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"field cultivator","")))/LEN("field cultivator"))</f>
        <v>0</v>
      </c>
      <c r="AG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"grain drill","")))/LEN("grain drill"),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"grain drill","")))/LEN("grain drill"))</f>
        <v>0</v>
      </c>
      <c r="AH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"minimum tillage","")))/LEN("minimum tillage"),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"minimum tillage","")))/LEN("minimum tillage"))</f>
        <v>1</v>
      </c>
      <c r="AI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"row crop planter","")))/LEN("row crop planter"),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"row crop planter","")))/LEN("row crop planter"))</f>
        <v>0</v>
      </c>
      <c r="AJ63" s="102">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"plough","")))/LEN("plough"),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"plough","")))/LEN("plough"))</f>
        <v>0</v>
      </c>
      <c r="AK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harrow","")))/LEN("roller harrow"),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harrow","")))/LEN("roller harrow"))</f>
        <v>0</v>
      </c>
      <c r="AL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packer","")))/LEN("roller packer"),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"roller packer","")))/LEN("roller packer"))</f>
        <v>2</v>
      </c>
      <c r="AM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"rotary hoe","")))/LEN("rotary hoe"),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"rotary hoe","")))/LEN("rotary hoe"))</f>
        <v>0</v>
      </c>
      <c r="AN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"subsoil","")))/LEN("subsoil"),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"subsoil","")))/LEN("subsoil"))</f>
        <v>1</v>
      </c>
      <c r="AO63">
        <f>IF(OR(ISNUMBER(SEARCH("heavy",A63))=TRUE, ISNUMBER(SEARCH("medium",A63))=TRUE),
(LEN(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farm'!$D$4:$P$9,MATCH(D63,'Focus Data Tillage by farm'!$C$4:$C$9,0),_xlfn.IFS(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"tine harrow","")))/LEN("tine harrow"),
(LEN(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-LEN(SUBSTITUTE(
INDEX('Focus Data Tillage by farm'!$D$12:$P$17,MATCH(D63,'Focus Data Tillage by farm'!$C$12:$C$17,0),_xlfn.IFS(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
"tine harrow","")))/LEN("tine harrow"))</f>
        <v>0</v>
      </c>
      <c r="AP63" s="102">
        <f>INDEX('Focus Data NSpraying'!$D$4:$P$19,MATCH(F63,'Focus Data NSpraying'!$C$4:$C$19,0),_xlfn.IFS(
AND(ISNUMBER(SEARCH("H-Dsty.",A63))=TRUE,ISNUMBER(SEARCH("H-Res",A63))=TRUE,ISNUMBER(SEARCH("E.",A63))=TRUE),1,
AND(ISNUMBER(SEARCH("H-Dsty.",A63))=TRUE,ISNUMBER(SEARCH("H-Res",A63))=TRUE,OR(ISNUMBER(SEARCH("N.he",A63))=TRUE,ISNUMBER(SEARCH("N.me",A63))=TRUE,ISNUMBER(SEARCH("N.li",A63))=TRUE)),2,
AND(ISNUMBER(SEARCH("H-Dsty.",A63))=TRUE,ISNUMBER(SEARCH("H-Res",A63))=TRUE,ISNUMBER(SEARCH("C.",A63))=TRUE),3,
AND(ISNUMBER(SEARCH("L-Dsty.",A63))=TRUE,ISNUMBER(SEARCH("H-Res",A63))=TRUE,ISNUMBER(SEARCH("E.",A63))=TRUE),6,
AND(ISNUMBER(SEARCH("L-Dsty.",A63))=TRUE,ISNUMBER(SEARCH("H-Res",A63))=TRUE,OR(ISNUMBER(SEARCH("N.he",A63))=TRUE,ISNUMBER(SEARCH("N.me",A63))=TRUE,ISNUMBER(SEARCH("N.li",A63))=TRUE)),7,
AND(ISNUMBER(SEARCH("L-Dsty.",A63))=TRUE,ISNUMBER(SEARCH("H-Res",A63))=TRUE,ISNUMBER(SEARCH("C.",A63))=TRUE),8,
AND(ISNUMBER(SEARCH("L-Dsty.",A63))=TRUE,ISNUMBER(SEARCH("L-Res",A63))=TRUE,ISNUMBER(SEARCH("E.",A63))=TRUE),11,
AND(ISNUMBER(SEARCH("L-Dsty.",A63))=TRUE,ISNUMBER(SEARCH("L-Res",A63))=TRUE,OR(ISNUMBER(SEARCH("N.he",A63))=TRUE,ISNUMBER(SEARCH("N.me",A63))=TRUE,ISNUMBER(SEARCH("N.li",A63))=TRUE)),12,
AND(ISNUMBER(SEARCH("L-Dsty.",A63))=TRUE,ISNUMBER(SEARCH("L-Res",A63))=TRUE,ISNUMBER(SEARCH("C.",A63))=TRUE),13))</f>
        <v>6</v>
      </c>
    </row>
    <row r="64" spans="1:42" x14ac:dyDescent="0.2">
      <c r="A64" t="s">
        <v>503</v>
      </c>
      <c r="B64" s="210" t="str">
        <f t="array" ref="B64">INDEX(ECOMOD_input_estimate!$A$2:$A$55, MATCH(CFT_input!$A64, ECOMOD_input_estimate!$B:$B, 0))</f>
        <v>FF_11.2</v>
      </c>
      <c r="C64" s="210">
        <v>2020</v>
      </c>
      <c r="D64" s="395" t="s">
        <v>1694</v>
      </c>
      <c r="E64" s="210" t="str">
        <f t="shared" si="0"/>
        <v>E.heavy.L-Dsty.H-Res</v>
      </c>
      <c r="F64" s="210" t="str">
        <f t="array" ref="F64">_xlfn.SINGLE(IF(OR(ISNUMBER(SEARCH("heavy",A64))=TRUE,ISNUMBER(SEARCH("medium",A64))=TRUE),
INDEX('Focus Data Crop Rotations'!$D$4:$P$9,MATCH(D64,'Focus Data Crop Rotations'!$C$4:$C$9,0),_xlfn.SINGLE(_xlfn.IFS(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INDEX('Focus Data Crop Rotations'!$D$12:$P$17,MATCH(D64,'Focus Data Crop Rotations'!$C$12:$C$17,0),_xlfn.SINGLE(_xlfn.IFS(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winterwheat</v>
      </c>
      <c r="G64">
        <v>7.2</v>
      </c>
      <c r="H64" s="227">
        <f>VLOOKUP(F64,'CFT Specific Data'!$F$4:$H$19,3,FALSE)*G64*
IF(B64=B63,
IF(AND(ISNUMBER(SEARCH("wheat",F64))=TRUE,ISNUMBER(SEARCH("Barley",F63))=TRUE),0.89,
IF(AND(ISNUMBER(SEARCH("wheat",F64))=TRUE,F63="setaside"),0.94,
IF(AND(ISNUMBER(SEARCH("barley",F64))=TRUE,ISNUMBER(SEARCH("wheat",F63))=TRUE),0.89,
IF(AND(F64="winterbarley",F63="setaside"),0.94,
IF(AND(F64="sugarbeet",F63="warepotatoes"),0.95,
IF(AND((OR(ISNUMBER(SEARCH("beans",F64)),ISNUMBER(SEARCH("driedpeas",F64)),ISNUMBER(SEARCH("sugarbeet",F64)))=TRUE),ISNUMBER(SEARCH("osr",F63))=TRUE),0,
IF(AND((OR((ISNUMBER(SEARCH("wheat",F64))),ISNUMBER(SEARCH("linseed",F64)),ISNUMBER(SEARCH("driedpeas",F64)),ISNUMBER(SEARCH("osr",F64)))=TRUE),F63="sugarbeet"),0,
IF(AND((OR((ISNUMBER(SEARCH("osr",F64))),ISNUMBER(SEARCH("linseed",F64)))=TRUE),ISNUMBER(SEARCH("beans",F63))=TRUE),0,
IF(AND(F64="wosr",ISNUMBER(SEARCH("linseed",F63))=TRUE),0,
IF(AND(F64="sugarbeet",F63="warepotatoes"),0,
1)))))))))),
IF(AND(ISNUMBER(SEARCH("wheat",F64))=TRUE,ISNUMBER(SEARCH("Barley",F69))=TRUE),0.89,
IF(AND(ISNUMBER(SEARCH("wheat",F64))=TRUE,F69="setaside"),0.94,
IF(AND(ISNUMBER(SEARCH("barley",F64))=TRUE,ISNUMBER(SEARCH("wheat",F69))=TRUE),0.89,
IF(AND(F64="winterbarley",F69="setaside"),0.94,
IF(AND(F64="sugarbeet",F69="warepotatoes"),0.95,
IF(AND((OR(ISNUMBER(SEARCH("beans",F64)),ISNUMBER(SEARCH("driedpeas",F64)),ISNUMBER(SEARCH("sugarbeet",F64)))=TRUE),ISNUMBER(SEARCH("osr",F69))=TRUE),0,
IF(AND((OR((ISNUMBER(SEARCH("wheat",F64))),ISNUMBER(SEARCH("linseed",F64)),ISNUMBER(SEARCH("driedpeas",F64)),ISNUMBER(SEARCH("osr",F64)))=TRUE),F69="sugarbeet"),0,
IF(AND((OR((ISNUMBER(SEARCH("osr",F64))),ISNUMBER(SEARCH("linseed",F64)))=TRUE),ISNUMBER(SEARCH("beans",F69))=TRUE),0,
IF(AND(F64="wosr",ISNUMBER(SEARCH("linseed",F69))=TRUE),0,
IF(AND(F64="sugarbeet",F69="warepotatoes"),0,
1)))))))))))
*IF(OR(ISNUMBER(SEARCH("wheat",F64)),ISNUMBER(SEARCH("barley",F64)),ISNUMBER(SEARCH("driedpeas",F64)),ISNUMBER(SEARCH("warepotatoes",F64)),ISNUMBER(SEARCH("osr",F64)),ISNUMBER(SEARCH("linseed",F64)),ISNUMBER(SEARCH("sugarbeet",F64))),
IF(COUNTIF(B59:B63,B64)=5,
INDEX('CFT Specific Data'!$G$24:$L$39,MATCH(F64,'CFT Specific Data'!$F$24:$F$39,0),IF(COUNTIF(F59:F63,F64)=5,6,IF(COUNTIF(F60:F63,F64)=4,5,IF(COUNTIF(F61:F63,F64)=3,4,IF(COUNTIF(F62:F63,F64)=2,3,IF(F63=F64,2,1)))))),
IF(COUNTIF(B59:B63,B64)=4,
INDEX('CFT Specific Data'!$G$24:$L$39,MATCH(F64,'CFT Specific Data'!$F$24:$F$39,0),IF(SUM(COUNTIF(F60:F63,F64),COUNTIF(F65,F64))=5,6,IF(COUNTIF(F60:F63,F64)=4,5,IF(COUNTIF(F61:F63,F64)=3,4,IF(COUNTIF(F62:F63,F64)=2,3,IF(F63=F64,2,1)))))),
IF(COUNTIF(B59:B63,B64)=3,
INDEX('CFT Specific Data'!$G$24:$L$39,MATCH(F64,'CFT Specific Data'!$F$24:$F$39,0),IF(SUM(COUNTIF(F61:F63,F64),COUNTIF(F65:F66,F64))=5,6,IF(SUM(COUNTIF(F61:F63,F64),COUNTIF(F66,F64))=4,5,IF(COUNTIF(F61:F63,F64)=3,4,IF(COUNTIF(F62:F63,F64)=2,3,IF(F63=F64,2,1)))))),
IF(COUNTIF(B59:B63,B64)=2,
INDEX('CFT Specific Data'!$G$24:$L$39,MATCH(F64,'CFT Specific Data'!$F$24:$F$39,0),IF(SUM(COUNTIF(F62:F63,F64),COUNTIF(F65:F67,F64))=5,6,IF(SUM(COUNTIF(F62:F63,F64),COUNTIF(F66:F67,F64))=4,5,IF(SUM(COUNTIF(F62:F63,F64),COUNTIF(F67,F64))=3,4,IF(COUNTIF(F62:F63,F64)=2,3,IF(F63=F64,2,1)))))),
IF(COUNTIF(B59:B63,B64)=1,
INDEX('CFT Specific Data'!$G$24:$L$39,MATCH(F64,'CFT Specific Data'!$F$24:$F$39,0),IF(SUM(COUNTIF(F63,F64),COUNTIF(F65:F68,F64))=5,6,IF(SUM(COUNTIF(F63,F64),COUNTIF(F66:F68,F64))=4,5,IF(SUM(COUNTIF(F63,F64),COUNTIF(F67:F68,F64))=3,4,IF(SUM(COUNTIF(F63,F64),COUNTIF(F68,F64))=2,3,IF(F63=F64,2,1)))))),
IF(COUNTIF(B59:B63,B64)=0,
INDEX('CFT Specific Data'!$G$24:$L$39,MATCH(F64,'CFT Specific Data'!$F$24:$F$39,0),IF(COUNTIF(F65:F69,F64)=5,6,IF(COUNTIF(F66:F69,F64)=4,5,IF(COUNTIF(F67:F69,F64)=3,4,IF(COUNTIF(F68:F69,F64)=2,3,IF(F69=F64,2,1)))))))))))),1)</f>
        <v>61.92</v>
      </c>
      <c r="I64" s="210" t="s">
        <v>348</v>
      </c>
      <c r="J64">
        <v>10</v>
      </c>
      <c r="K64" s="210" t="str">
        <f>VLOOKUP(F64,'CFT Specific Data'!$F$4:$G$19,2,FALSE)</f>
        <v>Winter wheat</v>
      </c>
      <c r="L64" t="str">
        <f t="shared" si="1"/>
        <v>Fine</v>
      </c>
      <c r="M64">
        <f t="shared" si="2"/>
        <v>5.8479999999999999</v>
      </c>
      <c r="N64" t="str">
        <f t="shared" si="3"/>
        <v>5.16 &lt; SOM &lt;= 10.32</v>
      </c>
      <c r="O64" t="s">
        <v>349</v>
      </c>
      <c r="P64" t="s">
        <v>350</v>
      </c>
      <c r="Q64">
        <v>7</v>
      </c>
      <c r="R64" t="str">
        <f t="shared" si="6"/>
        <v>5.5 &lt; pH &lt;= 7.3</v>
      </c>
      <c r="S64" t="s">
        <v>351</v>
      </c>
      <c r="T64" s="210">
        <f t="array" ref="T64">_xlfn.SINGLE(INDEX('Focus Data NFertiliser Rate'!$D$4:$P$19,MATCH(F64,'Focus Data NFertiliser Rate'!$C$4:$C$19,0),_xlfn.SINGLE(_xlfn.IFS(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240</v>
      </c>
      <c r="U64" t="str">
        <f t="shared" si="4"/>
        <v>Apply in solution</v>
      </c>
      <c r="V64" s="210">
        <f t="array" ref="V64">_xlfn.SINGLE(INDEX('№ Fertiliser sprayings'!$D$4:$P$19,MATCH(F64,'№ Fertiliser sprayings'!$C$4:$C$19,0),_xlfn.SINGLE(_xlfn.IFS(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3</v>
      </c>
      <c r="W64" s="264">
        <f t="array" ref="W64">_xlfn.SINGLE(INDEX('Focus Data CFT NSpraying'!$D$4:$P$19,MATCH(F64,'Focus Data CFT NSpraying'!$C$4:$C$19,0),_xlfn.SINGLE(_xlfn.IFS(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13.135999999999999</v>
      </c>
      <c r="X64" t="s">
        <v>363</v>
      </c>
      <c r="Y64">
        <v>0</v>
      </c>
      <c r="Z64">
        <v>100</v>
      </c>
      <c r="AA64" t="s">
        <v>352</v>
      </c>
      <c r="AB64" s="226" t="str">
        <f>IF(B64=B63,_xlfn.IFS(
AND(AA64=Lists!$L$8,AA63=Lists!$L$8),Lists!$N$5,
AND(OR(AA64=Lists!$L$5,AA64=Lists!$L$7,AA64=Lists!$L$9,AA64=Lists!$L$10,AA64=Lists!$L$6),OR(AA63=Lists!$L$5,AA63=Lists!$L$7,AA63=Lists!$L$9,AA63=Lists!$L$10,AA63=Lists!$L$6)),Lists!$N$5,
AND(AA64=Lists!$L$8,OR(AA63=Lists!$L$5,AA63=Lists!$L$7,AA63=Lists!$L$9,AA63=Lists!$L$10,AA63=Lists!$L$6)),Lists!$N$6,
AND(OR(AA64=Lists!$L$5,AA64=Lists!$L$6,AA64=Lists!$L$7,AA64=Lists!$L$9,AA64=Lists!$L$10),AA63=Lists!$L$8),Lists!$N$7),
_xlfn.IFS(
AND(AA64=Lists!$L$8,AA69=Lists!$L$8),Lists!$N$5,
AND(OR(AA64=Lists!$L$5,AA64=Lists!$L$7,AA64=Lists!$L$9,AA64=Lists!$L$10,AA64=Lists!$L$6),OR(AA69=Lists!$L$5,AA69=Lists!$L$7,AA69=Lists!$L$9,AA69=Lists!$L$10,AA69=Lists!$L$6)),Lists!$N$5,
AND(AA64=Lists!$L$8,OR(AA69=Lists!$L$5,AA69=Lists!$L$7,AA69=Lists!$L$9,AA69=Lists!$L$10,AA69=Lists!$L$6)),Lists!$N$6,
AND(OR(AA64=Lists!$L$5,AA64=Lists!$L$7,AA64=Lists!$L$9,AA64=Lists!$L$10),AA69=Lists!$L$8),Lists!$N$7))</f>
        <v>no change</v>
      </c>
      <c r="AC64">
        <v>0</v>
      </c>
      <c r="AD64">
        <v>0</v>
      </c>
      <c r="AE64" s="102">
        <f t="array" ref="AE64">IF(OR(ISNUMBER(SEARCH("heavy",A64))=TRUE, ISNUMBER(SEARCH("medium",A64))=TRUE),
(LEN(_xlfn.SINGLE(
INDEX('Focus Data Tillage by farm'!$D$4:$P$9,MATCH(D64,'Focus Data Tillage by farm'!$C$4:$C$9,0),_xlfn.SINGLE(_xlfn.IFS(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-LEN(SUBSTITUTE(_xlfn.SINGLE(
INDEX('Focus Data Tillage by farm'!$D$4:$P$9,MATCH(D64,'Focus Data Tillage by farm'!$C$4:$C$9,0),_xlfn.SINGLE(_xlfn.IFS(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"disc","")))/LEN("disc"),
(LEN(_xlfn.SINGLE(
INDEX('Focus Data Tillage by farm'!$D$12:$P$17,MATCH(D64,'Focus Data Tillage by farm'!$C$12:$C$17,0),_xlfn.SINGLE(_xlfn.IFS(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-LEN(SUBSTITUTE(_xlfn.SINGLE(
INDEX('Focus Data Tillage by farm'!$D$12:$P$17,MATCH(D64,'Focus Data Tillage by farm'!$C$12:$C$17,0),_xlfn.SINGLE(_xlfn.IFS(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"disc","")))/LEN("disc"))</f>
        <v>2</v>
      </c>
      <c r="AF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"field cultivator","")))/LEN("field cultivator"),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"field cultivator","")))/LEN("field cultivator"))</f>
        <v>0</v>
      </c>
      <c r="AG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"grain drill","")))/LEN("grain drill"),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"grain drill","")))/LEN("grain drill"))</f>
        <v>0</v>
      </c>
      <c r="AH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"minimum tillage","")))/LEN("minimum tillage"),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"minimum tillage","")))/LEN("minimum tillage"))</f>
        <v>1</v>
      </c>
      <c r="AI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"row crop planter","")))/LEN("row crop planter"),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"row crop planter","")))/LEN("row crop planter"))</f>
        <v>0</v>
      </c>
      <c r="AJ64" s="102">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"plough","")))/LEN("plough"),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"plough","")))/LEN("plough"))</f>
        <v>0</v>
      </c>
      <c r="AK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harrow","")))/LEN("roller harrow"),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harrow","")))/LEN("roller harrow"))</f>
        <v>0</v>
      </c>
      <c r="AL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packer","")))/LEN("roller packer"),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"roller packer","")))/LEN("roller packer"))</f>
        <v>2</v>
      </c>
      <c r="AM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"rotary hoe","")))/LEN("rotary hoe"),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"rotary hoe","")))/LEN("rotary hoe"))</f>
        <v>0</v>
      </c>
      <c r="AN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"subsoil","")))/LEN("subsoil"),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"subsoil","")))/LEN("subsoil"))</f>
        <v>0</v>
      </c>
      <c r="AO64">
        <f>IF(OR(ISNUMBER(SEARCH("heavy",A64))=TRUE, ISNUMBER(SEARCH("medium",A64))=TRUE),
(LEN(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farm'!$D$4:$P$9,MATCH(D64,'Focus Data Tillage by farm'!$C$4:$C$9,0),_xlfn.IFS(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"tine harrow","")))/LEN("tine harrow"),
(LEN(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-LEN(SUBSTITUTE(
INDEX('Focus Data Tillage by farm'!$D$12:$P$17,MATCH(D64,'Focus Data Tillage by farm'!$C$12:$C$17,0),_xlfn.IFS(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
"tine harrow","")))/LEN("tine harrow"))</f>
        <v>0</v>
      </c>
      <c r="AP64" s="102">
        <f>INDEX('Focus Data NSpraying'!$D$4:$P$19,MATCH(F64,'Focus Data NSpraying'!$C$4:$C$19,0),_xlfn.IFS(
AND(ISNUMBER(SEARCH("H-Dsty.",A64))=TRUE,ISNUMBER(SEARCH("H-Res",A64))=TRUE,ISNUMBER(SEARCH("E.",A64))=TRUE),1,
AND(ISNUMBER(SEARCH("H-Dsty.",A64))=TRUE,ISNUMBER(SEARCH("H-Res",A64))=TRUE,OR(ISNUMBER(SEARCH("N.he",A64))=TRUE,ISNUMBER(SEARCH("N.me",A64))=TRUE,ISNUMBER(SEARCH("N.li",A64))=TRUE)),2,
AND(ISNUMBER(SEARCH("H-Dsty.",A64))=TRUE,ISNUMBER(SEARCH("H-Res",A64))=TRUE,ISNUMBER(SEARCH("C.",A64))=TRUE),3,
AND(ISNUMBER(SEARCH("L-Dsty.",A64))=TRUE,ISNUMBER(SEARCH("H-Res",A64))=TRUE,ISNUMBER(SEARCH("E.",A64))=TRUE),6,
AND(ISNUMBER(SEARCH("L-Dsty.",A64))=TRUE,ISNUMBER(SEARCH("H-Res",A64))=TRUE,OR(ISNUMBER(SEARCH("N.he",A64))=TRUE,ISNUMBER(SEARCH("N.me",A64))=TRUE,ISNUMBER(SEARCH("N.li",A64))=TRUE)),7,
AND(ISNUMBER(SEARCH("L-Dsty.",A64))=TRUE,ISNUMBER(SEARCH("H-Res",A64))=TRUE,ISNUMBER(SEARCH("C.",A64))=TRUE),8,
AND(ISNUMBER(SEARCH("L-Dsty.",A64))=TRUE,ISNUMBER(SEARCH("L-Res",A64))=TRUE,ISNUMBER(SEARCH("E.",A64))=TRUE),11,
AND(ISNUMBER(SEARCH("L-Dsty.",A64))=TRUE,ISNUMBER(SEARCH("L-Res",A64))=TRUE,OR(ISNUMBER(SEARCH("N.he",A64))=TRUE,ISNUMBER(SEARCH("N.me",A64))=TRUE,ISNUMBER(SEARCH("N.li",A64))=TRUE)),12,
AND(ISNUMBER(SEARCH("L-Dsty.",A64))=TRUE,ISNUMBER(SEARCH("L-Res",A64))=TRUE,ISNUMBER(SEARCH("C.",A64))=TRUE),13))</f>
        <v>4</v>
      </c>
    </row>
    <row r="65" spans="1:42" x14ac:dyDescent="0.2">
      <c r="A65" t="s">
        <v>503</v>
      </c>
      <c r="B65" s="210" t="str">
        <f t="array" ref="B65">INDEX(ECOMOD_input_estimate!$A$2:$A$55, MATCH(CFT_input!$A65, ECOMOD_input_estimate!$B:$B, 0))</f>
        <v>FF_11.2</v>
      </c>
      <c r="C65" s="210">
        <v>2020</v>
      </c>
      <c r="D65" s="395" t="s">
        <v>1695</v>
      </c>
      <c r="E65" s="210" t="str">
        <f t="shared" si="0"/>
        <v>E.heavy.L-Dsty.H-Res</v>
      </c>
      <c r="F65" s="210" t="str">
        <f t="array" ref="F65">_xlfn.SINGLE(IF(OR(ISNUMBER(SEARCH("heavy",A65))=TRUE,ISNUMBER(SEARCH("medium",A65))=TRUE),
INDEX('Focus Data Crop Rotations'!$D$4:$P$9,MATCH(D65,'Focus Data Crop Rotations'!$C$4:$C$9,0),_xlfn.SINGLE(_xlfn.IFS(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INDEX('Focus Data Crop Rotations'!$D$12:$P$17,MATCH(D65,'Focus Data Crop Rotations'!$C$12:$C$17,0),_xlfn.SINGLE(_xlfn.IFS(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winterbarley</v>
      </c>
      <c r="G65">
        <v>7.2</v>
      </c>
      <c r="H65" s="227">
        <f>VLOOKUP(F65,'CFT Specific Data'!$F$4:$H$19,3,FALSE)*G65*
IF(B65=B64,
IF(AND(ISNUMBER(SEARCH("wheat",F65))=TRUE,ISNUMBER(SEARCH("Barley",F64))=TRUE),0.89,
IF(AND(ISNUMBER(SEARCH("wheat",F65))=TRUE,F64="setaside"),0.94,
IF(AND(ISNUMBER(SEARCH("barley",F65))=TRUE,ISNUMBER(SEARCH("wheat",F64))=TRUE),0.89,
IF(AND(F65="winterbarley",F64="setaside"),0.94,
IF(AND(F65="sugarbeet",F64="warepotatoes"),0.95,
IF(AND((OR(ISNUMBER(SEARCH("beans",F65)),ISNUMBER(SEARCH("driedpeas",F65)),ISNUMBER(SEARCH("sugarbeet",F65)))=TRUE),ISNUMBER(SEARCH("osr",F64))=TRUE),0,
IF(AND((OR((ISNUMBER(SEARCH("wheat",F65))),ISNUMBER(SEARCH("linseed",F65)),ISNUMBER(SEARCH("driedpeas",F65)),ISNUMBER(SEARCH("osr",F65)))=TRUE),F64="sugarbeet"),0,
IF(AND((OR((ISNUMBER(SEARCH("osr",F65))),ISNUMBER(SEARCH("linseed",F65)))=TRUE),ISNUMBER(SEARCH("beans",F64))=TRUE),0,
IF(AND(F65="wosr",ISNUMBER(SEARCH("linseed",F64))=TRUE),0,
IF(AND(F65="sugarbeet",F64="warepotatoes"),0,
1)))))))))),
IF(AND(ISNUMBER(SEARCH("wheat",F65))=TRUE,ISNUMBER(SEARCH("Barley",F70))=TRUE),0.89,
IF(AND(ISNUMBER(SEARCH("wheat",F65))=TRUE,F70="setaside"),0.94,
IF(AND(ISNUMBER(SEARCH("barley",F65))=TRUE,ISNUMBER(SEARCH("wheat",F70))=TRUE),0.89,
IF(AND(F65="winterbarley",F70="setaside"),0.94,
IF(AND(F65="sugarbeet",F70="warepotatoes"),0.95,
IF(AND((OR(ISNUMBER(SEARCH("beans",F65)),ISNUMBER(SEARCH("driedpeas",F65)),ISNUMBER(SEARCH("sugarbeet",F65)))=TRUE),ISNUMBER(SEARCH("osr",F70))=TRUE),0,
IF(AND((OR((ISNUMBER(SEARCH("wheat",F65))),ISNUMBER(SEARCH("linseed",F65)),ISNUMBER(SEARCH("driedpeas",F65)),ISNUMBER(SEARCH("osr",F65)))=TRUE),F70="sugarbeet"),0,
IF(AND((OR((ISNUMBER(SEARCH("osr",F65))),ISNUMBER(SEARCH("linseed",F65)))=TRUE),ISNUMBER(SEARCH("beans",F70))=TRUE),0,
IF(AND(F65="wosr",ISNUMBER(SEARCH("linseed",F70))=TRUE),0,
IF(AND(F65="sugarbeet",F70="warepotatoes"),0,
1)))))))))))
*IF(OR(ISNUMBER(SEARCH("wheat",F65)),ISNUMBER(SEARCH("barley",F65)),ISNUMBER(SEARCH("driedpeas",F65)),ISNUMBER(SEARCH("warepotatoes",F65)),ISNUMBER(SEARCH("osr",F65)),ISNUMBER(SEARCH("linseed",F65)),ISNUMBER(SEARCH("sugarbeet",F65))),
IF(COUNTIF(B60:B64,B65)=5,
INDEX('CFT Specific Data'!$G$24:$L$39,MATCH(F65,'CFT Specific Data'!$F$24:$F$39,0),IF(COUNTIF(F60:F64,F65)=5,6,IF(COUNTIF(F61:F64,F65)=4,5,IF(COUNTIF(F62:F64,F65)=3,4,IF(COUNTIF(F63:F64,F65)=2,3,IF(F64=F65,2,1)))))),
IF(COUNTIF(B60:B64,B65)=4,
INDEX('CFT Specific Data'!$G$24:$L$39,MATCH(F65,'CFT Specific Data'!$F$24:$F$39,0),IF(SUM(COUNTIF(F61:F64,F65),COUNTIF(F66,F65))=5,6,IF(COUNTIF(F61:F64,F65)=4,5,IF(COUNTIF(F62:F64,F65)=3,4,IF(COUNTIF(F63:F64,F65)=2,3,IF(F64=F65,2,1)))))),
IF(COUNTIF(B60:B64,B65)=3,
INDEX('CFT Specific Data'!$G$24:$L$39,MATCH(F65,'CFT Specific Data'!$F$24:$F$39,0),IF(SUM(COUNTIF(F62:F64,F65),COUNTIF(F66:F67,F65))=5,6,IF(SUM(COUNTIF(F62:F64,F65),COUNTIF(F67,F65))=4,5,IF(COUNTIF(F62:F64,F65)=3,4,IF(COUNTIF(F63:F64,F65)=2,3,IF(F64=F65,2,1)))))),
IF(COUNTIF(B60:B64,B65)=2,
INDEX('CFT Specific Data'!$G$24:$L$39,MATCH(F65,'CFT Specific Data'!$F$24:$F$39,0),IF(SUM(COUNTIF(F63:F64,F65),COUNTIF(F66:F68,F65))=5,6,IF(SUM(COUNTIF(F63:F64,F65),COUNTIF(F67:F68,F65))=4,5,IF(SUM(COUNTIF(F63:F64,F65),COUNTIF(F68,F65))=3,4,IF(COUNTIF(F63:F64,F65)=2,3,IF(F64=F65,2,1)))))),
IF(COUNTIF(B60:B64,B65)=1,
INDEX('CFT Specific Data'!$G$24:$L$39,MATCH(F65,'CFT Specific Data'!$F$24:$F$39,0),IF(SUM(COUNTIF(F64,F65),COUNTIF(F66:F69,F65))=5,6,IF(SUM(COUNTIF(F64,F65),COUNTIF(F67:F69,F65))=4,5,IF(SUM(COUNTIF(F64,F65),COUNTIF(F68:F69,F65))=3,4,IF(SUM(COUNTIF(F64,F65),COUNTIF(F69,F65))=2,3,IF(F64=F65,2,1)))))),
IF(COUNTIF(B60:B64,B65)=0,
INDEX('CFT Specific Data'!$G$24:$L$39,MATCH(F65,'CFT Specific Data'!$F$24:$F$39,0),IF(COUNTIF(F66:F70,F65)=5,6,IF(COUNTIF(F67:F70,F65)=4,5,IF(COUNTIF(F68:F70,F65)=3,4,IF(COUNTIF(F69:F70,F65)=2,3,IF(F70=F65,2,1)))))))))))),1)</f>
        <v>47.419200000000004</v>
      </c>
      <c r="I65" s="210" t="s">
        <v>348</v>
      </c>
      <c r="J65">
        <v>10</v>
      </c>
      <c r="K65" s="210" t="str">
        <f>VLOOKUP(F65,'CFT Specific Data'!$F$4:$G$19,2,FALSE)</f>
        <v>Barley</v>
      </c>
      <c r="L65" t="str">
        <f t="shared" si="1"/>
        <v>Fine</v>
      </c>
      <c r="M65">
        <f t="shared" si="2"/>
        <v>5.8479999999999999</v>
      </c>
      <c r="N65" t="str">
        <f t="shared" si="3"/>
        <v>5.16 &lt; SOM &lt;= 10.32</v>
      </c>
      <c r="O65" t="s">
        <v>349</v>
      </c>
      <c r="P65" t="s">
        <v>350</v>
      </c>
      <c r="Q65">
        <v>7</v>
      </c>
      <c r="R65" t="str">
        <f t="shared" si="6"/>
        <v>5.5 &lt; pH &lt;= 7.3</v>
      </c>
      <c r="S65" t="s">
        <v>351</v>
      </c>
      <c r="T65" s="210">
        <f t="array" ref="T65">_xlfn.SINGLE(INDEX('Focus Data NFertiliser Rate'!$D$4:$P$19,MATCH(F65,'Focus Data NFertiliser Rate'!$C$4:$C$19,0),_xlfn.SINGLE(_xlfn.IFS(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200</v>
      </c>
      <c r="U65" t="str">
        <f t="shared" si="4"/>
        <v>Apply in solution</v>
      </c>
      <c r="V65" s="210">
        <f t="array" ref="V65">_xlfn.SINGLE(INDEX('№ Fertiliser sprayings'!$D$4:$P$19,MATCH(F65,'№ Fertiliser sprayings'!$C$4:$C$19,0),_xlfn.SINGLE(_xlfn.IFS(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2</v>
      </c>
      <c r="W65" s="264">
        <f t="array" ref="W65">_xlfn.SINGLE(INDEX('Focus Data CFT NSpraying'!$D$4:$P$19,MATCH(F65,'Focus Data CFT NSpraying'!$C$4:$C$19,0),_xlfn.SINGLE(_xlfn.IFS(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14.436</v>
      </c>
      <c r="X65" t="s">
        <v>363</v>
      </c>
      <c r="Y65">
        <v>0</v>
      </c>
      <c r="Z65">
        <v>100</v>
      </c>
      <c r="AA65" t="s">
        <v>352</v>
      </c>
      <c r="AB65" s="226" t="str">
        <f>IF(B65=B64,_xlfn.IFS(
AND(AA65=Lists!$L$8,AA64=Lists!$L$8),Lists!$N$5,
AND(OR(AA65=Lists!$L$5,AA65=Lists!$L$7,AA65=Lists!$L$9,AA65=Lists!$L$10,AA65=Lists!$L$6),OR(AA64=Lists!$L$5,AA64=Lists!$L$7,AA64=Lists!$L$9,AA64=Lists!$L$10,AA64=Lists!$L$6)),Lists!$N$5,
AND(AA65=Lists!$L$8,OR(AA64=Lists!$L$5,AA64=Lists!$L$7,AA64=Lists!$L$9,AA64=Lists!$L$10,AA64=Lists!$L$6)),Lists!$N$6,
AND(OR(AA65=Lists!$L$5,AA65=Lists!$L$6,AA65=Lists!$L$7,AA65=Lists!$L$9,AA65=Lists!$L$10),AA64=Lists!$L$8),Lists!$N$7),
_xlfn.IFS(
AND(AA65=Lists!$L$8,AA70=Lists!$L$8),Lists!$N$5,
AND(OR(AA65=Lists!$L$5,AA65=Lists!$L$7,AA65=Lists!$L$9,AA65=Lists!$L$10,AA65=Lists!$L$6),OR(AA70=Lists!$L$5,AA70=Lists!$L$7,AA70=Lists!$L$9,AA70=Lists!$L$10,AA70=Lists!$L$6)),Lists!$N$5,
AND(AA65=Lists!$L$8,OR(AA70=Lists!$L$5,AA70=Lists!$L$7,AA70=Lists!$L$9,AA70=Lists!$L$10,AA70=Lists!$L$6)),Lists!$N$6,
AND(OR(AA65=Lists!$L$5,AA65=Lists!$L$7,AA65=Lists!$L$9,AA65=Lists!$L$10),AA70=Lists!$L$8),Lists!$N$7))</f>
        <v>no change</v>
      </c>
      <c r="AC65">
        <v>0</v>
      </c>
      <c r="AD65">
        <v>0</v>
      </c>
      <c r="AE65" s="102">
        <f t="array" ref="AE65">IF(OR(ISNUMBER(SEARCH("heavy",A65))=TRUE, ISNUMBER(SEARCH("medium",A65))=TRUE),
(LEN(_xlfn.SINGLE(
INDEX('Focus Data Tillage by farm'!$D$4:$P$9,MATCH(D65,'Focus Data Tillage by farm'!$C$4:$C$9,0),_xlfn.SINGLE(_xlfn.IFS(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-LEN(SUBSTITUTE(_xlfn.SINGLE(
INDEX('Focus Data Tillage by farm'!$D$4:$P$9,MATCH(D65,'Focus Data Tillage by farm'!$C$4:$C$9,0),_xlfn.SINGLE(_xlfn.IFS(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"disc","")))/LEN("disc"),
(LEN(_xlfn.SINGLE(
INDEX('Focus Data Tillage by farm'!$D$12:$P$17,MATCH(D65,'Focus Data Tillage by farm'!$C$12:$C$17,0),_xlfn.SINGLE(_xlfn.IFS(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-LEN(SUBSTITUTE(_xlfn.SINGLE(
INDEX('Focus Data Tillage by farm'!$D$12:$P$17,MATCH(D65,'Focus Data Tillage by farm'!$C$12:$C$17,0),_xlfn.SINGLE(_xlfn.IFS(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"disc","")))/LEN("disc"))</f>
        <v>2</v>
      </c>
      <c r="AF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"field cultivator","")))/LEN("field cultivator"),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"field cultivator","")))/LEN("field cultivator"))</f>
        <v>0</v>
      </c>
      <c r="AG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"grain drill","")))/LEN("grain drill"),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"grain drill","")))/LEN("grain drill"))</f>
        <v>0</v>
      </c>
      <c r="AH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"minimum tillage","")))/LEN("minimum tillage"),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"minimum tillage","")))/LEN("minimum tillage"))</f>
        <v>1</v>
      </c>
      <c r="AI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"row crop planter","")))/LEN("row crop planter"),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"row crop planter","")))/LEN("row crop planter"))</f>
        <v>0</v>
      </c>
      <c r="AJ65" s="102">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"plough","")))/LEN("plough"),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"plough","")))/LEN("plough"))</f>
        <v>0</v>
      </c>
      <c r="AK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harrow","")))/LEN("roller harrow"),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harrow","")))/LEN("roller harrow"))</f>
        <v>0</v>
      </c>
      <c r="AL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packer","")))/LEN("roller packer"),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"roller packer","")))/LEN("roller packer"))</f>
        <v>2</v>
      </c>
      <c r="AM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"rotary hoe","")))/LEN("rotary hoe"),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"rotary hoe","")))/LEN("rotary hoe"))</f>
        <v>0</v>
      </c>
      <c r="AN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"subsoil","")))/LEN("subsoil"),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"subsoil","")))/LEN("subsoil"))</f>
        <v>0</v>
      </c>
      <c r="AO65">
        <f>IF(OR(ISNUMBER(SEARCH("heavy",A65))=TRUE, ISNUMBER(SEARCH("medium",A65))=TRUE),
(LEN(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farm'!$D$4:$P$9,MATCH(D65,'Focus Data Tillage by farm'!$C$4:$C$9,0),_xlfn.IFS(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"tine harrow","")))/LEN("tine harrow"),
(LEN(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-LEN(SUBSTITUTE(
INDEX('Focus Data Tillage by farm'!$D$12:$P$17,MATCH(D65,'Focus Data Tillage by farm'!$C$12:$C$17,0),_xlfn.IFS(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
"tine harrow","")))/LEN("tine harrow"))</f>
        <v>0</v>
      </c>
      <c r="AP65" s="102">
        <f>INDEX('Focus Data NSpraying'!$D$4:$P$19,MATCH(F65,'Focus Data NSpraying'!$C$4:$C$19,0),_xlfn.IFS(
AND(ISNUMBER(SEARCH("H-Dsty.",A65))=TRUE,ISNUMBER(SEARCH("H-Res",A65))=TRUE,ISNUMBER(SEARCH("E.",A65))=TRUE),1,
AND(ISNUMBER(SEARCH("H-Dsty.",A65))=TRUE,ISNUMBER(SEARCH("H-Res",A65))=TRUE,OR(ISNUMBER(SEARCH("N.he",A65))=TRUE,ISNUMBER(SEARCH("N.me",A65))=TRUE,ISNUMBER(SEARCH("N.li",A65))=TRUE)),2,
AND(ISNUMBER(SEARCH("H-Dsty.",A65))=TRUE,ISNUMBER(SEARCH("H-Res",A65))=TRUE,ISNUMBER(SEARCH("C.",A65))=TRUE),3,
AND(ISNUMBER(SEARCH("L-Dsty.",A65))=TRUE,ISNUMBER(SEARCH("H-Res",A65))=TRUE,ISNUMBER(SEARCH("E.",A65))=TRUE),6,
AND(ISNUMBER(SEARCH("L-Dsty.",A65))=TRUE,ISNUMBER(SEARCH("H-Res",A65))=TRUE,OR(ISNUMBER(SEARCH("N.he",A65))=TRUE,ISNUMBER(SEARCH("N.me",A65))=TRUE,ISNUMBER(SEARCH("N.li",A65))=TRUE)),7,
AND(ISNUMBER(SEARCH("L-Dsty.",A65))=TRUE,ISNUMBER(SEARCH("H-Res",A65))=TRUE,ISNUMBER(SEARCH("C.",A65))=TRUE),8,
AND(ISNUMBER(SEARCH("L-Dsty.",A65))=TRUE,ISNUMBER(SEARCH("L-Res",A65))=TRUE,ISNUMBER(SEARCH("E.",A65))=TRUE),11,
AND(ISNUMBER(SEARCH("L-Dsty.",A65))=TRUE,ISNUMBER(SEARCH("L-Res",A65))=TRUE,OR(ISNUMBER(SEARCH("N.he",A65))=TRUE,ISNUMBER(SEARCH("N.me",A65))=TRUE,ISNUMBER(SEARCH("N.li",A65))=TRUE)),12,
AND(ISNUMBER(SEARCH("L-Dsty.",A65))=TRUE,ISNUMBER(SEARCH("L-Res",A65))=TRUE,ISNUMBER(SEARCH("C.",A65))=TRUE),13))</f>
        <v>5</v>
      </c>
    </row>
    <row r="66" spans="1:42" x14ac:dyDescent="0.2">
      <c r="A66" t="s">
        <v>503</v>
      </c>
      <c r="B66" s="210" t="str">
        <f t="array" ref="B66">INDEX(ECOMOD_input_estimate!$A$2:$A$55, MATCH(CFT_input!$A66, ECOMOD_input_estimate!$B:$B, 0))</f>
        <v>FF_11.2</v>
      </c>
      <c r="C66" s="210">
        <v>2020</v>
      </c>
      <c r="D66" s="395" t="s">
        <v>1696</v>
      </c>
      <c r="E66" s="210" t="str">
        <f t="shared" si="0"/>
        <v>E.heavy.L-Dsty.H-Res</v>
      </c>
      <c r="F66" s="210" t="str">
        <f t="array" ref="F66">_xlfn.SINGLE(IF(OR(ISNUMBER(SEARCH("heavy",A66))=TRUE,ISNUMBER(SEARCH("medium",A66))=TRUE),
INDEX('Focus Data Crop Rotations'!$D$4:$P$9,MATCH(D66,'Focus Data Crop Rotations'!$C$4:$C$9,0),_xlfn.SINGLE(_xlfn.IFS(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INDEX('Focus Data Crop Rotations'!$D$12:$P$17,MATCH(D66,'Focus Data Crop Rotations'!$C$12:$C$17,0),_xlfn.SINGLE(_xlfn.IFS(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wosr</v>
      </c>
      <c r="G66">
        <v>7.2</v>
      </c>
      <c r="H66" s="227">
        <f>VLOOKUP(F66,'CFT Specific Data'!$F$4:$H$19,3,FALSE)*G66*
IF(B66=B65,
IF(AND(ISNUMBER(SEARCH("wheat",F66))=TRUE,ISNUMBER(SEARCH("Barley",F65))=TRUE),0.89,
IF(AND(ISNUMBER(SEARCH("wheat",F66))=TRUE,F65="setaside"),0.94,
IF(AND(ISNUMBER(SEARCH("barley",F66))=TRUE,ISNUMBER(SEARCH("wheat",F65))=TRUE),0.89,
IF(AND(F66="winterbarley",F65="setaside"),0.94,
IF(AND(F66="sugarbeet",F65="warepotatoes"),0.95,
IF(AND((OR(ISNUMBER(SEARCH("beans",F66)),ISNUMBER(SEARCH("driedpeas",F66)),ISNUMBER(SEARCH("sugarbeet",F66)))=TRUE),ISNUMBER(SEARCH("osr",F65))=TRUE),0,
IF(AND((OR((ISNUMBER(SEARCH("wheat",F66))),ISNUMBER(SEARCH("linseed",F66)),ISNUMBER(SEARCH("driedpeas",F66)),ISNUMBER(SEARCH("osr",F66)))=TRUE),F65="sugarbeet"),0,
IF(AND((OR((ISNUMBER(SEARCH("osr",F66))),ISNUMBER(SEARCH("linseed",F66)))=TRUE),ISNUMBER(SEARCH("beans",F65))=TRUE),0,
IF(AND(F66="wosr",ISNUMBER(SEARCH("linseed",F65))=TRUE),0,
IF(AND(F66="sugarbeet",F65="warepotatoes"),0,
1)))))))))),
IF(AND(ISNUMBER(SEARCH("wheat",F66))=TRUE,ISNUMBER(SEARCH("Barley",F71))=TRUE),0.89,
IF(AND(ISNUMBER(SEARCH("wheat",F66))=TRUE,F71="setaside"),0.94,
IF(AND(ISNUMBER(SEARCH("barley",F66))=TRUE,ISNUMBER(SEARCH("wheat",F71))=TRUE),0.89,
IF(AND(F66="winterbarley",F71="setaside"),0.94,
IF(AND(F66="sugarbeet",F71="warepotatoes"),0.95,
IF(AND((OR(ISNUMBER(SEARCH("beans",F66)),ISNUMBER(SEARCH("driedpeas",F66)),ISNUMBER(SEARCH("sugarbeet",F66)))=TRUE),ISNUMBER(SEARCH("osr",F71))=TRUE),0,
IF(AND((OR((ISNUMBER(SEARCH("wheat",F66))),ISNUMBER(SEARCH("linseed",F66)),ISNUMBER(SEARCH("driedpeas",F66)),ISNUMBER(SEARCH("osr",F66)))=TRUE),F71="sugarbeet"),0,
IF(AND((OR((ISNUMBER(SEARCH("osr",F66))),ISNUMBER(SEARCH("linseed",F66)))=TRUE),ISNUMBER(SEARCH("beans",F71))=TRUE),0,
IF(AND(F66="wosr",ISNUMBER(SEARCH("linseed",F71))=TRUE),0,
IF(AND(F66="sugarbeet",F71="warepotatoes"),0,
1)))))))))))
*IF(OR(ISNUMBER(SEARCH("wheat",F66)),ISNUMBER(SEARCH("barley",F66)),ISNUMBER(SEARCH("driedpeas",F66)),ISNUMBER(SEARCH("warepotatoes",F66)),ISNUMBER(SEARCH("osr",F66)),ISNUMBER(SEARCH("linseed",F66)),ISNUMBER(SEARCH("sugarbeet",F66))),
IF(COUNTIF(B61:B65,B66)=5,
INDEX('CFT Specific Data'!$G$24:$L$39,MATCH(F66,'CFT Specific Data'!$F$24:$F$39,0),IF(COUNTIF(F61:F65,F66)=5,6,IF(COUNTIF(F62:F65,F66)=4,5,IF(COUNTIF(F63:F65,F66)=3,4,IF(COUNTIF(F64:F65,F66)=2,3,IF(F65=F66,2,1)))))),
IF(COUNTIF(B61:B65,B66)=4,
INDEX('CFT Specific Data'!$G$24:$L$39,MATCH(F66,'CFT Specific Data'!$F$24:$F$39,0),IF(SUM(COUNTIF(F62:F65,F66),COUNTIF(F67,F66))=5,6,IF(COUNTIF(F62:F65,F66)=4,5,IF(COUNTIF(F63:F65,F66)=3,4,IF(COUNTIF(F64:F65,F66)=2,3,IF(F65=F66,2,1)))))),
IF(COUNTIF(B61:B65,B66)=3,
INDEX('CFT Specific Data'!$G$24:$L$39,MATCH(F66,'CFT Specific Data'!$F$24:$F$39,0),IF(SUM(COUNTIF(F63:F65,F66),COUNTIF(F67:F68,F66))=5,6,IF(SUM(COUNTIF(F63:F65,F66),COUNTIF(F68,F66))=4,5,IF(COUNTIF(F63:F65,F66)=3,4,IF(COUNTIF(F64:F65,F66)=2,3,IF(F65=F66,2,1)))))),
IF(COUNTIF(B61:B65,B66)=2,
INDEX('CFT Specific Data'!$G$24:$L$39,MATCH(F66,'CFT Specific Data'!$F$24:$F$39,0),IF(SUM(COUNTIF(F64:F65,F66),COUNTIF(F67:F69,F66))=5,6,IF(SUM(COUNTIF(F64:F65,F66),COUNTIF(F68:F69,F66))=4,5,IF(SUM(COUNTIF(F64:F65,F66),COUNTIF(F69,F66))=3,4,IF(COUNTIF(F64:F65,F66)=2,3,IF(F65=F66,2,1)))))),
IF(COUNTIF(B61:B65,B66)=1,
INDEX('CFT Specific Data'!$G$24:$L$39,MATCH(F66,'CFT Specific Data'!$F$24:$F$39,0),IF(SUM(COUNTIF(F65,F66),COUNTIF(F67:F70,F66))=5,6,IF(SUM(COUNTIF(F65,F66),COUNTIF(F68:F70,F66))=4,5,IF(SUM(COUNTIF(F65,F66),COUNTIF(F69:F70,F66))=3,4,IF(SUM(COUNTIF(F65,F66),COUNTIF(F70,F66))=2,3,IF(F65=F66,2,1)))))),
IF(COUNTIF(B61:B65,B66)=0,
INDEX('CFT Specific Data'!$G$24:$L$39,MATCH(F66,'CFT Specific Data'!$F$24:$F$39,0),IF(COUNTIF(F67:F71,F66)=5,6,IF(COUNTIF(F68:F71,F66)=4,5,IF(COUNTIF(F69:F71,F66)=3,4,IF(COUNTIF(F70:F71,F66)=2,3,IF(F71=F66,2,1)))))))))))),1)</f>
        <v>25.2</v>
      </c>
      <c r="I66" s="210" t="s">
        <v>348</v>
      </c>
      <c r="J66">
        <v>10</v>
      </c>
      <c r="K66" s="210" t="str">
        <f>VLOOKUP(F66,'CFT Specific Data'!$F$4:$G$19,2,FALSE)</f>
        <v>Other</v>
      </c>
      <c r="L66" t="str">
        <f t="shared" si="1"/>
        <v>Fine</v>
      </c>
      <c r="M66">
        <f t="shared" si="2"/>
        <v>5.8479999999999999</v>
      </c>
      <c r="N66" t="str">
        <f t="shared" si="3"/>
        <v>5.16 &lt; SOM &lt;= 10.32</v>
      </c>
      <c r="O66" t="s">
        <v>349</v>
      </c>
      <c r="P66" t="s">
        <v>350</v>
      </c>
      <c r="Q66">
        <v>7</v>
      </c>
      <c r="R66" t="str">
        <f t="shared" si="6"/>
        <v>5.5 &lt; pH &lt;= 7.3</v>
      </c>
      <c r="S66" t="s">
        <v>351</v>
      </c>
      <c r="T66" s="210">
        <f t="array" ref="T66">_xlfn.SINGLE(INDEX('Focus Data NFertiliser Rate'!$D$4:$P$19,MATCH(F66,'Focus Data NFertiliser Rate'!$C$4:$C$19,0),_xlfn.SINGLE(_xlfn.IFS(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180</v>
      </c>
      <c r="U66" t="str">
        <f t="shared" si="4"/>
        <v>Apply in solution</v>
      </c>
      <c r="V66" s="210">
        <f t="array" ref="V66">_xlfn.SINGLE(INDEX('№ Fertiliser sprayings'!$D$4:$P$19,MATCH(F66,'№ Fertiliser sprayings'!$C$4:$C$19,0),_xlfn.SINGLE(_xlfn.IFS(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3</v>
      </c>
      <c r="W66" s="264">
        <f t="array" ref="W66">_xlfn.SINGLE(INDEX('Focus Data CFT NSpraying'!$D$4:$P$19,MATCH(F66,'Focus Data CFT NSpraying'!$C$4:$C$19,0),_xlfn.SINGLE(_xlfn.IFS(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6.24</v>
      </c>
      <c r="X66" t="s">
        <v>363</v>
      </c>
      <c r="Y66">
        <v>0</v>
      </c>
      <c r="Z66">
        <v>100</v>
      </c>
      <c r="AA66" t="s">
        <v>352</v>
      </c>
      <c r="AB66" s="226" t="str">
        <f>IF(B66=B65,_xlfn.IFS(
AND(AA66=Lists!$L$8,AA65=Lists!$L$8),Lists!$N$5,
AND(OR(AA66=Lists!$L$5,AA66=Lists!$L$7,AA66=Lists!$L$9,AA66=Lists!$L$10,AA66=Lists!$L$6),OR(AA65=Lists!$L$5,AA65=Lists!$L$7,AA65=Lists!$L$9,AA65=Lists!$L$10,AA65=Lists!$L$6)),Lists!$N$5,
AND(AA66=Lists!$L$8,OR(AA65=Lists!$L$5,AA65=Lists!$L$7,AA65=Lists!$L$9,AA65=Lists!$L$10,AA65=Lists!$L$6)),Lists!$N$6,
AND(OR(AA66=Lists!$L$5,AA66=Lists!$L$6,AA66=Lists!$L$7,AA66=Lists!$L$9,AA66=Lists!$L$10),AA65=Lists!$L$8),Lists!$N$7),
_xlfn.IFS(
AND(AA66=Lists!$L$8,AA71=Lists!$L$8),Lists!$N$5,
AND(OR(AA66=Lists!$L$5,AA66=Lists!$L$7,AA66=Lists!$L$9,AA66=Lists!$L$10,AA66=Lists!$L$6),OR(AA71=Lists!$L$5,AA71=Lists!$L$7,AA71=Lists!$L$9,AA71=Lists!$L$10,AA71=Lists!$L$6)),Lists!$N$5,
AND(AA66=Lists!$L$8,OR(AA71=Lists!$L$5,AA71=Lists!$L$7,AA71=Lists!$L$9,AA71=Lists!$L$10,AA71=Lists!$L$6)),Lists!$N$6,
AND(OR(AA66=Lists!$L$5,AA66=Lists!$L$7,AA66=Lists!$L$9,AA66=Lists!$L$10),AA71=Lists!$L$8),Lists!$N$7))</f>
        <v>no change</v>
      </c>
      <c r="AC66">
        <v>0</v>
      </c>
      <c r="AD66">
        <v>0</v>
      </c>
      <c r="AE66" s="102">
        <f t="array" ref="AE66">IF(OR(ISNUMBER(SEARCH("heavy",A66))=TRUE, ISNUMBER(SEARCH("medium",A66))=TRUE),
(LEN(_xlfn.SINGLE(
INDEX('Focus Data Tillage by farm'!$D$4:$P$9,MATCH(D66,'Focus Data Tillage by farm'!$C$4:$C$9,0),_xlfn.SINGLE(_xlfn.IFS(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-LEN(SUBSTITUTE(_xlfn.SINGLE(
INDEX('Focus Data Tillage by farm'!$D$4:$P$9,MATCH(D66,'Focus Data Tillage by farm'!$C$4:$C$9,0),_xlfn.SINGLE(_xlfn.IFS(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"disc","")))/LEN("disc"),
(LEN(_xlfn.SINGLE(
INDEX('Focus Data Tillage by farm'!$D$12:$P$17,MATCH(D66,'Focus Data Tillage by farm'!$C$12:$C$17,0),_xlfn.SINGLE(_xlfn.IFS(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-LEN(SUBSTITUTE(_xlfn.SINGLE(
INDEX('Focus Data Tillage by farm'!$D$12:$P$17,MATCH(D66,'Focus Data Tillage by farm'!$C$12:$C$17,0),_xlfn.SINGLE(_xlfn.IFS(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"disc","")))/LEN("disc"))</f>
        <v>0</v>
      </c>
      <c r="AF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"field cultivator","")))/LEN("field cultivator"),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"field cultivator","")))/LEN("field cultivator"))</f>
        <v>0</v>
      </c>
      <c r="AG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"grain drill","")))/LEN("grain drill"),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"grain drill","")))/LEN("grain drill"))</f>
        <v>0</v>
      </c>
      <c r="AH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"minimum tillage","")))/LEN("minimum tillage"),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"minimum tillage","")))/LEN("minimum tillage"))</f>
        <v>1</v>
      </c>
      <c r="AI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"row crop planter","")))/LEN("row crop planter"),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"row crop planter","")))/LEN("row crop planter"))</f>
        <v>0</v>
      </c>
      <c r="AJ66" s="102">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"plough","")))/LEN("plough"),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"plough","")))/LEN("plough"))</f>
        <v>0</v>
      </c>
      <c r="AK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harrow","")))/LEN("roller harrow"),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harrow","")))/LEN("roller harrow"))</f>
        <v>0</v>
      </c>
      <c r="AL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packer","")))/LEN("roller packer"),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"roller packer","")))/LEN("roller packer"))</f>
        <v>1</v>
      </c>
      <c r="AM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"rotary hoe","")))/LEN("rotary hoe"),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"rotary hoe","")))/LEN("rotary hoe"))</f>
        <v>0</v>
      </c>
      <c r="AN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"subsoil","")))/LEN("subsoil"),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"subsoil","")))/LEN("subsoil"))</f>
        <v>0</v>
      </c>
      <c r="AO66">
        <f>IF(OR(ISNUMBER(SEARCH("heavy",A66))=TRUE, ISNUMBER(SEARCH("medium",A66))=TRUE),
(LEN(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farm'!$D$4:$P$9,MATCH(D66,'Focus Data Tillage by farm'!$C$4:$C$9,0),_xlfn.IFS(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"tine harrow","")))/LEN("tine harrow"),
(LEN(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-LEN(SUBSTITUTE(
INDEX('Focus Data Tillage by farm'!$D$12:$P$17,MATCH(D66,'Focus Data Tillage by farm'!$C$12:$C$17,0),_xlfn.IFS(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
"tine harrow","")))/LEN("tine harrow"))</f>
        <v>0</v>
      </c>
      <c r="AP66" s="102">
        <f>INDEX('Focus Data NSpraying'!$D$4:$P$19,MATCH(F66,'Focus Data NSpraying'!$C$4:$C$19,0),_xlfn.IFS(
AND(ISNUMBER(SEARCH("H-Dsty.",A66))=TRUE,ISNUMBER(SEARCH("H-Res",A66))=TRUE,ISNUMBER(SEARCH("E.",A66))=TRUE),1,
AND(ISNUMBER(SEARCH("H-Dsty.",A66))=TRUE,ISNUMBER(SEARCH("H-Res",A66))=TRUE,OR(ISNUMBER(SEARCH("N.he",A66))=TRUE,ISNUMBER(SEARCH("N.me",A66))=TRUE,ISNUMBER(SEARCH("N.li",A66))=TRUE)),2,
AND(ISNUMBER(SEARCH("H-Dsty.",A66))=TRUE,ISNUMBER(SEARCH("H-Res",A66))=TRUE,ISNUMBER(SEARCH("C.",A66))=TRUE),3,
AND(ISNUMBER(SEARCH("L-Dsty.",A66))=TRUE,ISNUMBER(SEARCH("H-Res",A66))=TRUE,ISNUMBER(SEARCH("E.",A66))=TRUE),6,
AND(ISNUMBER(SEARCH("L-Dsty.",A66))=TRUE,ISNUMBER(SEARCH("H-Res",A66))=TRUE,OR(ISNUMBER(SEARCH("N.he",A66))=TRUE,ISNUMBER(SEARCH("N.me",A66))=TRUE,ISNUMBER(SEARCH("N.li",A66))=TRUE)),7,
AND(ISNUMBER(SEARCH("L-Dsty.",A66))=TRUE,ISNUMBER(SEARCH("H-Res",A66))=TRUE,ISNUMBER(SEARCH("C.",A66))=TRUE),8,
AND(ISNUMBER(SEARCH("L-Dsty.",A66))=TRUE,ISNUMBER(SEARCH("L-Res",A66))=TRUE,ISNUMBER(SEARCH("E.",A66))=TRUE),11,
AND(ISNUMBER(SEARCH("L-Dsty.",A66))=TRUE,ISNUMBER(SEARCH("L-Res",A66))=TRUE,OR(ISNUMBER(SEARCH("N.he",A66))=TRUE,ISNUMBER(SEARCH("N.me",A66))=TRUE,ISNUMBER(SEARCH("N.li",A66))=TRUE)),12,
AND(ISNUMBER(SEARCH("L-Dsty.",A66))=TRUE,ISNUMBER(SEARCH("L-Res",A66))=TRUE,ISNUMBER(SEARCH("C.",A66))=TRUE),13))</f>
        <v>2</v>
      </c>
    </row>
    <row r="67" spans="1:42" x14ac:dyDescent="0.2">
      <c r="A67" t="s">
        <v>503</v>
      </c>
      <c r="B67" s="210" t="str">
        <f t="array" ref="B67">INDEX(ECOMOD_input_estimate!$A$2:$A$55, MATCH(CFT_input!$A67, ECOMOD_input_estimate!$B:$B, 0))</f>
        <v>FF_11.2</v>
      </c>
      <c r="C67" s="210">
        <v>2020</v>
      </c>
      <c r="D67" s="395" t="s">
        <v>735</v>
      </c>
      <c r="E67" s="210" t="str">
        <f t="shared" ref="E67:E130" si="7">A67</f>
        <v>E.heavy.L-Dsty.H-Res</v>
      </c>
      <c r="F67" s="210" t="str">
        <f t="array" ref="F67">_xlfn.SINGLE(IF(OR(ISNUMBER(SEARCH("heavy",A67))=TRUE,ISNUMBER(SEARCH("medium",A67))=TRUE),
INDEX('Focus Data Crop Rotations'!$D$4:$P$9,MATCH(D67,'Focus Data Crop Rotations'!$C$4:$C$9,0),_xlfn.SINGLE(_xlfn.IFS(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INDEX('Focus Data Crop Rotations'!$D$12:$P$17,MATCH(D67,'Focus Data Crop Rotations'!$C$12:$C$17,0),_xlfn.SINGLE(_xlfn.IFS(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winterwheat</v>
      </c>
      <c r="G67">
        <v>7.2</v>
      </c>
      <c r="H67" s="227">
        <f>VLOOKUP(F67,'CFT Specific Data'!$F$4:$H$19,3,FALSE)*G67*
IF(B67=B66,
IF(AND(ISNUMBER(SEARCH("wheat",F67))=TRUE,ISNUMBER(SEARCH("Barley",F66))=TRUE),0.89,
IF(AND(ISNUMBER(SEARCH("wheat",F67))=TRUE,F66="setaside"),0.94,
IF(AND(ISNUMBER(SEARCH("barley",F67))=TRUE,ISNUMBER(SEARCH("wheat",F66))=TRUE),0.89,
IF(AND(F67="winterbarley",F66="setaside"),0.94,
IF(AND(F67="sugarbeet",F66="warepotatoes"),0.95,
IF(AND((OR(ISNUMBER(SEARCH("beans",F67)),ISNUMBER(SEARCH("driedpeas",F67)),ISNUMBER(SEARCH("sugarbeet",F67)))=TRUE),ISNUMBER(SEARCH("osr",F66))=TRUE),0,
IF(AND((OR((ISNUMBER(SEARCH("wheat",F67))),ISNUMBER(SEARCH("linseed",F67)),ISNUMBER(SEARCH("driedpeas",F67)),ISNUMBER(SEARCH("osr",F67)))=TRUE),F66="sugarbeet"),0,
IF(AND((OR((ISNUMBER(SEARCH("osr",F67))),ISNUMBER(SEARCH("linseed",F67)))=TRUE),ISNUMBER(SEARCH("beans",F66))=TRUE),0,
IF(AND(F67="wosr",ISNUMBER(SEARCH("linseed",F66))=TRUE),0,
IF(AND(F67="sugarbeet",F66="warepotatoes"),0,
1)))))))))),
IF(AND(ISNUMBER(SEARCH("wheat",F67))=TRUE,ISNUMBER(SEARCH("Barley",F72))=TRUE),0.89,
IF(AND(ISNUMBER(SEARCH("wheat",F67))=TRUE,F72="setaside"),0.94,
IF(AND(ISNUMBER(SEARCH("barley",F67))=TRUE,ISNUMBER(SEARCH("wheat",F72))=TRUE),0.89,
IF(AND(F67="winterbarley",F72="setaside"),0.94,
IF(AND(F67="sugarbeet",F72="warepotatoes"),0.95,
IF(AND((OR(ISNUMBER(SEARCH("beans",F67)),ISNUMBER(SEARCH("driedpeas",F67)),ISNUMBER(SEARCH("sugarbeet",F67)))=TRUE),ISNUMBER(SEARCH("osr",F72))=TRUE),0,
IF(AND((OR((ISNUMBER(SEARCH("wheat",F67))),ISNUMBER(SEARCH("linseed",F67)),ISNUMBER(SEARCH("driedpeas",F67)),ISNUMBER(SEARCH("osr",F67)))=TRUE),F72="sugarbeet"),0,
IF(AND((OR((ISNUMBER(SEARCH("osr",F67))),ISNUMBER(SEARCH("linseed",F67)))=TRUE),ISNUMBER(SEARCH("beans",F72))=TRUE),0,
IF(AND(F67="wosr",ISNUMBER(SEARCH("linseed",F72))=TRUE),0,
IF(AND(F67="sugarbeet",F72="warepotatoes"),0,
1)))))))))))
*IF(OR(ISNUMBER(SEARCH("wheat",F67)),ISNUMBER(SEARCH("barley",F67)),ISNUMBER(SEARCH("driedpeas",F67)),ISNUMBER(SEARCH("warepotatoes",F67)),ISNUMBER(SEARCH("osr",F67)),ISNUMBER(SEARCH("linseed",F67)),ISNUMBER(SEARCH("sugarbeet",F67))),
IF(COUNTIF(B62:B66,B67)=5,
INDEX('CFT Specific Data'!$G$24:$L$39,MATCH(F67,'CFT Specific Data'!$F$24:$F$39,0),IF(COUNTIF(F62:F66,F67)=5,6,IF(COUNTIF(F63:F66,F67)=4,5,IF(COUNTIF(F64:F66,F67)=3,4,IF(COUNTIF(F65:F66,F67)=2,3,IF(F66=F67,2,1)))))),
IF(COUNTIF(B62:B66,B67)=4,
INDEX('CFT Specific Data'!$G$24:$L$39,MATCH(F67,'CFT Specific Data'!$F$24:$F$39,0),IF(SUM(COUNTIF(F63:F66,F67),COUNTIF(F68,F67))=5,6,IF(COUNTIF(F63:F66,F67)=4,5,IF(COUNTIF(F64:F66,F67)=3,4,IF(COUNTIF(F65:F66,F67)=2,3,IF(F66=F67,2,1)))))),
IF(COUNTIF(B62:B66,B67)=3,
INDEX('CFT Specific Data'!$G$24:$L$39,MATCH(F67,'CFT Specific Data'!$F$24:$F$39,0),IF(SUM(COUNTIF(F64:F66,F67),COUNTIF(F68:F69,F67))=5,6,IF(SUM(COUNTIF(F64:F66,F67),COUNTIF(F69,F67))=4,5,IF(COUNTIF(F64:F66,F67)=3,4,IF(COUNTIF(F65:F66,F67)=2,3,IF(F66=F67,2,1)))))),
IF(COUNTIF(B62:B66,B67)=2,
INDEX('CFT Specific Data'!$G$24:$L$39,MATCH(F67,'CFT Specific Data'!$F$24:$F$39,0),IF(SUM(COUNTIF(F65:F66,F67),COUNTIF(F68:F70,F67))=5,6,IF(SUM(COUNTIF(F65:F66,F67),COUNTIF(F69:F70,F67))=4,5,IF(SUM(COUNTIF(F65:F66,F67),COUNTIF(F70,F67))=3,4,IF(COUNTIF(F65:F66,F67)=2,3,IF(F66=F67,2,1)))))),
IF(COUNTIF(B62:B66,B67)=1,
INDEX('CFT Specific Data'!$G$24:$L$39,MATCH(F67,'CFT Specific Data'!$F$24:$F$39,0),IF(SUM(COUNTIF(F66,F67),COUNTIF(F68:F71,F67))=5,6,IF(SUM(COUNTIF(F66,F67),COUNTIF(F69:F71,F67))=4,5,IF(SUM(COUNTIF(F66,F67),COUNTIF(F70:F71,F67))=3,4,IF(SUM(COUNTIF(F66,F67),COUNTIF(F71,F67))=2,3,IF(F66=F67,2,1)))))),
IF(COUNTIF(B62:B66,B67)=0,
INDEX('CFT Specific Data'!$G$24:$L$39,MATCH(F67,'CFT Specific Data'!$F$24:$F$39,0),IF(COUNTIF(F68:F72,F67)=5,6,IF(COUNTIF(F69:F72,F67)=4,5,IF(COUNTIF(F70:F72,F67)=3,4,IF(COUNTIF(F71:F72,F67)=2,3,IF(F72=F67,2,1)))))))))))),1)</f>
        <v>61.92</v>
      </c>
      <c r="I67" s="210" t="s">
        <v>348</v>
      </c>
      <c r="J67">
        <v>10</v>
      </c>
      <c r="K67" s="210" t="str">
        <f>VLOOKUP(F67,'CFT Specific Data'!$F$4:$G$19,2,FALSE)</f>
        <v>Winter wheat</v>
      </c>
      <c r="L67" t="str">
        <f t="shared" ref="L67:L130" si="8">IF(ISNUMBER(SEARCH("heavy",$A67))=TRUE,"Fine",
IF(ISNUMBER(SEARCH("medium",$A67))=TRUE,"Medium",
IF(ISNUMBER(SEARCH("light",$A67))=TRUE,"Coarse")))</f>
        <v>Fine</v>
      </c>
      <c r="M67">
        <f t="shared" ref="M67:M130" si="9">IF($L67="Fine",3.4*1.72,
IF($L67="Medium",2.6*1.72,
IF($L67="Coarse",3*1.72)))</f>
        <v>5.8479999999999999</v>
      </c>
      <c r="N67" t="str">
        <f t="shared" ref="N67:N130" si="10">IF(M67&gt;10.32,"10.32 &lt; SOM",
IF(AND(M67&gt;5.16,M67&lt;=10.32),"5.16 &lt; SOM &lt;= 10.32",
IF(AND(M67&gt;1.72,M67&lt;=5.16),"1.72 &lt; SOM &lt;= 5.16",
IF(M67&lt;1.72,"SOM &lt;= 1.72"))))</f>
        <v>5.16 &lt; SOM &lt;= 10.32</v>
      </c>
      <c r="O67" t="s">
        <v>349</v>
      </c>
      <c r="P67" t="s">
        <v>350</v>
      </c>
      <c r="Q67">
        <v>7</v>
      </c>
      <c r="R67" t="str">
        <f t="shared" si="6"/>
        <v>5.5 &lt; pH &lt;= 7.3</v>
      </c>
      <c r="S67" t="s">
        <v>351</v>
      </c>
      <c r="T67" s="210">
        <f t="array" ref="T67">_xlfn.SINGLE(INDEX('Focus Data NFertiliser Rate'!$D$4:$P$19,MATCH(F67,'Focus Data NFertiliser Rate'!$C$4:$C$19,0),_xlfn.SINGLE(_xlfn.IFS(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240</v>
      </c>
      <c r="U67" t="str">
        <f t="shared" ref="U67:U130" si="11">IF(T67=0,0,"Apply in solution")</f>
        <v>Apply in solution</v>
      </c>
      <c r="V67" s="210">
        <f t="array" ref="V67">_xlfn.SINGLE(INDEX('№ Fertiliser sprayings'!$D$4:$P$19,MATCH(F67,'№ Fertiliser sprayings'!$C$4:$C$19,0),_xlfn.SINGLE(_xlfn.IFS(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3</v>
      </c>
      <c r="W67" s="264">
        <f t="array" ref="W67">_xlfn.SINGLE(INDEX('Focus Data CFT NSpraying'!$D$4:$P$19,MATCH(F67,'Focus Data CFT NSpraying'!$C$4:$C$19,0),_xlfn.SINGLE(_xlfn.IFS(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f>
        <v>13.135999999999999</v>
      </c>
      <c r="X67" t="s">
        <v>363</v>
      </c>
      <c r="Y67">
        <v>0</v>
      </c>
      <c r="Z67">
        <v>100</v>
      </c>
      <c r="AA67" t="s">
        <v>352</v>
      </c>
      <c r="AB67" s="226" t="str">
        <f>IF(B67=B66,_xlfn.IFS(
AND(AA67=Lists!$L$8,AA66=Lists!$L$8),Lists!$N$5,
AND(OR(AA67=Lists!$L$5,AA67=Lists!$L$7,AA67=Lists!$L$9,AA67=Lists!$L$10,AA67=Lists!$L$6),OR(AA66=Lists!$L$5,AA66=Lists!$L$7,AA66=Lists!$L$9,AA66=Lists!$L$10,AA66=Lists!$L$6)),Lists!$N$5,
AND(AA67=Lists!$L$8,OR(AA66=Lists!$L$5,AA66=Lists!$L$7,AA66=Lists!$L$9,AA66=Lists!$L$10,AA66=Lists!$L$6)),Lists!$N$6,
AND(OR(AA67=Lists!$L$5,AA67=Lists!$L$6,AA67=Lists!$L$7,AA67=Lists!$L$9,AA67=Lists!$L$10),AA66=Lists!$L$8),Lists!$N$7),
_xlfn.IFS(
AND(AA67=Lists!$L$8,AA72=Lists!$L$8),Lists!$N$5,
AND(OR(AA67=Lists!$L$5,AA67=Lists!$L$7,AA67=Lists!$L$9,AA67=Lists!$L$10,AA67=Lists!$L$6),OR(AA72=Lists!$L$5,AA72=Lists!$L$7,AA72=Lists!$L$9,AA72=Lists!$L$10,AA72=Lists!$L$6)),Lists!$N$5,
AND(AA67=Lists!$L$8,OR(AA72=Lists!$L$5,AA72=Lists!$L$7,AA72=Lists!$L$9,AA72=Lists!$L$10,AA72=Lists!$L$6)),Lists!$N$6,
AND(OR(AA67=Lists!$L$5,AA67=Lists!$L$7,AA67=Lists!$L$9,AA67=Lists!$L$10),AA72=Lists!$L$8),Lists!$N$7))</f>
        <v>no change</v>
      </c>
      <c r="AC67">
        <v>0</v>
      </c>
      <c r="AD67">
        <v>0</v>
      </c>
      <c r="AE67" s="102">
        <f t="array" ref="AE67">IF(OR(ISNUMBER(SEARCH("heavy",A67))=TRUE, ISNUMBER(SEARCH("medium",A67))=TRUE),
(LEN(_xlfn.SINGLE(
INDEX('Focus Data Tillage by farm'!$D$4:$P$9,MATCH(D67,'Focus Data Tillage by farm'!$C$4:$C$9,0),_xlfn.SINGLE(_xlfn.IFS(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-LEN(SUBSTITUTE(_xlfn.SINGLE(
INDEX('Focus Data Tillage by farm'!$D$4:$P$9,MATCH(D67,'Focus Data Tillage by farm'!$C$4:$C$9,0),_xlfn.SINGLE(_xlfn.IFS(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"disc","")))/LEN("disc"),
(LEN(_xlfn.SINGLE(
INDEX('Focus Data Tillage by farm'!$D$12:$P$17,MATCH(D67,'Focus Data Tillage by farm'!$C$12:$C$17,0),_xlfn.SINGLE(_xlfn.IFS(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-LEN(SUBSTITUTE(_xlfn.SINGLE(
INDEX('Focus Data Tillage by farm'!$D$12:$P$17,MATCH(D67,'Focus Data Tillage by farm'!$C$12:$C$17,0),_xlfn.SINGLE(_xlfn.IFS(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"disc","")))/LEN("disc"))</f>
        <v>1</v>
      </c>
      <c r="AF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"field cultivator","")))/LEN("field cultivator"),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"field cultivator","")))/LEN("field cultivator"))</f>
        <v>0</v>
      </c>
      <c r="AG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"grain drill","")))/LEN("grain drill"),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"grain drill","")))/LEN("grain drill"))</f>
        <v>0</v>
      </c>
      <c r="AH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"minimum tillage","")))/LEN("minimum tillage"),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"minimum tillage","")))/LEN("minimum tillage"))</f>
        <v>1</v>
      </c>
      <c r="AI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"row crop planter","")))/LEN("row crop planter"),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"row crop planter","")))/LEN("row crop planter"))</f>
        <v>0</v>
      </c>
      <c r="AJ67" s="102">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"plough","")))/LEN("plough"),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"plough","")))/LEN("plough"))</f>
        <v>1</v>
      </c>
      <c r="AK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harrow","")))/LEN("roller harrow"),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harrow","")))/LEN("roller harrow"))</f>
        <v>1</v>
      </c>
      <c r="AL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packer","")))/LEN("roller packer"),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"roller packer","")))/LEN("roller packer"))</f>
        <v>2</v>
      </c>
      <c r="AM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"rotary hoe","")))/LEN("rotary hoe"),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"rotary hoe","")))/LEN("rotary hoe"))</f>
        <v>0</v>
      </c>
      <c r="AN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"subsoil","")))/LEN("subsoil"),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"subsoil","")))/LEN("subsoil"))</f>
        <v>0</v>
      </c>
      <c r="AO67">
        <f>IF(OR(ISNUMBER(SEARCH("heavy",A67))=TRUE, ISNUMBER(SEARCH("medium",A67))=TRUE),
(LEN(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farm'!$D$4:$P$9,MATCH(D67,'Focus Data Tillage by farm'!$C$4:$C$9,0),_xlfn.IFS(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"tine harrow","")))/LEN("tine harrow"),
(LEN(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-LEN(SUBSTITUTE(
INDEX('Focus Data Tillage by farm'!$D$12:$P$17,MATCH(D67,'Focus Data Tillage by farm'!$C$12:$C$17,0),_xlfn.IFS(
AND(ISNUMBER(SEARCH("H-Dsty.",A67))=TRUE,ISNUMBER(SEARCH("H-Res",A67))=TRUE,ISNUMBER(SEARCH("E.",A67))=TRUE),1,
AND(ISNUMBER(SEARCH("H-Dsty.",A67))=TRUE,ISNUMBER(SEARCH("H-Res",A67))=TRUE,OR(ISNUMBER(SEARCH("N.he",A67))=TRUE,ISNUMBER(SEARCH("N.me",A67))=TRUE,ISNUMBER(SEARCH("N.li",A67))=TRUE)),2,
AND(ISNUMBER(SEARCH("H-Dsty.",A67))=TRUE,ISNUMBER(SEARCH("H-Res",A67))=TRUE,ISNUMBER(SEARCH("C.",A67))=TRUE),3,
AND(ISNUMBER(SEARCH("L-Dsty.",A67))=TRUE,ISNUMBER(SEARCH("H-Res",A67))=TRUE,ISNUMBER(SEARCH("E.",A67))=TRUE),6,
AND(ISNUMBER(SEARCH("L-Dsty.",A67))=TRUE,ISNUMBER(SEARCH("H-Res",A67))=TRUE,OR(ISNUMBER(SEARCH("N.he",A67))=TRUE,ISNUMBER(SEARCH("N.me",A67))=TRUE,ISNUMBER(SEARCH("N.li",A67))=TRUE)),7,
AND(ISNUMBER(SEARCH("L-Dsty.",A67))=TRUE,ISNUMBER(SEARCH("H-Res",A67))=TRUE,ISNUMBER(SEARCH("C.",A67))=TRUE),8,
AND(ISNUMBER(SEARCH("L-Dsty.",A67))=TRUE,ISNUMBER(SEARCH("L-Res",A67))=TRUE,ISNUMBER(SEARCH("E.",A67))=TRUE),11,
AND(ISNUMBER(SEARCH("L-Dsty.",A67))=TRUE,ISNUMBER(SEARCH("L-Res",A67))=TRUE,OR(ISNUMBER(SEARCH("N.he",A67))=TRUE,ISNUMBER(SEARCH("N.me",A67))=TRUE,ISNUMBER(SEARCH("N.li",A67))=TRUE)),12,
AND(ISNUMBER(SEARCH("L-Dsty.",A67))=TRUE,ISNUMBER(SEARCH("L-Res",A67))=TRUE,ISNUMBER(SEARCH("C.",A67))=TRUE),13)),
"tine harrow","")))/LEN("tine harrow"))</f>
        <v>0</v>
      </c>
      <c r="AP67" s="102">
        <v>4</v>
      </c>
    </row>
    <row r="68" spans="1:42" x14ac:dyDescent="0.2">
      <c r="A68" t="s">
        <v>504</v>
      </c>
      <c r="B68" s="210" t="str">
        <f t="array" ref="B68">INDEX(ECOMOD_input_estimate!$A$2:$A$55, MATCH(CFT_input!$A68, ECOMOD_input_estimate!$B:$B, 0))</f>
        <v>FF_17.2</v>
      </c>
      <c r="C68" s="210">
        <v>2020</v>
      </c>
      <c r="D68" s="395" t="s">
        <v>731</v>
      </c>
      <c r="E68" s="210" t="str">
        <f t="shared" si="7"/>
        <v>E.heavy.L-Dsty.L-Res</v>
      </c>
      <c r="F68" s="210" t="str">
        <f t="array" ref="F68">_xlfn.SINGLE(IF(OR(ISNUMBER(SEARCH("heavy",A68))=TRUE,ISNUMBER(SEARCH("medium",A68))=TRUE),
INDEX('Focus Data Crop Rotations'!$D$4:$P$9,MATCH(D68,'Focus Data Crop Rotations'!$C$4:$C$9,0),_xlfn.SINGLE(_xlfn.IFS(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INDEX('Focus Data Crop Rotations'!$D$12:$P$17,MATCH(D68,'Focus Data Crop Rotations'!$C$12:$C$17,0),_xlfn.SINGLE(_xlfn.IFS(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winterwheat</v>
      </c>
      <c r="G68">
        <v>7.2</v>
      </c>
      <c r="H68" s="227">
        <f>VLOOKUP(F68,'CFT Specific Data'!$F$4:$H$19,3,FALSE)*G68*
IF(B68=B67,
IF(AND(ISNUMBER(SEARCH("wheat",F68))=TRUE,ISNUMBER(SEARCH("Barley",F67))=TRUE),0.89,
IF(AND(ISNUMBER(SEARCH("wheat",F68))=TRUE,F67="setaside"),0.94,
IF(AND(ISNUMBER(SEARCH("barley",F68))=TRUE,ISNUMBER(SEARCH("wheat",F67))=TRUE),0.89,
IF(AND(F68="winterbarley",F67="setaside"),0.94,
IF(AND(F68="sugarbeet",F67="warepotatoes"),0.95,
IF(AND((OR(ISNUMBER(SEARCH("beans",F68)),ISNUMBER(SEARCH("driedpeas",F68)),ISNUMBER(SEARCH("sugarbeet",F68)))=TRUE),ISNUMBER(SEARCH("osr",F67))=TRUE),0,
IF(AND((OR((ISNUMBER(SEARCH("wheat",F68))),ISNUMBER(SEARCH("linseed",F68)),ISNUMBER(SEARCH("driedpeas",F68)),ISNUMBER(SEARCH("osr",F68)))=TRUE),F67="sugarbeet"),0,
IF(AND((OR((ISNUMBER(SEARCH("osr",F68))),ISNUMBER(SEARCH("linseed",F68)))=TRUE),ISNUMBER(SEARCH("beans",F67))=TRUE),0,
IF(AND(F68="wosr",ISNUMBER(SEARCH("linseed",F67))=TRUE),0,
IF(AND(F68="sugarbeet",F67="warepotatoes"),0,
1)))))))))),
IF(AND(ISNUMBER(SEARCH("wheat",F68))=TRUE,ISNUMBER(SEARCH("Barley",F73))=TRUE),0.89,
IF(AND(ISNUMBER(SEARCH("wheat",F68))=TRUE,F73="setaside"),0.94,
IF(AND(ISNUMBER(SEARCH("barley",F68))=TRUE,ISNUMBER(SEARCH("wheat",F73))=TRUE),0.89,
IF(AND(F68="winterbarley",F73="setaside"),0.94,
IF(AND(F68="sugarbeet",F73="warepotatoes"),0.95,
IF(AND((OR(ISNUMBER(SEARCH("beans",F68)),ISNUMBER(SEARCH("driedpeas",F68)),ISNUMBER(SEARCH("sugarbeet",F68)))=TRUE),ISNUMBER(SEARCH("osr",F73))=TRUE),0,
IF(AND((OR((ISNUMBER(SEARCH("wheat",F68))),ISNUMBER(SEARCH("linseed",F68)),ISNUMBER(SEARCH("driedpeas",F68)),ISNUMBER(SEARCH("osr",F68)))=TRUE),F73="sugarbeet"),0,
IF(AND((OR((ISNUMBER(SEARCH("osr",F68))),ISNUMBER(SEARCH("linseed",F68)))=TRUE),ISNUMBER(SEARCH("beans",F73))=TRUE),0,
IF(AND(F68="wosr",ISNUMBER(SEARCH("linseed",F73))=TRUE),0,
IF(AND(F68="sugarbeet",F73="warepotatoes"),0,
1)))))))))))
*IF(OR(ISNUMBER(SEARCH("wheat",F68)),ISNUMBER(SEARCH("barley",F68)),ISNUMBER(SEARCH("driedpeas",F68)),ISNUMBER(SEARCH("warepotatoes",F68)),ISNUMBER(SEARCH("osr",F68)),ISNUMBER(SEARCH("linseed",F68)),ISNUMBER(SEARCH("sugarbeet",F68))),
IF(COUNTIF(B63:B67,B68)=5,
INDEX('CFT Specific Data'!$G$24:$L$39,MATCH(F68,'CFT Specific Data'!$F$24:$F$39,0),IF(COUNTIF(F63:F67,F68)=5,6,IF(COUNTIF(F64:F67,F68)=4,5,IF(COUNTIF(F65:F67,F68)=3,4,IF(COUNTIF(F66:F67,F68)=2,3,IF(F67=F68,2,1)))))),
IF(COUNTIF(B63:B67,B68)=4,
INDEX('CFT Specific Data'!$G$24:$L$39,MATCH(F68,'CFT Specific Data'!$F$24:$F$39,0),IF(SUM(COUNTIF(F64:F67,F68),COUNTIF(F69,F68))=5,6,IF(COUNTIF(F64:F67,F68)=4,5,IF(COUNTIF(F65:F67,F68)=3,4,IF(COUNTIF(F66:F67,F68)=2,3,IF(F67=F68,2,1)))))),
IF(COUNTIF(B63:B67,B68)=3,
INDEX('CFT Specific Data'!$G$24:$L$39,MATCH(F68,'CFT Specific Data'!$F$24:$F$39,0),IF(SUM(COUNTIF(F65:F67,F68),COUNTIF(F69:F70,F68))=5,6,IF(SUM(COUNTIF(F65:F67,F68),COUNTIF(F70,F68))=4,5,IF(COUNTIF(F65:F67,F68)=3,4,IF(COUNTIF(F66:F67,F68)=2,3,IF(F67=F68,2,1)))))),
IF(COUNTIF(B63:B67,B68)=2,
INDEX('CFT Specific Data'!$G$24:$L$39,MATCH(F68,'CFT Specific Data'!$F$24:$F$39,0),IF(SUM(COUNTIF(F66:F67,F68),COUNTIF(F69:F71,F68))=5,6,IF(SUM(COUNTIF(F66:F67,F68),COUNTIF(F70:F71,F68))=4,5,IF(SUM(COUNTIF(F66:F67,F68),COUNTIF(F71,F68))=3,4,IF(COUNTIF(F66:F67,F68)=2,3,IF(F67=F68,2,1)))))),
IF(COUNTIF(B63:B67,B68)=1,
INDEX('CFT Specific Data'!$G$24:$L$39,MATCH(F68,'CFT Specific Data'!$F$24:$F$39,0),IF(SUM(COUNTIF(F67,F68),COUNTIF(F69:F72,F68))=5,6,IF(SUM(COUNTIF(F67,F68),COUNTIF(F70:F72,F68))=4,5,IF(SUM(COUNTIF(F67,F68),COUNTIF(F71:F72,F68))=3,4,IF(SUM(COUNTIF(F67,F68),COUNTIF(F72,F68))=2,3,IF(F67=F68,2,1)))))),
IF(COUNTIF(B63:B67,B68)=0,
INDEX('CFT Specific Data'!$G$24:$L$39,MATCH(F68,'CFT Specific Data'!$F$24:$F$39,0),IF(COUNTIF(F69:F73,F68)=5,6,IF(COUNTIF(F70:F73,F68)=4,5,IF(COUNTIF(F71:F73,F68)=3,4,IF(COUNTIF(F72:F73,F68)=2,3,IF(F73=F68,2,1)))))))))))),1)</f>
        <v>55.728000000000002</v>
      </c>
      <c r="I68" s="210" t="s">
        <v>348</v>
      </c>
      <c r="J68">
        <v>10</v>
      </c>
      <c r="K68" s="210" t="str">
        <f>VLOOKUP(F68,'CFT Specific Data'!$F$4:$G$19,2,FALSE)</f>
        <v>Winter wheat</v>
      </c>
      <c r="L68" t="str">
        <f t="shared" si="8"/>
        <v>Fine</v>
      </c>
      <c r="M68">
        <f t="shared" si="9"/>
        <v>5.8479999999999999</v>
      </c>
      <c r="N68" t="str">
        <f t="shared" si="10"/>
        <v>5.16 &lt; SOM &lt;= 10.32</v>
      </c>
      <c r="O68" t="s">
        <v>349</v>
      </c>
      <c r="P68" t="s">
        <v>350</v>
      </c>
      <c r="Q68">
        <v>7</v>
      </c>
      <c r="R68" t="str">
        <f t="shared" si="6"/>
        <v>5.5 &lt; pH &lt;= 7.3</v>
      </c>
      <c r="S68" t="s">
        <v>351</v>
      </c>
      <c r="T68" s="210">
        <f t="array" ref="T68">_xlfn.SINGLE(INDEX('Focus Data NFertiliser Rate'!$D$4:$P$19,MATCH(F68,'Focus Data NFertiliser Rate'!$C$4:$C$19,0),_xlfn.SINGLE(_xlfn.IFS(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220</v>
      </c>
      <c r="U68" t="str">
        <f t="shared" si="11"/>
        <v>Apply in solution</v>
      </c>
      <c r="V68" s="210">
        <f t="array" ref="V68">_xlfn.SINGLE(INDEX('№ Fertiliser sprayings'!$D$4:$P$19,MATCH(F68,'№ Fertiliser sprayings'!$C$4:$C$19,0),_xlfn.SINGLE(_xlfn.IFS(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3</v>
      </c>
      <c r="W68" s="264">
        <f t="array" ref="W68">_xlfn.SINGLE(INDEX('Focus Data CFT NSpraying'!$D$4:$P$19,MATCH(F68,'Focus Data CFT NSpraying'!$C$4:$C$19,0),_xlfn.SINGLE(_xlfn.IFS(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6.3887999999999998</v>
      </c>
      <c r="X68" t="s">
        <v>363</v>
      </c>
      <c r="Y68">
        <v>0</v>
      </c>
      <c r="Z68">
        <v>100</v>
      </c>
      <c r="AA68" t="s">
        <v>352</v>
      </c>
      <c r="AB68" s="226" t="str">
        <f>IF(B68=B67,_xlfn.IFS(
AND(AA68=Lists!$L$8,AA67=Lists!$L$8),Lists!$N$5,
AND(OR(AA68=Lists!$L$5,AA68=Lists!$L$7,AA68=Lists!$L$9,AA68=Lists!$L$10,AA68=Lists!$L$6),OR(AA67=Lists!$L$5,AA67=Lists!$L$7,AA67=Lists!$L$9,AA67=Lists!$L$10,AA67=Lists!$L$6)),Lists!$N$5,
AND(AA68=Lists!$L$8,OR(AA67=Lists!$L$5,AA67=Lists!$L$7,AA67=Lists!$L$9,AA67=Lists!$L$10,AA67=Lists!$L$6)),Lists!$N$6,
AND(OR(AA68=Lists!$L$5,AA68=Lists!$L$6,AA68=Lists!$L$7,AA68=Lists!$L$9,AA68=Lists!$L$10),AA67=Lists!$L$8),Lists!$N$7),
_xlfn.IFS(
AND(AA68=Lists!$L$8,AA73=Lists!$L$8),Lists!$N$5,
AND(OR(AA68=Lists!$L$5,AA68=Lists!$L$7,AA68=Lists!$L$9,AA68=Lists!$L$10,AA68=Lists!$L$6),OR(AA73=Lists!$L$5,AA73=Lists!$L$7,AA73=Lists!$L$9,AA73=Lists!$L$10,AA73=Lists!$L$6)),Lists!$N$5,
AND(AA68=Lists!$L$8,OR(AA73=Lists!$L$5,AA73=Lists!$L$7,AA73=Lists!$L$9,AA73=Lists!$L$10,AA73=Lists!$L$6)),Lists!$N$6,
AND(OR(AA68=Lists!$L$5,AA68=Lists!$L$7,AA68=Lists!$L$9,AA68=Lists!$L$10),AA73=Lists!$L$8),Lists!$N$7))</f>
        <v>no change</v>
      </c>
      <c r="AC68">
        <v>0</v>
      </c>
      <c r="AD68">
        <v>0</v>
      </c>
      <c r="AE68" s="102">
        <f t="array" ref="AE68">IF(OR(ISNUMBER(SEARCH("heavy",A68))=TRUE, ISNUMBER(SEARCH("medium",A68))=TRUE),
(LEN(_xlfn.SINGLE(
INDEX('Focus Data Tillage by farm'!$D$4:$P$9,MATCH(D68,'Focus Data Tillage by farm'!$C$4:$C$9,0),_xlfn.SINGLE(_xlfn.IFS(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-LEN(SUBSTITUTE(_xlfn.SINGLE(
INDEX('Focus Data Tillage by farm'!$D$4:$P$9,MATCH(D68,'Focus Data Tillage by farm'!$C$4:$C$9,0),_xlfn.SINGLE(_xlfn.IFS(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"disc","")))/LEN("disc"),
(LEN(_xlfn.SINGLE(
INDEX('Focus Data Tillage by farm'!$D$12:$P$17,MATCH(D68,'Focus Data Tillage by farm'!$C$12:$C$17,0),_xlfn.SINGLE(_xlfn.IFS(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-LEN(SUBSTITUTE(_xlfn.SINGLE(
INDEX('Focus Data Tillage by farm'!$D$12:$P$17,MATCH(D68,'Focus Data Tillage by farm'!$C$12:$C$17,0),_xlfn.SINGLE(_xlfn.IFS(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"disc","")))/LEN("disc"))</f>
        <v>2</v>
      </c>
      <c r="AF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"field cultivator","")))/LEN("field cultivator"),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"field cultivator","")))/LEN("field cultivator"))</f>
        <v>0</v>
      </c>
      <c r="AG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"grain drill","")))/LEN("grain drill"),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"grain drill","")))/LEN("grain drill"))</f>
        <v>0</v>
      </c>
      <c r="AH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"minimum tillage","")))/LEN("minimum tillage"),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"minimum tillage","")))/LEN("minimum tillage"))</f>
        <v>1</v>
      </c>
      <c r="AI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"row crop planter","")))/LEN("row crop planter"),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"row crop planter","")))/LEN("row crop planter"))</f>
        <v>0</v>
      </c>
      <c r="AJ68" s="102">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"plough","")))/LEN("plough"),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"plough","")))/LEN("plough"))</f>
        <v>0</v>
      </c>
      <c r="AK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harrow","")))/LEN("roller harrow"),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harrow","")))/LEN("roller harrow"))</f>
        <v>0</v>
      </c>
      <c r="AL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packer","")))/LEN("roller packer"),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"roller packer","")))/LEN("roller packer"))</f>
        <v>2</v>
      </c>
      <c r="AM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"rotary hoe","")))/LEN("rotary hoe"),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"rotary hoe","")))/LEN("rotary hoe"))</f>
        <v>0</v>
      </c>
      <c r="AN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"subsoil","")))/LEN("subsoil"),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"subsoil","")))/LEN("subsoil"))</f>
        <v>0</v>
      </c>
      <c r="AO68">
        <f>IF(OR(ISNUMBER(SEARCH("heavy",A68))=TRUE, ISNUMBER(SEARCH("medium",A68))=TRUE),
(LEN(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farm'!$D$4:$P$9,MATCH(D68,'Focus Data Tillage by farm'!$C$4:$C$9,0),_xlfn.IFS(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"tine harrow","")))/LEN("tine harrow"),
(LEN(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-LEN(SUBSTITUTE(
INDEX('Focus Data Tillage by farm'!$D$12:$P$17,MATCH(D68,'Focus Data Tillage by farm'!$C$12:$C$17,0),_xlfn.IFS(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
"tine harrow","")))/LEN("tine harrow"))</f>
        <v>0</v>
      </c>
      <c r="AP68" s="102">
        <f>INDEX('Focus Data NSpraying'!$D$4:$P$19,MATCH(F68,'Focus Data NSpraying'!$C$4:$C$19,0),_xlfn.IFS(
AND(ISNUMBER(SEARCH("H-Dsty.",A68))=TRUE,ISNUMBER(SEARCH("H-Res",A68))=TRUE,ISNUMBER(SEARCH("E.",A68))=TRUE),1,
AND(ISNUMBER(SEARCH("H-Dsty.",A68))=TRUE,ISNUMBER(SEARCH("H-Res",A68))=TRUE,OR(ISNUMBER(SEARCH("N.he",A68))=TRUE,ISNUMBER(SEARCH("N.me",A68))=TRUE,ISNUMBER(SEARCH("N.li",A68))=TRUE)),2,
AND(ISNUMBER(SEARCH("H-Dsty.",A68))=TRUE,ISNUMBER(SEARCH("H-Res",A68))=TRUE,ISNUMBER(SEARCH("C.",A68))=TRUE),3,
AND(ISNUMBER(SEARCH("L-Dsty.",A68))=TRUE,ISNUMBER(SEARCH("H-Res",A68))=TRUE,ISNUMBER(SEARCH("E.",A68))=TRUE),6,
AND(ISNUMBER(SEARCH("L-Dsty.",A68))=TRUE,ISNUMBER(SEARCH("H-Res",A68))=TRUE,OR(ISNUMBER(SEARCH("N.he",A68))=TRUE,ISNUMBER(SEARCH("N.me",A68))=TRUE,ISNUMBER(SEARCH("N.li",A68))=TRUE)),7,
AND(ISNUMBER(SEARCH("L-Dsty.",A68))=TRUE,ISNUMBER(SEARCH("H-Res",A68))=TRUE,ISNUMBER(SEARCH("C.",A68))=TRUE),8,
AND(ISNUMBER(SEARCH("L-Dsty.",A68))=TRUE,ISNUMBER(SEARCH("L-Res",A68))=TRUE,ISNUMBER(SEARCH("E.",A68))=TRUE),11,
AND(ISNUMBER(SEARCH("L-Dsty.",A68))=TRUE,ISNUMBER(SEARCH("L-Res",A68))=TRUE,OR(ISNUMBER(SEARCH("N.he",A68))=TRUE,ISNUMBER(SEARCH("N.me",A68))=TRUE,ISNUMBER(SEARCH("N.li",A68))=TRUE)),12,
AND(ISNUMBER(SEARCH("L-Dsty.",A68))=TRUE,ISNUMBER(SEARCH("L-Res",A68))=TRUE,ISNUMBER(SEARCH("C.",A68))=TRUE),13))</f>
        <v>4</v>
      </c>
    </row>
    <row r="69" spans="1:42" x14ac:dyDescent="0.2">
      <c r="A69" t="s">
        <v>504</v>
      </c>
      <c r="B69" s="210" t="str">
        <f t="array" ref="B69">INDEX(ECOMOD_input_estimate!$A$2:$A$55, MATCH(CFT_input!$A69, ECOMOD_input_estimate!$B:$B, 0))</f>
        <v>FF_17.2</v>
      </c>
      <c r="C69" s="210">
        <v>2020</v>
      </c>
      <c r="D69" s="395" t="s">
        <v>730</v>
      </c>
      <c r="E69" s="210" t="str">
        <f t="shared" si="7"/>
        <v>E.heavy.L-Dsty.L-Res</v>
      </c>
      <c r="F69" s="210" t="str">
        <f t="array" ref="F69">_xlfn.SINGLE(IF(OR(ISNUMBER(SEARCH("heavy",A69))=TRUE,ISNUMBER(SEARCH("medium",A69))=TRUE),
INDEX('Focus Data Crop Rotations'!$D$4:$P$9,MATCH(D69,'Focus Data Crop Rotations'!$C$4:$C$9,0),_xlfn.SINGLE(_xlfn.IFS(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INDEX('Focus Data Crop Rotations'!$D$12:$P$17,MATCH(D69,'Focus Data Crop Rotations'!$C$12:$C$17,0),_xlfn.SINGLE(_xlfn.IFS(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wosr</v>
      </c>
      <c r="G69">
        <v>7.2</v>
      </c>
      <c r="H69" s="227">
        <f>VLOOKUP(F69,'CFT Specific Data'!$F$4:$H$19,3,FALSE)*G69*
IF(B69=B68,
IF(AND(ISNUMBER(SEARCH("wheat",F69))=TRUE,ISNUMBER(SEARCH("Barley",F68))=TRUE),0.89,
IF(AND(ISNUMBER(SEARCH("wheat",F69))=TRUE,F68="setaside"),0.94,
IF(AND(ISNUMBER(SEARCH("barley",F69))=TRUE,ISNUMBER(SEARCH("wheat",F68))=TRUE),0.89,
IF(AND(F69="winterbarley",F68="setaside"),0.94,
IF(AND(F69="sugarbeet",F68="warepotatoes"),0.95,
IF(AND((OR(ISNUMBER(SEARCH("beans",F69)),ISNUMBER(SEARCH("driedpeas",F69)),ISNUMBER(SEARCH("sugarbeet",F69)))=TRUE),ISNUMBER(SEARCH("osr",F68))=TRUE),0,
IF(AND((OR((ISNUMBER(SEARCH("wheat",F69))),ISNUMBER(SEARCH("linseed",F69)),ISNUMBER(SEARCH("driedpeas",F69)),ISNUMBER(SEARCH("osr",F69)))=TRUE),F68="sugarbeet"),0,
IF(AND((OR((ISNUMBER(SEARCH("osr",F69))),ISNUMBER(SEARCH("linseed",F69)))=TRUE),ISNUMBER(SEARCH("beans",F68))=TRUE),0,
IF(AND(F69="wosr",ISNUMBER(SEARCH("linseed",F68))=TRUE),0,
IF(AND(F69="sugarbeet",F68="warepotatoes"),0,
1)))))))))),
IF(AND(ISNUMBER(SEARCH("wheat",F69))=TRUE,ISNUMBER(SEARCH("Barley",F74))=TRUE),0.89,
IF(AND(ISNUMBER(SEARCH("wheat",F69))=TRUE,F74="setaside"),0.94,
IF(AND(ISNUMBER(SEARCH("barley",F69))=TRUE,ISNUMBER(SEARCH("wheat",F74))=TRUE),0.89,
IF(AND(F69="winterbarley",F74="setaside"),0.94,
IF(AND(F69="sugarbeet",F74="warepotatoes"),0.95,
IF(AND((OR(ISNUMBER(SEARCH("beans",F69)),ISNUMBER(SEARCH("driedpeas",F69)),ISNUMBER(SEARCH("sugarbeet",F69)))=TRUE),ISNUMBER(SEARCH("osr",F74))=TRUE),0,
IF(AND((OR((ISNUMBER(SEARCH("wheat",F69))),ISNUMBER(SEARCH("linseed",F69)),ISNUMBER(SEARCH("driedpeas",F69)),ISNUMBER(SEARCH("osr",F69)))=TRUE),F74="sugarbeet"),0,
IF(AND((OR((ISNUMBER(SEARCH("osr",F69))),ISNUMBER(SEARCH("linseed",F69)))=TRUE),ISNUMBER(SEARCH("beans",F74))=TRUE),0,
IF(AND(F69="wosr",ISNUMBER(SEARCH("linseed",F74))=TRUE),0,
IF(AND(F69="sugarbeet",F74="warepotatoes"),0,
1)))))))))))
*IF(OR(ISNUMBER(SEARCH("wheat",F69)),ISNUMBER(SEARCH("barley",F69)),ISNUMBER(SEARCH("driedpeas",F69)),ISNUMBER(SEARCH("warepotatoes",F69)),ISNUMBER(SEARCH("osr",F69)),ISNUMBER(SEARCH("linseed",F69)),ISNUMBER(SEARCH("sugarbeet",F69))),
IF(COUNTIF(B64:B68,B69)=5,
INDEX('CFT Specific Data'!$G$24:$L$39,MATCH(F69,'CFT Specific Data'!$F$24:$F$39,0),IF(COUNTIF(F64:F68,F69)=5,6,IF(COUNTIF(F65:F68,F69)=4,5,IF(COUNTIF(F66:F68,F69)=3,4,IF(COUNTIF(F67:F68,F69)=2,3,IF(F68=F69,2,1)))))),
IF(COUNTIF(B64:B68,B69)=4,
INDEX('CFT Specific Data'!$G$24:$L$39,MATCH(F69,'CFT Specific Data'!$F$24:$F$39,0),IF(SUM(COUNTIF(F65:F68,F69),COUNTIF(F70,F69))=5,6,IF(COUNTIF(F65:F68,F69)=4,5,IF(COUNTIF(F66:F68,F69)=3,4,IF(COUNTIF(F67:F68,F69)=2,3,IF(F68=F69,2,1)))))),
IF(COUNTIF(B64:B68,B69)=3,
INDEX('CFT Specific Data'!$G$24:$L$39,MATCH(F69,'CFT Specific Data'!$F$24:$F$39,0),IF(SUM(COUNTIF(F66:F68,F69),COUNTIF(F70:F71,F69))=5,6,IF(SUM(COUNTIF(F66:F68,F69),COUNTIF(F71,F69))=4,5,IF(COUNTIF(F66:F68,F69)=3,4,IF(COUNTIF(F67:F68,F69)=2,3,IF(F68=F69,2,1)))))),
IF(COUNTIF(B64:B68,B69)=2,
INDEX('CFT Specific Data'!$G$24:$L$39,MATCH(F69,'CFT Specific Data'!$F$24:$F$39,0),IF(SUM(COUNTIF(F67:F68,F69),COUNTIF(F70:F72,F69))=5,6,IF(SUM(COUNTIF(F67:F68,F69),COUNTIF(F71:F72,F69))=4,5,IF(SUM(COUNTIF(F67:F68,F69),COUNTIF(F72,F69))=3,4,IF(COUNTIF(F67:F68,F69)=2,3,IF(F68=F69,2,1)))))),
IF(COUNTIF(B64:B68,B69)=1,
INDEX('CFT Specific Data'!$G$24:$L$39,MATCH(F69,'CFT Specific Data'!$F$24:$F$39,0),IF(SUM(COUNTIF(F68,F69),COUNTIF(F70:F73,F69))=5,6,IF(SUM(COUNTIF(F68,F69),COUNTIF(F71:F73,F69))=4,5,IF(SUM(COUNTIF(F68,F69),COUNTIF(F72:F73,F69))=3,4,IF(SUM(COUNTIF(F68,F69),COUNTIF(F73,F69))=2,3,IF(F68=F69,2,1)))))),
IF(COUNTIF(B64:B68,B69)=0,
INDEX('CFT Specific Data'!$G$24:$L$39,MATCH(F69,'CFT Specific Data'!$F$24:$F$39,0),IF(COUNTIF(F70:F74,F69)=5,6,IF(COUNTIF(F71:F74,F69)=4,5,IF(COUNTIF(F72:F74,F69)=3,4,IF(COUNTIF(F73:F74,F69)=2,3,IF(F74=F69,2,1)))))))))))),1)</f>
        <v>25.2</v>
      </c>
      <c r="I69" s="210" t="s">
        <v>348</v>
      </c>
      <c r="J69">
        <v>10</v>
      </c>
      <c r="K69" s="210" t="str">
        <f>VLOOKUP(F69,'CFT Specific Data'!$F$4:$G$19,2,FALSE)</f>
        <v>Other</v>
      </c>
      <c r="L69" t="str">
        <f t="shared" si="8"/>
        <v>Fine</v>
      </c>
      <c r="M69">
        <f t="shared" si="9"/>
        <v>5.8479999999999999</v>
      </c>
      <c r="N69" t="str">
        <f t="shared" si="10"/>
        <v>5.16 &lt; SOM &lt;= 10.32</v>
      </c>
      <c r="O69" t="s">
        <v>349</v>
      </c>
      <c r="P69" t="s">
        <v>350</v>
      </c>
      <c r="Q69">
        <v>7</v>
      </c>
      <c r="R69" t="str">
        <f t="shared" si="6"/>
        <v>5.5 &lt; pH &lt;= 7.3</v>
      </c>
      <c r="S69" t="s">
        <v>351</v>
      </c>
      <c r="T69" s="210">
        <f t="array" ref="T69">_xlfn.SINGLE(INDEX('Focus Data NFertiliser Rate'!$D$4:$P$19,MATCH(F69,'Focus Data NFertiliser Rate'!$C$4:$C$19,0),_xlfn.SINGLE(_xlfn.IFS(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180</v>
      </c>
      <c r="U69" t="str">
        <f t="shared" si="11"/>
        <v>Apply in solution</v>
      </c>
      <c r="V69" s="210">
        <f t="array" ref="V69">_xlfn.SINGLE(INDEX('№ Fertiliser sprayings'!$D$4:$P$19,MATCH(F69,'№ Fertiliser sprayings'!$C$4:$C$19,0),_xlfn.SINGLE(_xlfn.IFS(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3</v>
      </c>
      <c r="W69" s="264">
        <f t="array" ref="W69">_xlfn.SINGLE(INDEX('Focus Data CFT NSpraying'!$D$4:$P$19,MATCH(F69,'Focus Data CFT NSpraying'!$C$4:$C$19,0),_xlfn.SINGLE(_xlfn.IFS(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0</v>
      </c>
      <c r="X69" t="s">
        <v>363</v>
      </c>
      <c r="Y69">
        <v>0</v>
      </c>
      <c r="Z69">
        <v>100</v>
      </c>
      <c r="AA69" t="s">
        <v>352</v>
      </c>
      <c r="AB69" s="226" t="str">
        <f>IF(B69=B68,_xlfn.IFS(
AND(AA69=Lists!$L$8,AA68=Lists!$L$8),Lists!$N$5,
AND(OR(AA69=Lists!$L$5,AA69=Lists!$L$7,AA69=Lists!$L$9,AA69=Lists!$L$10,AA69=Lists!$L$6),OR(AA68=Lists!$L$5,AA68=Lists!$L$7,AA68=Lists!$L$9,AA68=Lists!$L$10,AA68=Lists!$L$6)),Lists!$N$5,
AND(AA69=Lists!$L$8,OR(AA68=Lists!$L$5,AA68=Lists!$L$7,AA68=Lists!$L$9,AA68=Lists!$L$10,AA68=Lists!$L$6)),Lists!$N$6,
AND(OR(AA69=Lists!$L$5,AA69=Lists!$L$6,AA69=Lists!$L$7,AA69=Lists!$L$9,AA69=Lists!$L$10),AA68=Lists!$L$8),Lists!$N$7),
_xlfn.IFS(
AND(AA69=Lists!$L$8,AA74=Lists!$L$8),Lists!$N$5,
AND(OR(AA69=Lists!$L$5,AA69=Lists!$L$7,AA69=Lists!$L$9,AA69=Lists!$L$10,AA69=Lists!$L$6),OR(AA74=Lists!$L$5,AA74=Lists!$L$7,AA74=Lists!$L$9,AA74=Lists!$L$10,AA74=Lists!$L$6)),Lists!$N$5,
AND(AA69=Lists!$L$8,OR(AA74=Lists!$L$5,AA74=Lists!$L$7,AA74=Lists!$L$9,AA74=Lists!$L$10,AA74=Lists!$L$6)),Lists!$N$6,
AND(OR(AA69=Lists!$L$5,AA69=Lists!$L$7,AA69=Lists!$L$9,AA69=Lists!$L$10),AA74=Lists!$L$8),Lists!$N$7))</f>
        <v>no change</v>
      </c>
      <c r="AC69">
        <v>0</v>
      </c>
      <c r="AD69">
        <v>0</v>
      </c>
      <c r="AE69" s="102">
        <f t="array" ref="AE69">IF(OR(ISNUMBER(SEARCH("heavy",A69))=TRUE, ISNUMBER(SEARCH("medium",A69))=TRUE),
(LEN(_xlfn.SINGLE(
INDEX('Focus Data Tillage by farm'!$D$4:$P$9,MATCH(D69,'Focus Data Tillage by farm'!$C$4:$C$9,0),_xlfn.SINGLE(_xlfn.IFS(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-LEN(SUBSTITUTE(_xlfn.SINGLE(
INDEX('Focus Data Tillage by farm'!$D$4:$P$9,MATCH(D69,'Focus Data Tillage by farm'!$C$4:$C$9,0),_xlfn.SINGLE(_xlfn.IFS(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"disc","")))/LEN("disc"),
(LEN(_xlfn.SINGLE(
INDEX('Focus Data Tillage by farm'!$D$12:$P$17,MATCH(D69,'Focus Data Tillage by farm'!$C$12:$C$17,0),_xlfn.SINGLE(_xlfn.IFS(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-LEN(SUBSTITUTE(_xlfn.SINGLE(
INDEX('Focus Data Tillage by farm'!$D$12:$P$17,MATCH(D69,'Focus Data Tillage by farm'!$C$12:$C$17,0),_xlfn.SINGLE(_xlfn.IFS(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"disc","")))/LEN("disc"))</f>
        <v>0</v>
      </c>
      <c r="AF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"field cultivator","")))/LEN("field cultivator"),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"field cultivator","")))/LEN("field cultivator"))</f>
        <v>0</v>
      </c>
      <c r="AG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"grain drill","")))/LEN("grain drill"),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"grain drill","")))/LEN("grain drill"))</f>
        <v>0</v>
      </c>
      <c r="AH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"minimum tillage","")))/LEN("minimum tillage"),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"minimum tillage","")))/LEN("minimum tillage"))</f>
        <v>0</v>
      </c>
      <c r="AI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"row crop planter","")))/LEN("row crop planter"),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"row crop planter","")))/LEN("row crop planter"))</f>
        <v>0</v>
      </c>
      <c r="AJ69" s="102">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"plough","")))/LEN("plough"),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"plough","")))/LEN("plough"))</f>
        <v>0</v>
      </c>
      <c r="AK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harrow","")))/LEN("roller harrow"),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harrow","")))/LEN("roller harrow"))</f>
        <v>0</v>
      </c>
      <c r="AL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packer","")))/LEN("roller packer"),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"roller packer","")))/LEN("roller packer"))</f>
        <v>1</v>
      </c>
      <c r="AM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"rotary hoe","")))/LEN("rotary hoe"),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"rotary hoe","")))/LEN("rotary hoe"))</f>
        <v>0</v>
      </c>
      <c r="AN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"subsoil","")))/LEN("subsoil"),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"subsoil","")))/LEN("subsoil"))</f>
        <v>1</v>
      </c>
      <c r="AO69">
        <f>IF(OR(ISNUMBER(SEARCH("heavy",A69))=TRUE, ISNUMBER(SEARCH("medium",A69))=TRUE),
(LEN(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farm'!$D$4:$P$9,MATCH(D69,'Focus Data Tillage by farm'!$C$4:$C$9,0),_xlfn.IFS(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"tine harrow","")))/LEN("tine harrow"),
(LEN(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-LEN(SUBSTITUTE(
INDEX('Focus Data Tillage by farm'!$D$12:$P$17,MATCH(D69,'Focus Data Tillage by farm'!$C$12:$C$17,0),_xlfn.IFS(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
"tine harrow","")))/LEN("tine harrow"))</f>
        <v>0</v>
      </c>
      <c r="AP69" s="102">
        <f>INDEX('Focus Data NSpraying'!$D$4:$P$19,MATCH(F69,'Focus Data NSpraying'!$C$4:$C$19,0),_xlfn.IFS(
AND(ISNUMBER(SEARCH("H-Dsty.",A69))=TRUE,ISNUMBER(SEARCH("H-Res",A69))=TRUE,ISNUMBER(SEARCH("E.",A69))=TRUE),1,
AND(ISNUMBER(SEARCH("H-Dsty.",A69))=TRUE,ISNUMBER(SEARCH("H-Res",A69))=TRUE,OR(ISNUMBER(SEARCH("N.he",A69))=TRUE,ISNUMBER(SEARCH("N.me",A69))=TRUE,ISNUMBER(SEARCH("N.li",A69))=TRUE)),2,
AND(ISNUMBER(SEARCH("H-Dsty.",A69))=TRUE,ISNUMBER(SEARCH("H-Res",A69))=TRUE,ISNUMBER(SEARCH("C.",A69))=TRUE),3,
AND(ISNUMBER(SEARCH("L-Dsty.",A69))=TRUE,ISNUMBER(SEARCH("H-Res",A69))=TRUE,ISNUMBER(SEARCH("E.",A69))=TRUE),6,
AND(ISNUMBER(SEARCH("L-Dsty.",A69))=TRUE,ISNUMBER(SEARCH("H-Res",A69))=TRUE,OR(ISNUMBER(SEARCH("N.he",A69))=TRUE,ISNUMBER(SEARCH("N.me",A69))=TRUE,ISNUMBER(SEARCH("N.li",A69))=TRUE)),7,
AND(ISNUMBER(SEARCH("L-Dsty.",A69))=TRUE,ISNUMBER(SEARCH("H-Res",A69))=TRUE,ISNUMBER(SEARCH("C.",A69))=TRUE),8,
AND(ISNUMBER(SEARCH("L-Dsty.",A69))=TRUE,ISNUMBER(SEARCH("L-Res",A69))=TRUE,ISNUMBER(SEARCH("E.",A69))=TRUE),11,
AND(ISNUMBER(SEARCH("L-Dsty.",A69))=TRUE,ISNUMBER(SEARCH("L-Res",A69))=TRUE,OR(ISNUMBER(SEARCH("N.he",A69))=TRUE,ISNUMBER(SEARCH("N.me",A69))=TRUE,ISNUMBER(SEARCH("N.li",A69))=TRUE)),12,
AND(ISNUMBER(SEARCH("L-Dsty.",A69))=TRUE,ISNUMBER(SEARCH("L-Res",A69))=TRUE,ISNUMBER(SEARCH("C.",A69))=TRUE),13))</f>
        <v>0</v>
      </c>
    </row>
    <row r="70" spans="1:42" x14ac:dyDescent="0.2">
      <c r="A70" t="s">
        <v>504</v>
      </c>
      <c r="B70" s="210" t="str">
        <f t="array" ref="B70">INDEX(ECOMOD_input_estimate!$A$2:$A$55, MATCH(CFT_input!$A70, ECOMOD_input_estimate!$B:$B, 0))</f>
        <v>FF_17.2</v>
      </c>
      <c r="C70" s="210">
        <v>2020</v>
      </c>
      <c r="D70" s="395" t="s">
        <v>1694</v>
      </c>
      <c r="E70" s="210" t="str">
        <f t="shared" si="7"/>
        <v>E.heavy.L-Dsty.L-Res</v>
      </c>
      <c r="F70" s="210" t="str">
        <f t="array" ref="F70">_xlfn.SINGLE(IF(OR(ISNUMBER(SEARCH("heavy",A70))=TRUE,ISNUMBER(SEARCH("medium",A70))=TRUE),
INDEX('Focus Data Crop Rotations'!$D$4:$P$9,MATCH(D70,'Focus Data Crop Rotations'!$C$4:$C$9,0),_xlfn.SINGLE(_xlfn.IFS(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INDEX('Focus Data Crop Rotations'!$D$12:$P$17,MATCH(D70,'Focus Data Crop Rotations'!$C$12:$C$17,0),_xlfn.SINGLE(_xlfn.IFS(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winterwheat</v>
      </c>
      <c r="G70">
        <v>7.2</v>
      </c>
      <c r="H70" s="227">
        <f>VLOOKUP(F70,'CFT Specific Data'!$F$4:$H$19,3,FALSE)*G70*
IF(B70=B69,
IF(AND(ISNUMBER(SEARCH("wheat",F70))=TRUE,ISNUMBER(SEARCH("Barley",F69))=TRUE),0.89,
IF(AND(ISNUMBER(SEARCH("wheat",F70))=TRUE,F69="setaside"),0.94,
IF(AND(ISNUMBER(SEARCH("barley",F70))=TRUE,ISNUMBER(SEARCH("wheat",F69))=TRUE),0.89,
IF(AND(F70="winterbarley",F69="setaside"),0.94,
IF(AND(F70="sugarbeet",F69="warepotatoes"),0.95,
IF(AND((OR(ISNUMBER(SEARCH("beans",F70)),ISNUMBER(SEARCH("driedpeas",F70)),ISNUMBER(SEARCH("sugarbeet",F70)))=TRUE),ISNUMBER(SEARCH("osr",F69))=TRUE),0,
IF(AND((OR((ISNUMBER(SEARCH("wheat",F70))),ISNUMBER(SEARCH("linseed",F70)),ISNUMBER(SEARCH("driedpeas",F70)),ISNUMBER(SEARCH("osr",F70)))=TRUE),F69="sugarbeet"),0,
IF(AND((OR((ISNUMBER(SEARCH("osr",F70))),ISNUMBER(SEARCH("linseed",F70)))=TRUE),ISNUMBER(SEARCH("beans",F69))=TRUE),0,
IF(AND(F70="wosr",ISNUMBER(SEARCH("linseed",F69))=TRUE),0,
IF(AND(F70="sugarbeet",F69="warepotatoes"),0,
1)))))))))),
IF(AND(ISNUMBER(SEARCH("wheat",F70))=TRUE,ISNUMBER(SEARCH("Barley",F75))=TRUE),0.89,
IF(AND(ISNUMBER(SEARCH("wheat",F70))=TRUE,F75="setaside"),0.94,
IF(AND(ISNUMBER(SEARCH("barley",F70))=TRUE,ISNUMBER(SEARCH("wheat",F75))=TRUE),0.89,
IF(AND(F70="winterbarley",F75="setaside"),0.94,
IF(AND(F70="sugarbeet",F75="warepotatoes"),0.95,
IF(AND((OR(ISNUMBER(SEARCH("beans",F70)),ISNUMBER(SEARCH("driedpeas",F70)),ISNUMBER(SEARCH("sugarbeet",F70)))=TRUE),ISNUMBER(SEARCH("osr",F75))=TRUE),0,
IF(AND((OR((ISNUMBER(SEARCH("wheat",F70))),ISNUMBER(SEARCH("linseed",F70)),ISNUMBER(SEARCH("driedpeas",F70)),ISNUMBER(SEARCH("osr",F70)))=TRUE),F75="sugarbeet"),0,
IF(AND((OR((ISNUMBER(SEARCH("osr",F70))),ISNUMBER(SEARCH("linseed",F70)))=TRUE),ISNUMBER(SEARCH("beans",F75))=TRUE),0,
IF(AND(F70="wosr",ISNUMBER(SEARCH("linseed",F75))=TRUE),0,
IF(AND(F70="sugarbeet",F75="warepotatoes"),0,
1)))))))))))
*IF(OR(ISNUMBER(SEARCH("wheat",F70)),ISNUMBER(SEARCH("barley",F70)),ISNUMBER(SEARCH("driedpeas",F70)),ISNUMBER(SEARCH("warepotatoes",F70)),ISNUMBER(SEARCH("osr",F70)),ISNUMBER(SEARCH("linseed",F70)),ISNUMBER(SEARCH("sugarbeet",F70))),
IF(COUNTIF(B65:B69,B70)=5,
INDEX('CFT Specific Data'!$G$24:$L$39,MATCH(F70,'CFT Specific Data'!$F$24:$F$39,0),IF(COUNTIF(F65:F69,F70)=5,6,IF(COUNTIF(F66:F69,F70)=4,5,IF(COUNTIF(F67:F69,F70)=3,4,IF(COUNTIF(F68:F69,F70)=2,3,IF(F69=F70,2,1)))))),
IF(COUNTIF(B65:B69,B70)=4,
INDEX('CFT Specific Data'!$G$24:$L$39,MATCH(F70,'CFT Specific Data'!$F$24:$F$39,0),IF(SUM(COUNTIF(F66:F69,F70),COUNTIF(F71,F70))=5,6,IF(COUNTIF(F66:F69,F70)=4,5,IF(COUNTIF(F67:F69,F70)=3,4,IF(COUNTIF(F68:F69,F70)=2,3,IF(F69=F70,2,1)))))),
IF(COUNTIF(B65:B69,B70)=3,
INDEX('CFT Specific Data'!$G$24:$L$39,MATCH(F70,'CFT Specific Data'!$F$24:$F$39,0),IF(SUM(COUNTIF(F67:F69,F70),COUNTIF(F71:F72,F70))=5,6,IF(SUM(COUNTIF(F67:F69,F70),COUNTIF(F72,F70))=4,5,IF(COUNTIF(F67:F69,F70)=3,4,IF(COUNTIF(F68:F69,F70)=2,3,IF(F69=F70,2,1)))))),
IF(COUNTIF(B65:B69,B70)=2,
INDEX('CFT Specific Data'!$G$24:$L$39,MATCH(F70,'CFT Specific Data'!$F$24:$F$39,0),IF(SUM(COUNTIF(F68:F69,F70),COUNTIF(F71:F73,F70))=5,6,IF(SUM(COUNTIF(F68:F69,F70),COUNTIF(F72:F73,F70))=4,5,IF(SUM(COUNTIF(F68:F69,F70),COUNTIF(F73,F70))=3,4,IF(COUNTIF(F68:F69,F70)=2,3,IF(F69=F70,2,1)))))),
IF(COUNTIF(B65:B69,B70)=1,
INDEX('CFT Specific Data'!$G$24:$L$39,MATCH(F70,'CFT Specific Data'!$F$24:$F$39,0),IF(SUM(COUNTIF(F69,F70),COUNTIF(F71:F74,F70))=5,6,IF(SUM(COUNTIF(F69,F70),COUNTIF(F72:F74,F70))=4,5,IF(SUM(COUNTIF(F69,F70),COUNTIF(F73:F74,F70))=3,4,IF(SUM(COUNTIF(F69,F70),COUNTIF(F74,F70))=2,3,IF(F69=F70,2,1)))))),
IF(COUNTIF(B65:B69,B70)=0,
INDEX('CFT Specific Data'!$G$24:$L$39,MATCH(F70,'CFT Specific Data'!$F$24:$F$39,0),IF(COUNTIF(F71:F75,F70)=5,6,IF(COUNTIF(F72:F75,F70)=4,5,IF(COUNTIF(F73:F75,F70)=3,4,IF(COUNTIF(F74:F75,F70)=2,3,IF(F75=F70,2,1)))))))))))),1)</f>
        <v>61.92</v>
      </c>
      <c r="I70" s="210" t="s">
        <v>348</v>
      </c>
      <c r="J70">
        <v>10</v>
      </c>
      <c r="K70" s="210" t="str">
        <f>VLOOKUP(F70,'CFT Specific Data'!$F$4:$G$19,2,FALSE)</f>
        <v>Winter wheat</v>
      </c>
      <c r="L70" t="str">
        <f t="shared" si="8"/>
        <v>Fine</v>
      </c>
      <c r="M70">
        <f t="shared" si="9"/>
        <v>5.8479999999999999</v>
      </c>
      <c r="N70" t="str">
        <f t="shared" si="10"/>
        <v>5.16 &lt; SOM &lt;= 10.32</v>
      </c>
      <c r="O70" t="s">
        <v>349</v>
      </c>
      <c r="P70" t="s">
        <v>350</v>
      </c>
      <c r="Q70">
        <v>7</v>
      </c>
      <c r="R70" t="str">
        <f t="shared" si="6"/>
        <v>5.5 &lt; pH &lt;= 7.3</v>
      </c>
      <c r="S70" t="s">
        <v>351</v>
      </c>
      <c r="T70" s="210">
        <f t="array" ref="T70">_xlfn.SINGLE(INDEX('Focus Data NFertiliser Rate'!$D$4:$P$19,MATCH(F70,'Focus Data NFertiliser Rate'!$C$4:$C$19,0),_xlfn.SINGLE(_xlfn.IFS(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220</v>
      </c>
      <c r="U70" t="str">
        <f t="shared" si="11"/>
        <v>Apply in solution</v>
      </c>
      <c r="V70" s="210">
        <f t="array" ref="V70">_xlfn.SINGLE(INDEX('№ Fertiliser sprayings'!$D$4:$P$19,MATCH(F70,'№ Fertiliser sprayings'!$C$4:$C$19,0),_xlfn.SINGLE(_xlfn.IFS(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3</v>
      </c>
      <c r="W70" s="264">
        <f t="array" ref="W70">_xlfn.SINGLE(INDEX('Focus Data CFT NSpraying'!$D$4:$P$19,MATCH(F70,'Focus Data CFT NSpraying'!$C$4:$C$19,0),_xlfn.SINGLE(_xlfn.IFS(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6.3887999999999998</v>
      </c>
      <c r="X70" t="s">
        <v>363</v>
      </c>
      <c r="Y70">
        <v>0</v>
      </c>
      <c r="Z70">
        <v>100</v>
      </c>
      <c r="AA70" t="s">
        <v>352</v>
      </c>
      <c r="AB70" s="226" t="str">
        <f>IF(B70=B69,_xlfn.IFS(
AND(AA70=Lists!$L$8,AA69=Lists!$L$8),Lists!$N$5,
AND(OR(AA70=Lists!$L$5,AA70=Lists!$L$7,AA70=Lists!$L$9,AA70=Lists!$L$10,AA70=Lists!$L$6),OR(AA69=Lists!$L$5,AA69=Lists!$L$7,AA69=Lists!$L$9,AA69=Lists!$L$10,AA69=Lists!$L$6)),Lists!$N$5,
AND(AA70=Lists!$L$8,OR(AA69=Lists!$L$5,AA69=Lists!$L$7,AA69=Lists!$L$9,AA69=Lists!$L$10,AA69=Lists!$L$6)),Lists!$N$6,
AND(OR(AA70=Lists!$L$5,AA70=Lists!$L$6,AA70=Lists!$L$7,AA70=Lists!$L$9,AA70=Lists!$L$10),AA69=Lists!$L$8),Lists!$N$7),
_xlfn.IFS(
AND(AA70=Lists!$L$8,AA75=Lists!$L$8),Lists!$N$5,
AND(OR(AA70=Lists!$L$5,AA70=Lists!$L$7,AA70=Lists!$L$9,AA70=Lists!$L$10,AA70=Lists!$L$6),OR(AA75=Lists!$L$5,AA75=Lists!$L$7,AA75=Lists!$L$9,AA75=Lists!$L$10,AA75=Lists!$L$6)),Lists!$N$5,
AND(AA70=Lists!$L$8,OR(AA75=Lists!$L$5,AA75=Lists!$L$7,AA75=Lists!$L$9,AA75=Lists!$L$10,AA75=Lists!$L$6)),Lists!$N$6,
AND(OR(AA70=Lists!$L$5,AA70=Lists!$L$7,AA70=Lists!$L$9,AA70=Lists!$L$10),AA75=Lists!$L$8),Lists!$N$7))</f>
        <v>no change</v>
      </c>
      <c r="AC70">
        <v>0</v>
      </c>
      <c r="AD70">
        <v>0</v>
      </c>
      <c r="AE70" s="102">
        <f t="array" ref="AE70">IF(OR(ISNUMBER(SEARCH("heavy",A70))=TRUE, ISNUMBER(SEARCH("medium",A70))=TRUE),
(LEN(_xlfn.SINGLE(
INDEX('Focus Data Tillage by farm'!$D$4:$P$9,MATCH(D70,'Focus Data Tillage by farm'!$C$4:$C$9,0),_xlfn.SINGLE(_xlfn.IFS(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-LEN(SUBSTITUTE(_xlfn.SINGLE(
INDEX('Focus Data Tillage by farm'!$D$4:$P$9,MATCH(D70,'Focus Data Tillage by farm'!$C$4:$C$9,0),_xlfn.SINGLE(_xlfn.IFS(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"disc","")))/LEN("disc"),
(LEN(_xlfn.SINGLE(
INDEX('Focus Data Tillage by farm'!$D$12:$P$17,MATCH(D70,'Focus Data Tillage by farm'!$C$12:$C$17,0),_xlfn.SINGLE(_xlfn.IFS(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-LEN(SUBSTITUTE(_xlfn.SINGLE(
INDEX('Focus Data Tillage by farm'!$D$12:$P$17,MATCH(D70,'Focus Data Tillage by farm'!$C$12:$C$17,0),_xlfn.SINGLE(_xlfn.IFS(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"disc","")))/LEN("disc"))</f>
        <v>2</v>
      </c>
      <c r="AF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"field cultivator","")))/LEN("field cultivator"),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"field cultivator","")))/LEN("field cultivator"))</f>
        <v>0</v>
      </c>
      <c r="AG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"grain drill","")))/LEN("grain drill"),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"grain drill","")))/LEN("grain drill"))</f>
        <v>0</v>
      </c>
      <c r="AH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"minimum tillage","")))/LEN("minimum tillage"),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"minimum tillage","")))/LEN("minimum tillage"))</f>
        <v>1</v>
      </c>
      <c r="AI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"row crop planter","")))/LEN("row crop planter"),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"row crop planter","")))/LEN("row crop planter"))</f>
        <v>0</v>
      </c>
      <c r="AJ70" s="102">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"plough","")))/LEN("plough"),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"plough","")))/LEN("plough"))</f>
        <v>0</v>
      </c>
      <c r="AK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harrow","")))/LEN("roller harrow"),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harrow","")))/LEN("roller harrow"))</f>
        <v>0</v>
      </c>
      <c r="AL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packer","")))/LEN("roller packer"),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"roller packer","")))/LEN("roller packer"))</f>
        <v>2</v>
      </c>
      <c r="AM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"rotary hoe","")))/LEN("rotary hoe"),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"rotary hoe","")))/LEN("rotary hoe"))</f>
        <v>0</v>
      </c>
      <c r="AN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"subsoil","")))/LEN("subsoil"),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"subsoil","")))/LEN("subsoil"))</f>
        <v>0</v>
      </c>
      <c r="AO70">
        <f>IF(OR(ISNUMBER(SEARCH("heavy",A70))=TRUE, ISNUMBER(SEARCH("medium",A70))=TRUE),
(LEN(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farm'!$D$4:$P$9,MATCH(D70,'Focus Data Tillage by farm'!$C$4:$C$9,0),_xlfn.IFS(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"tine harrow","")))/LEN("tine harrow"),
(LEN(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-LEN(SUBSTITUTE(
INDEX('Focus Data Tillage by farm'!$D$12:$P$17,MATCH(D70,'Focus Data Tillage by farm'!$C$12:$C$17,0),_xlfn.IFS(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
"tine harrow","")))/LEN("tine harrow"))</f>
        <v>0</v>
      </c>
      <c r="AP70" s="102">
        <f>INDEX('Focus Data NSpraying'!$D$4:$P$19,MATCH(F70,'Focus Data NSpraying'!$C$4:$C$19,0),_xlfn.IFS(
AND(ISNUMBER(SEARCH("H-Dsty.",A70))=TRUE,ISNUMBER(SEARCH("H-Res",A70))=TRUE,ISNUMBER(SEARCH("E.",A70))=TRUE),1,
AND(ISNUMBER(SEARCH("H-Dsty.",A70))=TRUE,ISNUMBER(SEARCH("H-Res",A70))=TRUE,OR(ISNUMBER(SEARCH("N.he",A70))=TRUE,ISNUMBER(SEARCH("N.me",A70))=TRUE,ISNUMBER(SEARCH("N.li",A70))=TRUE)),2,
AND(ISNUMBER(SEARCH("H-Dsty.",A70))=TRUE,ISNUMBER(SEARCH("H-Res",A70))=TRUE,ISNUMBER(SEARCH("C.",A70))=TRUE),3,
AND(ISNUMBER(SEARCH("L-Dsty.",A70))=TRUE,ISNUMBER(SEARCH("H-Res",A70))=TRUE,ISNUMBER(SEARCH("E.",A70))=TRUE),6,
AND(ISNUMBER(SEARCH("L-Dsty.",A70))=TRUE,ISNUMBER(SEARCH("H-Res",A70))=TRUE,OR(ISNUMBER(SEARCH("N.he",A70))=TRUE,ISNUMBER(SEARCH("N.me",A70))=TRUE,ISNUMBER(SEARCH("N.li",A70))=TRUE)),7,
AND(ISNUMBER(SEARCH("L-Dsty.",A70))=TRUE,ISNUMBER(SEARCH("H-Res",A70))=TRUE,ISNUMBER(SEARCH("C.",A70))=TRUE),8,
AND(ISNUMBER(SEARCH("L-Dsty.",A70))=TRUE,ISNUMBER(SEARCH("L-Res",A70))=TRUE,ISNUMBER(SEARCH("E.",A70))=TRUE),11,
AND(ISNUMBER(SEARCH("L-Dsty.",A70))=TRUE,ISNUMBER(SEARCH("L-Res",A70))=TRUE,OR(ISNUMBER(SEARCH("N.he",A70))=TRUE,ISNUMBER(SEARCH("N.me",A70))=TRUE,ISNUMBER(SEARCH("N.li",A70))=TRUE)),12,
AND(ISNUMBER(SEARCH("L-Dsty.",A70))=TRUE,ISNUMBER(SEARCH("L-Res",A70))=TRUE,ISNUMBER(SEARCH("C.",A70))=TRUE),13))</f>
        <v>4</v>
      </c>
    </row>
    <row r="71" spans="1:42" x14ac:dyDescent="0.2">
      <c r="A71" t="s">
        <v>504</v>
      </c>
      <c r="B71" s="210" t="str">
        <f t="array" ref="B71">INDEX(ECOMOD_input_estimate!$A$2:$A$55, MATCH(CFT_input!$A71, ECOMOD_input_estimate!$B:$B, 0))</f>
        <v>FF_17.2</v>
      </c>
      <c r="C71" s="210">
        <v>2020</v>
      </c>
      <c r="D71" s="395" t="s">
        <v>1695</v>
      </c>
      <c r="E71" s="210" t="str">
        <f t="shared" si="7"/>
        <v>E.heavy.L-Dsty.L-Res</v>
      </c>
      <c r="F71" s="210" t="str">
        <f t="array" ref="F71">_xlfn.SINGLE(IF(OR(ISNUMBER(SEARCH("heavy",A71))=TRUE,ISNUMBER(SEARCH("medium",A71))=TRUE),
INDEX('Focus Data Crop Rotations'!$D$4:$P$9,MATCH(D71,'Focus Data Crop Rotations'!$C$4:$C$9,0),_xlfn.SINGLE(_xlfn.IFS(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INDEX('Focus Data Crop Rotations'!$D$12:$P$17,MATCH(D71,'Focus Data Crop Rotations'!$C$12:$C$17,0),_xlfn.SINGLE(_xlfn.IFS(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winterwheat</v>
      </c>
      <c r="G71">
        <v>7.2</v>
      </c>
      <c r="H71" s="227">
        <f>VLOOKUP(F71,'CFT Specific Data'!$F$4:$H$19,3,FALSE)*G71*
IF(B71=B70,
IF(AND(ISNUMBER(SEARCH("wheat",F71))=TRUE,ISNUMBER(SEARCH("Barley",F70))=TRUE),0.89,
IF(AND(ISNUMBER(SEARCH("wheat",F71))=TRUE,F70="setaside"),0.94,
IF(AND(ISNUMBER(SEARCH("barley",F71))=TRUE,ISNUMBER(SEARCH("wheat",F70))=TRUE),0.89,
IF(AND(F71="winterbarley",F70="setaside"),0.94,
IF(AND(F71="sugarbeet",F70="warepotatoes"),0.95,
IF(AND((OR(ISNUMBER(SEARCH("beans",F71)),ISNUMBER(SEARCH("driedpeas",F71)),ISNUMBER(SEARCH("sugarbeet",F71)))=TRUE),ISNUMBER(SEARCH("osr",F70))=TRUE),0,
IF(AND((OR((ISNUMBER(SEARCH("wheat",F71))),ISNUMBER(SEARCH("linseed",F71)),ISNUMBER(SEARCH("driedpeas",F71)),ISNUMBER(SEARCH("osr",F71)))=TRUE),F70="sugarbeet"),0,
IF(AND((OR((ISNUMBER(SEARCH("osr",F71))),ISNUMBER(SEARCH("linseed",F71)))=TRUE),ISNUMBER(SEARCH("beans",F70))=TRUE),0,
IF(AND(F71="wosr",ISNUMBER(SEARCH("linseed",F70))=TRUE),0,
IF(AND(F71="sugarbeet",F70="warepotatoes"),0,
1)))))))))),
IF(AND(ISNUMBER(SEARCH("wheat",F71))=TRUE,ISNUMBER(SEARCH("Barley",F76))=TRUE),0.89,
IF(AND(ISNUMBER(SEARCH("wheat",F71))=TRUE,F76="setaside"),0.94,
IF(AND(ISNUMBER(SEARCH("barley",F71))=TRUE,ISNUMBER(SEARCH("wheat",F76))=TRUE),0.89,
IF(AND(F71="winterbarley",F76="setaside"),0.94,
IF(AND(F71="sugarbeet",F76="warepotatoes"),0.95,
IF(AND((OR(ISNUMBER(SEARCH("beans",F71)),ISNUMBER(SEARCH("driedpeas",F71)),ISNUMBER(SEARCH("sugarbeet",F71)))=TRUE),ISNUMBER(SEARCH("osr",F76))=TRUE),0,
IF(AND((OR((ISNUMBER(SEARCH("wheat",F71))),ISNUMBER(SEARCH("linseed",F71)),ISNUMBER(SEARCH("driedpeas",F71)),ISNUMBER(SEARCH("osr",F71)))=TRUE),F76="sugarbeet"),0,
IF(AND((OR((ISNUMBER(SEARCH("osr",F71))),ISNUMBER(SEARCH("linseed",F71)))=TRUE),ISNUMBER(SEARCH("beans",F76))=TRUE),0,
IF(AND(F71="wosr",ISNUMBER(SEARCH("linseed",F76))=TRUE),0,
IF(AND(F71="sugarbeet",F76="warepotatoes"),0,
1)))))))))))
*IF(OR(ISNUMBER(SEARCH("wheat",F71)),ISNUMBER(SEARCH("barley",F71)),ISNUMBER(SEARCH("driedpeas",F71)),ISNUMBER(SEARCH("warepotatoes",F71)),ISNUMBER(SEARCH("osr",F71)),ISNUMBER(SEARCH("linseed",F71)),ISNUMBER(SEARCH("sugarbeet",F71))),
IF(COUNTIF(B66:B70,B71)=5,
INDEX('CFT Specific Data'!$G$24:$L$39,MATCH(F71,'CFT Specific Data'!$F$24:$F$39,0),IF(COUNTIF(F66:F70,F71)=5,6,IF(COUNTIF(F67:F70,F71)=4,5,IF(COUNTIF(F68:F70,F71)=3,4,IF(COUNTIF(F69:F70,F71)=2,3,IF(F70=F71,2,1)))))),
IF(COUNTIF(B66:B70,B71)=4,
INDEX('CFT Specific Data'!$G$24:$L$39,MATCH(F71,'CFT Specific Data'!$F$24:$F$39,0),IF(SUM(COUNTIF(F67:F70,F71),COUNTIF(F72,F71))=5,6,IF(COUNTIF(F67:F70,F71)=4,5,IF(COUNTIF(F68:F70,F71)=3,4,IF(COUNTIF(F69:F70,F71)=2,3,IF(F70=F71,2,1)))))),
IF(COUNTIF(B66:B70,B71)=3,
INDEX('CFT Specific Data'!$G$24:$L$39,MATCH(F71,'CFT Specific Data'!$F$24:$F$39,0),IF(SUM(COUNTIF(F68:F70,F71),COUNTIF(F72:F73,F71))=5,6,IF(SUM(COUNTIF(F68:F70,F71),COUNTIF(F73,F71))=4,5,IF(COUNTIF(F68:F70,F71)=3,4,IF(COUNTIF(F69:F70,F71)=2,3,IF(F70=F71,2,1)))))),
IF(COUNTIF(B66:B70,B71)=2,
INDEX('CFT Specific Data'!$G$24:$L$39,MATCH(F71,'CFT Specific Data'!$F$24:$F$39,0),IF(SUM(COUNTIF(F69:F70,F71),COUNTIF(F72:F74,F71))=5,6,IF(SUM(COUNTIF(F69:F70,F71),COUNTIF(F73:F74,F71))=4,5,IF(SUM(COUNTIF(F69:F70,F71),COUNTIF(F74,F71))=3,4,IF(COUNTIF(F69:F70,F71)=2,3,IF(F70=F71,2,1)))))),
IF(COUNTIF(B66:B70,B71)=1,
INDEX('CFT Specific Data'!$G$24:$L$39,MATCH(F71,'CFT Specific Data'!$F$24:$F$39,0),IF(SUM(COUNTIF(F70,F71),COUNTIF(F72:F75,F71))=5,6,IF(SUM(COUNTIF(F70,F71),COUNTIF(F73:F75,F71))=4,5,IF(SUM(COUNTIF(F70,F71),COUNTIF(F74:F75,F71))=3,4,IF(SUM(COUNTIF(F70,F71),COUNTIF(F75,F71))=2,3,IF(F70=F71,2,1)))))),
IF(COUNTIF(B66:B70,B71)=0,
INDEX('CFT Specific Data'!$G$24:$L$39,MATCH(F71,'CFT Specific Data'!$F$24:$F$39,0),IF(COUNTIF(F72:F76,F71)=5,6,IF(COUNTIF(F73:F76,F71)=4,5,IF(COUNTIF(F74:F76,F71)=3,4,IF(COUNTIF(F75:F76,F71)=2,3,IF(F76=F71,2,1)))))))))))),1)</f>
        <v>55.728000000000002</v>
      </c>
      <c r="I71" s="210" t="s">
        <v>348</v>
      </c>
      <c r="J71">
        <v>10</v>
      </c>
      <c r="K71" s="210" t="str">
        <f>VLOOKUP(F71,'CFT Specific Data'!$F$4:$G$19,2,FALSE)</f>
        <v>Winter wheat</v>
      </c>
      <c r="L71" t="str">
        <f t="shared" si="8"/>
        <v>Fine</v>
      </c>
      <c r="M71">
        <f t="shared" si="9"/>
        <v>5.8479999999999999</v>
      </c>
      <c r="N71" t="str">
        <f t="shared" si="10"/>
        <v>5.16 &lt; SOM &lt;= 10.32</v>
      </c>
      <c r="O71" t="s">
        <v>349</v>
      </c>
      <c r="P71" t="s">
        <v>350</v>
      </c>
      <c r="Q71">
        <v>7</v>
      </c>
      <c r="R71" t="str">
        <f t="shared" si="6"/>
        <v>5.5 &lt; pH &lt;= 7.3</v>
      </c>
      <c r="S71" t="s">
        <v>351</v>
      </c>
      <c r="T71" s="210">
        <f t="array" ref="T71">_xlfn.SINGLE(INDEX('Focus Data NFertiliser Rate'!$D$4:$P$19,MATCH(F71,'Focus Data NFertiliser Rate'!$C$4:$C$19,0),_xlfn.SINGLE(_xlfn.IFS(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220</v>
      </c>
      <c r="U71" t="str">
        <f t="shared" si="11"/>
        <v>Apply in solution</v>
      </c>
      <c r="V71" s="210">
        <f t="array" ref="V71">_xlfn.SINGLE(INDEX('№ Fertiliser sprayings'!$D$4:$P$19,MATCH(F71,'№ Fertiliser sprayings'!$C$4:$C$19,0),_xlfn.SINGLE(_xlfn.IFS(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3</v>
      </c>
      <c r="W71" s="264">
        <f t="array" ref="W71">_xlfn.SINGLE(INDEX('Focus Data CFT NSpraying'!$D$4:$P$19,MATCH(F71,'Focus Data CFT NSpraying'!$C$4:$C$19,0),_xlfn.SINGLE(_xlfn.IFS(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6.3887999999999998</v>
      </c>
      <c r="X71" t="s">
        <v>363</v>
      </c>
      <c r="Y71">
        <v>0</v>
      </c>
      <c r="Z71">
        <v>100</v>
      </c>
      <c r="AA71" t="s">
        <v>352</v>
      </c>
      <c r="AB71" s="226" t="str">
        <f>IF(B71=B70,_xlfn.IFS(
AND(AA71=Lists!$L$8,AA70=Lists!$L$8),Lists!$N$5,
AND(OR(AA71=Lists!$L$5,AA71=Lists!$L$7,AA71=Lists!$L$9,AA71=Lists!$L$10,AA71=Lists!$L$6),OR(AA70=Lists!$L$5,AA70=Lists!$L$7,AA70=Lists!$L$9,AA70=Lists!$L$10,AA70=Lists!$L$6)),Lists!$N$5,
AND(AA71=Lists!$L$8,OR(AA70=Lists!$L$5,AA70=Lists!$L$7,AA70=Lists!$L$9,AA70=Lists!$L$10,AA70=Lists!$L$6)),Lists!$N$6,
AND(OR(AA71=Lists!$L$5,AA71=Lists!$L$6,AA71=Lists!$L$7,AA71=Lists!$L$9,AA71=Lists!$L$10),AA70=Lists!$L$8),Lists!$N$7),
_xlfn.IFS(
AND(AA71=Lists!$L$8,AA76=Lists!$L$8),Lists!$N$5,
AND(OR(AA71=Lists!$L$5,AA71=Lists!$L$7,AA71=Lists!$L$9,AA71=Lists!$L$10,AA71=Lists!$L$6),OR(AA76=Lists!$L$5,AA76=Lists!$L$7,AA76=Lists!$L$9,AA76=Lists!$L$10,AA76=Lists!$L$6)),Lists!$N$5,
AND(AA71=Lists!$L$8,OR(AA76=Lists!$L$5,AA76=Lists!$L$7,AA76=Lists!$L$9,AA76=Lists!$L$10,AA76=Lists!$L$6)),Lists!$N$6,
AND(OR(AA71=Lists!$L$5,AA71=Lists!$L$7,AA71=Lists!$L$9,AA71=Lists!$L$10),AA76=Lists!$L$8),Lists!$N$7))</f>
        <v>no change</v>
      </c>
      <c r="AC71">
        <v>0</v>
      </c>
      <c r="AD71">
        <v>0</v>
      </c>
      <c r="AE71" s="102">
        <f t="array" ref="AE71">IF(OR(ISNUMBER(SEARCH("heavy",A71))=TRUE, ISNUMBER(SEARCH("medium",A71))=TRUE),
(LEN(_xlfn.SINGLE(
INDEX('Focus Data Tillage by farm'!$D$4:$P$9,MATCH(D71,'Focus Data Tillage by farm'!$C$4:$C$9,0),_xlfn.SINGLE(_xlfn.IFS(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-LEN(SUBSTITUTE(_xlfn.SINGLE(
INDEX('Focus Data Tillage by farm'!$D$4:$P$9,MATCH(D71,'Focus Data Tillage by farm'!$C$4:$C$9,0),_xlfn.SINGLE(_xlfn.IFS(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"disc","")))/LEN("disc"),
(LEN(_xlfn.SINGLE(
INDEX('Focus Data Tillage by farm'!$D$12:$P$17,MATCH(D71,'Focus Data Tillage by farm'!$C$12:$C$17,0),_xlfn.SINGLE(_xlfn.IFS(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-LEN(SUBSTITUTE(_xlfn.SINGLE(
INDEX('Focus Data Tillage by farm'!$D$12:$P$17,MATCH(D71,'Focus Data Tillage by farm'!$C$12:$C$17,0),_xlfn.SINGLE(_xlfn.IFS(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"disc","")))/LEN("disc"))</f>
        <v>2</v>
      </c>
      <c r="AF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"field cultivator","")))/LEN("field cultivator"),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"field cultivator","")))/LEN("field cultivator"))</f>
        <v>0</v>
      </c>
      <c r="AG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"grain drill","")))/LEN("grain drill"),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"grain drill","")))/LEN("grain drill"))</f>
        <v>0</v>
      </c>
      <c r="AH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"minimum tillage","")))/LEN("minimum tillage"),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"minimum tillage","")))/LEN("minimum tillage"))</f>
        <v>1</v>
      </c>
      <c r="AI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"row crop planter","")))/LEN("row crop planter"),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"row crop planter","")))/LEN("row crop planter"))</f>
        <v>0</v>
      </c>
      <c r="AJ71" s="102">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"plough","")))/LEN("plough"),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"plough","")))/LEN("plough"))</f>
        <v>0</v>
      </c>
      <c r="AK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harrow","")))/LEN("roller harrow"),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harrow","")))/LEN("roller harrow"))</f>
        <v>0</v>
      </c>
      <c r="AL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packer","")))/LEN("roller packer"),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"roller packer","")))/LEN("roller packer"))</f>
        <v>2</v>
      </c>
      <c r="AM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"rotary hoe","")))/LEN("rotary hoe"),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"rotary hoe","")))/LEN("rotary hoe"))</f>
        <v>0</v>
      </c>
      <c r="AN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"subsoil","")))/LEN("subsoil"),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"subsoil","")))/LEN("subsoil"))</f>
        <v>0</v>
      </c>
      <c r="AO71">
        <f>IF(OR(ISNUMBER(SEARCH("heavy",A71))=TRUE, ISNUMBER(SEARCH("medium",A71))=TRUE),
(LEN(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farm'!$D$4:$P$9,MATCH(D71,'Focus Data Tillage by farm'!$C$4:$C$9,0),_xlfn.IFS(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"tine harrow","")))/LEN("tine harrow"),
(LEN(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-LEN(SUBSTITUTE(
INDEX('Focus Data Tillage by farm'!$D$12:$P$17,MATCH(D71,'Focus Data Tillage by farm'!$C$12:$C$17,0),_xlfn.IFS(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
"tine harrow","")))/LEN("tine harrow"))</f>
        <v>0</v>
      </c>
      <c r="AP71" s="102">
        <f>INDEX('Focus Data NSpraying'!$D$4:$P$19,MATCH(F71,'Focus Data NSpraying'!$C$4:$C$19,0),_xlfn.IFS(
AND(ISNUMBER(SEARCH("H-Dsty.",A71))=TRUE,ISNUMBER(SEARCH("H-Res",A71))=TRUE,ISNUMBER(SEARCH("E.",A71))=TRUE),1,
AND(ISNUMBER(SEARCH("H-Dsty.",A71))=TRUE,ISNUMBER(SEARCH("H-Res",A71))=TRUE,OR(ISNUMBER(SEARCH("N.he",A71))=TRUE,ISNUMBER(SEARCH("N.me",A71))=TRUE,ISNUMBER(SEARCH("N.li",A71))=TRUE)),2,
AND(ISNUMBER(SEARCH("H-Dsty.",A71))=TRUE,ISNUMBER(SEARCH("H-Res",A71))=TRUE,ISNUMBER(SEARCH("C.",A71))=TRUE),3,
AND(ISNUMBER(SEARCH("L-Dsty.",A71))=TRUE,ISNUMBER(SEARCH("H-Res",A71))=TRUE,ISNUMBER(SEARCH("E.",A71))=TRUE),6,
AND(ISNUMBER(SEARCH("L-Dsty.",A71))=TRUE,ISNUMBER(SEARCH("H-Res",A71))=TRUE,OR(ISNUMBER(SEARCH("N.he",A71))=TRUE,ISNUMBER(SEARCH("N.me",A71))=TRUE,ISNUMBER(SEARCH("N.li",A71))=TRUE)),7,
AND(ISNUMBER(SEARCH("L-Dsty.",A71))=TRUE,ISNUMBER(SEARCH("H-Res",A71))=TRUE,ISNUMBER(SEARCH("C.",A71))=TRUE),8,
AND(ISNUMBER(SEARCH("L-Dsty.",A71))=TRUE,ISNUMBER(SEARCH("L-Res",A71))=TRUE,ISNUMBER(SEARCH("E.",A71))=TRUE),11,
AND(ISNUMBER(SEARCH("L-Dsty.",A71))=TRUE,ISNUMBER(SEARCH("L-Res",A71))=TRUE,OR(ISNUMBER(SEARCH("N.he",A71))=TRUE,ISNUMBER(SEARCH("N.me",A71))=TRUE,ISNUMBER(SEARCH("N.li",A71))=TRUE)),12,
AND(ISNUMBER(SEARCH("L-Dsty.",A71))=TRUE,ISNUMBER(SEARCH("L-Res",A71))=TRUE,ISNUMBER(SEARCH("C.",A71))=TRUE),13))</f>
        <v>4</v>
      </c>
    </row>
    <row r="72" spans="1:42" x14ac:dyDescent="0.2">
      <c r="A72" t="s">
        <v>504</v>
      </c>
      <c r="B72" s="210" t="str">
        <f t="array" ref="B72">INDEX(ECOMOD_input_estimate!$A$2:$A$55, MATCH(CFT_input!$A72, ECOMOD_input_estimate!$B:$B, 0))</f>
        <v>FF_17.2</v>
      </c>
      <c r="C72" s="210">
        <v>2020</v>
      </c>
      <c r="D72" s="395" t="s">
        <v>1696</v>
      </c>
      <c r="E72" s="210" t="str">
        <f t="shared" si="7"/>
        <v>E.heavy.L-Dsty.L-Res</v>
      </c>
      <c r="F72" s="210" t="str">
        <f t="array" ref="F72">_xlfn.SINGLE(IF(OR(ISNUMBER(SEARCH("heavy",A72))=TRUE,ISNUMBER(SEARCH("medium",A72))=TRUE),
INDEX('Focus Data Crop Rotations'!$D$4:$P$9,MATCH(D72,'Focus Data Crop Rotations'!$C$4:$C$9,0),_xlfn.SINGLE(_xlfn.IFS(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INDEX('Focus Data Crop Rotations'!$D$12:$P$17,MATCH(D72,'Focus Data Crop Rotations'!$C$12:$C$17,0),_xlfn.SINGLE(_xlfn.IFS(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wosr</v>
      </c>
      <c r="G72">
        <v>7.2</v>
      </c>
      <c r="H72" s="227">
        <f>VLOOKUP(F72,'CFT Specific Data'!$F$4:$H$19,3,FALSE)*G72*
IF(B72=B71,
IF(AND(ISNUMBER(SEARCH("wheat",F72))=TRUE,ISNUMBER(SEARCH("Barley",F71))=TRUE),0.89,
IF(AND(ISNUMBER(SEARCH("wheat",F72))=TRUE,F71="setaside"),0.94,
IF(AND(ISNUMBER(SEARCH("barley",F72))=TRUE,ISNUMBER(SEARCH("wheat",F71))=TRUE),0.89,
IF(AND(F72="winterbarley",F71="setaside"),0.94,
IF(AND(F72="sugarbeet",F71="warepotatoes"),0.95,
IF(AND((OR(ISNUMBER(SEARCH("beans",F72)),ISNUMBER(SEARCH("driedpeas",F72)),ISNUMBER(SEARCH("sugarbeet",F72)))=TRUE),ISNUMBER(SEARCH("osr",F71))=TRUE),0,
IF(AND((OR((ISNUMBER(SEARCH("wheat",F72))),ISNUMBER(SEARCH("linseed",F72)),ISNUMBER(SEARCH("driedpeas",F72)),ISNUMBER(SEARCH("osr",F72)))=TRUE),F71="sugarbeet"),0,
IF(AND((OR((ISNUMBER(SEARCH("osr",F72))),ISNUMBER(SEARCH("linseed",F72)))=TRUE),ISNUMBER(SEARCH("beans",F71))=TRUE),0,
IF(AND(F72="wosr",ISNUMBER(SEARCH("linseed",F71))=TRUE),0,
IF(AND(F72="sugarbeet",F71="warepotatoes"),0,
1)))))))))),
IF(AND(ISNUMBER(SEARCH("wheat",F72))=TRUE,ISNUMBER(SEARCH("Barley",F77))=TRUE),0.89,
IF(AND(ISNUMBER(SEARCH("wheat",F72))=TRUE,F77="setaside"),0.94,
IF(AND(ISNUMBER(SEARCH("barley",F72))=TRUE,ISNUMBER(SEARCH("wheat",F77))=TRUE),0.89,
IF(AND(F72="winterbarley",F77="setaside"),0.94,
IF(AND(F72="sugarbeet",F77="warepotatoes"),0.95,
IF(AND((OR(ISNUMBER(SEARCH("beans",F72)),ISNUMBER(SEARCH("driedpeas",F72)),ISNUMBER(SEARCH("sugarbeet",F72)))=TRUE),ISNUMBER(SEARCH("osr",F77))=TRUE),0,
IF(AND((OR((ISNUMBER(SEARCH("wheat",F72))),ISNUMBER(SEARCH("linseed",F72)),ISNUMBER(SEARCH("driedpeas",F72)),ISNUMBER(SEARCH("osr",F72)))=TRUE),F77="sugarbeet"),0,
IF(AND((OR((ISNUMBER(SEARCH("osr",F72))),ISNUMBER(SEARCH("linseed",F72)))=TRUE),ISNUMBER(SEARCH("beans",F77))=TRUE),0,
IF(AND(F72="wosr",ISNUMBER(SEARCH("linseed",F77))=TRUE),0,
IF(AND(F72="sugarbeet",F77="warepotatoes"),0,
1)))))))))))
*IF(OR(ISNUMBER(SEARCH("wheat",F72)),ISNUMBER(SEARCH("barley",F72)),ISNUMBER(SEARCH("driedpeas",F72)),ISNUMBER(SEARCH("warepotatoes",F72)),ISNUMBER(SEARCH("osr",F72)),ISNUMBER(SEARCH("linseed",F72)),ISNUMBER(SEARCH("sugarbeet",F72))),
IF(COUNTIF(B67:B71,B72)=5,
INDEX('CFT Specific Data'!$G$24:$L$39,MATCH(F72,'CFT Specific Data'!$F$24:$F$39,0),IF(COUNTIF(F67:F71,F72)=5,6,IF(COUNTIF(F68:F71,F72)=4,5,IF(COUNTIF(F69:F71,F72)=3,4,IF(COUNTIF(F70:F71,F72)=2,3,IF(F71=F72,2,1)))))),
IF(COUNTIF(B67:B71,B72)=4,
INDEX('CFT Specific Data'!$G$24:$L$39,MATCH(F72,'CFT Specific Data'!$F$24:$F$39,0),IF(SUM(COUNTIF(F68:F71,F72),COUNTIF(F73,F72))=5,6,IF(COUNTIF(F68:F71,F72)=4,5,IF(COUNTIF(F69:F71,F72)=3,4,IF(COUNTIF(F70:F71,F72)=2,3,IF(F71=F72,2,1)))))),
IF(COUNTIF(B67:B71,B72)=3,
INDEX('CFT Specific Data'!$G$24:$L$39,MATCH(F72,'CFT Specific Data'!$F$24:$F$39,0),IF(SUM(COUNTIF(F69:F71,F72),COUNTIF(F73:F74,F72))=5,6,IF(SUM(COUNTIF(F69:F71,F72),COUNTIF(F74,F72))=4,5,IF(COUNTIF(F69:F71,F72)=3,4,IF(COUNTIF(F70:F71,F72)=2,3,IF(F71=F72,2,1)))))),
IF(COUNTIF(B67:B71,B72)=2,
INDEX('CFT Specific Data'!$G$24:$L$39,MATCH(F72,'CFT Specific Data'!$F$24:$F$39,0),IF(SUM(COUNTIF(F70:F71,F72),COUNTIF(F73:F75,F72))=5,6,IF(SUM(COUNTIF(F70:F71,F72),COUNTIF(F74:F75,F72))=4,5,IF(SUM(COUNTIF(F70:F71,F72),COUNTIF(F75,F72))=3,4,IF(COUNTIF(F70:F71,F72)=2,3,IF(F71=F72,2,1)))))),
IF(COUNTIF(B67:B71,B72)=1,
INDEX('CFT Specific Data'!$G$24:$L$39,MATCH(F72,'CFT Specific Data'!$F$24:$F$39,0),IF(SUM(COUNTIF(F71,F72),COUNTIF(F73:F76,F72))=5,6,IF(SUM(COUNTIF(F71,F72),COUNTIF(F74:F76,F72))=4,5,IF(SUM(COUNTIF(F71,F72),COUNTIF(F75:F76,F72))=3,4,IF(SUM(COUNTIF(F71,F72),COUNTIF(F76,F72))=2,3,IF(F71=F72,2,1)))))),
IF(COUNTIF(B67:B71,B72)=0,
INDEX('CFT Specific Data'!$G$24:$L$39,MATCH(F72,'CFT Specific Data'!$F$24:$F$39,0),IF(COUNTIF(F73:F77,F72)=5,6,IF(COUNTIF(F74:F77,F72)=4,5,IF(COUNTIF(F75:F77,F72)=3,4,IF(COUNTIF(F76:F77,F72)=2,3,IF(F77=F72,2,1)))))))))))),1)</f>
        <v>25.2</v>
      </c>
      <c r="I72" s="210" t="s">
        <v>348</v>
      </c>
      <c r="J72">
        <v>10</v>
      </c>
      <c r="K72" s="210" t="str">
        <f>VLOOKUP(F72,'CFT Specific Data'!$F$4:$G$19,2,FALSE)</f>
        <v>Other</v>
      </c>
      <c r="L72" t="str">
        <f t="shared" si="8"/>
        <v>Fine</v>
      </c>
      <c r="M72">
        <f t="shared" si="9"/>
        <v>5.8479999999999999</v>
      </c>
      <c r="N72" t="str">
        <f t="shared" si="10"/>
        <v>5.16 &lt; SOM &lt;= 10.32</v>
      </c>
      <c r="O72" t="s">
        <v>349</v>
      </c>
      <c r="P72" t="s">
        <v>350</v>
      </c>
      <c r="Q72">
        <v>7</v>
      </c>
      <c r="R72" t="str">
        <f t="shared" si="6"/>
        <v>5.5 &lt; pH &lt;= 7.3</v>
      </c>
      <c r="S72" t="s">
        <v>351</v>
      </c>
      <c r="T72" s="210">
        <f t="array" ref="T72">_xlfn.SINGLE(INDEX('Focus Data NFertiliser Rate'!$D$4:$P$19,MATCH(F72,'Focus Data NFertiliser Rate'!$C$4:$C$19,0),_xlfn.SINGLE(_xlfn.IFS(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180</v>
      </c>
      <c r="U72" t="str">
        <f t="shared" si="11"/>
        <v>Apply in solution</v>
      </c>
      <c r="V72" s="210">
        <f t="array" ref="V72">_xlfn.SINGLE(INDEX('№ Fertiliser sprayings'!$D$4:$P$19,MATCH(F72,'№ Fertiliser sprayings'!$C$4:$C$19,0),_xlfn.SINGLE(_xlfn.IFS(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3</v>
      </c>
      <c r="W72" s="264">
        <f t="array" ref="W72">_xlfn.SINGLE(INDEX('Focus Data CFT NSpraying'!$D$4:$P$19,MATCH(F72,'Focus Data CFT NSpraying'!$C$4:$C$19,0),_xlfn.SINGLE(_xlfn.IFS(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0</v>
      </c>
      <c r="X72" t="s">
        <v>363</v>
      </c>
      <c r="Y72">
        <v>0</v>
      </c>
      <c r="Z72">
        <v>100</v>
      </c>
      <c r="AA72" t="s">
        <v>352</v>
      </c>
      <c r="AB72" s="226" t="str">
        <f>IF(B72=B71,_xlfn.IFS(
AND(AA72=Lists!$L$8,AA71=Lists!$L$8),Lists!$N$5,
AND(OR(AA72=Lists!$L$5,AA72=Lists!$L$7,AA72=Lists!$L$9,AA72=Lists!$L$10,AA72=Lists!$L$6),OR(AA71=Lists!$L$5,AA71=Lists!$L$7,AA71=Lists!$L$9,AA71=Lists!$L$10,AA71=Lists!$L$6)),Lists!$N$5,
AND(AA72=Lists!$L$8,OR(AA71=Lists!$L$5,AA71=Lists!$L$7,AA71=Lists!$L$9,AA71=Lists!$L$10,AA71=Lists!$L$6)),Lists!$N$6,
AND(OR(AA72=Lists!$L$5,AA72=Lists!$L$6,AA72=Lists!$L$7,AA72=Lists!$L$9,AA72=Lists!$L$10),AA71=Lists!$L$8),Lists!$N$7),
_xlfn.IFS(
AND(AA72=Lists!$L$8,AA77=Lists!$L$8),Lists!$N$5,
AND(OR(AA72=Lists!$L$5,AA72=Lists!$L$7,AA72=Lists!$L$9,AA72=Lists!$L$10,AA72=Lists!$L$6),OR(AA77=Lists!$L$5,AA77=Lists!$L$7,AA77=Lists!$L$9,AA77=Lists!$L$10,AA77=Lists!$L$6)),Lists!$N$5,
AND(AA72=Lists!$L$8,OR(AA77=Lists!$L$5,AA77=Lists!$L$7,AA77=Lists!$L$9,AA77=Lists!$L$10,AA77=Lists!$L$6)),Lists!$N$6,
AND(OR(AA72=Lists!$L$5,AA72=Lists!$L$7,AA72=Lists!$L$9,AA72=Lists!$L$10),AA77=Lists!$L$8),Lists!$N$7))</f>
        <v>no change</v>
      </c>
      <c r="AC72">
        <v>0</v>
      </c>
      <c r="AD72">
        <v>0</v>
      </c>
      <c r="AE72" s="102">
        <f t="array" ref="AE72">IF(OR(ISNUMBER(SEARCH("heavy",A72))=TRUE, ISNUMBER(SEARCH("medium",A72))=TRUE),
(LEN(_xlfn.SINGLE(
INDEX('Focus Data Tillage by farm'!$D$4:$P$9,MATCH(D72,'Focus Data Tillage by farm'!$C$4:$C$9,0),_xlfn.SINGLE(_xlfn.IFS(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-LEN(SUBSTITUTE(_xlfn.SINGLE(
INDEX('Focus Data Tillage by farm'!$D$4:$P$9,MATCH(D72,'Focus Data Tillage by farm'!$C$4:$C$9,0),_xlfn.SINGLE(_xlfn.IFS(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"disc","")))/LEN("disc"),
(LEN(_xlfn.SINGLE(
INDEX('Focus Data Tillage by farm'!$D$12:$P$17,MATCH(D72,'Focus Data Tillage by farm'!$C$12:$C$17,0),_xlfn.SINGLE(_xlfn.IFS(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-LEN(SUBSTITUTE(_xlfn.SINGLE(
INDEX('Focus Data Tillage by farm'!$D$12:$P$17,MATCH(D72,'Focus Data Tillage by farm'!$C$12:$C$17,0),_xlfn.SINGLE(_xlfn.IFS(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"disc","")))/LEN("disc"))</f>
        <v>0</v>
      </c>
      <c r="AF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"field cultivator","")))/LEN("field cultivator"),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"field cultivator","")))/LEN("field cultivator"))</f>
        <v>0</v>
      </c>
      <c r="AG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"grain drill","")))/LEN("grain drill"),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"grain drill","")))/LEN("grain drill"))</f>
        <v>0</v>
      </c>
      <c r="AH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"minimum tillage","")))/LEN("minimum tillage"),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"minimum tillage","")))/LEN("minimum tillage"))</f>
        <v>0</v>
      </c>
      <c r="AI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"row crop planter","")))/LEN("row crop planter"),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"row crop planter","")))/LEN("row crop planter"))</f>
        <v>0</v>
      </c>
      <c r="AJ72" s="10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"plough","")))/LEN("plough"),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"plough","")))/LEN("plough"))</f>
        <v>0</v>
      </c>
      <c r="AK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harrow","")))/LEN("roller harrow"),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harrow","")))/LEN("roller harrow"))</f>
        <v>0</v>
      </c>
      <c r="AL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packer","")))/LEN("roller packer"),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"roller packer","")))/LEN("roller packer"))</f>
        <v>1</v>
      </c>
      <c r="AM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"rotary hoe","")))/LEN("rotary hoe"),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"rotary hoe","")))/LEN("rotary hoe"))</f>
        <v>0</v>
      </c>
      <c r="AN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"subsoil","")))/LEN("subsoil"),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"subsoil","")))/LEN("subsoil"))</f>
        <v>1</v>
      </c>
      <c r="AO72">
        <f>IF(OR(ISNUMBER(SEARCH("heavy",A72))=TRUE, ISNUMBER(SEARCH("medium",A72))=TRUE),
(LEN(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farm'!$D$4:$P$9,MATCH(D72,'Focus Data Tillage by farm'!$C$4:$C$9,0),_xlfn.IFS(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"tine harrow","")))/LEN("tine harrow"),
(LEN(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-LEN(SUBSTITUTE(
INDEX('Focus Data Tillage by farm'!$D$12:$P$17,MATCH(D72,'Focus Data Tillage by farm'!$C$12:$C$17,0),_xlfn.IFS(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
"tine harrow","")))/LEN("tine harrow"))</f>
        <v>0</v>
      </c>
      <c r="AP72" s="102">
        <f>INDEX('Focus Data NSpraying'!$D$4:$P$19,MATCH(F72,'Focus Data NSpraying'!$C$4:$C$19,0),_xlfn.IFS(
AND(ISNUMBER(SEARCH("H-Dsty.",A72))=TRUE,ISNUMBER(SEARCH("H-Res",A72))=TRUE,ISNUMBER(SEARCH("E.",A72))=TRUE),1,
AND(ISNUMBER(SEARCH("H-Dsty.",A72))=TRUE,ISNUMBER(SEARCH("H-Res",A72))=TRUE,OR(ISNUMBER(SEARCH("N.he",A72))=TRUE,ISNUMBER(SEARCH("N.me",A72))=TRUE,ISNUMBER(SEARCH("N.li",A72))=TRUE)),2,
AND(ISNUMBER(SEARCH("H-Dsty.",A72))=TRUE,ISNUMBER(SEARCH("H-Res",A72))=TRUE,ISNUMBER(SEARCH("C.",A72))=TRUE),3,
AND(ISNUMBER(SEARCH("L-Dsty.",A72))=TRUE,ISNUMBER(SEARCH("H-Res",A72))=TRUE,ISNUMBER(SEARCH("E.",A72))=TRUE),6,
AND(ISNUMBER(SEARCH("L-Dsty.",A72))=TRUE,ISNUMBER(SEARCH("H-Res",A72))=TRUE,OR(ISNUMBER(SEARCH("N.he",A72))=TRUE,ISNUMBER(SEARCH("N.me",A72))=TRUE,ISNUMBER(SEARCH("N.li",A72))=TRUE)),7,
AND(ISNUMBER(SEARCH("L-Dsty.",A72))=TRUE,ISNUMBER(SEARCH("H-Res",A72))=TRUE,ISNUMBER(SEARCH("C.",A72))=TRUE),8,
AND(ISNUMBER(SEARCH("L-Dsty.",A72))=TRUE,ISNUMBER(SEARCH("L-Res",A72))=TRUE,ISNUMBER(SEARCH("E.",A72))=TRUE),11,
AND(ISNUMBER(SEARCH("L-Dsty.",A72))=TRUE,ISNUMBER(SEARCH("L-Res",A72))=TRUE,OR(ISNUMBER(SEARCH("N.he",A72))=TRUE,ISNUMBER(SEARCH("N.me",A72))=TRUE,ISNUMBER(SEARCH("N.li",A72))=TRUE)),12,
AND(ISNUMBER(SEARCH("L-Dsty.",A72))=TRUE,ISNUMBER(SEARCH("L-Res",A72))=TRUE,ISNUMBER(SEARCH("C.",A72))=TRUE),13))</f>
        <v>0</v>
      </c>
    </row>
    <row r="73" spans="1:42" x14ac:dyDescent="0.2">
      <c r="A73" t="s">
        <v>504</v>
      </c>
      <c r="B73" s="210" t="str">
        <f t="array" ref="B73">INDEX(ECOMOD_input_estimate!$A$2:$A$55, MATCH(CFT_input!$A73, ECOMOD_input_estimate!$B:$B, 0))</f>
        <v>FF_17.2</v>
      </c>
      <c r="C73" s="210">
        <v>2020</v>
      </c>
      <c r="D73" s="395" t="s">
        <v>735</v>
      </c>
      <c r="E73" s="210" t="str">
        <f t="shared" si="7"/>
        <v>E.heavy.L-Dsty.L-Res</v>
      </c>
      <c r="F73" s="210" t="str">
        <f t="array" ref="F73">_xlfn.SINGLE(IF(OR(ISNUMBER(SEARCH("heavy",A73))=TRUE,ISNUMBER(SEARCH("medium",A73))=TRUE),
INDEX('Focus Data Crop Rotations'!$D$4:$P$9,MATCH(D73,'Focus Data Crop Rotations'!$C$4:$C$9,0),_xlfn.SINGLE(_xlfn.IFS(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INDEX('Focus Data Crop Rotations'!$D$12:$P$17,MATCH(D73,'Focus Data Crop Rotations'!$C$12:$C$17,0),_xlfn.SINGLE(_xlfn.IFS(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winterwheat</v>
      </c>
      <c r="G73">
        <v>7.2</v>
      </c>
      <c r="H73" s="227">
        <f>VLOOKUP(F73,'CFT Specific Data'!$F$4:$H$19,3,FALSE)*G73*
IF(B73=B72,
IF(AND(ISNUMBER(SEARCH("wheat",F73))=TRUE,ISNUMBER(SEARCH("Barley",F72))=TRUE),0.89,
IF(AND(ISNUMBER(SEARCH("wheat",F73))=TRUE,F72="setaside"),0.94,
IF(AND(ISNUMBER(SEARCH("barley",F73))=TRUE,ISNUMBER(SEARCH("wheat",F72))=TRUE),0.89,
IF(AND(F73="winterbarley",F72="setaside"),0.94,
IF(AND(F73="sugarbeet",F72="warepotatoes"),0.95,
IF(AND((OR(ISNUMBER(SEARCH("beans",F73)),ISNUMBER(SEARCH("driedpeas",F73)),ISNUMBER(SEARCH("sugarbeet",F73)))=TRUE),ISNUMBER(SEARCH("osr",F72))=TRUE),0,
IF(AND((OR((ISNUMBER(SEARCH("wheat",F73))),ISNUMBER(SEARCH("linseed",F73)),ISNUMBER(SEARCH("driedpeas",F73)),ISNUMBER(SEARCH("osr",F73)))=TRUE),F72="sugarbeet"),0,
IF(AND((OR((ISNUMBER(SEARCH("osr",F73))),ISNUMBER(SEARCH("linseed",F73)))=TRUE),ISNUMBER(SEARCH("beans",F72))=TRUE),0,
IF(AND(F73="wosr",ISNUMBER(SEARCH("linseed",F72))=TRUE),0,
IF(AND(F73="sugarbeet",F72="warepotatoes"),0,
1)))))))))),
IF(AND(ISNUMBER(SEARCH("wheat",F73))=TRUE,ISNUMBER(SEARCH("Barley",F78))=TRUE),0.89,
IF(AND(ISNUMBER(SEARCH("wheat",F73))=TRUE,F78="setaside"),0.94,
IF(AND(ISNUMBER(SEARCH("barley",F73))=TRUE,ISNUMBER(SEARCH("wheat",F78))=TRUE),0.89,
IF(AND(F73="winterbarley",F78="setaside"),0.94,
IF(AND(F73="sugarbeet",F78="warepotatoes"),0.95,
IF(AND((OR(ISNUMBER(SEARCH("beans",F73)),ISNUMBER(SEARCH("driedpeas",F73)),ISNUMBER(SEARCH("sugarbeet",F73)))=TRUE),ISNUMBER(SEARCH("osr",F78))=TRUE),0,
IF(AND((OR((ISNUMBER(SEARCH("wheat",F73))),ISNUMBER(SEARCH("linseed",F73)),ISNUMBER(SEARCH("driedpeas",F73)),ISNUMBER(SEARCH("osr",F73)))=TRUE),F78="sugarbeet"),0,
IF(AND((OR((ISNUMBER(SEARCH("osr",F73))),ISNUMBER(SEARCH("linseed",F73)))=TRUE),ISNUMBER(SEARCH("beans",F78))=TRUE),0,
IF(AND(F73="wosr",ISNUMBER(SEARCH("linseed",F78))=TRUE),0,
IF(AND(F73="sugarbeet",F78="warepotatoes"),0,
1)))))))))))
*IF(OR(ISNUMBER(SEARCH("wheat",F73)),ISNUMBER(SEARCH("barley",F73)),ISNUMBER(SEARCH("driedpeas",F73)),ISNUMBER(SEARCH("warepotatoes",F73)),ISNUMBER(SEARCH("osr",F73)),ISNUMBER(SEARCH("linseed",F73)),ISNUMBER(SEARCH("sugarbeet",F73))),
IF(COUNTIF(B68:B72,B73)=5,
INDEX('CFT Specific Data'!$G$24:$L$39,MATCH(F73,'CFT Specific Data'!$F$24:$F$39,0),IF(COUNTIF(F68:F72,F73)=5,6,IF(COUNTIF(F69:F72,F73)=4,5,IF(COUNTIF(F70:F72,F73)=3,4,IF(COUNTIF(F71:F72,F73)=2,3,IF(F72=F73,2,1)))))),
IF(COUNTIF(B68:B72,B73)=4,
INDEX('CFT Specific Data'!$G$24:$L$39,MATCH(F73,'CFT Specific Data'!$F$24:$F$39,0),IF(SUM(COUNTIF(F69:F72,F73),COUNTIF(F74,F73))=5,6,IF(COUNTIF(F69:F72,F73)=4,5,IF(COUNTIF(F70:F72,F73)=3,4,IF(COUNTIF(F71:F72,F73)=2,3,IF(F72=F73,2,1)))))),
IF(COUNTIF(B68:B72,B73)=3,
INDEX('CFT Specific Data'!$G$24:$L$39,MATCH(F73,'CFT Specific Data'!$F$24:$F$39,0),IF(SUM(COUNTIF(F70:F72,F73),COUNTIF(F74:F75,F73))=5,6,IF(SUM(COUNTIF(F70:F72,F73),COUNTIF(F75,F73))=4,5,IF(COUNTIF(F70:F72,F73)=3,4,IF(COUNTIF(F71:F72,F73)=2,3,IF(F72=F73,2,1)))))),
IF(COUNTIF(B68:B72,B73)=2,
INDEX('CFT Specific Data'!$G$24:$L$39,MATCH(F73,'CFT Specific Data'!$F$24:$F$39,0),IF(SUM(COUNTIF(F71:F72,F73),COUNTIF(F74:F76,F73))=5,6,IF(SUM(COUNTIF(F71:F72,F73),COUNTIF(F75:F76,F73))=4,5,IF(SUM(COUNTIF(F71:F72,F73),COUNTIF(F76,F73))=3,4,IF(COUNTIF(F71:F72,F73)=2,3,IF(F72=F73,2,1)))))),
IF(COUNTIF(B68:B72,B73)=1,
INDEX('CFT Specific Data'!$G$24:$L$39,MATCH(F73,'CFT Specific Data'!$F$24:$F$39,0),IF(SUM(COUNTIF(F72,F73),COUNTIF(F74:F77,F73))=5,6,IF(SUM(COUNTIF(F72,F73),COUNTIF(F75:F77,F73))=4,5,IF(SUM(COUNTIF(F72,F73),COUNTIF(F76:F77,F73))=3,4,IF(SUM(COUNTIF(F72,F73),COUNTIF(F77,F73))=2,3,IF(F72=F73,2,1)))))),
IF(COUNTIF(B68:B72,B73)=0,
INDEX('CFT Specific Data'!$G$24:$L$39,MATCH(F73,'CFT Specific Data'!$F$24:$F$39,0),IF(COUNTIF(F74:F78,F73)=5,6,IF(COUNTIF(F75:F78,F73)=4,5,IF(COUNTIF(F76:F78,F73)=3,4,IF(COUNTIF(F77:F78,F73)=2,3,IF(F78=F73,2,1)))))))))))),1)</f>
        <v>61.92</v>
      </c>
      <c r="I73" s="210" t="s">
        <v>348</v>
      </c>
      <c r="J73">
        <v>10</v>
      </c>
      <c r="K73" s="210" t="str">
        <f>VLOOKUP(F73,'CFT Specific Data'!$F$4:$G$19,2,FALSE)</f>
        <v>Winter wheat</v>
      </c>
      <c r="L73" t="str">
        <f t="shared" si="8"/>
        <v>Fine</v>
      </c>
      <c r="M73">
        <f t="shared" si="9"/>
        <v>5.8479999999999999</v>
      </c>
      <c r="N73" t="str">
        <f t="shared" si="10"/>
        <v>5.16 &lt; SOM &lt;= 10.32</v>
      </c>
      <c r="O73" t="s">
        <v>349</v>
      </c>
      <c r="P73" t="s">
        <v>350</v>
      </c>
      <c r="Q73">
        <v>7</v>
      </c>
      <c r="R73" t="str">
        <f t="shared" si="6"/>
        <v>5.5 &lt; pH &lt;= 7.3</v>
      </c>
      <c r="S73" t="s">
        <v>351</v>
      </c>
      <c r="T73" s="210">
        <f t="array" ref="T73">_xlfn.SINGLE(INDEX('Focus Data NFertiliser Rate'!$D$4:$P$19,MATCH(F73,'Focus Data NFertiliser Rate'!$C$4:$C$19,0),_xlfn.SINGLE(_xlfn.IFS(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220</v>
      </c>
      <c r="U73" t="str">
        <f t="shared" si="11"/>
        <v>Apply in solution</v>
      </c>
      <c r="V73" s="210">
        <f t="array" ref="V73">_xlfn.SINGLE(INDEX('№ Fertiliser sprayings'!$D$4:$P$19,MATCH(F73,'№ Fertiliser sprayings'!$C$4:$C$19,0),_xlfn.SINGLE(_xlfn.IFS(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3</v>
      </c>
      <c r="W73" s="264">
        <f t="array" ref="W73">_xlfn.SINGLE(INDEX('Focus Data CFT NSpraying'!$D$4:$P$19,MATCH(F73,'Focus Data CFT NSpraying'!$C$4:$C$19,0),_xlfn.SINGLE(_xlfn.IFS(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6.3887999999999998</v>
      </c>
      <c r="X73" t="s">
        <v>363</v>
      </c>
      <c r="Y73">
        <v>0</v>
      </c>
      <c r="Z73">
        <v>100</v>
      </c>
      <c r="AA73" t="s">
        <v>352</v>
      </c>
      <c r="AB73" s="226" t="str">
        <f>IF(B73=B72,_xlfn.IFS(
AND(AA73=Lists!$L$8,AA72=Lists!$L$8),Lists!$N$5,
AND(OR(AA73=Lists!$L$5,AA73=Lists!$L$7,AA73=Lists!$L$9,AA73=Lists!$L$10,AA73=Lists!$L$6),OR(AA72=Lists!$L$5,AA72=Lists!$L$7,AA72=Lists!$L$9,AA72=Lists!$L$10,AA72=Lists!$L$6)),Lists!$N$5,
AND(AA73=Lists!$L$8,OR(AA72=Lists!$L$5,AA72=Lists!$L$7,AA72=Lists!$L$9,AA72=Lists!$L$10,AA72=Lists!$L$6)),Lists!$N$6,
AND(OR(AA73=Lists!$L$5,AA73=Lists!$L$6,AA73=Lists!$L$7,AA73=Lists!$L$9,AA73=Lists!$L$10),AA72=Lists!$L$8),Lists!$N$7),
_xlfn.IFS(
AND(AA73=Lists!$L$8,AA78=Lists!$L$8),Lists!$N$5,
AND(OR(AA73=Lists!$L$5,AA73=Lists!$L$7,AA73=Lists!$L$9,AA73=Lists!$L$10,AA73=Lists!$L$6),OR(AA78=Lists!$L$5,AA78=Lists!$L$7,AA78=Lists!$L$9,AA78=Lists!$L$10,AA78=Lists!$L$6)),Lists!$N$5,
AND(AA73=Lists!$L$8,OR(AA78=Lists!$L$5,AA78=Lists!$L$7,AA78=Lists!$L$9,AA78=Lists!$L$10,AA78=Lists!$L$6)),Lists!$N$6,
AND(OR(AA73=Lists!$L$5,AA73=Lists!$L$7,AA73=Lists!$L$9,AA73=Lists!$L$10),AA78=Lists!$L$8),Lists!$N$7))</f>
        <v>no change</v>
      </c>
      <c r="AC73">
        <v>0</v>
      </c>
      <c r="AD73">
        <v>0</v>
      </c>
      <c r="AE73" s="102">
        <f t="array" ref="AE73">IF(OR(ISNUMBER(SEARCH("heavy",A73))=TRUE, ISNUMBER(SEARCH("medium",A73))=TRUE),
(LEN(_xlfn.SINGLE(
INDEX('Focus Data Tillage by farm'!$D$4:$P$9,MATCH(D73,'Focus Data Tillage by farm'!$C$4:$C$9,0),_xlfn.SINGLE(_xlfn.IFS(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-LEN(SUBSTITUTE(_xlfn.SINGLE(
INDEX('Focus Data Tillage by farm'!$D$4:$P$9,MATCH(D73,'Focus Data Tillage by farm'!$C$4:$C$9,0),_xlfn.SINGLE(_xlfn.IFS(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"disc","")))/LEN("disc"),
(LEN(_xlfn.SINGLE(
INDEX('Focus Data Tillage by farm'!$D$12:$P$17,MATCH(D73,'Focus Data Tillage by farm'!$C$12:$C$17,0),_xlfn.SINGLE(_xlfn.IFS(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-LEN(SUBSTITUTE(_xlfn.SINGLE(
INDEX('Focus Data Tillage by farm'!$D$12:$P$17,MATCH(D73,'Focus Data Tillage by farm'!$C$12:$C$17,0),_xlfn.SINGLE(_xlfn.IFS(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"disc","")))/LEN("disc"))</f>
        <v>2</v>
      </c>
      <c r="AF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"field cultivator","")))/LEN("field cultivator"),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"field cultivator","")))/LEN("field cultivator"))</f>
        <v>0</v>
      </c>
      <c r="AG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"grain drill","")))/LEN("grain drill"),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"grain drill","")))/LEN("grain drill"))</f>
        <v>0</v>
      </c>
      <c r="AH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"minimum tillage","")))/LEN("minimum tillage"),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"minimum tillage","")))/LEN("minimum tillage"))</f>
        <v>1</v>
      </c>
      <c r="AI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"row crop planter","")))/LEN("row crop planter"),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"row crop planter","")))/LEN("row crop planter"))</f>
        <v>0</v>
      </c>
      <c r="AJ73" s="102">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"plough","")))/LEN("plough"),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"plough","")))/LEN("plough"))</f>
        <v>0</v>
      </c>
      <c r="AK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harrow","")))/LEN("roller harrow"),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harrow","")))/LEN("roller harrow"))</f>
        <v>0</v>
      </c>
      <c r="AL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packer","")))/LEN("roller packer"),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"roller packer","")))/LEN("roller packer"))</f>
        <v>2</v>
      </c>
      <c r="AM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"rotary hoe","")))/LEN("rotary hoe"),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"rotary hoe","")))/LEN("rotary hoe"))</f>
        <v>0</v>
      </c>
      <c r="AN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"subsoil","")))/LEN("subsoil"),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"subsoil","")))/LEN("subsoil"))</f>
        <v>0</v>
      </c>
      <c r="AO73">
        <f>IF(OR(ISNUMBER(SEARCH("heavy",A73))=TRUE, ISNUMBER(SEARCH("medium",A73))=TRUE),
(LEN(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farm'!$D$4:$P$9,MATCH(D73,'Focus Data Tillage by farm'!$C$4:$C$9,0),_xlfn.IFS(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"tine harrow","")))/LEN("tine harrow"),
(LEN(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-LEN(SUBSTITUTE(
INDEX('Focus Data Tillage by farm'!$D$12:$P$17,MATCH(D73,'Focus Data Tillage by farm'!$C$12:$C$17,0),_xlfn.IFS(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
"tine harrow","")))/LEN("tine harrow"))</f>
        <v>0</v>
      </c>
      <c r="AP73" s="102">
        <f>INDEX('Focus Data NSpraying'!$D$4:$P$19,MATCH(F73,'Focus Data NSpraying'!$C$4:$C$19,0),_xlfn.IFS(
AND(ISNUMBER(SEARCH("H-Dsty.",A73))=TRUE,ISNUMBER(SEARCH("H-Res",A73))=TRUE,ISNUMBER(SEARCH("E.",A73))=TRUE),1,
AND(ISNUMBER(SEARCH("H-Dsty.",A73))=TRUE,ISNUMBER(SEARCH("H-Res",A73))=TRUE,OR(ISNUMBER(SEARCH("N.he",A73))=TRUE,ISNUMBER(SEARCH("N.me",A73))=TRUE,ISNUMBER(SEARCH("N.li",A73))=TRUE)),2,
AND(ISNUMBER(SEARCH("H-Dsty.",A73))=TRUE,ISNUMBER(SEARCH("H-Res",A73))=TRUE,ISNUMBER(SEARCH("C.",A73))=TRUE),3,
AND(ISNUMBER(SEARCH("L-Dsty.",A73))=TRUE,ISNUMBER(SEARCH("H-Res",A73))=TRUE,ISNUMBER(SEARCH("E.",A73))=TRUE),6,
AND(ISNUMBER(SEARCH("L-Dsty.",A73))=TRUE,ISNUMBER(SEARCH("H-Res",A73))=TRUE,OR(ISNUMBER(SEARCH("N.he",A73))=TRUE,ISNUMBER(SEARCH("N.me",A73))=TRUE,ISNUMBER(SEARCH("N.li",A73))=TRUE)),7,
AND(ISNUMBER(SEARCH("L-Dsty.",A73))=TRUE,ISNUMBER(SEARCH("H-Res",A73))=TRUE,ISNUMBER(SEARCH("C.",A73))=TRUE),8,
AND(ISNUMBER(SEARCH("L-Dsty.",A73))=TRUE,ISNUMBER(SEARCH("L-Res",A73))=TRUE,ISNUMBER(SEARCH("E.",A73))=TRUE),11,
AND(ISNUMBER(SEARCH("L-Dsty.",A73))=TRUE,ISNUMBER(SEARCH("L-Res",A73))=TRUE,OR(ISNUMBER(SEARCH("N.he",A73))=TRUE,ISNUMBER(SEARCH("N.me",A73))=TRUE,ISNUMBER(SEARCH("N.li",A73))=TRUE)),12,
AND(ISNUMBER(SEARCH("L-Dsty.",A73))=TRUE,ISNUMBER(SEARCH("L-Res",A73))=TRUE,ISNUMBER(SEARCH("C.",A73))=TRUE),13))</f>
        <v>4</v>
      </c>
    </row>
    <row r="74" spans="1:42" x14ac:dyDescent="0.2">
      <c r="A74" t="s">
        <v>505</v>
      </c>
      <c r="B74" s="210" t="str">
        <f t="array" ref="B74">INDEX(ECOMOD_input_estimate!$A$2:$A$55, MATCH(CFT_input!$A74, ECOMOD_input_estimate!$B:$B, 0))</f>
        <v>FF_05.4</v>
      </c>
      <c r="C74" s="210">
        <v>2020</v>
      </c>
      <c r="D74" s="395" t="s">
        <v>731</v>
      </c>
      <c r="E74" s="210" t="str">
        <f t="shared" si="7"/>
        <v>E.medium.H-Dsty.H-Res</v>
      </c>
      <c r="F74" s="210" t="str">
        <f t="array" ref="F74">_xlfn.SINGLE(IF(OR(ISNUMBER(SEARCH("heavy",A74))=TRUE,ISNUMBER(SEARCH("medium",A74))=TRUE),
INDEX('Focus Data Crop Rotations'!$D$4:$P$9,MATCH(D74,'Focus Data Crop Rotations'!$C$4:$C$9,0),_xlfn.SINGLE(_xlfn.IFS(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INDEX('Focus Data Crop Rotations'!$D$12:$P$17,MATCH(D74,'Focus Data Crop Rotations'!$C$12:$C$17,0),_xlfn.SINGLE(_xlfn.IFS(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springlinseed</v>
      </c>
      <c r="G74">
        <v>7.2</v>
      </c>
      <c r="H74" s="227">
        <f>VLOOKUP(F74,'CFT Specific Data'!$F$4:$H$19,3,FALSE)*G74*
IF(B74=B73,
IF(AND(ISNUMBER(SEARCH("wheat",F74))=TRUE,ISNUMBER(SEARCH("Barley",F73))=TRUE),0.89,
IF(AND(ISNUMBER(SEARCH("wheat",F74))=TRUE,F73="setaside"),0.94,
IF(AND(ISNUMBER(SEARCH("barley",F74))=TRUE,ISNUMBER(SEARCH("wheat",F73))=TRUE),0.89,
IF(AND(F74="winterbarley",F73="setaside"),0.94,
IF(AND(F74="sugarbeet",F73="warepotatoes"),0.95,
IF(AND((OR(ISNUMBER(SEARCH("beans",F74)),ISNUMBER(SEARCH("driedpeas",F74)),ISNUMBER(SEARCH("sugarbeet",F74)))=TRUE),ISNUMBER(SEARCH("osr",F73))=TRUE),0,
IF(AND((OR((ISNUMBER(SEARCH("wheat",F74))),ISNUMBER(SEARCH("linseed",F74)),ISNUMBER(SEARCH("driedpeas",F74)),ISNUMBER(SEARCH("osr",F74)))=TRUE),F73="sugarbeet"),0,
IF(AND((OR((ISNUMBER(SEARCH("osr",F74))),ISNUMBER(SEARCH("linseed",F74)))=TRUE),ISNUMBER(SEARCH("beans",F73))=TRUE),0,
IF(AND(F74="wosr",ISNUMBER(SEARCH("linseed",F73))=TRUE),0,
IF(AND(F74="sugarbeet",F73="warepotatoes"),0,
1)))))))))),
IF(AND(ISNUMBER(SEARCH("wheat",F74))=TRUE,ISNUMBER(SEARCH("Barley",F79))=TRUE),0.89,
IF(AND(ISNUMBER(SEARCH("wheat",F74))=TRUE,F79="setaside"),0.94,
IF(AND(ISNUMBER(SEARCH("barley",F74))=TRUE,ISNUMBER(SEARCH("wheat",F79))=TRUE),0.89,
IF(AND(F74="winterbarley",F79="setaside"),0.94,
IF(AND(F74="sugarbeet",F79="warepotatoes"),0.95,
IF(AND((OR(ISNUMBER(SEARCH("beans",F74)),ISNUMBER(SEARCH("driedpeas",F74)),ISNUMBER(SEARCH("sugarbeet",F74)))=TRUE),ISNUMBER(SEARCH("osr",F79))=TRUE),0,
IF(AND((OR((ISNUMBER(SEARCH("wheat",F74))),ISNUMBER(SEARCH("linseed",F74)),ISNUMBER(SEARCH("driedpeas",F74)),ISNUMBER(SEARCH("osr",F74)))=TRUE),F79="sugarbeet"),0,
IF(AND((OR((ISNUMBER(SEARCH("osr",F74))),ISNUMBER(SEARCH("linseed",F74)))=TRUE),ISNUMBER(SEARCH("beans",F79))=TRUE),0,
IF(AND(F74="wosr",ISNUMBER(SEARCH("linseed",F79))=TRUE),0,
IF(AND(F74="sugarbeet",F79="warepotatoes"),0,
1)))))))))))
*IF(OR(ISNUMBER(SEARCH("wheat",F74)),ISNUMBER(SEARCH("barley",F74)),ISNUMBER(SEARCH("driedpeas",F74)),ISNUMBER(SEARCH("warepotatoes",F74)),ISNUMBER(SEARCH("osr",F74)),ISNUMBER(SEARCH("linseed",F74)),ISNUMBER(SEARCH("sugarbeet",F74))),
IF(COUNTIF(B69:B73,B74)=5,
INDEX('CFT Specific Data'!$G$24:$L$39,MATCH(F74,'CFT Specific Data'!$F$24:$F$39,0),IF(COUNTIF(F69:F73,F74)=5,6,IF(COUNTIF(F70:F73,F74)=4,5,IF(COUNTIF(F71:F73,F74)=3,4,IF(COUNTIF(F72:F73,F74)=2,3,IF(F73=F74,2,1)))))),
IF(COUNTIF(B69:B73,B74)=4,
INDEX('CFT Specific Data'!$G$24:$L$39,MATCH(F74,'CFT Specific Data'!$F$24:$F$39,0),IF(SUM(COUNTIF(F70:F73,F74),COUNTIF(F75,F74))=5,6,IF(COUNTIF(F70:F73,F74)=4,5,IF(COUNTIF(F71:F73,F74)=3,4,IF(COUNTIF(F72:F73,F74)=2,3,IF(F73=F74,2,1)))))),
IF(COUNTIF(B69:B73,B74)=3,
INDEX('CFT Specific Data'!$G$24:$L$39,MATCH(F74,'CFT Specific Data'!$F$24:$F$39,0),IF(SUM(COUNTIF(F71:F73,F74),COUNTIF(F75:F76,F74))=5,6,IF(SUM(COUNTIF(F71:F73,F74),COUNTIF(F76,F74))=4,5,IF(COUNTIF(F71:F73,F74)=3,4,IF(COUNTIF(F72:F73,F74)=2,3,IF(F73=F74,2,1)))))),
IF(COUNTIF(B69:B73,B74)=2,
INDEX('CFT Specific Data'!$G$24:$L$39,MATCH(F74,'CFT Specific Data'!$F$24:$F$39,0),IF(SUM(COUNTIF(F72:F73,F74),COUNTIF(F75:F77,F74))=5,6,IF(SUM(COUNTIF(F72:F73,F74),COUNTIF(F76:F77,F74))=4,5,IF(SUM(COUNTIF(F72:F73,F74),COUNTIF(F77,F74))=3,4,IF(COUNTIF(F72:F73,F74)=2,3,IF(F73=F74,2,1)))))),
IF(COUNTIF(B69:B73,B74)=1,
INDEX('CFT Specific Data'!$G$24:$L$39,MATCH(F74,'CFT Specific Data'!$F$24:$F$39,0),IF(SUM(COUNTIF(F73,F74),COUNTIF(F75:F78,F74))=5,6,IF(SUM(COUNTIF(F73,F74),COUNTIF(F76:F78,F74))=4,5,IF(SUM(COUNTIF(F73,F74),COUNTIF(F77:F78,F74))=3,4,IF(SUM(COUNTIF(F73,F74),COUNTIF(F78,F74))=2,3,IF(F73=F74,2,1)))))),
IF(COUNTIF(B69:B73,B74)=0,
INDEX('CFT Specific Data'!$G$24:$L$39,MATCH(F74,'CFT Specific Data'!$F$24:$F$39,0),IF(COUNTIF(F75:F79,F74)=5,6,IF(COUNTIF(F76:F79,F74)=4,5,IF(COUNTIF(F77:F79,F74)=3,4,IF(COUNTIF(F78:F79,F74)=2,3,IF(F79=F74,2,1)))))))))))),1)</f>
        <v>0</v>
      </c>
      <c r="I74" s="210" t="s">
        <v>348</v>
      </c>
      <c r="J74">
        <v>10</v>
      </c>
      <c r="K74" s="210" t="str">
        <f>VLOOKUP(F74,'CFT Specific Data'!$F$4:$G$19,2,FALSE)</f>
        <v>Other</v>
      </c>
      <c r="L74" t="str">
        <f t="shared" si="8"/>
        <v>Medium</v>
      </c>
      <c r="M74">
        <f t="shared" si="9"/>
        <v>4.4720000000000004</v>
      </c>
      <c r="N74" t="str">
        <f t="shared" si="10"/>
        <v>1.72 &lt; SOM &lt;= 5.16</v>
      </c>
      <c r="O74" t="s">
        <v>349</v>
      </c>
      <c r="P74" t="s">
        <v>350</v>
      </c>
      <c r="Q74">
        <v>7</v>
      </c>
      <c r="R74" t="str">
        <f t="shared" si="6"/>
        <v>5.5 &lt; pH &lt;= 7.3</v>
      </c>
      <c r="S74" t="s">
        <v>351</v>
      </c>
      <c r="T74" s="210">
        <f t="array" ref="T74">_xlfn.SINGLE(INDEX('Focus Data NFertiliser Rate'!$D$4:$P$19,MATCH(F74,'Focus Data NFertiliser Rate'!$C$4:$C$19,0),_xlfn.SINGLE(_xlfn.IFS(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80</v>
      </c>
      <c r="U74" t="str">
        <f t="shared" si="11"/>
        <v>Apply in solution</v>
      </c>
      <c r="V74" s="210">
        <f t="array" ref="V74">_xlfn.SINGLE(INDEX('№ Fertiliser sprayings'!$D$4:$P$19,MATCH(F74,'№ Fertiliser sprayings'!$C$4:$C$19,0),_xlfn.SINGLE(_xlfn.IFS(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1</v>
      </c>
      <c r="W74" s="264">
        <f t="array" ref="W74">_xlfn.SINGLE(INDEX('Focus Data CFT NSpraying'!$D$4:$P$19,MATCH(F74,'Focus Data CFT NSpraying'!$C$4:$C$19,0),_xlfn.SINGLE(_xlfn.IFS(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11.246</v>
      </c>
      <c r="X74" t="s">
        <v>363</v>
      </c>
      <c r="Y74">
        <v>0</v>
      </c>
      <c r="Z74">
        <v>100</v>
      </c>
      <c r="AA74" t="s">
        <v>352</v>
      </c>
      <c r="AB74" s="226" t="str">
        <f>IF(B74=B73,_xlfn.IFS(
AND(AA74=Lists!$L$8,AA73=Lists!$L$8),Lists!$N$5,
AND(OR(AA74=Lists!$L$5,AA74=Lists!$L$7,AA74=Lists!$L$9,AA74=Lists!$L$10,AA74=Lists!$L$6),OR(AA73=Lists!$L$5,AA73=Lists!$L$7,AA73=Lists!$L$9,AA73=Lists!$L$10,AA73=Lists!$L$6)),Lists!$N$5,
AND(AA74=Lists!$L$8,OR(AA73=Lists!$L$5,AA73=Lists!$L$7,AA73=Lists!$L$9,AA73=Lists!$L$10,AA73=Lists!$L$6)),Lists!$N$6,
AND(OR(AA74=Lists!$L$5,AA74=Lists!$L$6,AA74=Lists!$L$7,AA74=Lists!$L$9,AA74=Lists!$L$10),AA73=Lists!$L$8),Lists!$N$7),
_xlfn.IFS(
AND(AA74=Lists!$L$8,AA79=Lists!$L$8),Lists!$N$5,
AND(OR(AA74=Lists!$L$5,AA74=Lists!$L$7,AA74=Lists!$L$9,AA74=Lists!$L$10,AA74=Lists!$L$6),OR(AA79=Lists!$L$5,AA79=Lists!$L$7,AA79=Lists!$L$9,AA79=Lists!$L$10,AA79=Lists!$L$6)),Lists!$N$5,
AND(AA74=Lists!$L$8,OR(AA79=Lists!$L$5,AA79=Lists!$L$7,AA79=Lists!$L$9,AA79=Lists!$L$10,AA79=Lists!$L$6)),Lists!$N$6,
AND(OR(AA74=Lists!$L$5,AA74=Lists!$L$7,AA74=Lists!$L$9,AA74=Lists!$L$10),AA79=Lists!$L$8),Lists!$N$7))</f>
        <v>no change</v>
      </c>
      <c r="AC74">
        <v>0</v>
      </c>
      <c r="AD74">
        <v>0</v>
      </c>
      <c r="AE74" s="102">
        <f t="array" ref="AE74">IF(OR(ISNUMBER(SEARCH("heavy",A74))=TRUE, ISNUMBER(SEARCH("medium",A74))=TRUE),
(LEN(_xlfn.SINGLE(
INDEX('Focus Data Tillage by farm'!$D$4:$P$9,MATCH(D74,'Focus Data Tillage by farm'!$C$4:$C$9,0),_xlfn.SINGLE(_xlfn.IFS(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-LEN(SUBSTITUTE(_xlfn.SINGLE(
INDEX('Focus Data Tillage by farm'!$D$4:$P$9,MATCH(D74,'Focus Data Tillage by farm'!$C$4:$C$9,0),_xlfn.SINGLE(_xlfn.IFS(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"disc","")))/LEN("disc"),
(LEN(_xlfn.SINGLE(
INDEX('Focus Data Tillage by farm'!$D$12:$P$17,MATCH(D74,'Focus Data Tillage by farm'!$C$12:$C$17,0),_xlfn.SINGLE(_xlfn.IFS(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-LEN(SUBSTITUTE(_xlfn.SINGLE(
INDEX('Focus Data Tillage by farm'!$D$12:$P$17,MATCH(D74,'Focus Data Tillage by farm'!$C$12:$C$17,0),_xlfn.SINGLE(_xlfn.IFS(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"disc","")))/LEN("disc"))</f>
        <v>3</v>
      </c>
      <c r="AF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"field cultivator","")))/LEN("field cultivator"),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"field cultivator","")))/LEN("field cultivator"))</f>
        <v>0</v>
      </c>
      <c r="AG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"grain drill","")))/LEN("grain drill"),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"grain drill","")))/LEN("grain drill"))</f>
        <v>0</v>
      </c>
      <c r="AH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"minimum tillage","")))/LEN("minimum tillage"),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"minimum tillage","")))/LEN("minimum tillage"))</f>
        <v>1</v>
      </c>
      <c r="AI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"row crop planter","")))/LEN("row crop planter"),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"row crop planter","")))/LEN("row crop planter"))</f>
        <v>0</v>
      </c>
      <c r="AJ74" s="102">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"plough","")))/LEN("plough"),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"plough","")))/LEN("plough"))</f>
        <v>0</v>
      </c>
      <c r="AK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harrow","")))/LEN("roller harrow"),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harrow","")))/LEN("roller harrow"))</f>
        <v>0</v>
      </c>
      <c r="AL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packer","")))/LEN("roller packer"),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"roller packer","")))/LEN("roller packer"))</f>
        <v>2</v>
      </c>
      <c r="AM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"rotary hoe","")))/LEN("rotary hoe"),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"rotary hoe","")))/LEN("rotary hoe"))</f>
        <v>0</v>
      </c>
      <c r="AN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"subsoil","")))/LEN("subsoil"),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"subsoil","")))/LEN("subsoil"))</f>
        <v>0</v>
      </c>
      <c r="AO74">
        <f>IF(OR(ISNUMBER(SEARCH("heavy",A74))=TRUE, ISNUMBER(SEARCH("medium",A74))=TRUE),
(LEN(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farm'!$D$4:$P$9,MATCH(D74,'Focus Data Tillage by farm'!$C$4:$C$9,0),_xlfn.IFS(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"tine harrow","")))/LEN("tine harrow"),
(LEN(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-LEN(SUBSTITUTE(
INDEX('Focus Data Tillage by farm'!$D$12:$P$17,MATCH(D74,'Focus Data Tillage by farm'!$C$12:$C$17,0),_xlfn.IFS(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
"tine harrow","")))/LEN("tine harrow"))</f>
        <v>0</v>
      </c>
      <c r="AP74" s="102">
        <f>INDEX('Focus Data NSpraying'!$D$4:$P$19,MATCH(F74,'Focus Data NSpraying'!$C$4:$C$19,0),_xlfn.IFS(
AND(ISNUMBER(SEARCH("H-Dsty.",A74))=TRUE,ISNUMBER(SEARCH("H-Res",A74))=TRUE,ISNUMBER(SEARCH("E.",A74))=TRUE),1,
AND(ISNUMBER(SEARCH("H-Dsty.",A74))=TRUE,ISNUMBER(SEARCH("H-Res",A74))=TRUE,OR(ISNUMBER(SEARCH("N.he",A74))=TRUE,ISNUMBER(SEARCH("N.me",A74))=TRUE,ISNUMBER(SEARCH("N.li",A74))=TRUE)),2,
AND(ISNUMBER(SEARCH("H-Dsty.",A74))=TRUE,ISNUMBER(SEARCH("H-Res",A74))=TRUE,ISNUMBER(SEARCH("C.",A74))=TRUE),3,
AND(ISNUMBER(SEARCH("L-Dsty.",A74))=TRUE,ISNUMBER(SEARCH("H-Res",A74))=TRUE,ISNUMBER(SEARCH("E.",A74))=TRUE),6,
AND(ISNUMBER(SEARCH("L-Dsty.",A74))=TRUE,ISNUMBER(SEARCH("H-Res",A74))=TRUE,OR(ISNUMBER(SEARCH("N.he",A74))=TRUE,ISNUMBER(SEARCH("N.me",A74))=TRUE,ISNUMBER(SEARCH("N.li",A74))=TRUE)),7,
AND(ISNUMBER(SEARCH("L-Dsty.",A74))=TRUE,ISNUMBER(SEARCH("H-Res",A74))=TRUE,ISNUMBER(SEARCH("C.",A74))=TRUE),8,
AND(ISNUMBER(SEARCH("L-Dsty.",A74))=TRUE,ISNUMBER(SEARCH("L-Res",A74))=TRUE,ISNUMBER(SEARCH("E.",A74))=TRUE),11,
AND(ISNUMBER(SEARCH("L-Dsty.",A74))=TRUE,ISNUMBER(SEARCH("L-Res",A74))=TRUE,OR(ISNUMBER(SEARCH("N.he",A74))=TRUE,ISNUMBER(SEARCH("N.me",A74))=TRUE,ISNUMBER(SEARCH("N.li",A74))=TRUE)),12,
AND(ISNUMBER(SEARCH("L-Dsty.",A74))=TRUE,ISNUMBER(SEARCH("L-Res",A74))=TRUE,ISNUMBER(SEARCH("C.",A74))=TRUE),13))</f>
        <v>5</v>
      </c>
    </row>
    <row r="75" spans="1:42" x14ac:dyDescent="0.2">
      <c r="A75" t="s">
        <v>505</v>
      </c>
      <c r="B75" s="210" t="str">
        <f t="array" ref="B75">INDEX(ECOMOD_input_estimate!$A$2:$A$55, MATCH(CFT_input!$A75, ECOMOD_input_estimate!$B:$B, 0))</f>
        <v>FF_05.4</v>
      </c>
      <c r="C75" s="210">
        <v>2020</v>
      </c>
      <c r="D75" s="395" t="s">
        <v>730</v>
      </c>
      <c r="E75" s="210" t="str">
        <f t="shared" si="7"/>
        <v>E.medium.H-Dsty.H-Res</v>
      </c>
      <c r="F75" s="210" t="str">
        <f t="array" ref="F75">_xlfn.SINGLE(IF(OR(ISNUMBER(SEARCH("heavy",A75))=TRUE,ISNUMBER(SEARCH("medium",A75))=TRUE),
INDEX('Focus Data Crop Rotations'!$D$4:$P$9,MATCH(D75,'Focus Data Crop Rotations'!$C$4:$C$9,0),_xlfn.SINGLE(_xlfn.IFS(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INDEX('Focus Data Crop Rotations'!$D$12:$P$17,MATCH(D75,'Focus Data Crop Rotations'!$C$12:$C$17,0),_xlfn.SINGLE(_xlfn.IFS(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springbeans</v>
      </c>
      <c r="G75">
        <v>7.2</v>
      </c>
      <c r="H75" s="227">
        <f>VLOOKUP(F75,'CFT Specific Data'!$F$4:$H$19,3,FALSE)*G75*
IF(B75=B74,
IF(AND(ISNUMBER(SEARCH("wheat",F75))=TRUE,ISNUMBER(SEARCH("Barley",F74))=TRUE),0.89,
IF(AND(ISNUMBER(SEARCH("wheat",F75))=TRUE,F74="setaside"),0.94,
IF(AND(ISNUMBER(SEARCH("barley",F75))=TRUE,ISNUMBER(SEARCH("wheat",F74))=TRUE),0.89,
IF(AND(F75="winterbarley",F74="setaside"),0.94,
IF(AND(F75="sugarbeet",F74="warepotatoes"),0.95,
IF(AND((OR(ISNUMBER(SEARCH("beans",F75)),ISNUMBER(SEARCH("driedpeas",F75)),ISNUMBER(SEARCH("sugarbeet",F75)))=TRUE),ISNUMBER(SEARCH("osr",F74))=TRUE),0,
IF(AND((OR((ISNUMBER(SEARCH("wheat",F75))),ISNUMBER(SEARCH("linseed",F75)),ISNUMBER(SEARCH("driedpeas",F75)),ISNUMBER(SEARCH("osr",F75)))=TRUE),F74="sugarbeet"),0,
IF(AND((OR((ISNUMBER(SEARCH("osr",F75))),ISNUMBER(SEARCH("linseed",F75)))=TRUE),ISNUMBER(SEARCH("beans",F74))=TRUE),0,
IF(AND(F75="wosr",ISNUMBER(SEARCH("linseed",F74))=TRUE),0,
IF(AND(F75="sugarbeet",F74="warepotatoes"),0,
1)))))))))),
IF(AND(ISNUMBER(SEARCH("wheat",F75))=TRUE,ISNUMBER(SEARCH("Barley",F80))=TRUE),0.89,
IF(AND(ISNUMBER(SEARCH("wheat",F75))=TRUE,F80="setaside"),0.94,
IF(AND(ISNUMBER(SEARCH("barley",F75))=TRUE,ISNUMBER(SEARCH("wheat",F80))=TRUE),0.89,
IF(AND(F75="winterbarley",F80="setaside"),0.94,
IF(AND(F75="sugarbeet",F80="warepotatoes"),0.95,
IF(AND((OR(ISNUMBER(SEARCH("beans",F75)),ISNUMBER(SEARCH("driedpeas",F75)),ISNUMBER(SEARCH("sugarbeet",F75)))=TRUE),ISNUMBER(SEARCH("osr",F80))=TRUE),0,
IF(AND((OR((ISNUMBER(SEARCH("wheat",F75))),ISNUMBER(SEARCH("linseed",F75)),ISNUMBER(SEARCH("driedpeas",F75)),ISNUMBER(SEARCH("osr",F75)))=TRUE),F80="sugarbeet"),0,
IF(AND((OR((ISNUMBER(SEARCH("osr",F75))),ISNUMBER(SEARCH("linseed",F75)))=TRUE),ISNUMBER(SEARCH("beans",F80))=TRUE),0,
IF(AND(F75="wosr",ISNUMBER(SEARCH("linseed",F80))=TRUE),0,
IF(AND(F75="sugarbeet",F80="warepotatoes"),0,
1)))))))))))
*IF(OR(ISNUMBER(SEARCH("wheat",F75)),ISNUMBER(SEARCH("barley",F75)),ISNUMBER(SEARCH("driedpeas",F75)),ISNUMBER(SEARCH("warepotatoes",F75)),ISNUMBER(SEARCH("osr",F75)),ISNUMBER(SEARCH("linseed",F75)),ISNUMBER(SEARCH("sugarbeet",F75))),
IF(COUNTIF(B70:B74,B75)=5,
INDEX('CFT Specific Data'!$G$24:$L$39,MATCH(F75,'CFT Specific Data'!$F$24:$F$39,0),IF(COUNTIF(F70:F74,F75)=5,6,IF(COUNTIF(F71:F74,F75)=4,5,IF(COUNTIF(F72:F74,F75)=3,4,IF(COUNTIF(F73:F74,F75)=2,3,IF(F74=F75,2,1)))))),
IF(COUNTIF(B70:B74,B75)=4,
INDEX('CFT Specific Data'!$G$24:$L$39,MATCH(F75,'CFT Specific Data'!$F$24:$F$39,0),IF(SUM(COUNTIF(F71:F74,F75),COUNTIF(F76,F75))=5,6,IF(COUNTIF(F71:F74,F75)=4,5,IF(COUNTIF(F72:F74,F75)=3,4,IF(COUNTIF(F73:F74,F75)=2,3,IF(F74=F75,2,1)))))),
IF(COUNTIF(B70:B74,B75)=3,
INDEX('CFT Specific Data'!$G$24:$L$39,MATCH(F75,'CFT Specific Data'!$F$24:$F$39,0),IF(SUM(COUNTIF(F72:F74,F75),COUNTIF(F76:F77,F75))=5,6,IF(SUM(COUNTIF(F72:F74,F75),COUNTIF(F77,F75))=4,5,IF(COUNTIF(F72:F74,F75)=3,4,IF(COUNTIF(F73:F74,F75)=2,3,IF(F74=F75,2,1)))))),
IF(COUNTIF(B70:B74,B75)=2,
INDEX('CFT Specific Data'!$G$24:$L$39,MATCH(F75,'CFT Specific Data'!$F$24:$F$39,0),IF(SUM(COUNTIF(F73:F74,F75),COUNTIF(F76:F78,F75))=5,6,IF(SUM(COUNTIF(F73:F74,F75),COUNTIF(F77:F78,F75))=4,5,IF(SUM(COUNTIF(F73:F74,F75),COUNTIF(F78,F75))=3,4,IF(COUNTIF(F73:F74,F75)=2,3,IF(F74=F75,2,1)))))),
IF(COUNTIF(B70:B74,B75)=1,
INDEX('CFT Specific Data'!$G$24:$L$39,MATCH(F75,'CFT Specific Data'!$F$24:$F$39,0),IF(SUM(COUNTIF(F74,F75),COUNTIF(F76:F79,F75))=5,6,IF(SUM(COUNTIF(F74,F75),COUNTIF(F77:F79,F75))=4,5,IF(SUM(COUNTIF(F74,F75),COUNTIF(F78:F79,F75))=3,4,IF(SUM(COUNTIF(F74,F75),COUNTIF(F79,F75))=2,3,IF(F74=F75,2,1)))))),
IF(COUNTIF(B70:B74,B75)=0,
INDEX('CFT Specific Data'!$G$24:$L$39,MATCH(F75,'CFT Specific Data'!$F$24:$F$39,0),IF(COUNTIF(F76:F80,F75)=5,6,IF(COUNTIF(F77:F80,F75)=4,5,IF(COUNTIF(F78:F80,F75)=3,4,IF(COUNTIF(F79:F80,F75)=2,3,IF(F80=F75,2,1)))))))))))),1)</f>
        <v>28.08</v>
      </c>
      <c r="I75" s="210" t="s">
        <v>348</v>
      </c>
      <c r="J75">
        <v>10</v>
      </c>
      <c r="K75" s="210" t="str">
        <f>VLOOKUP(F75,'CFT Specific Data'!$F$4:$G$19,2,FALSE)</f>
        <v>Other legume</v>
      </c>
      <c r="L75" t="str">
        <f t="shared" si="8"/>
        <v>Medium</v>
      </c>
      <c r="M75">
        <f t="shared" si="9"/>
        <v>4.4720000000000004</v>
      </c>
      <c r="N75" t="str">
        <f t="shared" si="10"/>
        <v>1.72 &lt; SOM &lt;= 5.16</v>
      </c>
      <c r="O75" t="s">
        <v>349</v>
      </c>
      <c r="P75" t="s">
        <v>350</v>
      </c>
      <c r="Q75">
        <v>7</v>
      </c>
      <c r="R75" t="str">
        <f t="shared" si="6"/>
        <v>5.5 &lt; pH &lt;= 7.3</v>
      </c>
      <c r="S75" t="s">
        <v>351</v>
      </c>
      <c r="T75" s="210">
        <f t="array" ref="T75">_xlfn.SINGLE(INDEX('Focus Data NFertiliser Rate'!$D$4:$P$19,MATCH(F75,'Focus Data NFertiliser Rate'!$C$4:$C$19,0),_xlfn.SINGLE(_xlfn.IFS(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0</v>
      </c>
      <c r="U75">
        <f t="shared" si="11"/>
        <v>0</v>
      </c>
      <c r="V75" s="210">
        <f t="array" ref="V75">_xlfn.SINGLE(INDEX('№ Fertiliser sprayings'!$D$4:$P$19,MATCH(F75,'№ Fertiliser sprayings'!$C$4:$C$19,0),_xlfn.SINGLE(_xlfn.IFS(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0</v>
      </c>
      <c r="W75" s="264">
        <f t="array" ref="W75">_xlfn.SINGLE(INDEX('Focus Data CFT NSpraying'!$D$4:$P$19,MATCH(F75,'Focus Data CFT NSpraying'!$C$4:$C$19,0),_xlfn.SINGLE(_xlfn.IFS(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10.776599999999998</v>
      </c>
      <c r="X75" t="s">
        <v>363</v>
      </c>
      <c r="Y75">
        <v>0</v>
      </c>
      <c r="Z75">
        <v>100</v>
      </c>
      <c r="AA75" t="s">
        <v>352</v>
      </c>
      <c r="AB75" s="226" t="str">
        <f>IF(B75=B74,_xlfn.IFS(
AND(AA75=Lists!$L$8,AA74=Lists!$L$8),Lists!$N$5,
AND(OR(AA75=Lists!$L$5,AA75=Lists!$L$7,AA75=Lists!$L$9,AA75=Lists!$L$10,AA75=Lists!$L$6),OR(AA74=Lists!$L$5,AA74=Lists!$L$7,AA74=Lists!$L$9,AA74=Lists!$L$10,AA74=Lists!$L$6)),Lists!$N$5,
AND(AA75=Lists!$L$8,OR(AA74=Lists!$L$5,AA74=Lists!$L$7,AA74=Lists!$L$9,AA74=Lists!$L$10,AA74=Lists!$L$6)),Lists!$N$6,
AND(OR(AA75=Lists!$L$5,AA75=Lists!$L$6,AA75=Lists!$L$7,AA75=Lists!$L$9,AA75=Lists!$L$10),AA74=Lists!$L$8),Lists!$N$7),
_xlfn.IFS(
AND(AA75=Lists!$L$8,AA80=Lists!$L$8),Lists!$N$5,
AND(OR(AA75=Lists!$L$5,AA75=Lists!$L$7,AA75=Lists!$L$9,AA75=Lists!$L$10,AA75=Lists!$L$6),OR(AA80=Lists!$L$5,AA80=Lists!$L$7,AA80=Lists!$L$9,AA80=Lists!$L$10,AA80=Lists!$L$6)),Lists!$N$5,
AND(AA75=Lists!$L$8,OR(AA80=Lists!$L$5,AA80=Lists!$L$7,AA80=Lists!$L$9,AA80=Lists!$L$10,AA80=Lists!$L$6)),Lists!$N$6,
AND(OR(AA75=Lists!$L$5,AA75=Lists!$L$7,AA75=Lists!$L$9,AA75=Lists!$L$10),AA80=Lists!$L$8),Lists!$N$7))</f>
        <v>no change</v>
      </c>
      <c r="AC75">
        <v>0</v>
      </c>
      <c r="AD75">
        <v>0</v>
      </c>
      <c r="AE75" s="102">
        <f t="array" ref="AE75">IF(OR(ISNUMBER(SEARCH("heavy",A75))=TRUE, ISNUMBER(SEARCH("medium",A75))=TRUE),
(LEN(_xlfn.SINGLE(
INDEX('Focus Data Tillage by farm'!$D$4:$P$9,MATCH(D75,'Focus Data Tillage by farm'!$C$4:$C$9,0),_xlfn.SINGLE(_xlfn.IFS(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-LEN(SUBSTITUTE(_xlfn.SINGLE(
INDEX('Focus Data Tillage by farm'!$D$4:$P$9,MATCH(D75,'Focus Data Tillage by farm'!$C$4:$C$9,0),_xlfn.SINGLE(_xlfn.IFS(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"disc","")))/LEN("disc"),
(LEN(_xlfn.SINGLE(
INDEX('Focus Data Tillage by farm'!$D$12:$P$17,MATCH(D75,'Focus Data Tillage by farm'!$C$12:$C$17,0),_xlfn.SINGLE(_xlfn.IFS(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-LEN(SUBSTITUTE(_xlfn.SINGLE(
INDEX('Focus Data Tillage by farm'!$D$12:$P$17,MATCH(D75,'Focus Data Tillage by farm'!$C$12:$C$17,0),_xlfn.SINGLE(_xlfn.IFS(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"disc","")))/LEN("disc"))</f>
        <v>2</v>
      </c>
      <c r="AF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"field cultivator","")))/LEN("field cultivator"),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"field cultivator","")))/LEN("field cultivator"))</f>
        <v>0</v>
      </c>
      <c r="AG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"grain drill","")))/LEN("grain drill"),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"grain drill","")))/LEN("grain drill"))</f>
        <v>0</v>
      </c>
      <c r="AH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"minimum tillage","")))/LEN("minimum tillage"),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"minimum tillage","")))/LEN("minimum tillage"))</f>
        <v>1</v>
      </c>
      <c r="AI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"row crop planter","")))/LEN("row crop planter"),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"row crop planter","")))/LEN("row crop planter"))</f>
        <v>0</v>
      </c>
      <c r="AJ75" s="102">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"plough","")))/LEN("plough"),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"plough","")))/LEN("plough"))</f>
        <v>0</v>
      </c>
      <c r="AK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harrow","")))/LEN("roller harrow"),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harrow","")))/LEN("roller harrow"))</f>
        <v>0</v>
      </c>
      <c r="AL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packer","")))/LEN("roller packer"),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"roller packer","")))/LEN("roller packer"))</f>
        <v>2</v>
      </c>
      <c r="AM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"rotary hoe","")))/LEN("rotary hoe"),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"rotary hoe","")))/LEN("rotary hoe"))</f>
        <v>0</v>
      </c>
      <c r="AN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"subsoil","")))/LEN("subsoil"),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"subsoil","")))/LEN("subsoil"))</f>
        <v>1</v>
      </c>
      <c r="AO75">
        <f>IF(OR(ISNUMBER(SEARCH("heavy",A75))=TRUE, ISNUMBER(SEARCH("medium",A75))=TRUE),
(LEN(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farm'!$D$4:$P$9,MATCH(D75,'Focus Data Tillage by farm'!$C$4:$C$9,0),_xlfn.IFS(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"tine harrow","")))/LEN("tine harrow"),
(LEN(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-LEN(SUBSTITUTE(
INDEX('Focus Data Tillage by farm'!$D$12:$P$17,MATCH(D75,'Focus Data Tillage by farm'!$C$12:$C$17,0),_xlfn.IFS(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
"tine harrow","")))/LEN("tine harrow"))</f>
        <v>0</v>
      </c>
      <c r="AP75" s="102">
        <f>INDEX('Focus Data NSpraying'!$D$4:$P$19,MATCH(F75,'Focus Data NSpraying'!$C$4:$C$19,0),_xlfn.IFS(
AND(ISNUMBER(SEARCH("H-Dsty.",A75))=TRUE,ISNUMBER(SEARCH("H-Res",A75))=TRUE,ISNUMBER(SEARCH("E.",A75))=TRUE),1,
AND(ISNUMBER(SEARCH("H-Dsty.",A75))=TRUE,ISNUMBER(SEARCH("H-Res",A75))=TRUE,OR(ISNUMBER(SEARCH("N.he",A75))=TRUE,ISNUMBER(SEARCH("N.me",A75))=TRUE,ISNUMBER(SEARCH("N.li",A75))=TRUE)),2,
AND(ISNUMBER(SEARCH("H-Dsty.",A75))=TRUE,ISNUMBER(SEARCH("H-Res",A75))=TRUE,ISNUMBER(SEARCH("C.",A75))=TRUE),3,
AND(ISNUMBER(SEARCH("L-Dsty.",A75))=TRUE,ISNUMBER(SEARCH("H-Res",A75))=TRUE,ISNUMBER(SEARCH("E.",A75))=TRUE),6,
AND(ISNUMBER(SEARCH("L-Dsty.",A75))=TRUE,ISNUMBER(SEARCH("H-Res",A75))=TRUE,OR(ISNUMBER(SEARCH("N.he",A75))=TRUE,ISNUMBER(SEARCH("N.me",A75))=TRUE,ISNUMBER(SEARCH("N.li",A75))=TRUE)),7,
AND(ISNUMBER(SEARCH("L-Dsty.",A75))=TRUE,ISNUMBER(SEARCH("H-Res",A75))=TRUE,ISNUMBER(SEARCH("C.",A75))=TRUE),8,
AND(ISNUMBER(SEARCH("L-Dsty.",A75))=TRUE,ISNUMBER(SEARCH("L-Res",A75))=TRUE,ISNUMBER(SEARCH("E.",A75))=TRUE),11,
AND(ISNUMBER(SEARCH("L-Dsty.",A75))=TRUE,ISNUMBER(SEARCH("L-Res",A75))=TRUE,OR(ISNUMBER(SEARCH("N.he",A75))=TRUE,ISNUMBER(SEARCH("N.me",A75))=TRUE,ISNUMBER(SEARCH("N.li",A75))=TRUE)),12,
AND(ISNUMBER(SEARCH("L-Dsty.",A75))=TRUE,ISNUMBER(SEARCH("L-Res",A75))=TRUE,ISNUMBER(SEARCH("C.",A75))=TRUE),13))</f>
        <v>5</v>
      </c>
    </row>
    <row r="76" spans="1:42" x14ac:dyDescent="0.2">
      <c r="A76" t="s">
        <v>505</v>
      </c>
      <c r="B76" s="210" t="str">
        <f t="array" ref="B76">INDEX(ECOMOD_input_estimate!$A$2:$A$55, MATCH(CFT_input!$A76, ECOMOD_input_estimate!$B:$B, 0))</f>
        <v>FF_05.4</v>
      </c>
      <c r="C76" s="210">
        <v>2020</v>
      </c>
      <c r="D76" s="395" t="s">
        <v>1694</v>
      </c>
      <c r="E76" s="210" t="str">
        <f t="shared" si="7"/>
        <v>E.medium.H-Dsty.H-Res</v>
      </c>
      <c r="F76" s="210" t="str">
        <f t="array" ref="F76">_xlfn.SINGLE(IF(OR(ISNUMBER(SEARCH("heavy",A76))=TRUE,ISNUMBER(SEARCH("medium",A76))=TRUE),
INDEX('Focus Data Crop Rotations'!$D$4:$P$9,MATCH(D76,'Focus Data Crop Rotations'!$C$4:$C$9,0),_xlfn.SINGLE(_xlfn.IFS(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INDEX('Focus Data Crop Rotations'!$D$12:$P$17,MATCH(D76,'Focus Data Crop Rotations'!$C$12:$C$17,0),_xlfn.SINGLE(_xlfn.IFS(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winterwheat</v>
      </c>
      <c r="G76">
        <v>7.2</v>
      </c>
      <c r="H76" s="227">
        <f>VLOOKUP(F76,'CFT Specific Data'!$F$4:$H$19,3,FALSE)*G76*
IF(B76=B75,
IF(AND(ISNUMBER(SEARCH("wheat",F76))=TRUE,ISNUMBER(SEARCH("Barley",F75))=TRUE),0.89,
IF(AND(ISNUMBER(SEARCH("wheat",F76))=TRUE,F75="setaside"),0.94,
IF(AND(ISNUMBER(SEARCH("barley",F76))=TRUE,ISNUMBER(SEARCH("wheat",F75))=TRUE),0.89,
IF(AND(F76="winterbarley",F75="setaside"),0.94,
IF(AND(F76="sugarbeet",F75="warepotatoes"),0.95,
IF(AND((OR(ISNUMBER(SEARCH("beans",F76)),ISNUMBER(SEARCH("driedpeas",F76)),ISNUMBER(SEARCH("sugarbeet",F76)))=TRUE),ISNUMBER(SEARCH("osr",F75))=TRUE),0,
IF(AND((OR((ISNUMBER(SEARCH("wheat",F76))),ISNUMBER(SEARCH("linseed",F76)),ISNUMBER(SEARCH("driedpeas",F76)),ISNUMBER(SEARCH("osr",F76)))=TRUE),F75="sugarbeet"),0,
IF(AND((OR((ISNUMBER(SEARCH("osr",F76))),ISNUMBER(SEARCH("linseed",F76)))=TRUE),ISNUMBER(SEARCH("beans",F75))=TRUE),0,
IF(AND(F76="wosr",ISNUMBER(SEARCH("linseed",F75))=TRUE),0,
IF(AND(F76="sugarbeet",F75="warepotatoes"),0,
1)))))))))),
IF(AND(ISNUMBER(SEARCH("wheat",F76))=TRUE,ISNUMBER(SEARCH("Barley",F81))=TRUE),0.89,
IF(AND(ISNUMBER(SEARCH("wheat",F76))=TRUE,F81="setaside"),0.94,
IF(AND(ISNUMBER(SEARCH("barley",F76))=TRUE,ISNUMBER(SEARCH("wheat",F81))=TRUE),0.89,
IF(AND(F76="winterbarley",F81="setaside"),0.94,
IF(AND(F76="sugarbeet",F81="warepotatoes"),0.95,
IF(AND((OR(ISNUMBER(SEARCH("beans",F76)),ISNUMBER(SEARCH("driedpeas",F76)),ISNUMBER(SEARCH("sugarbeet",F76)))=TRUE),ISNUMBER(SEARCH("osr",F81))=TRUE),0,
IF(AND((OR((ISNUMBER(SEARCH("wheat",F76))),ISNUMBER(SEARCH("linseed",F76)),ISNUMBER(SEARCH("driedpeas",F76)),ISNUMBER(SEARCH("osr",F76)))=TRUE),F81="sugarbeet"),0,
IF(AND((OR((ISNUMBER(SEARCH("osr",F76))),ISNUMBER(SEARCH("linseed",F76)))=TRUE),ISNUMBER(SEARCH("beans",F81))=TRUE),0,
IF(AND(F76="wosr",ISNUMBER(SEARCH("linseed",F81))=TRUE),0,
IF(AND(F76="sugarbeet",F81="warepotatoes"),0,
1)))))))))))
*IF(OR(ISNUMBER(SEARCH("wheat",F76)),ISNUMBER(SEARCH("barley",F76)),ISNUMBER(SEARCH("driedpeas",F76)),ISNUMBER(SEARCH("warepotatoes",F76)),ISNUMBER(SEARCH("osr",F76)),ISNUMBER(SEARCH("linseed",F76)),ISNUMBER(SEARCH("sugarbeet",F76))),
IF(COUNTIF(B71:B75,B76)=5,
INDEX('CFT Specific Data'!$G$24:$L$39,MATCH(F76,'CFT Specific Data'!$F$24:$F$39,0),IF(COUNTIF(F71:F75,F76)=5,6,IF(COUNTIF(F72:F75,F76)=4,5,IF(COUNTIF(F73:F75,F76)=3,4,IF(COUNTIF(F74:F75,F76)=2,3,IF(F75=F76,2,1)))))),
IF(COUNTIF(B71:B75,B76)=4,
INDEX('CFT Specific Data'!$G$24:$L$39,MATCH(F76,'CFT Specific Data'!$F$24:$F$39,0),IF(SUM(COUNTIF(F72:F75,F76),COUNTIF(F77,F76))=5,6,IF(COUNTIF(F72:F75,F76)=4,5,IF(COUNTIF(F73:F75,F76)=3,4,IF(COUNTIF(F74:F75,F76)=2,3,IF(F75=F76,2,1)))))),
IF(COUNTIF(B71:B75,B76)=3,
INDEX('CFT Specific Data'!$G$24:$L$39,MATCH(F76,'CFT Specific Data'!$F$24:$F$39,0),IF(SUM(COUNTIF(F73:F75,F76),COUNTIF(F77:F78,F76))=5,6,IF(SUM(COUNTIF(F73:F75,F76),COUNTIF(F78,F76))=4,5,IF(COUNTIF(F73:F75,F76)=3,4,IF(COUNTIF(F74:F75,F76)=2,3,IF(F75=F76,2,1)))))),
IF(COUNTIF(B71:B75,B76)=2,
INDEX('CFT Specific Data'!$G$24:$L$39,MATCH(F76,'CFT Specific Data'!$F$24:$F$39,0),IF(SUM(COUNTIF(F74:F75,F76),COUNTIF(F77:F79,F76))=5,6,IF(SUM(COUNTIF(F74:F75,F76),COUNTIF(F78:F79,F76))=4,5,IF(SUM(COUNTIF(F74:F75,F76),COUNTIF(F79,F76))=3,4,IF(COUNTIF(F74:F75,F76)=2,3,IF(F75=F76,2,1)))))),
IF(COUNTIF(B71:B75,B76)=1,
INDEX('CFT Specific Data'!$G$24:$L$39,MATCH(F76,'CFT Specific Data'!$F$24:$F$39,0),IF(SUM(COUNTIF(F75,F76),COUNTIF(F77:F80,F76))=5,6,IF(SUM(COUNTIF(F75,F76),COUNTIF(F78:F80,F76))=4,5,IF(SUM(COUNTIF(F75,F76),COUNTIF(F79:F80,F76))=3,4,IF(SUM(COUNTIF(F75,F76),COUNTIF(F80,F76))=2,3,IF(F75=F76,2,1)))))),
IF(COUNTIF(B71:B75,B76)=0,
INDEX('CFT Specific Data'!$G$24:$L$39,MATCH(F76,'CFT Specific Data'!$F$24:$F$39,0),IF(COUNTIF(F77:F81,F76)=5,6,IF(COUNTIF(F78:F81,F76)=4,5,IF(COUNTIF(F79:F81,F76)=3,4,IF(COUNTIF(F80:F81,F76)=2,3,IF(F81=F76,2,1)))))))))))),1)</f>
        <v>61.92</v>
      </c>
      <c r="I76" s="210" t="s">
        <v>348</v>
      </c>
      <c r="J76">
        <v>10</v>
      </c>
      <c r="K76" s="210" t="str">
        <f>VLOOKUP(F76,'CFT Specific Data'!$F$4:$G$19,2,FALSE)</f>
        <v>Winter wheat</v>
      </c>
      <c r="L76" t="str">
        <f t="shared" si="8"/>
        <v>Medium</v>
      </c>
      <c r="M76">
        <f t="shared" si="9"/>
        <v>4.4720000000000004</v>
      </c>
      <c r="N76" t="str">
        <f t="shared" si="10"/>
        <v>1.72 &lt; SOM &lt;= 5.16</v>
      </c>
      <c r="O76" t="s">
        <v>349</v>
      </c>
      <c r="P76" t="s">
        <v>350</v>
      </c>
      <c r="Q76">
        <v>7</v>
      </c>
      <c r="R76" t="str">
        <f t="shared" si="6"/>
        <v>5.5 &lt; pH &lt;= 7.3</v>
      </c>
      <c r="S76" t="s">
        <v>351</v>
      </c>
      <c r="T76" s="210">
        <f t="array" ref="T76">_xlfn.SINGLE(INDEX('Focus Data NFertiliser Rate'!$D$4:$P$19,MATCH(F76,'Focus Data NFertiliser Rate'!$C$4:$C$19,0),_xlfn.SINGLE(_xlfn.IFS(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220</v>
      </c>
      <c r="U76" t="str">
        <f t="shared" si="11"/>
        <v>Apply in solution</v>
      </c>
      <c r="V76" s="210">
        <f t="array" ref="V76">_xlfn.SINGLE(INDEX('№ Fertiliser sprayings'!$D$4:$P$19,MATCH(F76,'№ Fertiliser sprayings'!$C$4:$C$19,0),_xlfn.SINGLE(_xlfn.IFS(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3</v>
      </c>
      <c r="W76" s="264">
        <f t="array" ref="W76">_xlfn.SINGLE(INDEX('Focus Data CFT NSpraying'!$D$4:$P$19,MATCH(F76,'Focus Data CFT NSpraying'!$C$4:$C$19,0),_xlfn.SINGLE(_xlfn.IFS(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17.876000000000001</v>
      </c>
      <c r="X76" t="s">
        <v>363</v>
      </c>
      <c r="Y76">
        <v>0</v>
      </c>
      <c r="Z76">
        <v>100</v>
      </c>
      <c r="AA76" t="s">
        <v>352</v>
      </c>
      <c r="AB76" s="226" t="str">
        <f>IF(B76=B75,_xlfn.IFS(
AND(AA76=Lists!$L$8,AA75=Lists!$L$8),Lists!$N$5,
AND(OR(AA76=Lists!$L$5,AA76=Lists!$L$7,AA76=Lists!$L$9,AA76=Lists!$L$10,AA76=Lists!$L$6),OR(AA75=Lists!$L$5,AA75=Lists!$L$7,AA75=Lists!$L$9,AA75=Lists!$L$10,AA75=Lists!$L$6)),Lists!$N$5,
AND(AA76=Lists!$L$8,OR(AA75=Lists!$L$5,AA75=Lists!$L$7,AA75=Lists!$L$9,AA75=Lists!$L$10,AA75=Lists!$L$6)),Lists!$N$6,
AND(OR(AA76=Lists!$L$5,AA76=Lists!$L$6,AA76=Lists!$L$7,AA76=Lists!$L$9,AA76=Lists!$L$10),AA75=Lists!$L$8),Lists!$N$7),
_xlfn.IFS(
AND(AA76=Lists!$L$8,AA81=Lists!$L$8),Lists!$N$5,
AND(OR(AA76=Lists!$L$5,AA76=Lists!$L$7,AA76=Lists!$L$9,AA76=Lists!$L$10,AA76=Lists!$L$6),OR(AA81=Lists!$L$5,AA81=Lists!$L$7,AA81=Lists!$L$9,AA81=Lists!$L$10,AA81=Lists!$L$6)),Lists!$N$5,
AND(AA76=Lists!$L$8,OR(AA81=Lists!$L$5,AA81=Lists!$L$7,AA81=Lists!$L$9,AA81=Lists!$L$10,AA81=Lists!$L$6)),Lists!$N$6,
AND(OR(AA76=Lists!$L$5,AA76=Lists!$L$7,AA76=Lists!$L$9,AA76=Lists!$L$10),AA81=Lists!$L$8),Lists!$N$7))</f>
        <v>no change</v>
      </c>
      <c r="AC76">
        <v>0</v>
      </c>
      <c r="AD76">
        <v>0</v>
      </c>
      <c r="AE76" s="102">
        <f t="array" ref="AE76">IF(OR(ISNUMBER(SEARCH("heavy",A76))=TRUE, ISNUMBER(SEARCH("medium",A76))=TRUE),
(LEN(_xlfn.SINGLE(
INDEX('Focus Data Tillage by farm'!$D$4:$P$9,MATCH(D76,'Focus Data Tillage by farm'!$C$4:$C$9,0),_xlfn.SINGLE(_xlfn.IFS(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-LEN(SUBSTITUTE(_xlfn.SINGLE(
INDEX('Focus Data Tillage by farm'!$D$4:$P$9,MATCH(D76,'Focus Data Tillage by farm'!$C$4:$C$9,0),_xlfn.SINGLE(_xlfn.IFS(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"disc","")))/LEN("disc"),
(LEN(_xlfn.SINGLE(
INDEX('Focus Data Tillage by farm'!$D$12:$P$17,MATCH(D76,'Focus Data Tillage by farm'!$C$12:$C$17,0),_xlfn.SINGLE(_xlfn.IFS(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-LEN(SUBSTITUTE(_xlfn.SINGLE(
INDEX('Focus Data Tillage by farm'!$D$12:$P$17,MATCH(D76,'Focus Data Tillage by farm'!$C$12:$C$17,0),_xlfn.SINGLE(_xlfn.IFS(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"disc","")))/LEN("disc"))</f>
        <v>2</v>
      </c>
      <c r="AF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"field cultivator","")))/LEN("field cultivator"),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"field cultivator","")))/LEN("field cultivator"))</f>
        <v>0</v>
      </c>
      <c r="AG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"grain drill","")))/LEN("grain drill"),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"grain drill","")))/LEN("grain drill"))</f>
        <v>0</v>
      </c>
      <c r="AH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"minimum tillage","")))/LEN("minimum tillage"),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"minimum tillage","")))/LEN("minimum tillage"))</f>
        <v>1</v>
      </c>
      <c r="AI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"row crop planter","")))/LEN("row crop planter"),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"row crop planter","")))/LEN("row crop planter"))</f>
        <v>0</v>
      </c>
      <c r="AJ76" s="102">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"plough","")))/LEN("plough"),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"plough","")))/LEN("plough"))</f>
        <v>0</v>
      </c>
      <c r="AK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harrow","")))/LEN("roller harrow"),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harrow","")))/LEN("roller harrow"))</f>
        <v>0</v>
      </c>
      <c r="AL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packer","")))/LEN("roller packer"),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"roller packer","")))/LEN("roller packer"))</f>
        <v>2</v>
      </c>
      <c r="AM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"rotary hoe","")))/LEN("rotary hoe"),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"rotary hoe","")))/LEN("rotary hoe"))</f>
        <v>0</v>
      </c>
      <c r="AN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"subsoil","")))/LEN("subsoil"),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"subsoil","")))/LEN("subsoil"))</f>
        <v>0</v>
      </c>
      <c r="AO76">
        <f>IF(OR(ISNUMBER(SEARCH("heavy",A76))=TRUE, ISNUMBER(SEARCH("medium",A76))=TRUE),
(LEN(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farm'!$D$4:$P$9,MATCH(D76,'Focus Data Tillage by farm'!$C$4:$C$9,0),_xlfn.IFS(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"tine harrow","")))/LEN("tine harrow"),
(LEN(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-LEN(SUBSTITUTE(
INDEX('Focus Data Tillage by farm'!$D$12:$P$17,MATCH(D76,'Focus Data Tillage by farm'!$C$12:$C$17,0),_xlfn.IFS(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
"tine harrow","")))/LEN("tine harrow"))</f>
        <v>0</v>
      </c>
      <c r="AP76" s="102">
        <f>INDEX('Focus Data NSpraying'!$D$4:$P$19,MATCH(F76,'Focus Data NSpraying'!$C$4:$C$19,0),_xlfn.IFS(
AND(ISNUMBER(SEARCH("H-Dsty.",A76))=TRUE,ISNUMBER(SEARCH("H-Res",A76))=TRUE,ISNUMBER(SEARCH("E.",A76))=TRUE),1,
AND(ISNUMBER(SEARCH("H-Dsty.",A76))=TRUE,ISNUMBER(SEARCH("H-Res",A76))=TRUE,OR(ISNUMBER(SEARCH("N.he",A76))=TRUE,ISNUMBER(SEARCH("N.me",A76))=TRUE,ISNUMBER(SEARCH("N.li",A76))=TRUE)),2,
AND(ISNUMBER(SEARCH("H-Dsty.",A76))=TRUE,ISNUMBER(SEARCH("H-Res",A76))=TRUE,ISNUMBER(SEARCH("C.",A76))=TRUE),3,
AND(ISNUMBER(SEARCH("L-Dsty.",A76))=TRUE,ISNUMBER(SEARCH("H-Res",A76))=TRUE,ISNUMBER(SEARCH("E.",A76))=TRUE),6,
AND(ISNUMBER(SEARCH("L-Dsty.",A76))=TRUE,ISNUMBER(SEARCH("H-Res",A76))=TRUE,OR(ISNUMBER(SEARCH("N.he",A76))=TRUE,ISNUMBER(SEARCH("N.me",A76))=TRUE,ISNUMBER(SEARCH("N.li",A76))=TRUE)),7,
AND(ISNUMBER(SEARCH("L-Dsty.",A76))=TRUE,ISNUMBER(SEARCH("H-Res",A76))=TRUE,ISNUMBER(SEARCH("C.",A76))=TRUE),8,
AND(ISNUMBER(SEARCH("L-Dsty.",A76))=TRUE,ISNUMBER(SEARCH("L-Res",A76))=TRUE,ISNUMBER(SEARCH("E.",A76))=TRUE),11,
AND(ISNUMBER(SEARCH("L-Dsty.",A76))=TRUE,ISNUMBER(SEARCH("L-Res",A76))=TRUE,OR(ISNUMBER(SEARCH("N.he",A76))=TRUE,ISNUMBER(SEARCH("N.me",A76))=TRUE,ISNUMBER(SEARCH("N.li",A76))=TRUE)),12,
AND(ISNUMBER(SEARCH("L-Dsty.",A76))=TRUE,ISNUMBER(SEARCH("L-Res",A76))=TRUE,ISNUMBER(SEARCH("C.",A76))=TRUE),13))</f>
        <v>6</v>
      </c>
    </row>
    <row r="77" spans="1:42" x14ac:dyDescent="0.2">
      <c r="A77" t="s">
        <v>505</v>
      </c>
      <c r="B77" s="210" t="str">
        <f t="array" ref="B77">INDEX(ECOMOD_input_estimate!$A$2:$A$55, MATCH(CFT_input!$A77, ECOMOD_input_estimate!$B:$B, 0))</f>
        <v>FF_05.4</v>
      </c>
      <c r="C77" s="210">
        <v>2020</v>
      </c>
      <c r="D77" s="395" t="s">
        <v>1695</v>
      </c>
      <c r="E77" s="210" t="str">
        <f t="shared" si="7"/>
        <v>E.medium.H-Dsty.H-Res</v>
      </c>
      <c r="F77" s="210" t="str">
        <f t="array" ref="F77">_xlfn.SINGLE(IF(OR(ISNUMBER(SEARCH("heavy",A77))=TRUE,ISNUMBER(SEARCH("medium",A77))=TRUE),
INDEX('Focus Data Crop Rotations'!$D$4:$P$9,MATCH(D77,'Focus Data Crop Rotations'!$C$4:$C$9,0),_xlfn.SINGLE(_xlfn.IFS(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INDEX('Focus Data Crop Rotations'!$D$12:$P$17,MATCH(D77,'Focus Data Crop Rotations'!$C$12:$C$17,0),_xlfn.SINGLE(_xlfn.IFS(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springoats</v>
      </c>
      <c r="G77">
        <v>7.2</v>
      </c>
      <c r="H77" s="227">
        <f>VLOOKUP(F77,'CFT Specific Data'!$F$4:$H$19,3,FALSE)*G77*
IF(B77=B76,
IF(AND(ISNUMBER(SEARCH("wheat",F77))=TRUE,ISNUMBER(SEARCH("Barley",F76))=TRUE),0.89,
IF(AND(ISNUMBER(SEARCH("wheat",F77))=TRUE,F76="setaside"),0.94,
IF(AND(ISNUMBER(SEARCH("barley",F77))=TRUE,ISNUMBER(SEARCH("wheat",F76))=TRUE),0.89,
IF(AND(F77="winterbarley",F76="setaside"),0.94,
IF(AND(F77="sugarbeet",F76="warepotatoes"),0.95,
IF(AND((OR(ISNUMBER(SEARCH("beans",F77)),ISNUMBER(SEARCH("driedpeas",F77)),ISNUMBER(SEARCH("sugarbeet",F77)))=TRUE),ISNUMBER(SEARCH("osr",F76))=TRUE),0,
IF(AND((OR((ISNUMBER(SEARCH("wheat",F77))),ISNUMBER(SEARCH("linseed",F77)),ISNUMBER(SEARCH("driedpeas",F77)),ISNUMBER(SEARCH("osr",F77)))=TRUE),F76="sugarbeet"),0,
IF(AND((OR((ISNUMBER(SEARCH("osr",F77))),ISNUMBER(SEARCH("linseed",F77)))=TRUE),ISNUMBER(SEARCH("beans",F76))=TRUE),0,
IF(AND(F77="wosr",ISNUMBER(SEARCH("linseed",F76))=TRUE),0,
IF(AND(F77="sugarbeet",F76="warepotatoes"),0,
1)))))))))),
IF(AND(ISNUMBER(SEARCH("wheat",F77))=TRUE,ISNUMBER(SEARCH("Barley",F82))=TRUE),0.89,
IF(AND(ISNUMBER(SEARCH("wheat",F77))=TRUE,F82="setaside"),0.94,
IF(AND(ISNUMBER(SEARCH("barley",F77))=TRUE,ISNUMBER(SEARCH("wheat",F82))=TRUE),0.89,
IF(AND(F77="winterbarley",F82="setaside"),0.94,
IF(AND(F77="sugarbeet",F82="warepotatoes"),0.95,
IF(AND((OR(ISNUMBER(SEARCH("beans",F77)),ISNUMBER(SEARCH("driedpeas",F77)),ISNUMBER(SEARCH("sugarbeet",F77)))=TRUE),ISNUMBER(SEARCH("osr",F82))=TRUE),0,
IF(AND((OR((ISNUMBER(SEARCH("wheat",F77))),ISNUMBER(SEARCH("linseed",F77)),ISNUMBER(SEARCH("driedpeas",F77)),ISNUMBER(SEARCH("osr",F77)))=TRUE),F82="sugarbeet"),0,
IF(AND((OR((ISNUMBER(SEARCH("osr",F77))),ISNUMBER(SEARCH("linseed",F77)))=TRUE),ISNUMBER(SEARCH("beans",F82))=TRUE),0,
IF(AND(F77="wosr",ISNUMBER(SEARCH("linseed",F82))=TRUE),0,
IF(AND(F77="sugarbeet",F82="warepotatoes"),0,
1)))))))))))
*IF(OR(ISNUMBER(SEARCH("wheat",F77)),ISNUMBER(SEARCH("barley",F77)),ISNUMBER(SEARCH("driedpeas",F77)),ISNUMBER(SEARCH("warepotatoes",F77)),ISNUMBER(SEARCH("osr",F77)),ISNUMBER(SEARCH("linseed",F77)),ISNUMBER(SEARCH("sugarbeet",F77))),
IF(COUNTIF(B72:B76,B77)=5,
INDEX('CFT Specific Data'!$G$24:$L$39,MATCH(F77,'CFT Specific Data'!$F$24:$F$39,0),IF(COUNTIF(F72:F76,F77)=5,6,IF(COUNTIF(F73:F76,F77)=4,5,IF(COUNTIF(F74:F76,F77)=3,4,IF(COUNTIF(F75:F76,F77)=2,3,IF(F76=F77,2,1)))))),
IF(COUNTIF(B72:B76,B77)=4,
INDEX('CFT Specific Data'!$G$24:$L$39,MATCH(F77,'CFT Specific Data'!$F$24:$F$39,0),IF(SUM(COUNTIF(F73:F76,F77),COUNTIF(F78,F77))=5,6,IF(COUNTIF(F73:F76,F77)=4,5,IF(COUNTIF(F74:F76,F77)=3,4,IF(COUNTIF(F75:F76,F77)=2,3,IF(F76=F77,2,1)))))),
IF(COUNTIF(B72:B76,B77)=3,
INDEX('CFT Specific Data'!$G$24:$L$39,MATCH(F77,'CFT Specific Data'!$F$24:$F$39,0),IF(SUM(COUNTIF(F74:F76,F77),COUNTIF(F78:F79,F77))=5,6,IF(SUM(COUNTIF(F74:F76,F77),COUNTIF(F79,F77))=4,5,IF(COUNTIF(F74:F76,F77)=3,4,IF(COUNTIF(F75:F76,F77)=2,3,IF(F76=F77,2,1)))))),
IF(COUNTIF(B72:B76,B77)=2,
INDEX('CFT Specific Data'!$G$24:$L$39,MATCH(F77,'CFT Specific Data'!$F$24:$F$39,0),IF(SUM(COUNTIF(F75:F76,F77),COUNTIF(F78:F80,F77))=5,6,IF(SUM(COUNTIF(F75:F76,F77),COUNTIF(F79:F80,F77))=4,5,IF(SUM(COUNTIF(F75:F76,F77),COUNTIF(F80,F77))=3,4,IF(COUNTIF(F75:F76,F77)=2,3,IF(F76=F77,2,1)))))),
IF(COUNTIF(B72:B76,B77)=1,
INDEX('CFT Specific Data'!$G$24:$L$39,MATCH(F77,'CFT Specific Data'!$F$24:$F$39,0),IF(SUM(COUNTIF(F76,F77),COUNTIF(F78:F81,F77))=5,6,IF(SUM(COUNTIF(F76,F77),COUNTIF(F79:F81,F77))=4,5,IF(SUM(COUNTIF(F76,F77),COUNTIF(F80:F81,F77))=3,4,IF(SUM(COUNTIF(F76,F77),COUNTIF(F81,F77))=2,3,IF(F76=F77,2,1)))))),
IF(COUNTIF(B72:B76,B77)=0,
INDEX('CFT Specific Data'!$G$24:$L$39,MATCH(F77,'CFT Specific Data'!$F$24:$F$39,0),IF(COUNTIF(F78:F82,F77)=5,6,IF(COUNTIF(F79:F82,F77)=4,5,IF(COUNTIF(F80:F82,F77)=3,4,IF(COUNTIF(F81:F82,F77)=2,3,IF(F82=F77,2,1)))))))))))),1)</f>
        <v>39.6</v>
      </c>
      <c r="I77" s="210" t="s">
        <v>348</v>
      </c>
      <c r="J77">
        <v>10</v>
      </c>
      <c r="K77" s="210" t="str">
        <f>VLOOKUP(F77,'CFT Specific Data'!$F$4:$G$19,2,FALSE)</f>
        <v>Oats</v>
      </c>
      <c r="L77" t="str">
        <f t="shared" si="8"/>
        <v>Medium</v>
      </c>
      <c r="M77">
        <f t="shared" si="9"/>
        <v>4.4720000000000004</v>
      </c>
      <c r="N77" t="str">
        <f t="shared" si="10"/>
        <v>1.72 &lt; SOM &lt;= 5.16</v>
      </c>
      <c r="O77" t="s">
        <v>349</v>
      </c>
      <c r="P77" t="s">
        <v>350</v>
      </c>
      <c r="Q77">
        <v>7</v>
      </c>
      <c r="R77" t="str">
        <f t="shared" si="6"/>
        <v>5.5 &lt; pH &lt;= 7.3</v>
      </c>
      <c r="S77" t="s">
        <v>351</v>
      </c>
      <c r="T77" s="210">
        <f t="array" ref="T77">_xlfn.SINGLE(INDEX('Focus Data NFertiliser Rate'!$D$4:$P$19,MATCH(F77,'Focus Data NFertiliser Rate'!$C$4:$C$19,0),_xlfn.SINGLE(_xlfn.IFS(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100</v>
      </c>
      <c r="U77" t="str">
        <f t="shared" si="11"/>
        <v>Apply in solution</v>
      </c>
      <c r="V77" s="210">
        <f t="array" ref="V77">_xlfn.SINGLE(INDEX('№ Fertiliser sprayings'!$D$4:$P$19,MATCH(F77,'№ Fertiliser sprayings'!$C$4:$C$19,0),_xlfn.SINGLE(_xlfn.IFS(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1</v>
      </c>
      <c r="W77" s="264">
        <f t="array" ref="W77">_xlfn.SINGLE(INDEX('Focus Data CFT NSpraying'!$D$4:$P$19,MATCH(F77,'Focus Data CFT NSpraying'!$C$4:$C$19,0),_xlfn.SINGLE(_xlfn.IFS(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4.7859999999999996</v>
      </c>
      <c r="X77" t="s">
        <v>363</v>
      </c>
      <c r="Y77">
        <v>0</v>
      </c>
      <c r="Z77">
        <v>100</v>
      </c>
      <c r="AA77" t="s">
        <v>352</v>
      </c>
      <c r="AB77" s="226" t="str">
        <f>IF(B77=B76,_xlfn.IFS(
AND(AA77=Lists!$L$8,AA76=Lists!$L$8),Lists!$N$5,
AND(OR(AA77=Lists!$L$5,AA77=Lists!$L$7,AA77=Lists!$L$9,AA77=Lists!$L$10,AA77=Lists!$L$6),OR(AA76=Lists!$L$5,AA76=Lists!$L$7,AA76=Lists!$L$9,AA76=Lists!$L$10,AA76=Lists!$L$6)),Lists!$N$5,
AND(AA77=Lists!$L$8,OR(AA76=Lists!$L$5,AA76=Lists!$L$7,AA76=Lists!$L$9,AA76=Lists!$L$10,AA76=Lists!$L$6)),Lists!$N$6,
AND(OR(AA77=Lists!$L$5,AA77=Lists!$L$6,AA77=Lists!$L$7,AA77=Lists!$L$9,AA77=Lists!$L$10),AA76=Lists!$L$8),Lists!$N$7),
_xlfn.IFS(
AND(AA77=Lists!$L$8,AA82=Lists!$L$8),Lists!$N$5,
AND(OR(AA77=Lists!$L$5,AA77=Lists!$L$7,AA77=Lists!$L$9,AA77=Lists!$L$10,AA77=Lists!$L$6),OR(AA82=Lists!$L$5,AA82=Lists!$L$7,AA82=Lists!$L$9,AA82=Lists!$L$10,AA82=Lists!$L$6)),Lists!$N$5,
AND(AA77=Lists!$L$8,OR(AA82=Lists!$L$5,AA82=Lists!$L$7,AA82=Lists!$L$9,AA82=Lists!$L$10,AA82=Lists!$L$6)),Lists!$N$6,
AND(OR(AA77=Lists!$L$5,AA77=Lists!$L$7,AA77=Lists!$L$9,AA77=Lists!$L$10),AA82=Lists!$L$8),Lists!$N$7))</f>
        <v>no change</v>
      </c>
      <c r="AC77">
        <v>0</v>
      </c>
      <c r="AD77">
        <v>0</v>
      </c>
      <c r="AE77" s="102">
        <f t="array" ref="AE77">IF(OR(ISNUMBER(SEARCH("heavy",A77))=TRUE, ISNUMBER(SEARCH("medium",A77))=TRUE),
(LEN(_xlfn.SINGLE(
INDEX('Focus Data Tillage by farm'!$D$4:$P$9,MATCH(D77,'Focus Data Tillage by farm'!$C$4:$C$9,0),_xlfn.SINGLE(_xlfn.IFS(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-LEN(SUBSTITUTE(_xlfn.SINGLE(
INDEX('Focus Data Tillage by farm'!$D$4:$P$9,MATCH(D77,'Focus Data Tillage by farm'!$C$4:$C$9,0),_xlfn.SINGLE(_xlfn.IFS(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"disc","")))/LEN("disc"),
(LEN(_xlfn.SINGLE(
INDEX('Focus Data Tillage by farm'!$D$12:$P$17,MATCH(D77,'Focus Data Tillage by farm'!$C$12:$C$17,0),_xlfn.SINGLE(_xlfn.IFS(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-LEN(SUBSTITUTE(_xlfn.SINGLE(
INDEX('Focus Data Tillage by farm'!$D$12:$P$17,MATCH(D77,'Focus Data Tillage by farm'!$C$12:$C$17,0),_xlfn.SINGLE(_xlfn.IFS(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"disc","")))/LEN("disc"))</f>
        <v>2</v>
      </c>
      <c r="AF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"field cultivator","")))/LEN("field cultivator"),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"field cultivator","")))/LEN("field cultivator"))</f>
        <v>0</v>
      </c>
      <c r="AG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"grain drill","")))/LEN("grain drill"),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"grain drill","")))/LEN("grain drill"))</f>
        <v>0</v>
      </c>
      <c r="AH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"minimum tillage","")))/LEN("minimum tillage"),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"minimum tillage","")))/LEN("minimum tillage"))</f>
        <v>1</v>
      </c>
      <c r="AI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"row crop planter","")))/LEN("row crop planter"),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"row crop planter","")))/LEN("row crop planter"))</f>
        <v>0</v>
      </c>
      <c r="AJ77" s="102">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"plough","")))/LEN("plough"),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"plough","")))/LEN("plough"))</f>
        <v>0</v>
      </c>
      <c r="AK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harrow","")))/LEN("roller harrow"),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harrow","")))/LEN("roller harrow"))</f>
        <v>0</v>
      </c>
      <c r="AL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packer","")))/LEN("roller packer"),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"roller packer","")))/LEN("roller packer"))</f>
        <v>2</v>
      </c>
      <c r="AM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"rotary hoe","")))/LEN("rotary hoe"),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"rotary hoe","")))/LEN("rotary hoe"))</f>
        <v>0</v>
      </c>
      <c r="AN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"subsoil","")))/LEN("subsoil"),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"subsoil","")))/LEN("subsoil"))</f>
        <v>0</v>
      </c>
      <c r="AO77">
        <f>IF(OR(ISNUMBER(SEARCH("heavy",A77))=TRUE, ISNUMBER(SEARCH("medium",A77))=TRUE),
(LEN(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farm'!$D$4:$P$9,MATCH(D77,'Focus Data Tillage by farm'!$C$4:$C$9,0),_xlfn.IFS(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"tine harrow","")))/LEN("tine harrow"),
(LEN(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-LEN(SUBSTITUTE(
INDEX('Focus Data Tillage by farm'!$D$12:$P$17,MATCH(D77,'Focus Data Tillage by farm'!$C$12:$C$17,0),_xlfn.IFS(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
"tine harrow","")))/LEN("tine harrow"))</f>
        <v>0</v>
      </c>
      <c r="AP77" s="102">
        <f>INDEX('Focus Data NSpraying'!$D$4:$P$19,MATCH(F77,'Focus Data NSpraying'!$C$4:$C$19,0),_xlfn.IFS(
AND(ISNUMBER(SEARCH("H-Dsty.",A77))=TRUE,ISNUMBER(SEARCH("H-Res",A77))=TRUE,ISNUMBER(SEARCH("E.",A77))=TRUE),1,
AND(ISNUMBER(SEARCH("H-Dsty.",A77))=TRUE,ISNUMBER(SEARCH("H-Res",A77))=TRUE,OR(ISNUMBER(SEARCH("N.he",A77))=TRUE,ISNUMBER(SEARCH("N.me",A77))=TRUE,ISNUMBER(SEARCH("N.li",A77))=TRUE)),2,
AND(ISNUMBER(SEARCH("H-Dsty.",A77))=TRUE,ISNUMBER(SEARCH("H-Res",A77))=TRUE,ISNUMBER(SEARCH("C.",A77))=TRUE),3,
AND(ISNUMBER(SEARCH("L-Dsty.",A77))=TRUE,ISNUMBER(SEARCH("H-Res",A77))=TRUE,ISNUMBER(SEARCH("E.",A77))=TRUE),6,
AND(ISNUMBER(SEARCH("L-Dsty.",A77))=TRUE,ISNUMBER(SEARCH("H-Res",A77))=TRUE,OR(ISNUMBER(SEARCH("N.he",A77))=TRUE,ISNUMBER(SEARCH("N.me",A77))=TRUE,ISNUMBER(SEARCH("N.li",A77))=TRUE)),7,
AND(ISNUMBER(SEARCH("L-Dsty.",A77))=TRUE,ISNUMBER(SEARCH("H-Res",A77))=TRUE,ISNUMBER(SEARCH("C.",A77))=TRUE),8,
AND(ISNUMBER(SEARCH("L-Dsty.",A77))=TRUE,ISNUMBER(SEARCH("L-Res",A77))=TRUE,ISNUMBER(SEARCH("E.",A77))=TRUE),11,
AND(ISNUMBER(SEARCH("L-Dsty.",A77))=TRUE,ISNUMBER(SEARCH("L-Res",A77))=TRUE,OR(ISNUMBER(SEARCH("N.he",A77))=TRUE,ISNUMBER(SEARCH("N.me",A77))=TRUE,ISNUMBER(SEARCH("N.li",A77))=TRUE)),12,
AND(ISNUMBER(SEARCH("L-Dsty.",A77))=TRUE,ISNUMBER(SEARCH("L-Res",A77))=TRUE,ISNUMBER(SEARCH("C.",A77))=TRUE),13))</f>
        <v>4</v>
      </c>
    </row>
    <row r="78" spans="1:42" x14ac:dyDescent="0.2">
      <c r="A78" t="s">
        <v>505</v>
      </c>
      <c r="B78" s="210" t="str">
        <f t="array" ref="B78">INDEX(ECOMOD_input_estimate!$A$2:$A$55, MATCH(CFT_input!$A78, ECOMOD_input_estimate!$B:$B, 0))</f>
        <v>FF_05.4</v>
      </c>
      <c r="C78" s="210">
        <v>2020</v>
      </c>
      <c r="D78" s="395" t="s">
        <v>1696</v>
      </c>
      <c r="E78" s="210" t="str">
        <f t="shared" si="7"/>
        <v>E.medium.H-Dsty.H-Res</v>
      </c>
      <c r="F78" s="210" t="str">
        <f t="array" ref="F78">_xlfn.SINGLE(IF(OR(ISNUMBER(SEARCH("heavy",A78))=TRUE,ISNUMBER(SEARCH("medium",A78))=TRUE),
INDEX('Focus Data Crop Rotations'!$D$4:$P$9,MATCH(D78,'Focus Data Crop Rotations'!$C$4:$C$9,0),_xlfn.SINGLE(_xlfn.IFS(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INDEX('Focus Data Crop Rotations'!$D$12:$P$17,MATCH(D78,'Focus Data Crop Rotations'!$C$12:$C$17,0),_xlfn.SINGLE(_xlfn.IFS(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winterwheat</v>
      </c>
      <c r="G78">
        <v>7.2</v>
      </c>
      <c r="H78" s="227">
        <f>VLOOKUP(F78,'CFT Specific Data'!$F$4:$H$19,3,FALSE)*G78*
IF(B78=B77,
IF(AND(ISNUMBER(SEARCH("wheat",F78))=TRUE,ISNUMBER(SEARCH("Barley",F77))=TRUE),0.89,
IF(AND(ISNUMBER(SEARCH("wheat",F78))=TRUE,F77="setaside"),0.94,
IF(AND(ISNUMBER(SEARCH("barley",F78))=TRUE,ISNUMBER(SEARCH("wheat",F77))=TRUE),0.89,
IF(AND(F78="winterbarley",F77="setaside"),0.94,
IF(AND(F78="sugarbeet",F77="warepotatoes"),0.95,
IF(AND((OR(ISNUMBER(SEARCH("beans",F78)),ISNUMBER(SEARCH("driedpeas",F78)),ISNUMBER(SEARCH("sugarbeet",F78)))=TRUE),ISNUMBER(SEARCH("osr",F77))=TRUE),0,
IF(AND((OR((ISNUMBER(SEARCH("wheat",F78))),ISNUMBER(SEARCH("linseed",F78)),ISNUMBER(SEARCH("driedpeas",F78)),ISNUMBER(SEARCH("osr",F78)))=TRUE),F77="sugarbeet"),0,
IF(AND((OR((ISNUMBER(SEARCH("osr",F78))),ISNUMBER(SEARCH("linseed",F78)))=TRUE),ISNUMBER(SEARCH("beans",F77))=TRUE),0,
IF(AND(F78="wosr",ISNUMBER(SEARCH("linseed",F77))=TRUE),0,
IF(AND(F78="sugarbeet",F77="warepotatoes"),0,
1)))))))))),
IF(AND(ISNUMBER(SEARCH("wheat",F78))=TRUE,ISNUMBER(SEARCH("Barley",F83))=TRUE),0.89,
IF(AND(ISNUMBER(SEARCH("wheat",F78))=TRUE,F83="setaside"),0.94,
IF(AND(ISNUMBER(SEARCH("barley",F78))=TRUE,ISNUMBER(SEARCH("wheat",F83))=TRUE),0.89,
IF(AND(F78="winterbarley",F83="setaside"),0.94,
IF(AND(F78="sugarbeet",F83="warepotatoes"),0.95,
IF(AND((OR(ISNUMBER(SEARCH("beans",F78)),ISNUMBER(SEARCH("driedpeas",F78)),ISNUMBER(SEARCH("sugarbeet",F78)))=TRUE),ISNUMBER(SEARCH("osr",F83))=TRUE),0,
IF(AND((OR((ISNUMBER(SEARCH("wheat",F78))),ISNUMBER(SEARCH("linseed",F78)),ISNUMBER(SEARCH("driedpeas",F78)),ISNUMBER(SEARCH("osr",F78)))=TRUE),F83="sugarbeet"),0,
IF(AND((OR((ISNUMBER(SEARCH("osr",F78))),ISNUMBER(SEARCH("linseed",F78)))=TRUE),ISNUMBER(SEARCH("beans",F83))=TRUE),0,
IF(AND(F78="wosr",ISNUMBER(SEARCH("linseed",F83))=TRUE),0,
IF(AND(F78="sugarbeet",F83="warepotatoes"),0,
1)))))))))))
*IF(OR(ISNUMBER(SEARCH("wheat",F78)),ISNUMBER(SEARCH("barley",F78)),ISNUMBER(SEARCH("driedpeas",F78)),ISNUMBER(SEARCH("warepotatoes",F78)),ISNUMBER(SEARCH("osr",F78)),ISNUMBER(SEARCH("linseed",F78)),ISNUMBER(SEARCH("sugarbeet",F78))),
IF(COUNTIF(B73:B77,B78)=5,
INDEX('CFT Specific Data'!$G$24:$L$39,MATCH(F78,'CFT Specific Data'!$F$24:$F$39,0),IF(COUNTIF(F73:F77,F78)=5,6,IF(COUNTIF(F74:F77,F78)=4,5,IF(COUNTIF(F75:F77,F78)=3,4,IF(COUNTIF(F76:F77,F78)=2,3,IF(F77=F78,2,1)))))),
IF(COUNTIF(B73:B77,B78)=4,
INDEX('CFT Specific Data'!$G$24:$L$39,MATCH(F78,'CFT Specific Data'!$F$24:$F$39,0),IF(SUM(COUNTIF(F74:F77,F78),COUNTIF(F79,F78))=5,6,IF(COUNTIF(F74:F77,F78)=4,5,IF(COUNTIF(F75:F77,F78)=3,4,IF(COUNTIF(F76:F77,F78)=2,3,IF(F77=F78,2,1)))))),
IF(COUNTIF(B73:B77,B78)=3,
INDEX('CFT Specific Data'!$G$24:$L$39,MATCH(F78,'CFT Specific Data'!$F$24:$F$39,0),IF(SUM(COUNTIF(F75:F77,F78),COUNTIF(F79:F80,F78))=5,6,IF(SUM(COUNTIF(F75:F77,F78),COUNTIF(F80,F78))=4,5,IF(COUNTIF(F75:F77,F78)=3,4,IF(COUNTIF(F76:F77,F78)=2,3,IF(F77=F78,2,1)))))),
IF(COUNTIF(B73:B77,B78)=2,
INDEX('CFT Specific Data'!$G$24:$L$39,MATCH(F78,'CFT Specific Data'!$F$24:$F$39,0),IF(SUM(COUNTIF(F76:F77,F78),COUNTIF(F79:F81,F78))=5,6,IF(SUM(COUNTIF(F76:F77,F78),COUNTIF(F80:F81,F78))=4,5,IF(SUM(COUNTIF(F76:F77,F78),COUNTIF(F81,F78))=3,4,IF(COUNTIF(F76:F77,F78)=2,3,IF(F77=F78,2,1)))))),
IF(COUNTIF(B73:B77,B78)=1,
INDEX('CFT Specific Data'!$G$24:$L$39,MATCH(F78,'CFT Specific Data'!$F$24:$F$39,0),IF(SUM(COUNTIF(F77,F78),COUNTIF(F79:F82,F78))=5,6,IF(SUM(COUNTIF(F77,F78),COUNTIF(F80:F82,F78))=4,5,IF(SUM(COUNTIF(F77,F78),COUNTIF(F81:F82,F78))=3,4,IF(SUM(COUNTIF(F77,F78),COUNTIF(F82,F78))=2,3,IF(F77=F78,2,1)))))),
IF(COUNTIF(B73:B77,B78)=0,
INDEX('CFT Specific Data'!$G$24:$L$39,MATCH(F78,'CFT Specific Data'!$F$24:$F$39,0),IF(COUNTIF(F79:F83,F78)=5,6,IF(COUNTIF(F80:F83,F78)=4,5,IF(COUNTIF(F81:F83,F78)=3,4,IF(COUNTIF(F82:F83,F78)=2,3,IF(F83=F78,2,1)))))))))))),1)</f>
        <v>61.92</v>
      </c>
      <c r="I78" s="210" t="s">
        <v>348</v>
      </c>
      <c r="J78">
        <v>10</v>
      </c>
      <c r="K78" s="210" t="str">
        <f>VLOOKUP(F78,'CFT Specific Data'!$F$4:$G$19,2,FALSE)</f>
        <v>Winter wheat</v>
      </c>
      <c r="L78" t="str">
        <f t="shared" si="8"/>
        <v>Medium</v>
      </c>
      <c r="M78">
        <f t="shared" si="9"/>
        <v>4.4720000000000004</v>
      </c>
      <c r="N78" t="str">
        <f t="shared" si="10"/>
        <v>1.72 &lt; SOM &lt;= 5.16</v>
      </c>
      <c r="O78" t="s">
        <v>349</v>
      </c>
      <c r="P78" t="s">
        <v>350</v>
      </c>
      <c r="Q78">
        <v>7</v>
      </c>
      <c r="R78" t="str">
        <f t="shared" si="6"/>
        <v>5.5 &lt; pH &lt;= 7.3</v>
      </c>
      <c r="S78" t="s">
        <v>351</v>
      </c>
      <c r="T78" s="210">
        <f t="array" ref="T78">_xlfn.SINGLE(INDEX('Focus Data NFertiliser Rate'!$D$4:$P$19,MATCH(F78,'Focus Data NFertiliser Rate'!$C$4:$C$19,0),_xlfn.SINGLE(_xlfn.IFS(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220</v>
      </c>
      <c r="U78" t="str">
        <f t="shared" si="11"/>
        <v>Apply in solution</v>
      </c>
      <c r="V78" s="210">
        <f t="array" ref="V78">_xlfn.SINGLE(INDEX('№ Fertiliser sprayings'!$D$4:$P$19,MATCH(F78,'№ Fertiliser sprayings'!$C$4:$C$19,0),_xlfn.SINGLE(_xlfn.IFS(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3</v>
      </c>
      <c r="W78" s="264">
        <f t="array" ref="W78">_xlfn.SINGLE(INDEX('Focus Data CFT NSpraying'!$D$4:$P$19,MATCH(F78,'Focus Data CFT NSpraying'!$C$4:$C$19,0),_xlfn.SINGLE(_xlfn.IFS(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17.876000000000001</v>
      </c>
      <c r="X78" t="s">
        <v>363</v>
      </c>
      <c r="Y78">
        <v>0</v>
      </c>
      <c r="Z78">
        <v>100</v>
      </c>
      <c r="AA78" t="s">
        <v>352</v>
      </c>
      <c r="AB78" s="226" t="str">
        <f>IF(B78=B77,_xlfn.IFS(
AND(AA78=Lists!$L$8,AA77=Lists!$L$8),Lists!$N$5,
AND(OR(AA78=Lists!$L$5,AA78=Lists!$L$7,AA78=Lists!$L$9,AA78=Lists!$L$10,AA78=Lists!$L$6),OR(AA77=Lists!$L$5,AA77=Lists!$L$7,AA77=Lists!$L$9,AA77=Lists!$L$10,AA77=Lists!$L$6)),Lists!$N$5,
AND(AA78=Lists!$L$8,OR(AA77=Lists!$L$5,AA77=Lists!$L$7,AA77=Lists!$L$9,AA77=Lists!$L$10,AA77=Lists!$L$6)),Lists!$N$6,
AND(OR(AA78=Lists!$L$5,AA78=Lists!$L$6,AA78=Lists!$L$7,AA78=Lists!$L$9,AA78=Lists!$L$10),AA77=Lists!$L$8),Lists!$N$7),
_xlfn.IFS(
AND(AA78=Lists!$L$8,AA83=Lists!$L$8),Lists!$N$5,
AND(OR(AA78=Lists!$L$5,AA78=Lists!$L$7,AA78=Lists!$L$9,AA78=Lists!$L$10,AA78=Lists!$L$6),OR(AA83=Lists!$L$5,AA83=Lists!$L$7,AA83=Lists!$L$9,AA83=Lists!$L$10,AA83=Lists!$L$6)),Lists!$N$5,
AND(AA78=Lists!$L$8,OR(AA83=Lists!$L$5,AA83=Lists!$L$7,AA83=Lists!$L$9,AA83=Lists!$L$10,AA83=Lists!$L$6)),Lists!$N$6,
AND(OR(AA78=Lists!$L$5,AA78=Lists!$L$7,AA78=Lists!$L$9,AA78=Lists!$L$10),AA83=Lists!$L$8),Lists!$N$7))</f>
        <v>no change</v>
      </c>
      <c r="AC78">
        <v>0</v>
      </c>
      <c r="AD78">
        <v>0</v>
      </c>
      <c r="AE78" s="102">
        <f t="array" ref="AE78">IF(OR(ISNUMBER(SEARCH("heavy",A78))=TRUE, ISNUMBER(SEARCH("medium",A78))=TRUE),
(LEN(_xlfn.SINGLE(
INDEX('Focus Data Tillage by farm'!$D$4:$P$9,MATCH(D78,'Focus Data Tillage by farm'!$C$4:$C$9,0),_xlfn.SINGLE(_xlfn.IFS(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-LEN(SUBSTITUTE(_xlfn.SINGLE(
INDEX('Focus Data Tillage by farm'!$D$4:$P$9,MATCH(D78,'Focus Data Tillage by farm'!$C$4:$C$9,0),_xlfn.SINGLE(_xlfn.IFS(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"disc","")))/LEN("disc"),
(LEN(_xlfn.SINGLE(
INDEX('Focus Data Tillage by farm'!$D$12:$P$17,MATCH(D78,'Focus Data Tillage by farm'!$C$12:$C$17,0),_xlfn.SINGLE(_xlfn.IFS(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-LEN(SUBSTITUTE(_xlfn.SINGLE(
INDEX('Focus Data Tillage by farm'!$D$12:$P$17,MATCH(D78,'Focus Data Tillage by farm'!$C$12:$C$17,0),_xlfn.SINGLE(_xlfn.IFS(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"disc","")))/LEN("disc"))</f>
        <v>1</v>
      </c>
      <c r="AF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"field cultivator","")))/LEN("field cultivator"),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"field cultivator","")))/LEN("field cultivator"))</f>
        <v>0</v>
      </c>
      <c r="AG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"grain drill","")))/LEN("grain drill"),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"grain drill","")))/LEN("grain drill"))</f>
        <v>0</v>
      </c>
      <c r="AH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"minimum tillage","")))/LEN("minimum tillage"),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"minimum tillage","")))/LEN("minimum tillage"))</f>
        <v>1</v>
      </c>
      <c r="AI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"row crop planter","")))/LEN("row crop planter"),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"row crop planter","")))/LEN("row crop planter"))</f>
        <v>0</v>
      </c>
      <c r="AJ78" s="102">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"plough","")))/LEN("plough"),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"plough","")))/LEN("plough"))</f>
        <v>1</v>
      </c>
      <c r="AK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harrow","")))/LEN("roller harrow"),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harrow","")))/LEN("roller harrow"))</f>
        <v>1</v>
      </c>
      <c r="AL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packer","")))/LEN("roller packer"),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"roller packer","")))/LEN("roller packer"))</f>
        <v>2</v>
      </c>
      <c r="AM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"rotary hoe","")))/LEN("rotary hoe"),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"rotary hoe","")))/LEN("rotary hoe"))</f>
        <v>0</v>
      </c>
      <c r="AN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"subsoil","")))/LEN("subsoil"),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"subsoil","")))/LEN("subsoil"))</f>
        <v>0</v>
      </c>
      <c r="AO78">
        <f>IF(OR(ISNUMBER(SEARCH("heavy",A78))=TRUE, ISNUMBER(SEARCH("medium",A78))=TRUE),
(LEN(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farm'!$D$4:$P$9,MATCH(D78,'Focus Data Tillage by farm'!$C$4:$C$9,0),_xlfn.IFS(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"tine harrow","")))/LEN("tine harrow"),
(LEN(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-LEN(SUBSTITUTE(
INDEX('Focus Data Tillage by farm'!$D$12:$P$17,MATCH(D78,'Focus Data Tillage by farm'!$C$12:$C$17,0),_xlfn.IFS(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
"tine harrow","")))/LEN("tine harrow"))</f>
        <v>0</v>
      </c>
      <c r="AP78" s="102">
        <f>INDEX('Focus Data NSpraying'!$D$4:$P$19,MATCH(F78,'Focus Data NSpraying'!$C$4:$C$19,0),_xlfn.IFS(
AND(ISNUMBER(SEARCH("H-Dsty.",A78))=TRUE,ISNUMBER(SEARCH("H-Res",A78))=TRUE,ISNUMBER(SEARCH("E.",A78))=TRUE),1,
AND(ISNUMBER(SEARCH("H-Dsty.",A78))=TRUE,ISNUMBER(SEARCH("H-Res",A78))=TRUE,OR(ISNUMBER(SEARCH("N.he",A78))=TRUE,ISNUMBER(SEARCH("N.me",A78))=TRUE,ISNUMBER(SEARCH("N.li",A78))=TRUE)),2,
AND(ISNUMBER(SEARCH("H-Dsty.",A78))=TRUE,ISNUMBER(SEARCH("H-Res",A78))=TRUE,ISNUMBER(SEARCH("C.",A78))=TRUE),3,
AND(ISNUMBER(SEARCH("L-Dsty.",A78))=TRUE,ISNUMBER(SEARCH("H-Res",A78))=TRUE,ISNUMBER(SEARCH("E.",A78))=TRUE),6,
AND(ISNUMBER(SEARCH("L-Dsty.",A78))=TRUE,ISNUMBER(SEARCH("H-Res",A78))=TRUE,OR(ISNUMBER(SEARCH("N.he",A78))=TRUE,ISNUMBER(SEARCH("N.me",A78))=TRUE,ISNUMBER(SEARCH("N.li",A78))=TRUE)),7,
AND(ISNUMBER(SEARCH("L-Dsty.",A78))=TRUE,ISNUMBER(SEARCH("H-Res",A78))=TRUE,ISNUMBER(SEARCH("C.",A78))=TRUE),8,
AND(ISNUMBER(SEARCH("L-Dsty.",A78))=TRUE,ISNUMBER(SEARCH("L-Res",A78))=TRUE,ISNUMBER(SEARCH("E.",A78))=TRUE),11,
AND(ISNUMBER(SEARCH("L-Dsty.",A78))=TRUE,ISNUMBER(SEARCH("L-Res",A78))=TRUE,OR(ISNUMBER(SEARCH("N.he",A78))=TRUE,ISNUMBER(SEARCH("N.me",A78))=TRUE,ISNUMBER(SEARCH("N.li",A78))=TRUE)),12,
AND(ISNUMBER(SEARCH("L-Dsty.",A78))=TRUE,ISNUMBER(SEARCH("L-Res",A78))=TRUE,ISNUMBER(SEARCH("C.",A78))=TRUE),13))</f>
        <v>6</v>
      </c>
    </row>
    <row r="79" spans="1:42" x14ac:dyDescent="0.2">
      <c r="A79" t="s">
        <v>505</v>
      </c>
      <c r="B79" s="210" t="str">
        <f t="array" ref="B79">INDEX(ECOMOD_input_estimate!$A$2:$A$55, MATCH(CFT_input!$A79, ECOMOD_input_estimate!$B:$B, 0))</f>
        <v>FF_05.4</v>
      </c>
      <c r="C79" s="210">
        <v>2020</v>
      </c>
      <c r="D79" s="395" t="s">
        <v>735</v>
      </c>
      <c r="E79" s="210" t="str">
        <f t="shared" si="7"/>
        <v>E.medium.H-Dsty.H-Res</v>
      </c>
      <c r="F79" s="210" t="str">
        <f t="array" ref="F79">_xlfn.SINGLE(IF(OR(ISNUMBER(SEARCH("heavy",A79))=TRUE,ISNUMBER(SEARCH("medium",A79))=TRUE),
INDEX('Focus Data Crop Rotations'!$D$4:$P$9,MATCH(D79,'Focus Data Crop Rotations'!$C$4:$C$9,0),_xlfn.SINGLE(_xlfn.IFS(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INDEX('Focus Data Crop Rotations'!$D$12:$P$17,MATCH(D79,'Focus Data Crop Rotations'!$C$12:$C$17,0),_xlfn.SINGLE(_xlfn.IFS(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springlinseed</v>
      </c>
      <c r="G79">
        <v>7.2</v>
      </c>
      <c r="H79" s="227">
        <f>VLOOKUP(F79,'CFT Specific Data'!$F$4:$H$19,3,FALSE)*G79*
IF(B79=B78,
IF(AND(ISNUMBER(SEARCH("wheat",F79))=TRUE,ISNUMBER(SEARCH("Barley",F78))=TRUE),0.89,
IF(AND(ISNUMBER(SEARCH("wheat",F79))=TRUE,F78="setaside"),0.94,
IF(AND(ISNUMBER(SEARCH("barley",F79))=TRUE,ISNUMBER(SEARCH("wheat",F78))=TRUE),0.89,
IF(AND(F79="winterbarley",F78="setaside"),0.94,
IF(AND(F79="sugarbeet",F78="warepotatoes"),0.95,
IF(AND((OR(ISNUMBER(SEARCH("beans",F79)),ISNUMBER(SEARCH("driedpeas",F79)),ISNUMBER(SEARCH("sugarbeet",F79)))=TRUE),ISNUMBER(SEARCH("osr",F78))=TRUE),0,
IF(AND((OR((ISNUMBER(SEARCH("wheat",F79))),ISNUMBER(SEARCH("linseed",F79)),ISNUMBER(SEARCH("driedpeas",F79)),ISNUMBER(SEARCH("osr",F79)))=TRUE),F78="sugarbeet"),0,
IF(AND((OR((ISNUMBER(SEARCH("osr",F79))),ISNUMBER(SEARCH("linseed",F79)))=TRUE),ISNUMBER(SEARCH("beans",F78))=TRUE),0,
IF(AND(F79="wosr",ISNUMBER(SEARCH("linseed",F78))=TRUE),0,
IF(AND(F79="sugarbeet",F78="warepotatoes"),0,
1)))))))))),
IF(AND(ISNUMBER(SEARCH("wheat",F79))=TRUE,ISNUMBER(SEARCH("Barley",F84))=TRUE),0.89,
IF(AND(ISNUMBER(SEARCH("wheat",F79))=TRUE,F84="setaside"),0.94,
IF(AND(ISNUMBER(SEARCH("barley",F79))=TRUE,ISNUMBER(SEARCH("wheat",F84))=TRUE),0.89,
IF(AND(F79="winterbarley",F84="setaside"),0.94,
IF(AND(F79="sugarbeet",F84="warepotatoes"),0.95,
IF(AND((OR(ISNUMBER(SEARCH("beans",F79)),ISNUMBER(SEARCH("driedpeas",F79)),ISNUMBER(SEARCH("sugarbeet",F79)))=TRUE),ISNUMBER(SEARCH("osr",F84))=TRUE),0,
IF(AND((OR((ISNUMBER(SEARCH("wheat",F79))),ISNUMBER(SEARCH("linseed",F79)),ISNUMBER(SEARCH("driedpeas",F79)),ISNUMBER(SEARCH("osr",F79)))=TRUE),F84="sugarbeet"),0,
IF(AND((OR((ISNUMBER(SEARCH("osr",F79))),ISNUMBER(SEARCH("linseed",F79)))=TRUE),ISNUMBER(SEARCH("beans",F84))=TRUE),0,
IF(AND(F79="wosr",ISNUMBER(SEARCH("linseed",F84))=TRUE),0,
IF(AND(F79="sugarbeet",F84="warepotatoes"),0,
1)))))))))))
*IF(OR(ISNUMBER(SEARCH("wheat",F79)),ISNUMBER(SEARCH("barley",F79)),ISNUMBER(SEARCH("driedpeas",F79)),ISNUMBER(SEARCH("warepotatoes",F79)),ISNUMBER(SEARCH("osr",F79)),ISNUMBER(SEARCH("linseed",F79)),ISNUMBER(SEARCH("sugarbeet",F79))),
IF(COUNTIF(B74:B78,B79)=5,
INDEX('CFT Specific Data'!$G$24:$L$39,MATCH(F79,'CFT Specific Data'!$F$24:$F$39,0),IF(COUNTIF(F74:F78,F79)=5,6,IF(COUNTIF(F75:F78,F79)=4,5,IF(COUNTIF(F76:F78,F79)=3,4,IF(COUNTIF(F77:F78,F79)=2,3,IF(F78=F79,2,1)))))),
IF(COUNTIF(B74:B78,B79)=4,
INDEX('CFT Specific Data'!$G$24:$L$39,MATCH(F79,'CFT Specific Data'!$F$24:$F$39,0),IF(SUM(COUNTIF(F75:F78,F79),COUNTIF(F80,F79))=5,6,IF(COUNTIF(F75:F78,F79)=4,5,IF(COUNTIF(F76:F78,F79)=3,4,IF(COUNTIF(F77:F78,F79)=2,3,IF(F78=F79,2,1)))))),
IF(COUNTIF(B74:B78,B79)=3,
INDEX('CFT Specific Data'!$G$24:$L$39,MATCH(F79,'CFT Specific Data'!$F$24:$F$39,0),IF(SUM(COUNTIF(F76:F78,F79),COUNTIF(F80:F81,F79))=5,6,IF(SUM(COUNTIF(F76:F78,F79),COUNTIF(F81,F79))=4,5,IF(COUNTIF(F76:F78,F79)=3,4,IF(COUNTIF(F77:F78,F79)=2,3,IF(F78=F79,2,1)))))),
IF(COUNTIF(B74:B78,B79)=2,
INDEX('CFT Specific Data'!$G$24:$L$39,MATCH(F79,'CFT Specific Data'!$F$24:$F$39,0),IF(SUM(COUNTIF(F77:F78,F79),COUNTIF(F80:F82,F79))=5,6,IF(SUM(COUNTIF(F77:F78,F79),COUNTIF(F81:F82,F79))=4,5,IF(SUM(COUNTIF(F77:F78,F79),COUNTIF(F82,F79))=3,4,IF(COUNTIF(F77:F78,F79)=2,3,IF(F78=F79,2,1)))))),
IF(COUNTIF(B74:B78,B79)=1,
INDEX('CFT Specific Data'!$G$24:$L$39,MATCH(F79,'CFT Specific Data'!$F$24:$F$39,0),IF(SUM(COUNTIF(F78,F79),COUNTIF(F80:F83,F79))=5,6,IF(SUM(COUNTIF(F78,F79),COUNTIF(F81:F83,F79))=4,5,IF(SUM(COUNTIF(F78,F79),COUNTIF(F82:F83,F79))=3,4,IF(SUM(COUNTIF(F78,F79),COUNTIF(F83,F79))=2,3,IF(F78=F79,2,1)))))),
IF(COUNTIF(B74:B78,B79)=0,
INDEX('CFT Specific Data'!$G$24:$L$39,MATCH(F79,'CFT Specific Data'!$F$24:$F$39,0),IF(COUNTIF(F80:F84,F79)=5,6,IF(COUNTIF(F81:F84,F79)=4,5,IF(COUNTIF(F82:F84,F79)=3,4,IF(COUNTIF(F83:F84,F79)=2,3,IF(F84=F79,2,1)))))))))))),1)</f>
        <v>12.6</v>
      </c>
      <c r="I79" s="210" t="s">
        <v>348</v>
      </c>
      <c r="J79">
        <v>10</v>
      </c>
      <c r="K79" s="210" t="str">
        <f>VLOOKUP(F79,'CFT Specific Data'!$F$4:$G$19,2,FALSE)</f>
        <v>Other</v>
      </c>
      <c r="L79" t="str">
        <f t="shared" si="8"/>
        <v>Medium</v>
      </c>
      <c r="M79">
        <f t="shared" si="9"/>
        <v>4.4720000000000004</v>
      </c>
      <c r="N79" t="str">
        <f t="shared" si="10"/>
        <v>1.72 &lt; SOM &lt;= 5.16</v>
      </c>
      <c r="O79" t="s">
        <v>349</v>
      </c>
      <c r="P79" t="s">
        <v>350</v>
      </c>
      <c r="Q79">
        <v>7</v>
      </c>
      <c r="R79" t="str">
        <f t="shared" si="6"/>
        <v>5.5 &lt; pH &lt;= 7.3</v>
      </c>
      <c r="S79" t="s">
        <v>351</v>
      </c>
      <c r="T79" s="210">
        <f t="array" ref="T79">_xlfn.SINGLE(INDEX('Focus Data NFertiliser Rate'!$D$4:$P$19,MATCH(F79,'Focus Data NFertiliser Rate'!$C$4:$C$19,0),_xlfn.SINGLE(_xlfn.IFS(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80</v>
      </c>
      <c r="U79" t="str">
        <f t="shared" si="11"/>
        <v>Apply in solution</v>
      </c>
      <c r="V79" s="210">
        <f t="array" ref="V79">_xlfn.SINGLE(INDEX('№ Fertiliser sprayings'!$D$4:$P$19,MATCH(F79,'№ Fertiliser sprayings'!$C$4:$C$19,0),_xlfn.SINGLE(_xlfn.IFS(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1</v>
      </c>
      <c r="W79" s="264">
        <f t="array" ref="W79">_xlfn.SINGLE(INDEX('Focus Data CFT NSpraying'!$D$4:$P$19,MATCH(F79,'Focus Data CFT NSpraying'!$C$4:$C$19,0),_xlfn.SINGLE(_xlfn.IFS(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11.246</v>
      </c>
      <c r="X79" t="s">
        <v>363</v>
      </c>
      <c r="Y79">
        <v>0</v>
      </c>
      <c r="Z79">
        <v>100</v>
      </c>
      <c r="AA79" t="s">
        <v>352</v>
      </c>
      <c r="AB79" s="226" t="str">
        <f>IF(B79=B78,_xlfn.IFS(
AND(AA79=Lists!$L$8,AA78=Lists!$L$8),Lists!$N$5,
AND(OR(AA79=Lists!$L$5,AA79=Lists!$L$7,AA79=Lists!$L$9,AA79=Lists!$L$10,AA79=Lists!$L$6),OR(AA78=Lists!$L$5,AA78=Lists!$L$7,AA78=Lists!$L$9,AA78=Lists!$L$10,AA78=Lists!$L$6)),Lists!$N$5,
AND(AA79=Lists!$L$8,OR(AA78=Lists!$L$5,AA78=Lists!$L$7,AA78=Lists!$L$9,AA78=Lists!$L$10,AA78=Lists!$L$6)),Lists!$N$6,
AND(OR(AA79=Lists!$L$5,AA79=Lists!$L$6,AA79=Lists!$L$7,AA79=Lists!$L$9,AA79=Lists!$L$10),AA78=Lists!$L$8),Lists!$N$7),
_xlfn.IFS(
AND(AA79=Lists!$L$8,AA84=Lists!$L$8),Lists!$N$5,
AND(OR(AA79=Lists!$L$5,AA79=Lists!$L$7,AA79=Lists!$L$9,AA79=Lists!$L$10,AA79=Lists!$L$6),OR(AA84=Lists!$L$5,AA84=Lists!$L$7,AA84=Lists!$L$9,AA84=Lists!$L$10,AA84=Lists!$L$6)),Lists!$N$5,
AND(AA79=Lists!$L$8,OR(AA84=Lists!$L$5,AA84=Lists!$L$7,AA84=Lists!$L$9,AA84=Lists!$L$10,AA84=Lists!$L$6)),Lists!$N$6,
AND(OR(AA79=Lists!$L$5,AA79=Lists!$L$7,AA79=Lists!$L$9,AA79=Lists!$L$10),AA84=Lists!$L$8),Lists!$N$7))</f>
        <v>no change</v>
      </c>
      <c r="AC79">
        <v>0</v>
      </c>
      <c r="AD79">
        <v>0</v>
      </c>
      <c r="AE79" s="102">
        <f t="array" ref="AE79">IF(OR(ISNUMBER(SEARCH("heavy",A79))=TRUE, ISNUMBER(SEARCH("medium",A79))=TRUE),
(LEN(_xlfn.SINGLE(
INDEX('Focus Data Tillage by farm'!$D$4:$P$9,MATCH(D79,'Focus Data Tillage by farm'!$C$4:$C$9,0),_xlfn.SINGLE(_xlfn.IFS(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-LEN(SUBSTITUTE(_xlfn.SINGLE(
INDEX('Focus Data Tillage by farm'!$D$4:$P$9,MATCH(D79,'Focus Data Tillage by farm'!$C$4:$C$9,0),_xlfn.SINGLE(_xlfn.IFS(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"disc","")))/LEN("disc"),
(LEN(_xlfn.SINGLE(
INDEX('Focus Data Tillage by farm'!$D$12:$P$17,MATCH(D79,'Focus Data Tillage by farm'!$C$12:$C$17,0),_xlfn.SINGLE(_xlfn.IFS(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-LEN(SUBSTITUTE(_xlfn.SINGLE(
INDEX('Focus Data Tillage by farm'!$D$12:$P$17,MATCH(D79,'Focus Data Tillage by farm'!$C$12:$C$17,0),_xlfn.SINGLE(_xlfn.IFS(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"disc","")))/LEN("disc"))</f>
        <v>3</v>
      </c>
      <c r="AF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"field cultivator","")))/LEN("field cultivator"),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"field cultivator","")))/LEN("field cultivator"))</f>
        <v>0</v>
      </c>
      <c r="AG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"grain drill","")))/LEN("grain drill"),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"grain drill","")))/LEN("grain drill"))</f>
        <v>0</v>
      </c>
      <c r="AH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"minimum tillage","")))/LEN("minimum tillage"),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"minimum tillage","")))/LEN("minimum tillage"))</f>
        <v>1</v>
      </c>
      <c r="AI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"row crop planter","")))/LEN("row crop planter"),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"row crop planter","")))/LEN("row crop planter"))</f>
        <v>0</v>
      </c>
      <c r="AJ79" s="102">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"plough","")))/LEN("plough"),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"plough","")))/LEN("plough"))</f>
        <v>0</v>
      </c>
      <c r="AK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harrow","")))/LEN("roller harrow"),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harrow","")))/LEN("roller harrow"))</f>
        <v>0</v>
      </c>
      <c r="AL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packer","")))/LEN("roller packer"),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"roller packer","")))/LEN("roller packer"))</f>
        <v>2</v>
      </c>
      <c r="AM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"rotary hoe","")))/LEN("rotary hoe"),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"rotary hoe","")))/LEN("rotary hoe"))</f>
        <v>0</v>
      </c>
      <c r="AN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"subsoil","")))/LEN("subsoil"),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"subsoil","")))/LEN("subsoil"))</f>
        <v>0</v>
      </c>
      <c r="AO79">
        <f>IF(OR(ISNUMBER(SEARCH("heavy",A79))=TRUE, ISNUMBER(SEARCH("medium",A79))=TRUE),
(LEN(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farm'!$D$4:$P$9,MATCH(D79,'Focus Data Tillage by farm'!$C$4:$C$9,0),_xlfn.IFS(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"tine harrow","")))/LEN("tine harrow"),
(LEN(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-LEN(SUBSTITUTE(
INDEX('Focus Data Tillage by farm'!$D$12:$P$17,MATCH(D79,'Focus Data Tillage by farm'!$C$12:$C$17,0),_xlfn.IFS(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
"tine harrow","")))/LEN("tine harrow"))</f>
        <v>0</v>
      </c>
      <c r="AP79" s="102">
        <f>INDEX('Focus Data NSpraying'!$D$4:$P$19,MATCH(F79,'Focus Data NSpraying'!$C$4:$C$19,0),_xlfn.IFS(
AND(ISNUMBER(SEARCH("H-Dsty.",A79))=TRUE,ISNUMBER(SEARCH("H-Res",A79))=TRUE,ISNUMBER(SEARCH("E.",A79))=TRUE),1,
AND(ISNUMBER(SEARCH("H-Dsty.",A79))=TRUE,ISNUMBER(SEARCH("H-Res",A79))=TRUE,OR(ISNUMBER(SEARCH("N.he",A79))=TRUE,ISNUMBER(SEARCH("N.me",A79))=TRUE,ISNUMBER(SEARCH("N.li",A79))=TRUE)),2,
AND(ISNUMBER(SEARCH("H-Dsty.",A79))=TRUE,ISNUMBER(SEARCH("H-Res",A79))=TRUE,ISNUMBER(SEARCH("C.",A79))=TRUE),3,
AND(ISNUMBER(SEARCH("L-Dsty.",A79))=TRUE,ISNUMBER(SEARCH("H-Res",A79))=TRUE,ISNUMBER(SEARCH("E.",A79))=TRUE),6,
AND(ISNUMBER(SEARCH("L-Dsty.",A79))=TRUE,ISNUMBER(SEARCH("H-Res",A79))=TRUE,OR(ISNUMBER(SEARCH("N.he",A79))=TRUE,ISNUMBER(SEARCH("N.me",A79))=TRUE,ISNUMBER(SEARCH("N.li",A79))=TRUE)),7,
AND(ISNUMBER(SEARCH("L-Dsty.",A79))=TRUE,ISNUMBER(SEARCH("H-Res",A79))=TRUE,ISNUMBER(SEARCH("C.",A79))=TRUE),8,
AND(ISNUMBER(SEARCH("L-Dsty.",A79))=TRUE,ISNUMBER(SEARCH("L-Res",A79))=TRUE,ISNUMBER(SEARCH("E.",A79))=TRUE),11,
AND(ISNUMBER(SEARCH("L-Dsty.",A79))=TRUE,ISNUMBER(SEARCH("L-Res",A79))=TRUE,OR(ISNUMBER(SEARCH("N.he",A79))=TRUE,ISNUMBER(SEARCH("N.me",A79))=TRUE,ISNUMBER(SEARCH("N.li",A79))=TRUE)),12,
AND(ISNUMBER(SEARCH("L-Dsty.",A79))=TRUE,ISNUMBER(SEARCH("L-Res",A79))=TRUE,ISNUMBER(SEARCH("C.",A79))=TRUE),13))</f>
        <v>5</v>
      </c>
    </row>
    <row r="80" spans="1:42" x14ac:dyDescent="0.2">
      <c r="A80" t="s">
        <v>506</v>
      </c>
      <c r="B80" s="210" t="str">
        <f t="array" ref="B80">INDEX(ECOMOD_input_estimate!$A$2:$A$55, MATCH(CFT_input!$A80, ECOMOD_input_estimate!$B:$B, 0))</f>
        <v>FF_11.4</v>
      </c>
      <c r="C80" s="210">
        <v>2020</v>
      </c>
      <c r="D80" s="395" t="s">
        <v>731</v>
      </c>
      <c r="E80" s="210" t="str">
        <f t="shared" si="7"/>
        <v>E.medium.L-Dsty.H-Res</v>
      </c>
      <c r="F80" s="210" t="str">
        <f t="array" ref="F80">_xlfn.SINGLE(IF(OR(ISNUMBER(SEARCH("heavy",A80))=TRUE,ISNUMBER(SEARCH("medium",A80))=TRUE),
INDEX('Focus Data Crop Rotations'!$D$4:$P$9,MATCH(D80,'Focus Data Crop Rotations'!$C$4:$C$9,0),_xlfn.SINGLE(_xlfn.IFS(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INDEX('Focus Data Crop Rotations'!$D$12:$P$17,MATCH(D80,'Focus Data Crop Rotations'!$C$12:$C$17,0),_xlfn.SINGLE(_xlfn.IFS(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winterwheat</v>
      </c>
      <c r="G80">
        <v>7.2</v>
      </c>
      <c r="H80" s="227">
        <f>VLOOKUP(F80,'CFT Specific Data'!$F$4:$H$19,3,FALSE)*G80*
IF(B80=B79,
IF(AND(ISNUMBER(SEARCH("wheat",F80))=TRUE,ISNUMBER(SEARCH("Barley",F79))=TRUE),0.89,
IF(AND(ISNUMBER(SEARCH("wheat",F80))=TRUE,F79="setaside"),0.94,
IF(AND(ISNUMBER(SEARCH("barley",F80))=TRUE,ISNUMBER(SEARCH("wheat",F79))=TRUE),0.89,
IF(AND(F80="winterbarley",F79="setaside"),0.94,
IF(AND(F80="sugarbeet",F79="warepotatoes"),0.95,
IF(AND((OR(ISNUMBER(SEARCH("beans",F80)),ISNUMBER(SEARCH("driedpeas",F80)),ISNUMBER(SEARCH("sugarbeet",F80)))=TRUE),ISNUMBER(SEARCH("osr",F79))=TRUE),0,
IF(AND((OR((ISNUMBER(SEARCH("wheat",F80))),ISNUMBER(SEARCH("linseed",F80)),ISNUMBER(SEARCH("driedpeas",F80)),ISNUMBER(SEARCH("osr",F80)))=TRUE),F79="sugarbeet"),0,
IF(AND((OR((ISNUMBER(SEARCH("osr",F80))),ISNUMBER(SEARCH("linseed",F80)))=TRUE),ISNUMBER(SEARCH("beans",F79))=TRUE),0,
IF(AND(F80="wosr",ISNUMBER(SEARCH("linseed",F79))=TRUE),0,
IF(AND(F80="sugarbeet",F79="warepotatoes"),0,
1)))))))))),
IF(AND(ISNUMBER(SEARCH("wheat",F80))=TRUE,ISNUMBER(SEARCH("Barley",F85))=TRUE),0.89,
IF(AND(ISNUMBER(SEARCH("wheat",F80))=TRUE,F85="setaside"),0.94,
IF(AND(ISNUMBER(SEARCH("barley",F80))=TRUE,ISNUMBER(SEARCH("wheat",F85))=TRUE),0.89,
IF(AND(F80="winterbarley",F85="setaside"),0.94,
IF(AND(F80="sugarbeet",F85="warepotatoes"),0.95,
IF(AND((OR(ISNUMBER(SEARCH("beans",F80)),ISNUMBER(SEARCH("driedpeas",F80)),ISNUMBER(SEARCH("sugarbeet",F80)))=TRUE),ISNUMBER(SEARCH("osr",F85))=TRUE),0,
IF(AND((OR((ISNUMBER(SEARCH("wheat",F80))),ISNUMBER(SEARCH("linseed",F80)),ISNUMBER(SEARCH("driedpeas",F80)),ISNUMBER(SEARCH("osr",F80)))=TRUE),F85="sugarbeet"),0,
IF(AND((OR((ISNUMBER(SEARCH("osr",F80))),ISNUMBER(SEARCH("linseed",F80)))=TRUE),ISNUMBER(SEARCH("beans",F85))=TRUE),0,
IF(AND(F80="wosr",ISNUMBER(SEARCH("linseed",F85))=TRUE),0,
IF(AND(F80="sugarbeet",F85="warepotatoes"),0,
1)))))))))))
*IF(OR(ISNUMBER(SEARCH("wheat",F80)),ISNUMBER(SEARCH("barley",F80)),ISNUMBER(SEARCH("driedpeas",F80)),ISNUMBER(SEARCH("warepotatoes",F80)),ISNUMBER(SEARCH("osr",F80)),ISNUMBER(SEARCH("linseed",F80)),ISNUMBER(SEARCH("sugarbeet",F80))),
IF(COUNTIF(B75:B79,B80)=5,
INDEX('CFT Specific Data'!$G$24:$L$39,MATCH(F80,'CFT Specific Data'!$F$24:$F$39,0),IF(COUNTIF(F75:F79,F80)=5,6,IF(COUNTIF(F76:F79,F80)=4,5,IF(COUNTIF(F77:F79,F80)=3,4,IF(COUNTIF(F78:F79,F80)=2,3,IF(F79=F80,2,1)))))),
IF(COUNTIF(B75:B79,B80)=4,
INDEX('CFT Specific Data'!$G$24:$L$39,MATCH(F80,'CFT Specific Data'!$F$24:$F$39,0),IF(SUM(COUNTIF(F76:F79,F80),COUNTIF(F81,F80))=5,6,IF(COUNTIF(F76:F79,F80)=4,5,IF(COUNTIF(F77:F79,F80)=3,4,IF(COUNTIF(F78:F79,F80)=2,3,IF(F79=F80,2,1)))))),
IF(COUNTIF(B75:B79,B80)=3,
INDEX('CFT Specific Data'!$G$24:$L$39,MATCH(F80,'CFT Specific Data'!$F$24:$F$39,0),IF(SUM(COUNTIF(F77:F79,F80),COUNTIF(F81:F82,F80))=5,6,IF(SUM(COUNTIF(F77:F79,F80),COUNTIF(F82,F80))=4,5,IF(COUNTIF(F77:F79,F80)=3,4,IF(COUNTIF(F78:F79,F80)=2,3,IF(F79=F80,2,1)))))),
IF(COUNTIF(B75:B79,B80)=2,
INDEX('CFT Specific Data'!$G$24:$L$39,MATCH(F80,'CFT Specific Data'!$F$24:$F$39,0),IF(SUM(COUNTIF(F78:F79,F80),COUNTIF(F81:F83,F80))=5,6,IF(SUM(COUNTIF(F78:F79,F80),COUNTIF(F82:F83,F80))=4,5,IF(SUM(COUNTIF(F78:F79,F80),COUNTIF(F83,F80))=3,4,IF(COUNTIF(F78:F79,F80)=2,3,IF(F79=F80,2,1)))))),
IF(COUNTIF(B75:B79,B80)=1,
INDEX('CFT Specific Data'!$G$24:$L$39,MATCH(F80,'CFT Specific Data'!$F$24:$F$39,0),IF(SUM(COUNTIF(F79,F80),COUNTIF(F81:F84,F80))=5,6,IF(SUM(COUNTIF(F79,F80),COUNTIF(F82:F84,F80))=4,5,IF(SUM(COUNTIF(F79,F80),COUNTIF(F83:F84,F80))=3,4,IF(SUM(COUNTIF(F79,F80),COUNTIF(F84,F80))=2,3,IF(F79=F80,2,1)))))),
IF(COUNTIF(B75:B79,B80)=0,
INDEX('CFT Specific Data'!$G$24:$L$39,MATCH(F80,'CFT Specific Data'!$F$24:$F$39,0),IF(COUNTIF(F81:F85,F80)=5,6,IF(COUNTIF(F82:F85,F80)=4,5,IF(COUNTIF(F83:F85,F80)=3,4,IF(COUNTIF(F84:F85,F80)=2,3,IF(F85=F80,2,1)))))))))))),1)</f>
        <v>55.728000000000002</v>
      </c>
      <c r="I80" s="210" t="s">
        <v>348</v>
      </c>
      <c r="J80">
        <v>10</v>
      </c>
      <c r="K80" s="210" t="str">
        <f>VLOOKUP(F80,'CFT Specific Data'!$F$4:$G$19,2,FALSE)</f>
        <v>Winter wheat</v>
      </c>
      <c r="L80" t="str">
        <f t="shared" si="8"/>
        <v>Medium</v>
      </c>
      <c r="M80">
        <f t="shared" si="9"/>
        <v>4.4720000000000004</v>
      </c>
      <c r="N80" t="str">
        <f t="shared" si="10"/>
        <v>1.72 &lt; SOM &lt;= 5.16</v>
      </c>
      <c r="O80" t="s">
        <v>349</v>
      </c>
      <c r="P80" t="s">
        <v>350</v>
      </c>
      <c r="Q80">
        <v>7</v>
      </c>
      <c r="R80" t="str">
        <f t="shared" si="6"/>
        <v>5.5 &lt; pH &lt;= 7.3</v>
      </c>
      <c r="S80" t="s">
        <v>351</v>
      </c>
      <c r="T80" s="210">
        <f t="array" ref="T80">_xlfn.SINGLE(INDEX('Focus Data NFertiliser Rate'!$D$4:$P$19,MATCH(F80,'Focus Data NFertiliser Rate'!$C$4:$C$19,0),_xlfn.SINGLE(_xlfn.IFS(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240</v>
      </c>
      <c r="U80" t="str">
        <f t="shared" si="11"/>
        <v>Apply in solution</v>
      </c>
      <c r="V80" s="210">
        <f t="array" ref="V80">_xlfn.SINGLE(INDEX('№ Fertiliser sprayings'!$D$4:$P$19,MATCH(F80,'№ Fertiliser sprayings'!$C$4:$C$19,0),_xlfn.SINGLE(_xlfn.IFS(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3</v>
      </c>
      <c r="W80" s="264">
        <f t="array" ref="W80">_xlfn.SINGLE(INDEX('Focus Data CFT NSpraying'!$D$4:$P$19,MATCH(F80,'Focus Data CFT NSpraying'!$C$4:$C$19,0),_xlfn.SINGLE(_xlfn.IFS(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13.135999999999999</v>
      </c>
      <c r="X80" t="s">
        <v>363</v>
      </c>
      <c r="Y80">
        <v>0</v>
      </c>
      <c r="Z80">
        <v>100</v>
      </c>
      <c r="AA80" t="s">
        <v>352</v>
      </c>
      <c r="AB80" s="226" t="str">
        <f>IF(B80=B79,_xlfn.IFS(
AND(AA80=Lists!$L$8,AA79=Lists!$L$8),Lists!$N$5,
AND(OR(AA80=Lists!$L$5,AA80=Lists!$L$7,AA80=Lists!$L$9,AA80=Lists!$L$10,AA80=Lists!$L$6),OR(AA79=Lists!$L$5,AA79=Lists!$L$7,AA79=Lists!$L$9,AA79=Lists!$L$10,AA79=Lists!$L$6)),Lists!$N$5,
AND(AA80=Lists!$L$8,OR(AA79=Lists!$L$5,AA79=Lists!$L$7,AA79=Lists!$L$9,AA79=Lists!$L$10,AA79=Lists!$L$6)),Lists!$N$6,
AND(OR(AA80=Lists!$L$5,AA80=Lists!$L$6,AA80=Lists!$L$7,AA80=Lists!$L$9,AA80=Lists!$L$10),AA79=Lists!$L$8),Lists!$N$7),
_xlfn.IFS(
AND(AA80=Lists!$L$8,AA85=Lists!$L$8),Lists!$N$5,
AND(OR(AA80=Lists!$L$5,AA80=Lists!$L$7,AA80=Lists!$L$9,AA80=Lists!$L$10,AA80=Lists!$L$6),OR(AA85=Lists!$L$5,AA85=Lists!$L$7,AA85=Lists!$L$9,AA85=Lists!$L$10,AA85=Lists!$L$6)),Lists!$N$5,
AND(AA80=Lists!$L$8,OR(AA85=Lists!$L$5,AA85=Lists!$L$7,AA85=Lists!$L$9,AA85=Lists!$L$10,AA85=Lists!$L$6)),Lists!$N$6,
AND(OR(AA80=Lists!$L$5,AA80=Lists!$L$7,AA80=Lists!$L$9,AA80=Lists!$L$10),AA85=Lists!$L$8),Lists!$N$7))</f>
        <v>no change</v>
      </c>
      <c r="AC80">
        <v>0</v>
      </c>
      <c r="AD80">
        <v>0</v>
      </c>
      <c r="AE80" s="102">
        <f t="array" ref="AE80">IF(OR(ISNUMBER(SEARCH("heavy",A80))=TRUE, ISNUMBER(SEARCH("medium",A80))=TRUE),
(LEN(_xlfn.SINGLE(
INDEX('Focus Data Tillage by farm'!$D$4:$P$9,MATCH(D80,'Focus Data Tillage by farm'!$C$4:$C$9,0),_xlfn.SINGLE(_xlfn.IFS(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-LEN(SUBSTITUTE(_xlfn.SINGLE(
INDEX('Focus Data Tillage by farm'!$D$4:$P$9,MATCH(D80,'Focus Data Tillage by farm'!$C$4:$C$9,0),_xlfn.SINGLE(_xlfn.IFS(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"disc","")))/LEN("disc"),
(LEN(_xlfn.SINGLE(
INDEX('Focus Data Tillage by farm'!$D$12:$P$17,MATCH(D80,'Focus Data Tillage by farm'!$C$12:$C$17,0),_xlfn.SINGLE(_xlfn.IFS(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-LEN(SUBSTITUTE(_xlfn.SINGLE(
INDEX('Focus Data Tillage by farm'!$D$12:$P$17,MATCH(D80,'Focus Data Tillage by farm'!$C$12:$C$17,0),_xlfn.SINGLE(_xlfn.IFS(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"disc","")))/LEN("disc"))</f>
        <v>2</v>
      </c>
      <c r="AF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"field cultivator","")))/LEN("field cultivator"),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"field cultivator","")))/LEN("field cultivator"))</f>
        <v>0</v>
      </c>
      <c r="AG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"grain drill","")))/LEN("grain drill"),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"grain drill","")))/LEN("grain drill"))</f>
        <v>0</v>
      </c>
      <c r="AH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"minimum tillage","")))/LEN("minimum tillage"),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"minimum tillage","")))/LEN("minimum tillage"))</f>
        <v>1</v>
      </c>
      <c r="AI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"row crop planter","")))/LEN("row crop planter"),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"row crop planter","")))/LEN("row crop planter"))</f>
        <v>0</v>
      </c>
      <c r="AJ80" s="102">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"plough","")))/LEN("plough"),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"plough","")))/LEN("plough"))</f>
        <v>0</v>
      </c>
      <c r="AK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harrow","")))/LEN("roller harrow"),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harrow","")))/LEN("roller harrow"))</f>
        <v>0</v>
      </c>
      <c r="AL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packer","")))/LEN("roller packer"),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"roller packer","")))/LEN("roller packer"))</f>
        <v>2</v>
      </c>
      <c r="AM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"rotary hoe","")))/LEN("rotary hoe"),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"rotary hoe","")))/LEN("rotary hoe"))</f>
        <v>0</v>
      </c>
      <c r="AN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"subsoil","")))/LEN("subsoil"),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"subsoil","")))/LEN("subsoil"))</f>
        <v>0</v>
      </c>
      <c r="AO80">
        <f>IF(OR(ISNUMBER(SEARCH("heavy",A80))=TRUE, ISNUMBER(SEARCH("medium",A80))=TRUE),
(LEN(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farm'!$D$4:$P$9,MATCH(D80,'Focus Data Tillage by farm'!$C$4:$C$9,0),_xlfn.IFS(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"tine harrow","")))/LEN("tine harrow"),
(LEN(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-LEN(SUBSTITUTE(
INDEX('Focus Data Tillage by farm'!$D$12:$P$17,MATCH(D80,'Focus Data Tillage by farm'!$C$12:$C$17,0),_xlfn.IFS(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
"tine harrow","")))/LEN("tine harrow"))</f>
        <v>0</v>
      </c>
      <c r="AP80" s="102">
        <f>INDEX('Focus Data NSpraying'!$D$4:$P$19,MATCH(F80,'Focus Data NSpraying'!$C$4:$C$19,0),_xlfn.IFS(
AND(ISNUMBER(SEARCH("H-Dsty.",A80))=TRUE,ISNUMBER(SEARCH("H-Res",A80))=TRUE,ISNUMBER(SEARCH("E.",A80))=TRUE),1,
AND(ISNUMBER(SEARCH("H-Dsty.",A80))=TRUE,ISNUMBER(SEARCH("H-Res",A80))=TRUE,OR(ISNUMBER(SEARCH("N.he",A80))=TRUE,ISNUMBER(SEARCH("N.me",A80))=TRUE,ISNUMBER(SEARCH("N.li",A80))=TRUE)),2,
AND(ISNUMBER(SEARCH("H-Dsty.",A80))=TRUE,ISNUMBER(SEARCH("H-Res",A80))=TRUE,ISNUMBER(SEARCH("C.",A80))=TRUE),3,
AND(ISNUMBER(SEARCH("L-Dsty.",A80))=TRUE,ISNUMBER(SEARCH("H-Res",A80))=TRUE,ISNUMBER(SEARCH("E.",A80))=TRUE),6,
AND(ISNUMBER(SEARCH("L-Dsty.",A80))=TRUE,ISNUMBER(SEARCH("H-Res",A80))=TRUE,OR(ISNUMBER(SEARCH("N.he",A80))=TRUE,ISNUMBER(SEARCH("N.me",A80))=TRUE,ISNUMBER(SEARCH("N.li",A80))=TRUE)),7,
AND(ISNUMBER(SEARCH("L-Dsty.",A80))=TRUE,ISNUMBER(SEARCH("H-Res",A80))=TRUE,ISNUMBER(SEARCH("C.",A80))=TRUE),8,
AND(ISNUMBER(SEARCH("L-Dsty.",A80))=TRUE,ISNUMBER(SEARCH("L-Res",A80))=TRUE,ISNUMBER(SEARCH("E.",A80))=TRUE),11,
AND(ISNUMBER(SEARCH("L-Dsty.",A80))=TRUE,ISNUMBER(SEARCH("L-Res",A80))=TRUE,OR(ISNUMBER(SEARCH("N.he",A80))=TRUE,ISNUMBER(SEARCH("N.me",A80))=TRUE,ISNUMBER(SEARCH("N.li",A80))=TRUE)),12,
AND(ISNUMBER(SEARCH("L-Dsty.",A80))=TRUE,ISNUMBER(SEARCH("L-Res",A80))=TRUE,ISNUMBER(SEARCH("C.",A80))=TRUE),13))</f>
        <v>4</v>
      </c>
    </row>
    <row r="81" spans="1:42" x14ac:dyDescent="0.2">
      <c r="A81" t="s">
        <v>506</v>
      </c>
      <c r="B81" s="210" t="str">
        <f t="array" ref="B81">INDEX(ECOMOD_input_estimate!$A$2:$A$55, MATCH(CFT_input!$A81, ECOMOD_input_estimate!$B:$B, 0))</f>
        <v>FF_11.4</v>
      </c>
      <c r="C81" s="210">
        <v>2020</v>
      </c>
      <c r="D81" s="395" t="s">
        <v>730</v>
      </c>
      <c r="E81" s="210" t="str">
        <f t="shared" si="7"/>
        <v>E.medium.L-Dsty.H-Res</v>
      </c>
      <c r="F81" s="210" t="str">
        <f t="array" ref="F81">_xlfn.SINGLE(IF(OR(ISNUMBER(SEARCH("heavy",A81))=TRUE,ISNUMBER(SEARCH("medium",A81))=TRUE),
INDEX('Focus Data Crop Rotations'!$D$4:$P$9,MATCH(D81,'Focus Data Crop Rotations'!$C$4:$C$9,0),_xlfn.SINGLE(_xlfn.IFS(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INDEX('Focus Data Crop Rotations'!$D$12:$P$17,MATCH(D81,'Focus Data Crop Rotations'!$C$12:$C$17,0),_xlfn.SINGLE(_xlfn.IFS(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springbeans</v>
      </c>
      <c r="G81">
        <v>7.2</v>
      </c>
      <c r="H81" s="227">
        <f>VLOOKUP(F81,'CFT Specific Data'!$F$4:$H$19,3,FALSE)*G81*
IF(B81=B80,
IF(AND(ISNUMBER(SEARCH("wheat",F81))=TRUE,ISNUMBER(SEARCH("Barley",F80))=TRUE),0.89,
IF(AND(ISNUMBER(SEARCH("wheat",F81))=TRUE,F80="setaside"),0.94,
IF(AND(ISNUMBER(SEARCH("barley",F81))=TRUE,ISNUMBER(SEARCH("wheat",F80))=TRUE),0.89,
IF(AND(F81="winterbarley",F80="setaside"),0.94,
IF(AND(F81="sugarbeet",F80="warepotatoes"),0.95,
IF(AND((OR(ISNUMBER(SEARCH("beans",F81)),ISNUMBER(SEARCH("driedpeas",F81)),ISNUMBER(SEARCH("sugarbeet",F81)))=TRUE),ISNUMBER(SEARCH("osr",F80))=TRUE),0,
IF(AND((OR((ISNUMBER(SEARCH("wheat",F81))),ISNUMBER(SEARCH("linseed",F81)),ISNUMBER(SEARCH("driedpeas",F81)),ISNUMBER(SEARCH("osr",F81)))=TRUE),F80="sugarbeet"),0,
IF(AND((OR((ISNUMBER(SEARCH("osr",F81))),ISNUMBER(SEARCH("linseed",F81)))=TRUE),ISNUMBER(SEARCH("beans",F80))=TRUE),0,
IF(AND(F81="wosr",ISNUMBER(SEARCH("linseed",F80))=TRUE),0,
IF(AND(F81="sugarbeet",F80="warepotatoes"),0,
1)))))))))),
IF(AND(ISNUMBER(SEARCH("wheat",F81))=TRUE,ISNUMBER(SEARCH("Barley",F86))=TRUE),0.89,
IF(AND(ISNUMBER(SEARCH("wheat",F81))=TRUE,F86="setaside"),0.94,
IF(AND(ISNUMBER(SEARCH("barley",F81))=TRUE,ISNUMBER(SEARCH("wheat",F86))=TRUE),0.89,
IF(AND(F81="winterbarley",F86="setaside"),0.94,
IF(AND(F81="sugarbeet",F86="warepotatoes"),0.95,
IF(AND((OR(ISNUMBER(SEARCH("beans",F81)),ISNUMBER(SEARCH("driedpeas",F81)),ISNUMBER(SEARCH("sugarbeet",F81)))=TRUE),ISNUMBER(SEARCH("osr",F86))=TRUE),0,
IF(AND((OR((ISNUMBER(SEARCH("wheat",F81))),ISNUMBER(SEARCH("linseed",F81)),ISNUMBER(SEARCH("driedpeas",F81)),ISNUMBER(SEARCH("osr",F81)))=TRUE),F86="sugarbeet"),0,
IF(AND((OR((ISNUMBER(SEARCH("osr",F81))),ISNUMBER(SEARCH("linseed",F81)))=TRUE),ISNUMBER(SEARCH("beans",F86))=TRUE),0,
IF(AND(F81="wosr",ISNUMBER(SEARCH("linseed",F86))=TRUE),0,
IF(AND(F81="sugarbeet",F86="warepotatoes"),0,
1)))))))))))
*IF(OR(ISNUMBER(SEARCH("wheat",F81)),ISNUMBER(SEARCH("barley",F81)),ISNUMBER(SEARCH("driedpeas",F81)),ISNUMBER(SEARCH("warepotatoes",F81)),ISNUMBER(SEARCH("osr",F81)),ISNUMBER(SEARCH("linseed",F81)),ISNUMBER(SEARCH("sugarbeet",F81))),
IF(COUNTIF(B76:B80,B81)=5,
INDEX('CFT Specific Data'!$G$24:$L$39,MATCH(F81,'CFT Specific Data'!$F$24:$F$39,0),IF(COUNTIF(F76:F80,F81)=5,6,IF(COUNTIF(F77:F80,F81)=4,5,IF(COUNTIF(F78:F80,F81)=3,4,IF(COUNTIF(F79:F80,F81)=2,3,IF(F80=F81,2,1)))))),
IF(COUNTIF(B76:B80,B81)=4,
INDEX('CFT Specific Data'!$G$24:$L$39,MATCH(F81,'CFT Specific Data'!$F$24:$F$39,0),IF(SUM(COUNTIF(F77:F80,F81),COUNTIF(F82,F81))=5,6,IF(COUNTIF(F77:F80,F81)=4,5,IF(COUNTIF(F78:F80,F81)=3,4,IF(COUNTIF(F79:F80,F81)=2,3,IF(F80=F81,2,1)))))),
IF(COUNTIF(B76:B80,B81)=3,
INDEX('CFT Specific Data'!$G$24:$L$39,MATCH(F81,'CFT Specific Data'!$F$24:$F$39,0),IF(SUM(COUNTIF(F78:F80,F81),COUNTIF(F82:F83,F81))=5,6,IF(SUM(COUNTIF(F78:F80,F81),COUNTIF(F83,F81))=4,5,IF(COUNTIF(F78:F80,F81)=3,4,IF(COUNTIF(F79:F80,F81)=2,3,IF(F80=F81,2,1)))))),
IF(COUNTIF(B76:B80,B81)=2,
INDEX('CFT Specific Data'!$G$24:$L$39,MATCH(F81,'CFT Specific Data'!$F$24:$F$39,0),IF(SUM(COUNTIF(F79:F80,F81),COUNTIF(F82:F84,F81))=5,6,IF(SUM(COUNTIF(F79:F80,F81),COUNTIF(F83:F84,F81))=4,5,IF(SUM(COUNTIF(F79:F80,F81),COUNTIF(F84,F81))=3,4,IF(COUNTIF(F79:F80,F81)=2,3,IF(F80=F81,2,1)))))),
IF(COUNTIF(B76:B80,B81)=1,
INDEX('CFT Specific Data'!$G$24:$L$39,MATCH(F81,'CFT Specific Data'!$F$24:$F$39,0),IF(SUM(COUNTIF(F80,F81),COUNTIF(F82:F85,F81))=5,6,IF(SUM(COUNTIF(F80,F81),COUNTIF(F83:F85,F81))=4,5,IF(SUM(COUNTIF(F80,F81),COUNTIF(F84:F85,F81))=3,4,IF(SUM(COUNTIF(F80,F81),COUNTIF(F85,F81))=2,3,IF(F80=F81,2,1)))))),
IF(COUNTIF(B76:B80,B81)=0,
INDEX('CFT Specific Data'!$G$24:$L$39,MATCH(F81,'CFT Specific Data'!$F$24:$F$39,0),IF(COUNTIF(F82:F86,F81)=5,6,IF(COUNTIF(F83:F86,F81)=4,5,IF(COUNTIF(F84:F86,F81)=3,4,IF(COUNTIF(F85:F86,F81)=2,3,IF(F86=F81,2,1)))))))))))),1)</f>
        <v>28.08</v>
      </c>
      <c r="I81" s="210" t="s">
        <v>348</v>
      </c>
      <c r="J81">
        <v>10</v>
      </c>
      <c r="K81" s="210" t="str">
        <f>VLOOKUP(F81,'CFT Specific Data'!$F$4:$G$19,2,FALSE)</f>
        <v>Other legume</v>
      </c>
      <c r="L81" t="str">
        <f t="shared" si="8"/>
        <v>Medium</v>
      </c>
      <c r="M81">
        <f t="shared" si="9"/>
        <v>4.4720000000000004</v>
      </c>
      <c r="N81" t="str">
        <f t="shared" si="10"/>
        <v>1.72 &lt; SOM &lt;= 5.16</v>
      </c>
      <c r="O81" t="s">
        <v>349</v>
      </c>
      <c r="P81" t="s">
        <v>350</v>
      </c>
      <c r="Q81">
        <v>7</v>
      </c>
      <c r="R81" t="str">
        <f t="shared" si="6"/>
        <v>5.5 &lt; pH &lt;= 7.3</v>
      </c>
      <c r="S81" t="s">
        <v>351</v>
      </c>
      <c r="T81" s="210">
        <f t="array" ref="T81">_xlfn.SINGLE(INDEX('Focus Data NFertiliser Rate'!$D$4:$P$19,MATCH(F81,'Focus Data NFertiliser Rate'!$C$4:$C$19,0),_xlfn.SINGLE(_xlfn.IFS(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0</v>
      </c>
      <c r="U81">
        <f t="shared" si="11"/>
        <v>0</v>
      </c>
      <c r="V81" s="210">
        <f t="array" ref="V81">_xlfn.SINGLE(INDEX('№ Fertiliser sprayings'!$D$4:$P$19,MATCH(F81,'№ Fertiliser sprayings'!$C$4:$C$19,0),_xlfn.SINGLE(_xlfn.IFS(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0</v>
      </c>
      <c r="W81" s="264">
        <f t="array" ref="W81">_xlfn.SINGLE(INDEX('Focus Data CFT NSpraying'!$D$4:$P$19,MATCH(F81,'Focus Data CFT NSpraying'!$C$4:$C$19,0),_xlfn.SINGLE(_xlfn.IFS(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9.3362999999999996</v>
      </c>
      <c r="X81" t="s">
        <v>363</v>
      </c>
      <c r="Y81">
        <v>0</v>
      </c>
      <c r="Z81">
        <v>100</v>
      </c>
      <c r="AA81" t="s">
        <v>352</v>
      </c>
      <c r="AB81" s="226" t="str">
        <f>IF(B81=B80,_xlfn.IFS(
AND(AA81=Lists!$L$8,AA80=Lists!$L$8),Lists!$N$5,
AND(OR(AA81=Lists!$L$5,AA81=Lists!$L$7,AA81=Lists!$L$9,AA81=Lists!$L$10,AA81=Lists!$L$6),OR(AA80=Lists!$L$5,AA80=Lists!$L$7,AA80=Lists!$L$9,AA80=Lists!$L$10,AA80=Lists!$L$6)),Lists!$N$5,
AND(AA81=Lists!$L$8,OR(AA80=Lists!$L$5,AA80=Lists!$L$7,AA80=Lists!$L$9,AA80=Lists!$L$10,AA80=Lists!$L$6)),Lists!$N$6,
AND(OR(AA81=Lists!$L$5,AA81=Lists!$L$6,AA81=Lists!$L$7,AA81=Lists!$L$9,AA81=Lists!$L$10),AA80=Lists!$L$8),Lists!$N$7),
_xlfn.IFS(
AND(AA81=Lists!$L$8,AA86=Lists!$L$8),Lists!$N$5,
AND(OR(AA81=Lists!$L$5,AA81=Lists!$L$7,AA81=Lists!$L$9,AA81=Lists!$L$10,AA81=Lists!$L$6),OR(AA86=Lists!$L$5,AA86=Lists!$L$7,AA86=Lists!$L$9,AA86=Lists!$L$10,AA86=Lists!$L$6)),Lists!$N$5,
AND(AA81=Lists!$L$8,OR(AA86=Lists!$L$5,AA86=Lists!$L$7,AA86=Lists!$L$9,AA86=Lists!$L$10,AA86=Lists!$L$6)),Lists!$N$6,
AND(OR(AA81=Lists!$L$5,AA81=Lists!$L$7,AA81=Lists!$L$9,AA81=Lists!$L$10),AA86=Lists!$L$8),Lists!$N$7))</f>
        <v>no change</v>
      </c>
      <c r="AC81">
        <v>0</v>
      </c>
      <c r="AD81">
        <v>0</v>
      </c>
      <c r="AE81" s="102">
        <f t="array" ref="AE81">IF(OR(ISNUMBER(SEARCH("heavy",A81))=TRUE, ISNUMBER(SEARCH("medium",A81))=TRUE),
(LEN(_xlfn.SINGLE(
INDEX('Focus Data Tillage by farm'!$D$4:$P$9,MATCH(D81,'Focus Data Tillage by farm'!$C$4:$C$9,0),_xlfn.SINGLE(_xlfn.IFS(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-LEN(SUBSTITUTE(_xlfn.SINGLE(
INDEX('Focus Data Tillage by farm'!$D$4:$P$9,MATCH(D81,'Focus Data Tillage by farm'!$C$4:$C$9,0),_xlfn.SINGLE(_xlfn.IFS(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"disc","")))/LEN("disc"),
(LEN(_xlfn.SINGLE(
INDEX('Focus Data Tillage by farm'!$D$12:$P$17,MATCH(D81,'Focus Data Tillage by farm'!$C$12:$C$17,0),_xlfn.SINGLE(_xlfn.IFS(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-LEN(SUBSTITUTE(_xlfn.SINGLE(
INDEX('Focus Data Tillage by farm'!$D$12:$P$17,MATCH(D81,'Focus Data Tillage by farm'!$C$12:$C$17,0),_xlfn.SINGLE(_xlfn.IFS(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"disc","")))/LEN("disc"))</f>
        <v>3</v>
      </c>
      <c r="AF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"field cultivator","")))/LEN("field cultivator"),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"field cultivator","")))/LEN("field cultivator"))</f>
        <v>0</v>
      </c>
      <c r="AG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"grain drill","")))/LEN("grain drill"),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"grain drill","")))/LEN("grain drill"))</f>
        <v>0</v>
      </c>
      <c r="AH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"minimum tillage","")))/LEN("minimum tillage"),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"minimum tillage","")))/LEN("minimum tillage"))</f>
        <v>1</v>
      </c>
      <c r="AI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"row crop planter","")))/LEN("row crop planter"),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"row crop planter","")))/LEN("row crop planter"))</f>
        <v>0</v>
      </c>
      <c r="AJ81" s="102">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"plough","")))/LEN("plough"),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"plough","")))/LEN("plough"))</f>
        <v>0</v>
      </c>
      <c r="AK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harrow","")))/LEN("roller harrow"),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harrow","")))/LEN("roller harrow"))</f>
        <v>0</v>
      </c>
      <c r="AL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packer","")))/LEN("roller packer"),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"roller packer","")))/LEN("roller packer"))</f>
        <v>2</v>
      </c>
      <c r="AM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"rotary hoe","")))/LEN("rotary hoe"),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"rotary hoe","")))/LEN("rotary hoe"))</f>
        <v>0</v>
      </c>
      <c r="AN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"subsoil","")))/LEN("subsoil"),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"subsoil","")))/LEN("subsoil"))</f>
        <v>1</v>
      </c>
      <c r="AO81">
        <f>IF(OR(ISNUMBER(SEARCH("heavy",A81))=TRUE, ISNUMBER(SEARCH("medium",A81))=TRUE),
(LEN(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farm'!$D$4:$P$9,MATCH(D81,'Focus Data Tillage by farm'!$C$4:$C$9,0),_xlfn.IFS(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"tine harrow","")))/LEN("tine harrow"),
(LEN(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-LEN(SUBSTITUTE(
INDEX('Focus Data Tillage by farm'!$D$12:$P$17,MATCH(D81,'Focus Data Tillage by farm'!$C$12:$C$17,0),_xlfn.IFS(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
"tine harrow","")))/LEN("tine harrow"))</f>
        <v>0</v>
      </c>
      <c r="AP81" s="102">
        <f>INDEX('Focus Data NSpraying'!$D$4:$P$19,MATCH(F81,'Focus Data NSpraying'!$C$4:$C$19,0),_xlfn.IFS(
AND(ISNUMBER(SEARCH("H-Dsty.",A81))=TRUE,ISNUMBER(SEARCH("H-Res",A81))=TRUE,ISNUMBER(SEARCH("E.",A81))=TRUE),1,
AND(ISNUMBER(SEARCH("H-Dsty.",A81))=TRUE,ISNUMBER(SEARCH("H-Res",A81))=TRUE,OR(ISNUMBER(SEARCH("N.he",A81))=TRUE,ISNUMBER(SEARCH("N.me",A81))=TRUE,ISNUMBER(SEARCH("N.li",A81))=TRUE)),2,
AND(ISNUMBER(SEARCH("H-Dsty.",A81))=TRUE,ISNUMBER(SEARCH("H-Res",A81))=TRUE,ISNUMBER(SEARCH("C.",A81))=TRUE),3,
AND(ISNUMBER(SEARCH("L-Dsty.",A81))=TRUE,ISNUMBER(SEARCH("H-Res",A81))=TRUE,ISNUMBER(SEARCH("E.",A81))=TRUE),6,
AND(ISNUMBER(SEARCH("L-Dsty.",A81))=TRUE,ISNUMBER(SEARCH("H-Res",A81))=TRUE,OR(ISNUMBER(SEARCH("N.he",A81))=TRUE,ISNUMBER(SEARCH("N.me",A81))=TRUE,ISNUMBER(SEARCH("N.li",A81))=TRUE)),7,
AND(ISNUMBER(SEARCH("L-Dsty.",A81))=TRUE,ISNUMBER(SEARCH("H-Res",A81))=TRUE,ISNUMBER(SEARCH("C.",A81))=TRUE),8,
AND(ISNUMBER(SEARCH("L-Dsty.",A81))=TRUE,ISNUMBER(SEARCH("L-Res",A81))=TRUE,ISNUMBER(SEARCH("E.",A81))=TRUE),11,
AND(ISNUMBER(SEARCH("L-Dsty.",A81))=TRUE,ISNUMBER(SEARCH("L-Res",A81))=TRUE,OR(ISNUMBER(SEARCH("N.he",A81))=TRUE,ISNUMBER(SEARCH("N.me",A81))=TRUE,ISNUMBER(SEARCH("N.li",A81))=TRUE)),12,
AND(ISNUMBER(SEARCH("L-Dsty.",A81))=TRUE,ISNUMBER(SEARCH("L-Res",A81))=TRUE,ISNUMBER(SEARCH("C.",A81))=TRUE),13))</f>
        <v>6</v>
      </c>
    </row>
    <row r="82" spans="1:42" x14ac:dyDescent="0.2">
      <c r="A82" t="s">
        <v>506</v>
      </c>
      <c r="B82" s="210" t="str">
        <f t="array" ref="B82">INDEX(ECOMOD_input_estimate!$A$2:$A$55, MATCH(CFT_input!$A82, ECOMOD_input_estimate!$B:$B, 0))</f>
        <v>FF_11.4</v>
      </c>
      <c r="C82" s="210">
        <v>2020</v>
      </c>
      <c r="D82" s="395" t="s">
        <v>1694</v>
      </c>
      <c r="E82" s="210" t="str">
        <f t="shared" si="7"/>
        <v>E.medium.L-Dsty.H-Res</v>
      </c>
      <c r="F82" s="210" t="str">
        <f t="array" ref="F82">_xlfn.SINGLE(IF(OR(ISNUMBER(SEARCH("heavy",A82))=TRUE,ISNUMBER(SEARCH("medium",A82))=TRUE),
INDEX('Focus Data Crop Rotations'!$D$4:$P$9,MATCH(D82,'Focus Data Crop Rotations'!$C$4:$C$9,0),_xlfn.SINGLE(_xlfn.IFS(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INDEX('Focus Data Crop Rotations'!$D$12:$P$17,MATCH(D82,'Focus Data Crop Rotations'!$C$12:$C$17,0),_xlfn.SINGLE(_xlfn.IFS(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winterwheat</v>
      </c>
      <c r="G82">
        <v>7.2</v>
      </c>
      <c r="H82" s="227">
        <f>VLOOKUP(F82,'CFT Specific Data'!$F$4:$H$19,3,FALSE)*G82*
IF(B82=B81,
IF(AND(ISNUMBER(SEARCH("wheat",F82))=TRUE,ISNUMBER(SEARCH("Barley",F81))=TRUE),0.89,
IF(AND(ISNUMBER(SEARCH("wheat",F82))=TRUE,F81="setaside"),0.94,
IF(AND(ISNUMBER(SEARCH("barley",F82))=TRUE,ISNUMBER(SEARCH("wheat",F81))=TRUE),0.89,
IF(AND(F82="winterbarley",F81="setaside"),0.94,
IF(AND(F82="sugarbeet",F81="warepotatoes"),0.95,
IF(AND((OR(ISNUMBER(SEARCH("beans",F82)),ISNUMBER(SEARCH("driedpeas",F82)),ISNUMBER(SEARCH("sugarbeet",F82)))=TRUE),ISNUMBER(SEARCH("osr",F81))=TRUE),0,
IF(AND((OR((ISNUMBER(SEARCH("wheat",F82))),ISNUMBER(SEARCH("linseed",F82)),ISNUMBER(SEARCH("driedpeas",F82)),ISNUMBER(SEARCH("osr",F82)))=TRUE),F81="sugarbeet"),0,
IF(AND((OR((ISNUMBER(SEARCH("osr",F82))),ISNUMBER(SEARCH("linseed",F82)))=TRUE),ISNUMBER(SEARCH("beans",F81))=TRUE),0,
IF(AND(F82="wosr",ISNUMBER(SEARCH("linseed",F81))=TRUE),0,
IF(AND(F82="sugarbeet",F81="warepotatoes"),0,
1)))))))))),
IF(AND(ISNUMBER(SEARCH("wheat",F82))=TRUE,ISNUMBER(SEARCH("Barley",F87))=TRUE),0.89,
IF(AND(ISNUMBER(SEARCH("wheat",F82))=TRUE,F87="setaside"),0.94,
IF(AND(ISNUMBER(SEARCH("barley",F82))=TRUE,ISNUMBER(SEARCH("wheat",F87))=TRUE),0.89,
IF(AND(F82="winterbarley",F87="setaside"),0.94,
IF(AND(F82="sugarbeet",F87="warepotatoes"),0.95,
IF(AND((OR(ISNUMBER(SEARCH("beans",F82)),ISNUMBER(SEARCH("driedpeas",F82)),ISNUMBER(SEARCH("sugarbeet",F82)))=TRUE),ISNUMBER(SEARCH("osr",F87))=TRUE),0,
IF(AND((OR((ISNUMBER(SEARCH("wheat",F82))),ISNUMBER(SEARCH("linseed",F82)),ISNUMBER(SEARCH("driedpeas",F82)),ISNUMBER(SEARCH("osr",F82)))=TRUE),F87="sugarbeet"),0,
IF(AND((OR((ISNUMBER(SEARCH("osr",F82))),ISNUMBER(SEARCH("linseed",F82)))=TRUE),ISNUMBER(SEARCH("beans",F87))=TRUE),0,
IF(AND(F82="wosr",ISNUMBER(SEARCH("linseed",F87))=TRUE),0,
IF(AND(F82="sugarbeet",F87="warepotatoes"),0,
1)))))))))))
*IF(OR(ISNUMBER(SEARCH("wheat",F82)),ISNUMBER(SEARCH("barley",F82)),ISNUMBER(SEARCH("driedpeas",F82)),ISNUMBER(SEARCH("warepotatoes",F82)),ISNUMBER(SEARCH("osr",F82)),ISNUMBER(SEARCH("linseed",F82)),ISNUMBER(SEARCH("sugarbeet",F82))),
IF(COUNTIF(B77:B81,B82)=5,
INDEX('CFT Specific Data'!$G$24:$L$39,MATCH(F82,'CFT Specific Data'!$F$24:$F$39,0),IF(COUNTIF(F77:F81,F82)=5,6,IF(COUNTIF(F78:F81,F82)=4,5,IF(COUNTIF(F79:F81,F82)=3,4,IF(COUNTIF(F80:F81,F82)=2,3,IF(F81=F82,2,1)))))),
IF(COUNTIF(B77:B81,B82)=4,
INDEX('CFT Specific Data'!$G$24:$L$39,MATCH(F82,'CFT Specific Data'!$F$24:$F$39,0),IF(SUM(COUNTIF(F78:F81,F82),COUNTIF(F83,F82))=5,6,IF(COUNTIF(F78:F81,F82)=4,5,IF(COUNTIF(F79:F81,F82)=3,4,IF(COUNTIF(F80:F81,F82)=2,3,IF(F81=F82,2,1)))))),
IF(COUNTIF(B77:B81,B82)=3,
INDEX('CFT Specific Data'!$G$24:$L$39,MATCH(F82,'CFT Specific Data'!$F$24:$F$39,0),IF(SUM(COUNTIF(F79:F81,F82),COUNTIF(F83:F84,F82))=5,6,IF(SUM(COUNTIF(F79:F81,F82),COUNTIF(F84,F82))=4,5,IF(COUNTIF(F79:F81,F82)=3,4,IF(COUNTIF(F80:F81,F82)=2,3,IF(F81=F82,2,1)))))),
IF(COUNTIF(B77:B81,B82)=2,
INDEX('CFT Specific Data'!$G$24:$L$39,MATCH(F82,'CFT Specific Data'!$F$24:$F$39,0),IF(SUM(COUNTIF(F80:F81,F82),COUNTIF(F83:F85,F82))=5,6,IF(SUM(COUNTIF(F80:F81,F82),COUNTIF(F84:F85,F82))=4,5,IF(SUM(COUNTIF(F80:F81,F82),COUNTIF(F85,F82))=3,4,IF(COUNTIF(F80:F81,F82)=2,3,IF(F81=F82,2,1)))))),
IF(COUNTIF(B77:B81,B82)=1,
INDEX('CFT Specific Data'!$G$24:$L$39,MATCH(F82,'CFT Specific Data'!$F$24:$F$39,0),IF(SUM(COUNTIF(F81,F82),COUNTIF(F83:F86,F82))=5,6,IF(SUM(COUNTIF(F81,F82),COUNTIF(F84:F86,F82))=4,5,IF(SUM(COUNTIF(F81,F82),COUNTIF(F85:F86,F82))=3,4,IF(SUM(COUNTIF(F81,F82),COUNTIF(F86,F82))=2,3,IF(F81=F82,2,1)))))),
IF(COUNTIF(B77:B81,B82)=0,
INDEX('CFT Specific Data'!$G$24:$L$39,MATCH(F82,'CFT Specific Data'!$F$24:$F$39,0),IF(COUNTIF(F83:F87,F82)=5,6,IF(COUNTIF(F84:F87,F82)=4,5,IF(COUNTIF(F85:F87,F82)=3,4,IF(COUNTIF(F86:F87,F82)=2,3,IF(F87=F82,2,1)))))))))))),1)</f>
        <v>61.92</v>
      </c>
      <c r="I82" s="210" t="s">
        <v>348</v>
      </c>
      <c r="J82">
        <v>10</v>
      </c>
      <c r="K82" s="210" t="str">
        <f>VLOOKUP(F82,'CFT Specific Data'!$F$4:$G$19,2,FALSE)</f>
        <v>Winter wheat</v>
      </c>
      <c r="L82" t="str">
        <f t="shared" si="8"/>
        <v>Medium</v>
      </c>
      <c r="M82">
        <f t="shared" si="9"/>
        <v>4.4720000000000004</v>
      </c>
      <c r="N82" t="str">
        <f t="shared" si="10"/>
        <v>1.72 &lt; SOM &lt;= 5.16</v>
      </c>
      <c r="O82" t="s">
        <v>349</v>
      </c>
      <c r="P82" t="s">
        <v>350</v>
      </c>
      <c r="Q82">
        <v>7</v>
      </c>
      <c r="R82" t="str">
        <f t="shared" si="6"/>
        <v>5.5 &lt; pH &lt;= 7.3</v>
      </c>
      <c r="S82" t="s">
        <v>351</v>
      </c>
      <c r="T82" s="210">
        <f t="array" ref="T82">_xlfn.SINGLE(INDEX('Focus Data NFertiliser Rate'!$D$4:$P$19,MATCH(F82,'Focus Data NFertiliser Rate'!$C$4:$C$19,0),_xlfn.SINGLE(_xlfn.IFS(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240</v>
      </c>
      <c r="U82" t="str">
        <f t="shared" si="11"/>
        <v>Apply in solution</v>
      </c>
      <c r="V82" s="210">
        <f t="array" ref="V82">_xlfn.SINGLE(INDEX('№ Fertiliser sprayings'!$D$4:$P$19,MATCH(F82,'№ Fertiliser sprayings'!$C$4:$C$19,0),_xlfn.SINGLE(_xlfn.IFS(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3</v>
      </c>
      <c r="W82" s="264">
        <f t="array" ref="W82">_xlfn.SINGLE(INDEX('Focus Data CFT NSpraying'!$D$4:$P$19,MATCH(F82,'Focus Data CFT NSpraying'!$C$4:$C$19,0),_xlfn.SINGLE(_xlfn.IFS(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13.135999999999999</v>
      </c>
      <c r="X82" t="s">
        <v>363</v>
      </c>
      <c r="Y82">
        <v>0</v>
      </c>
      <c r="Z82">
        <v>100</v>
      </c>
      <c r="AA82" t="s">
        <v>352</v>
      </c>
      <c r="AB82" s="226" t="str">
        <f>IF(B82=B81,_xlfn.IFS(
AND(AA82=Lists!$L$8,AA81=Lists!$L$8),Lists!$N$5,
AND(OR(AA82=Lists!$L$5,AA82=Lists!$L$7,AA82=Lists!$L$9,AA82=Lists!$L$10,AA82=Lists!$L$6),OR(AA81=Lists!$L$5,AA81=Lists!$L$7,AA81=Lists!$L$9,AA81=Lists!$L$10,AA81=Lists!$L$6)),Lists!$N$5,
AND(AA82=Lists!$L$8,OR(AA81=Lists!$L$5,AA81=Lists!$L$7,AA81=Lists!$L$9,AA81=Lists!$L$10,AA81=Lists!$L$6)),Lists!$N$6,
AND(OR(AA82=Lists!$L$5,AA82=Lists!$L$6,AA82=Lists!$L$7,AA82=Lists!$L$9,AA82=Lists!$L$10),AA81=Lists!$L$8),Lists!$N$7),
_xlfn.IFS(
AND(AA82=Lists!$L$8,AA87=Lists!$L$8),Lists!$N$5,
AND(OR(AA82=Lists!$L$5,AA82=Lists!$L$7,AA82=Lists!$L$9,AA82=Lists!$L$10,AA82=Lists!$L$6),OR(AA87=Lists!$L$5,AA87=Lists!$L$7,AA87=Lists!$L$9,AA87=Lists!$L$10,AA87=Lists!$L$6)),Lists!$N$5,
AND(AA82=Lists!$L$8,OR(AA87=Lists!$L$5,AA87=Lists!$L$7,AA87=Lists!$L$9,AA87=Lists!$L$10,AA87=Lists!$L$6)),Lists!$N$6,
AND(OR(AA82=Lists!$L$5,AA82=Lists!$L$7,AA82=Lists!$L$9,AA82=Lists!$L$10),AA87=Lists!$L$8),Lists!$N$7))</f>
        <v>no change</v>
      </c>
      <c r="AC82">
        <v>0</v>
      </c>
      <c r="AD82">
        <v>0</v>
      </c>
      <c r="AE82" s="102">
        <f t="array" ref="AE82">IF(OR(ISNUMBER(SEARCH("heavy",A82))=TRUE, ISNUMBER(SEARCH("medium",A82))=TRUE),
(LEN(_xlfn.SINGLE(
INDEX('Focus Data Tillage by farm'!$D$4:$P$9,MATCH(D82,'Focus Data Tillage by farm'!$C$4:$C$9,0),_xlfn.SINGLE(_xlfn.IFS(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-LEN(SUBSTITUTE(_xlfn.SINGLE(
INDEX('Focus Data Tillage by farm'!$D$4:$P$9,MATCH(D82,'Focus Data Tillage by farm'!$C$4:$C$9,0),_xlfn.SINGLE(_xlfn.IFS(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"disc","")))/LEN("disc"),
(LEN(_xlfn.SINGLE(
INDEX('Focus Data Tillage by farm'!$D$12:$P$17,MATCH(D82,'Focus Data Tillage by farm'!$C$12:$C$17,0),_xlfn.SINGLE(_xlfn.IFS(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-LEN(SUBSTITUTE(_xlfn.SINGLE(
INDEX('Focus Data Tillage by farm'!$D$12:$P$17,MATCH(D82,'Focus Data Tillage by farm'!$C$12:$C$17,0),_xlfn.SINGLE(_xlfn.IFS(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"disc","")))/LEN("disc"))</f>
        <v>2</v>
      </c>
      <c r="AF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"field cultivator","")))/LEN("field cultivator"),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"field cultivator","")))/LEN("field cultivator"))</f>
        <v>0</v>
      </c>
      <c r="AG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"grain drill","")))/LEN("grain drill"),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"grain drill","")))/LEN("grain drill"))</f>
        <v>0</v>
      </c>
      <c r="AH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"minimum tillage","")))/LEN("minimum tillage"),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"minimum tillage","")))/LEN("minimum tillage"))</f>
        <v>1</v>
      </c>
      <c r="AI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"row crop planter","")))/LEN("row crop planter"),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"row crop planter","")))/LEN("row crop planter"))</f>
        <v>0</v>
      </c>
      <c r="AJ82" s="10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"plough","")))/LEN("plough"),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"plough","")))/LEN("plough"))</f>
        <v>0</v>
      </c>
      <c r="AK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harrow","")))/LEN("roller harrow"),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harrow","")))/LEN("roller harrow"))</f>
        <v>0</v>
      </c>
      <c r="AL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packer","")))/LEN("roller packer"),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"roller packer","")))/LEN("roller packer"))</f>
        <v>2</v>
      </c>
      <c r="AM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"rotary hoe","")))/LEN("rotary hoe"),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"rotary hoe","")))/LEN("rotary hoe"))</f>
        <v>0</v>
      </c>
      <c r="AN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"subsoil","")))/LEN("subsoil"),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"subsoil","")))/LEN("subsoil"))</f>
        <v>0</v>
      </c>
      <c r="AO82">
        <f>IF(OR(ISNUMBER(SEARCH("heavy",A82))=TRUE, ISNUMBER(SEARCH("medium",A82))=TRUE),
(LEN(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farm'!$D$4:$P$9,MATCH(D82,'Focus Data Tillage by farm'!$C$4:$C$9,0),_xlfn.IFS(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"tine harrow","")))/LEN("tine harrow"),
(LEN(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-LEN(SUBSTITUTE(
INDEX('Focus Data Tillage by farm'!$D$12:$P$17,MATCH(D82,'Focus Data Tillage by farm'!$C$12:$C$17,0),_xlfn.IFS(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
"tine harrow","")))/LEN("tine harrow"))</f>
        <v>0</v>
      </c>
      <c r="AP82" s="102">
        <f>INDEX('Focus Data NSpraying'!$D$4:$P$19,MATCH(F82,'Focus Data NSpraying'!$C$4:$C$19,0),_xlfn.IFS(
AND(ISNUMBER(SEARCH("H-Dsty.",A82))=TRUE,ISNUMBER(SEARCH("H-Res",A82))=TRUE,ISNUMBER(SEARCH("E.",A82))=TRUE),1,
AND(ISNUMBER(SEARCH("H-Dsty.",A82))=TRUE,ISNUMBER(SEARCH("H-Res",A82))=TRUE,OR(ISNUMBER(SEARCH("N.he",A82))=TRUE,ISNUMBER(SEARCH("N.me",A82))=TRUE,ISNUMBER(SEARCH("N.li",A82))=TRUE)),2,
AND(ISNUMBER(SEARCH("H-Dsty.",A82))=TRUE,ISNUMBER(SEARCH("H-Res",A82))=TRUE,ISNUMBER(SEARCH("C.",A82))=TRUE),3,
AND(ISNUMBER(SEARCH("L-Dsty.",A82))=TRUE,ISNUMBER(SEARCH("H-Res",A82))=TRUE,ISNUMBER(SEARCH("E.",A82))=TRUE),6,
AND(ISNUMBER(SEARCH("L-Dsty.",A82))=TRUE,ISNUMBER(SEARCH("H-Res",A82))=TRUE,OR(ISNUMBER(SEARCH("N.he",A82))=TRUE,ISNUMBER(SEARCH("N.me",A82))=TRUE,ISNUMBER(SEARCH("N.li",A82))=TRUE)),7,
AND(ISNUMBER(SEARCH("L-Dsty.",A82))=TRUE,ISNUMBER(SEARCH("H-Res",A82))=TRUE,ISNUMBER(SEARCH("C.",A82))=TRUE),8,
AND(ISNUMBER(SEARCH("L-Dsty.",A82))=TRUE,ISNUMBER(SEARCH("L-Res",A82))=TRUE,ISNUMBER(SEARCH("E.",A82))=TRUE),11,
AND(ISNUMBER(SEARCH("L-Dsty.",A82))=TRUE,ISNUMBER(SEARCH("L-Res",A82))=TRUE,OR(ISNUMBER(SEARCH("N.he",A82))=TRUE,ISNUMBER(SEARCH("N.me",A82))=TRUE,ISNUMBER(SEARCH("N.li",A82))=TRUE)),12,
AND(ISNUMBER(SEARCH("L-Dsty.",A82))=TRUE,ISNUMBER(SEARCH("L-Res",A82))=TRUE,ISNUMBER(SEARCH("C.",A82))=TRUE),13))</f>
        <v>4</v>
      </c>
    </row>
    <row r="83" spans="1:42" x14ac:dyDescent="0.2">
      <c r="A83" t="s">
        <v>506</v>
      </c>
      <c r="B83" s="210" t="str">
        <f t="array" ref="B83">INDEX(ECOMOD_input_estimate!$A$2:$A$55, MATCH(CFT_input!$A83, ECOMOD_input_estimate!$B:$B, 0))</f>
        <v>FF_11.4</v>
      </c>
      <c r="C83" s="210">
        <v>2020</v>
      </c>
      <c r="D83" s="395" t="s">
        <v>1695</v>
      </c>
      <c r="E83" s="210" t="str">
        <f t="shared" si="7"/>
        <v>E.medium.L-Dsty.H-Res</v>
      </c>
      <c r="F83" s="210" t="str">
        <f t="array" ref="F83">_xlfn.SINGLE(IF(OR(ISNUMBER(SEARCH("heavy",A83))=TRUE,ISNUMBER(SEARCH("medium",A83))=TRUE),
INDEX('Focus Data Crop Rotations'!$D$4:$P$9,MATCH(D83,'Focus Data Crop Rotations'!$C$4:$C$9,0),_xlfn.SINGLE(_xlfn.IFS(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INDEX('Focus Data Crop Rotations'!$D$12:$P$17,MATCH(D83,'Focus Data Crop Rotations'!$C$12:$C$17,0),_xlfn.SINGLE(_xlfn.IFS(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winterbarley</v>
      </c>
      <c r="G83">
        <v>7.2</v>
      </c>
      <c r="H83" s="227">
        <f>VLOOKUP(F83,'CFT Specific Data'!$F$4:$H$19,3,FALSE)*G83*
IF(B83=B82,
IF(AND(ISNUMBER(SEARCH("wheat",F83))=TRUE,ISNUMBER(SEARCH("Barley",F82))=TRUE),0.89,
IF(AND(ISNUMBER(SEARCH("wheat",F83))=TRUE,F82="setaside"),0.94,
IF(AND(ISNUMBER(SEARCH("barley",F83))=TRUE,ISNUMBER(SEARCH("wheat",F82))=TRUE),0.89,
IF(AND(F83="winterbarley",F82="setaside"),0.94,
IF(AND(F83="sugarbeet",F82="warepotatoes"),0.95,
IF(AND((OR(ISNUMBER(SEARCH("beans",F83)),ISNUMBER(SEARCH("driedpeas",F83)),ISNUMBER(SEARCH("sugarbeet",F83)))=TRUE),ISNUMBER(SEARCH("osr",F82))=TRUE),0,
IF(AND((OR((ISNUMBER(SEARCH("wheat",F83))),ISNUMBER(SEARCH("linseed",F83)),ISNUMBER(SEARCH("driedpeas",F83)),ISNUMBER(SEARCH("osr",F83)))=TRUE),F82="sugarbeet"),0,
IF(AND((OR((ISNUMBER(SEARCH("osr",F83))),ISNUMBER(SEARCH("linseed",F83)))=TRUE),ISNUMBER(SEARCH("beans",F82))=TRUE),0,
IF(AND(F83="wosr",ISNUMBER(SEARCH("linseed",F82))=TRUE),0,
IF(AND(F83="sugarbeet",F82="warepotatoes"),0,
1)))))))))),
IF(AND(ISNUMBER(SEARCH("wheat",F83))=TRUE,ISNUMBER(SEARCH("Barley",F88))=TRUE),0.89,
IF(AND(ISNUMBER(SEARCH("wheat",F83))=TRUE,F88="setaside"),0.94,
IF(AND(ISNUMBER(SEARCH("barley",F83))=TRUE,ISNUMBER(SEARCH("wheat",F88))=TRUE),0.89,
IF(AND(F83="winterbarley",F88="setaside"),0.94,
IF(AND(F83="sugarbeet",F88="warepotatoes"),0.95,
IF(AND((OR(ISNUMBER(SEARCH("beans",F83)),ISNUMBER(SEARCH("driedpeas",F83)),ISNUMBER(SEARCH("sugarbeet",F83)))=TRUE),ISNUMBER(SEARCH("osr",F88))=TRUE),0,
IF(AND((OR((ISNUMBER(SEARCH("wheat",F83))),ISNUMBER(SEARCH("linseed",F83)),ISNUMBER(SEARCH("driedpeas",F83)),ISNUMBER(SEARCH("osr",F83)))=TRUE),F88="sugarbeet"),0,
IF(AND((OR((ISNUMBER(SEARCH("osr",F83))),ISNUMBER(SEARCH("linseed",F83)))=TRUE),ISNUMBER(SEARCH("beans",F88))=TRUE),0,
IF(AND(F83="wosr",ISNUMBER(SEARCH("linseed",F88))=TRUE),0,
IF(AND(F83="sugarbeet",F88="warepotatoes"),0,
1)))))))))))
*IF(OR(ISNUMBER(SEARCH("wheat",F83)),ISNUMBER(SEARCH("barley",F83)),ISNUMBER(SEARCH("driedpeas",F83)),ISNUMBER(SEARCH("warepotatoes",F83)),ISNUMBER(SEARCH("osr",F83)),ISNUMBER(SEARCH("linseed",F83)),ISNUMBER(SEARCH("sugarbeet",F83))),
IF(COUNTIF(B78:B82,B83)=5,
INDEX('CFT Specific Data'!$G$24:$L$39,MATCH(F83,'CFT Specific Data'!$F$24:$F$39,0),IF(COUNTIF(F78:F82,F83)=5,6,IF(COUNTIF(F79:F82,F83)=4,5,IF(COUNTIF(F80:F82,F83)=3,4,IF(COUNTIF(F81:F82,F83)=2,3,IF(F82=F83,2,1)))))),
IF(COUNTIF(B78:B82,B83)=4,
INDEX('CFT Specific Data'!$G$24:$L$39,MATCH(F83,'CFT Specific Data'!$F$24:$F$39,0),IF(SUM(COUNTIF(F79:F82,F83),COUNTIF(F84,F83))=5,6,IF(COUNTIF(F79:F82,F83)=4,5,IF(COUNTIF(F80:F82,F83)=3,4,IF(COUNTIF(F81:F82,F83)=2,3,IF(F82=F83,2,1)))))),
IF(COUNTIF(B78:B82,B83)=3,
INDEX('CFT Specific Data'!$G$24:$L$39,MATCH(F83,'CFT Specific Data'!$F$24:$F$39,0),IF(SUM(COUNTIF(F80:F82,F83),COUNTIF(F84:F85,F83))=5,6,IF(SUM(COUNTIF(F80:F82,F83),COUNTIF(F85,F83))=4,5,IF(COUNTIF(F80:F82,F83)=3,4,IF(COUNTIF(F81:F82,F83)=2,3,IF(F82=F83,2,1)))))),
IF(COUNTIF(B78:B82,B83)=2,
INDEX('CFT Specific Data'!$G$24:$L$39,MATCH(F83,'CFT Specific Data'!$F$24:$F$39,0),IF(SUM(COUNTIF(F81:F82,F83),COUNTIF(F84:F86,F83))=5,6,IF(SUM(COUNTIF(F81:F82,F83),COUNTIF(F85:F86,F83))=4,5,IF(SUM(COUNTIF(F81:F82,F83),COUNTIF(F86,F83))=3,4,IF(COUNTIF(F81:F82,F83)=2,3,IF(F82=F83,2,1)))))),
IF(COUNTIF(B78:B82,B83)=1,
INDEX('CFT Specific Data'!$G$24:$L$39,MATCH(F83,'CFT Specific Data'!$F$24:$F$39,0),IF(SUM(COUNTIF(F82,F83),COUNTIF(F84:F87,F83))=5,6,IF(SUM(COUNTIF(F82,F83),COUNTIF(F85:F87,F83))=4,5,IF(SUM(COUNTIF(F82,F83),COUNTIF(F86:F87,F83))=3,4,IF(SUM(COUNTIF(F82,F83),COUNTIF(F87,F83))=2,3,IF(F82=F83,2,1)))))),
IF(COUNTIF(B78:B82,B83)=0,
INDEX('CFT Specific Data'!$G$24:$L$39,MATCH(F83,'CFT Specific Data'!$F$24:$F$39,0),IF(COUNTIF(F84:F88,F83)=5,6,IF(COUNTIF(F85:F88,F83)=4,5,IF(COUNTIF(F86:F88,F83)=3,4,IF(COUNTIF(F87:F88,F83)=2,3,IF(F88=F83,2,1)))))))))))),1)</f>
        <v>47.419200000000004</v>
      </c>
      <c r="I83" s="210" t="s">
        <v>348</v>
      </c>
      <c r="J83">
        <v>10</v>
      </c>
      <c r="K83" s="210" t="str">
        <f>VLOOKUP(F83,'CFT Specific Data'!$F$4:$G$19,2,FALSE)</f>
        <v>Barley</v>
      </c>
      <c r="L83" t="str">
        <f t="shared" si="8"/>
        <v>Medium</v>
      </c>
      <c r="M83">
        <f t="shared" si="9"/>
        <v>4.4720000000000004</v>
      </c>
      <c r="N83" t="str">
        <f t="shared" si="10"/>
        <v>1.72 &lt; SOM &lt;= 5.16</v>
      </c>
      <c r="O83" t="s">
        <v>349</v>
      </c>
      <c r="P83" t="s">
        <v>350</v>
      </c>
      <c r="Q83">
        <v>7</v>
      </c>
      <c r="R83" t="str">
        <f t="shared" si="6"/>
        <v>5.5 &lt; pH &lt;= 7.3</v>
      </c>
      <c r="S83" t="s">
        <v>351</v>
      </c>
      <c r="T83" s="210">
        <f t="array" ref="T83">_xlfn.SINGLE(INDEX('Focus Data NFertiliser Rate'!$D$4:$P$19,MATCH(F83,'Focus Data NFertiliser Rate'!$C$4:$C$19,0),_xlfn.SINGLE(_xlfn.IFS(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200</v>
      </c>
      <c r="U83" t="str">
        <f t="shared" si="11"/>
        <v>Apply in solution</v>
      </c>
      <c r="V83" s="210">
        <f t="array" ref="V83">_xlfn.SINGLE(INDEX('№ Fertiliser sprayings'!$D$4:$P$19,MATCH(F83,'№ Fertiliser sprayings'!$C$4:$C$19,0),_xlfn.SINGLE(_xlfn.IFS(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2</v>
      </c>
      <c r="W83" s="264">
        <f t="array" ref="W83">_xlfn.SINGLE(INDEX('Focus Data CFT NSpraying'!$D$4:$P$19,MATCH(F83,'Focus Data CFT NSpraying'!$C$4:$C$19,0),_xlfn.SINGLE(_xlfn.IFS(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14.436</v>
      </c>
      <c r="X83" t="s">
        <v>363</v>
      </c>
      <c r="Y83">
        <v>0</v>
      </c>
      <c r="Z83">
        <v>100</v>
      </c>
      <c r="AA83" t="s">
        <v>352</v>
      </c>
      <c r="AB83" s="226" t="str">
        <f>IF(B83=B82,_xlfn.IFS(
AND(AA83=Lists!$L$8,AA82=Lists!$L$8),Lists!$N$5,
AND(OR(AA83=Lists!$L$5,AA83=Lists!$L$7,AA83=Lists!$L$9,AA83=Lists!$L$10,AA83=Lists!$L$6),OR(AA82=Lists!$L$5,AA82=Lists!$L$7,AA82=Lists!$L$9,AA82=Lists!$L$10,AA82=Lists!$L$6)),Lists!$N$5,
AND(AA83=Lists!$L$8,OR(AA82=Lists!$L$5,AA82=Lists!$L$7,AA82=Lists!$L$9,AA82=Lists!$L$10,AA82=Lists!$L$6)),Lists!$N$6,
AND(OR(AA83=Lists!$L$5,AA83=Lists!$L$6,AA83=Lists!$L$7,AA83=Lists!$L$9,AA83=Lists!$L$10),AA82=Lists!$L$8),Lists!$N$7),
_xlfn.IFS(
AND(AA83=Lists!$L$8,AA88=Lists!$L$8),Lists!$N$5,
AND(OR(AA83=Lists!$L$5,AA83=Lists!$L$7,AA83=Lists!$L$9,AA83=Lists!$L$10,AA83=Lists!$L$6),OR(AA88=Lists!$L$5,AA88=Lists!$L$7,AA88=Lists!$L$9,AA88=Lists!$L$10,AA88=Lists!$L$6)),Lists!$N$5,
AND(AA83=Lists!$L$8,OR(AA88=Lists!$L$5,AA88=Lists!$L$7,AA88=Lists!$L$9,AA88=Lists!$L$10,AA88=Lists!$L$6)),Lists!$N$6,
AND(OR(AA83=Lists!$L$5,AA83=Lists!$L$7,AA83=Lists!$L$9,AA83=Lists!$L$10),AA88=Lists!$L$8),Lists!$N$7))</f>
        <v>no change</v>
      </c>
      <c r="AC83">
        <v>0</v>
      </c>
      <c r="AD83">
        <v>0</v>
      </c>
      <c r="AE83" s="102">
        <f t="array" ref="AE83">IF(OR(ISNUMBER(SEARCH("heavy",A83))=TRUE, ISNUMBER(SEARCH("medium",A83))=TRUE),
(LEN(_xlfn.SINGLE(
INDEX('Focus Data Tillage by farm'!$D$4:$P$9,MATCH(D83,'Focus Data Tillage by farm'!$C$4:$C$9,0),_xlfn.SINGLE(_xlfn.IFS(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-LEN(SUBSTITUTE(_xlfn.SINGLE(
INDEX('Focus Data Tillage by farm'!$D$4:$P$9,MATCH(D83,'Focus Data Tillage by farm'!$C$4:$C$9,0),_xlfn.SINGLE(_xlfn.IFS(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"disc","")))/LEN("disc"),
(LEN(_xlfn.SINGLE(
INDEX('Focus Data Tillage by farm'!$D$12:$P$17,MATCH(D83,'Focus Data Tillage by farm'!$C$12:$C$17,0),_xlfn.SINGLE(_xlfn.IFS(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-LEN(SUBSTITUTE(_xlfn.SINGLE(
INDEX('Focus Data Tillage by farm'!$D$12:$P$17,MATCH(D83,'Focus Data Tillage by farm'!$C$12:$C$17,0),_xlfn.SINGLE(_xlfn.IFS(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"disc","")))/LEN("disc"))</f>
        <v>2</v>
      </c>
      <c r="AF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"field cultivator","")))/LEN("field cultivator"),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"field cultivator","")))/LEN("field cultivator"))</f>
        <v>0</v>
      </c>
      <c r="AG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"grain drill","")))/LEN("grain drill"),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"grain drill","")))/LEN("grain drill"))</f>
        <v>0</v>
      </c>
      <c r="AH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"minimum tillage","")))/LEN("minimum tillage"),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"minimum tillage","")))/LEN("minimum tillage"))</f>
        <v>1</v>
      </c>
      <c r="AI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"row crop planter","")))/LEN("row crop planter"),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"row crop planter","")))/LEN("row crop planter"))</f>
        <v>0</v>
      </c>
      <c r="AJ83" s="102">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"plough","")))/LEN("plough"),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"plough","")))/LEN("plough"))</f>
        <v>0</v>
      </c>
      <c r="AK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harrow","")))/LEN("roller harrow"),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harrow","")))/LEN("roller harrow"))</f>
        <v>0</v>
      </c>
      <c r="AL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packer","")))/LEN("roller packer"),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"roller packer","")))/LEN("roller packer"))</f>
        <v>2</v>
      </c>
      <c r="AM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"rotary hoe","")))/LEN("rotary hoe"),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"rotary hoe","")))/LEN("rotary hoe"))</f>
        <v>0</v>
      </c>
      <c r="AN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"subsoil","")))/LEN("subsoil"),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"subsoil","")))/LEN("subsoil"))</f>
        <v>0</v>
      </c>
      <c r="AO83">
        <f>IF(OR(ISNUMBER(SEARCH("heavy",A83))=TRUE, ISNUMBER(SEARCH("medium",A83))=TRUE),
(LEN(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farm'!$D$4:$P$9,MATCH(D83,'Focus Data Tillage by farm'!$C$4:$C$9,0),_xlfn.IFS(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"tine harrow","")))/LEN("tine harrow"),
(LEN(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-LEN(SUBSTITUTE(
INDEX('Focus Data Tillage by farm'!$D$12:$P$17,MATCH(D83,'Focus Data Tillage by farm'!$C$12:$C$17,0),_xlfn.IFS(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
"tine harrow","")))/LEN("tine harrow"))</f>
        <v>0</v>
      </c>
      <c r="AP83" s="102">
        <f>INDEX('Focus Data NSpraying'!$D$4:$P$19,MATCH(F83,'Focus Data NSpraying'!$C$4:$C$19,0),_xlfn.IFS(
AND(ISNUMBER(SEARCH("H-Dsty.",A83))=TRUE,ISNUMBER(SEARCH("H-Res",A83))=TRUE,ISNUMBER(SEARCH("E.",A83))=TRUE),1,
AND(ISNUMBER(SEARCH("H-Dsty.",A83))=TRUE,ISNUMBER(SEARCH("H-Res",A83))=TRUE,OR(ISNUMBER(SEARCH("N.he",A83))=TRUE,ISNUMBER(SEARCH("N.me",A83))=TRUE,ISNUMBER(SEARCH("N.li",A83))=TRUE)),2,
AND(ISNUMBER(SEARCH("H-Dsty.",A83))=TRUE,ISNUMBER(SEARCH("H-Res",A83))=TRUE,ISNUMBER(SEARCH("C.",A83))=TRUE),3,
AND(ISNUMBER(SEARCH("L-Dsty.",A83))=TRUE,ISNUMBER(SEARCH("H-Res",A83))=TRUE,ISNUMBER(SEARCH("E.",A83))=TRUE),6,
AND(ISNUMBER(SEARCH("L-Dsty.",A83))=TRUE,ISNUMBER(SEARCH("H-Res",A83))=TRUE,OR(ISNUMBER(SEARCH("N.he",A83))=TRUE,ISNUMBER(SEARCH("N.me",A83))=TRUE,ISNUMBER(SEARCH("N.li",A83))=TRUE)),7,
AND(ISNUMBER(SEARCH("L-Dsty.",A83))=TRUE,ISNUMBER(SEARCH("H-Res",A83))=TRUE,ISNUMBER(SEARCH("C.",A83))=TRUE),8,
AND(ISNUMBER(SEARCH("L-Dsty.",A83))=TRUE,ISNUMBER(SEARCH("L-Res",A83))=TRUE,ISNUMBER(SEARCH("E.",A83))=TRUE),11,
AND(ISNUMBER(SEARCH("L-Dsty.",A83))=TRUE,ISNUMBER(SEARCH("L-Res",A83))=TRUE,OR(ISNUMBER(SEARCH("N.he",A83))=TRUE,ISNUMBER(SEARCH("N.me",A83))=TRUE,ISNUMBER(SEARCH("N.li",A83))=TRUE)),12,
AND(ISNUMBER(SEARCH("L-Dsty.",A83))=TRUE,ISNUMBER(SEARCH("L-Res",A83))=TRUE,ISNUMBER(SEARCH("C.",A83))=TRUE),13))</f>
        <v>5</v>
      </c>
    </row>
    <row r="84" spans="1:42" x14ac:dyDescent="0.2">
      <c r="A84" t="s">
        <v>506</v>
      </c>
      <c r="B84" s="210" t="str">
        <f t="array" ref="B84">INDEX(ECOMOD_input_estimate!$A$2:$A$55, MATCH(CFT_input!$A84, ECOMOD_input_estimate!$B:$B, 0))</f>
        <v>FF_11.4</v>
      </c>
      <c r="C84" s="210">
        <v>2020</v>
      </c>
      <c r="D84" s="395" t="s">
        <v>1696</v>
      </c>
      <c r="E84" s="210" t="str">
        <f t="shared" si="7"/>
        <v>E.medium.L-Dsty.H-Res</v>
      </c>
      <c r="F84" s="210" t="str">
        <f t="array" ref="F84">_xlfn.SINGLE(IF(OR(ISNUMBER(SEARCH("heavy",A84))=TRUE,ISNUMBER(SEARCH("medium",A84))=TRUE),
INDEX('Focus Data Crop Rotations'!$D$4:$P$9,MATCH(D84,'Focus Data Crop Rotations'!$C$4:$C$9,0),_xlfn.SINGLE(_xlfn.IFS(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INDEX('Focus Data Crop Rotations'!$D$12:$P$17,MATCH(D84,'Focus Data Crop Rotations'!$C$12:$C$17,0),_xlfn.SINGLE(_xlfn.IFS(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wosr</v>
      </c>
      <c r="G84">
        <v>7.2</v>
      </c>
      <c r="H84" s="227">
        <f>VLOOKUP(F84,'CFT Specific Data'!$F$4:$H$19,3,FALSE)*G84*
IF(B84=B83,
IF(AND(ISNUMBER(SEARCH("wheat",F84))=TRUE,ISNUMBER(SEARCH("Barley",F83))=TRUE),0.89,
IF(AND(ISNUMBER(SEARCH("wheat",F84))=TRUE,F83="setaside"),0.94,
IF(AND(ISNUMBER(SEARCH("barley",F84))=TRUE,ISNUMBER(SEARCH("wheat",F83))=TRUE),0.89,
IF(AND(F84="winterbarley",F83="setaside"),0.94,
IF(AND(F84="sugarbeet",F83="warepotatoes"),0.95,
IF(AND((OR(ISNUMBER(SEARCH("beans",F84)),ISNUMBER(SEARCH("driedpeas",F84)),ISNUMBER(SEARCH("sugarbeet",F84)))=TRUE),ISNUMBER(SEARCH("osr",F83))=TRUE),0,
IF(AND((OR((ISNUMBER(SEARCH("wheat",F84))),ISNUMBER(SEARCH("linseed",F84)),ISNUMBER(SEARCH("driedpeas",F84)),ISNUMBER(SEARCH("osr",F84)))=TRUE),F83="sugarbeet"),0,
IF(AND((OR((ISNUMBER(SEARCH("osr",F84))),ISNUMBER(SEARCH("linseed",F84)))=TRUE),ISNUMBER(SEARCH("beans",F83))=TRUE),0,
IF(AND(F84="wosr",ISNUMBER(SEARCH("linseed",F83))=TRUE),0,
IF(AND(F84="sugarbeet",F83="warepotatoes"),0,
1)))))))))),
IF(AND(ISNUMBER(SEARCH("wheat",F84))=TRUE,ISNUMBER(SEARCH("Barley",F89))=TRUE),0.89,
IF(AND(ISNUMBER(SEARCH("wheat",F84))=TRUE,F89="setaside"),0.94,
IF(AND(ISNUMBER(SEARCH("barley",F84))=TRUE,ISNUMBER(SEARCH("wheat",F89))=TRUE),0.89,
IF(AND(F84="winterbarley",F89="setaside"),0.94,
IF(AND(F84="sugarbeet",F89="warepotatoes"),0.95,
IF(AND((OR(ISNUMBER(SEARCH("beans",F84)),ISNUMBER(SEARCH("driedpeas",F84)),ISNUMBER(SEARCH("sugarbeet",F84)))=TRUE),ISNUMBER(SEARCH("osr",F89))=TRUE),0,
IF(AND((OR((ISNUMBER(SEARCH("wheat",F84))),ISNUMBER(SEARCH("linseed",F84)),ISNUMBER(SEARCH("driedpeas",F84)),ISNUMBER(SEARCH("osr",F84)))=TRUE),F89="sugarbeet"),0,
IF(AND((OR((ISNUMBER(SEARCH("osr",F84))),ISNUMBER(SEARCH("linseed",F84)))=TRUE),ISNUMBER(SEARCH("beans",F89))=TRUE),0,
IF(AND(F84="wosr",ISNUMBER(SEARCH("linseed",F89))=TRUE),0,
IF(AND(F84="sugarbeet",F89="warepotatoes"),0,
1)))))))))))
*IF(OR(ISNUMBER(SEARCH("wheat",F84)),ISNUMBER(SEARCH("barley",F84)),ISNUMBER(SEARCH("driedpeas",F84)),ISNUMBER(SEARCH("warepotatoes",F84)),ISNUMBER(SEARCH("osr",F84)),ISNUMBER(SEARCH("linseed",F84)),ISNUMBER(SEARCH("sugarbeet",F84))),
IF(COUNTIF(B79:B83,B84)=5,
INDEX('CFT Specific Data'!$G$24:$L$39,MATCH(F84,'CFT Specific Data'!$F$24:$F$39,0),IF(COUNTIF(F79:F83,F84)=5,6,IF(COUNTIF(F80:F83,F84)=4,5,IF(COUNTIF(F81:F83,F84)=3,4,IF(COUNTIF(F82:F83,F84)=2,3,IF(F83=F84,2,1)))))),
IF(COUNTIF(B79:B83,B84)=4,
INDEX('CFT Specific Data'!$G$24:$L$39,MATCH(F84,'CFT Specific Data'!$F$24:$F$39,0),IF(SUM(COUNTIF(F80:F83,F84),COUNTIF(F85,F84))=5,6,IF(COUNTIF(F80:F83,F84)=4,5,IF(COUNTIF(F81:F83,F84)=3,4,IF(COUNTIF(F82:F83,F84)=2,3,IF(F83=F84,2,1)))))),
IF(COUNTIF(B79:B83,B84)=3,
INDEX('CFT Specific Data'!$G$24:$L$39,MATCH(F84,'CFT Specific Data'!$F$24:$F$39,0),IF(SUM(COUNTIF(F81:F83,F84),COUNTIF(F85:F86,F84))=5,6,IF(SUM(COUNTIF(F81:F83,F84),COUNTIF(F86,F84))=4,5,IF(COUNTIF(F81:F83,F84)=3,4,IF(COUNTIF(F82:F83,F84)=2,3,IF(F83=F84,2,1)))))),
IF(COUNTIF(B79:B83,B84)=2,
INDEX('CFT Specific Data'!$G$24:$L$39,MATCH(F84,'CFT Specific Data'!$F$24:$F$39,0),IF(SUM(COUNTIF(F82:F83,F84),COUNTIF(F85:F87,F84))=5,6,IF(SUM(COUNTIF(F82:F83,F84),COUNTIF(F86:F87,F84))=4,5,IF(SUM(COUNTIF(F82:F83,F84),COUNTIF(F87,F84))=3,4,IF(COUNTIF(F82:F83,F84)=2,3,IF(F83=F84,2,1)))))),
IF(COUNTIF(B79:B83,B84)=1,
INDEX('CFT Specific Data'!$G$24:$L$39,MATCH(F84,'CFT Specific Data'!$F$24:$F$39,0),IF(SUM(COUNTIF(F83,F84),COUNTIF(F85:F88,F84))=5,6,IF(SUM(COUNTIF(F83,F84),COUNTIF(F86:F88,F84))=4,5,IF(SUM(COUNTIF(F83,F84),COUNTIF(F87:F88,F84))=3,4,IF(SUM(COUNTIF(F83,F84),COUNTIF(F88,F84))=2,3,IF(F83=F84,2,1)))))),
IF(COUNTIF(B79:B83,B84)=0,
INDEX('CFT Specific Data'!$G$24:$L$39,MATCH(F84,'CFT Specific Data'!$F$24:$F$39,0),IF(COUNTIF(F85:F89,F84)=5,6,IF(COUNTIF(F86:F89,F84)=4,5,IF(COUNTIF(F87:F89,F84)=3,4,IF(COUNTIF(F88:F89,F84)=2,3,IF(F89=F84,2,1)))))))))))),1)</f>
        <v>25.2</v>
      </c>
      <c r="I84" s="210" t="s">
        <v>348</v>
      </c>
      <c r="J84">
        <v>10</v>
      </c>
      <c r="K84" s="210" t="str">
        <f>VLOOKUP(F84,'CFT Specific Data'!$F$4:$G$19,2,FALSE)</f>
        <v>Other</v>
      </c>
      <c r="L84" t="str">
        <f t="shared" si="8"/>
        <v>Medium</v>
      </c>
      <c r="M84">
        <f t="shared" si="9"/>
        <v>4.4720000000000004</v>
      </c>
      <c r="N84" t="str">
        <f t="shared" si="10"/>
        <v>1.72 &lt; SOM &lt;= 5.16</v>
      </c>
      <c r="O84" t="s">
        <v>349</v>
      </c>
      <c r="P84" t="s">
        <v>350</v>
      </c>
      <c r="Q84">
        <v>7</v>
      </c>
      <c r="R84" t="str">
        <f t="shared" si="6"/>
        <v>5.5 &lt; pH &lt;= 7.3</v>
      </c>
      <c r="S84" t="s">
        <v>351</v>
      </c>
      <c r="T84" s="210">
        <f t="array" ref="T84">_xlfn.SINGLE(INDEX('Focus Data NFertiliser Rate'!$D$4:$P$19,MATCH(F84,'Focus Data NFertiliser Rate'!$C$4:$C$19,0),_xlfn.SINGLE(_xlfn.IFS(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180</v>
      </c>
      <c r="U84" t="str">
        <f t="shared" si="11"/>
        <v>Apply in solution</v>
      </c>
      <c r="V84" s="210">
        <f t="array" ref="V84">_xlfn.SINGLE(INDEX('№ Fertiliser sprayings'!$D$4:$P$19,MATCH(F84,'№ Fertiliser sprayings'!$C$4:$C$19,0),_xlfn.SINGLE(_xlfn.IFS(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3</v>
      </c>
      <c r="W84" s="264">
        <f t="array" ref="W84">_xlfn.SINGLE(INDEX('Focus Data CFT NSpraying'!$D$4:$P$19,MATCH(F84,'Focus Data CFT NSpraying'!$C$4:$C$19,0),_xlfn.SINGLE(_xlfn.IFS(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6.24</v>
      </c>
      <c r="X84" t="s">
        <v>363</v>
      </c>
      <c r="Y84">
        <v>0</v>
      </c>
      <c r="Z84">
        <v>100</v>
      </c>
      <c r="AA84" t="s">
        <v>352</v>
      </c>
      <c r="AB84" s="226" t="str">
        <f>IF(B84=B83,_xlfn.IFS(
AND(AA84=Lists!$L$8,AA83=Lists!$L$8),Lists!$N$5,
AND(OR(AA84=Lists!$L$5,AA84=Lists!$L$7,AA84=Lists!$L$9,AA84=Lists!$L$10,AA84=Lists!$L$6),OR(AA83=Lists!$L$5,AA83=Lists!$L$7,AA83=Lists!$L$9,AA83=Lists!$L$10,AA83=Lists!$L$6)),Lists!$N$5,
AND(AA84=Lists!$L$8,OR(AA83=Lists!$L$5,AA83=Lists!$L$7,AA83=Lists!$L$9,AA83=Lists!$L$10,AA83=Lists!$L$6)),Lists!$N$6,
AND(OR(AA84=Lists!$L$5,AA84=Lists!$L$6,AA84=Lists!$L$7,AA84=Lists!$L$9,AA84=Lists!$L$10),AA83=Lists!$L$8),Lists!$N$7),
_xlfn.IFS(
AND(AA84=Lists!$L$8,AA89=Lists!$L$8),Lists!$N$5,
AND(OR(AA84=Lists!$L$5,AA84=Lists!$L$7,AA84=Lists!$L$9,AA84=Lists!$L$10,AA84=Lists!$L$6),OR(AA89=Lists!$L$5,AA89=Lists!$L$7,AA89=Lists!$L$9,AA89=Lists!$L$10,AA89=Lists!$L$6)),Lists!$N$5,
AND(AA84=Lists!$L$8,OR(AA89=Lists!$L$5,AA89=Lists!$L$7,AA89=Lists!$L$9,AA89=Lists!$L$10,AA89=Lists!$L$6)),Lists!$N$6,
AND(OR(AA84=Lists!$L$5,AA84=Lists!$L$7,AA84=Lists!$L$9,AA84=Lists!$L$10),AA89=Lists!$L$8),Lists!$N$7))</f>
        <v>no change</v>
      </c>
      <c r="AC84">
        <v>0</v>
      </c>
      <c r="AD84">
        <v>0</v>
      </c>
      <c r="AE84" s="102">
        <f t="array" ref="AE84">IF(OR(ISNUMBER(SEARCH("heavy",A84))=TRUE, ISNUMBER(SEARCH("medium",A84))=TRUE),
(LEN(_xlfn.SINGLE(
INDEX('Focus Data Tillage by farm'!$D$4:$P$9,MATCH(D84,'Focus Data Tillage by farm'!$C$4:$C$9,0),_xlfn.SINGLE(_xlfn.IFS(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-LEN(SUBSTITUTE(_xlfn.SINGLE(
INDEX('Focus Data Tillage by farm'!$D$4:$P$9,MATCH(D84,'Focus Data Tillage by farm'!$C$4:$C$9,0),_xlfn.SINGLE(_xlfn.IFS(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"disc","")))/LEN("disc"),
(LEN(_xlfn.SINGLE(
INDEX('Focus Data Tillage by farm'!$D$12:$P$17,MATCH(D84,'Focus Data Tillage by farm'!$C$12:$C$17,0),_xlfn.SINGLE(_xlfn.IFS(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-LEN(SUBSTITUTE(_xlfn.SINGLE(
INDEX('Focus Data Tillage by farm'!$D$12:$P$17,MATCH(D84,'Focus Data Tillage by farm'!$C$12:$C$17,0),_xlfn.SINGLE(_xlfn.IFS(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"disc","")))/LEN("disc"))</f>
        <v>0</v>
      </c>
      <c r="AF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"field cultivator","")))/LEN("field cultivator"),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"field cultivator","")))/LEN("field cultivator"))</f>
        <v>0</v>
      </c>
      <c r="AG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"grain drill","")))/LEN("grain drill"),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"grain drill","")))/LEN("grain drill"))</f>
        <v>0</v>
      </c>
      <c r="AH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"minimum tillage","")))/LEN("minimum tillage"),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"minimum tillage","")))/LEN("minimum tillage"))</f>
        <v>1</v>
      </c>
      <c r="AI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"row crop planter","")))/LEN("row crop planter"),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"row crop planter","")))/LEN("row crop planter"))</f>
        <v>0</v>
      </c>
      <c r="AJ84" s="102">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"plough","")))/LEN("plough"),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"plough","")))/LEN("plough"))</f>
        <v>0</v>
      </c>
      <c r="AK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harrow","")))/LEN("roller harrow"),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harrow","")))/LEN("roller harrow"))</f>
        <v>0</v>
      </c>
      <c r="AL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packer","")))/LEN("roller packer"),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"roller packer","")))/LEN("roller packer"))</f>
        <v>1</v>
      </c>
      <c r="AM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"rotary hoe","")))/LEN("rotary hoe"),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"rotary hoe","")))/LEN("rotary hoe"))</f>
        <v>0</v>
      </c>
      <c r="AN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"subsoil","")))/LEN("subsoil"),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"subsoil","")))/LEN("subsoil"))</f>
        <v>0</v>
      </c>
      <c r="AO84">
        <f>IF(OR(ISNUMBER(SEARCH("heavy",A84))=TRUE, ISNUMBER(SEARCH("medium",A84))=TRUE),
(LEN(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farm'!$D$4:$P$9,MATCH(D84,'Focus Data Tillage by farm'!$C$4:$C$9,0),_xlfn.IFS(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"tine harrow","")))/LEN("tine harrow"),
(LEN(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-LEN(SUBSTITUTE(
INDEX('Focus Data Tillage by farm'!$D$12:$P$17,MATCH(D84,'Focus Data Tillage by farm'!$C$12:$C$17,0),_xlfn.IFS(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
"tine harrow","")))/LEN("tine harrow"))</f>
        <v>0</v>
      </c>
      <c r="AP84" s="102">
        <f>INDEX('Focus Data NSpraying'!$D$4:$P$19,MATCH(F84,'Focus Data NSpraying'!$C$4:$C$19,0),_xlfn.IFS(
AND(ISNUMBER(SEARCH("H-Dsty.",A84))=TRUE,ISNUMBER(SEARCH("H-Res",A84))=TRUE,ISNUMBER(SEARCH("E.",A84))=TRUE),1,
AND(ISNUMBER(SEARCH("H-Dsty.",A84))=TRUE,ISNUMBER(SEARCH("H-Res",A84))=TRUE,OR(ISNUMBER(SEARCH("N.he",A84))=TRUE,ISNUMBER(SEARCH("N.me",A84))=TRUE,ISNUMBER(SEARCH("N.li",A84))=TRUE)),2,
AND(ISNUMBER(SEARCH("H-Dsty.",A84))=TRUE,ISNUMBER(SEARCH("H-Res",A84))=TRUE,ISNUMBER(SEARCH("C.",A84))=TRUE),3,
AND(ISNUMBER(SEARCH("L-Dsty.",A84))=TRUE,ISNUMBER(SEARCH("H-Res",A84))=TRUE,ISNUMBER(SEARCH("E.",A84))=TRUE),6,
AND(ISNUMBER(SEARCH("L-Dsty.",A84))=TRUE,ISNUMBER(SEARCH("H-Res",A84))=TRUE,OR(ISNUMBER(SEARCH("N.he",A84))=TRUE,ISNUMBER(SEARCH("N.me",A84))=TRUE,ISNUMBER(SEARCH("N.li",A84))=TRUE)),7,
AND(ISNUMBER(SEARCH("L-Dsty.",A84))=TRUE,ISNUMBER(SEARCH("H-Res",A84))=TRUE,ISNUMBER(SEARCH("C.",A84))=TRUE),8,
AND(ISNUMBER(SEARCH("L-Dsty.",A84))=TRUE,ISNUMBER(SEARCH("L-Res",A84))=TRUE,ISNUMBER(SEARCH("E.",A84))=TRUE),11,
AND(ISNUMBER(SEARCH("L-Dsty.",A84))=TRUE,ISNUMBER(SEARCH("L-Res",A84))=TRUE,OR(ISNUMBER(SEARCH("N.he",A84))=TRUE,ISNUMBER(SEARCH("N.me",A84))=TRUE,ISNUMBER(SEARCH("N.li",A84))=TRUE)),12,
AND(ISNUMBER(SEARCH("L-Dsty.",A84))=TRUE,ISNUMBER(SEARCH("L-Res",A84))=TRUE,ISNUMBER(SEARCH("C.",A84))=TRUE),13))</f>
        <v>2</v>
      </c>
    </row>
    <row r="85" spans="1:42" x14ac:dyDescent="0.2">
      <c r="A85" t="s">
        <v>506</v>
      </c>
      <c r="B85" s="210" t="str">
        <f t="array" ref="B85">INDEX(ECOMOD_input_estimate!$A$2:$A$55, MATCH(CFT_input!$A85, ECOMOD_input_estimate!$B:$B, 0))</f>
        <v>FF_11.4</v>
      </c>
      <c r="C85" s="210">
        <v>2020</v>
      </c>
      <c r="D85" s="395" t="s">
        <v>735</v>
      </c>
      <c r="E85" s="210" t="str">
        <f t="shared" si="7"/>
        <v>E.medium.L-Dsty.H-Res</v>
      </c>
      <c r="F85" s="210" t="str">
        <f t="array" ref="F85">_xlfn.SINGLE(IF(OR(ISNUMBER(SEARCH("heavy",A85))=TRUE,ISNUMBER(SEARCH("medium",A85))=TRUE),
INDEX('Focus Data Crop Rotations'!$D$4:$P$9,MATCH(D85,'Focus Data Crop Rotations'!$C$4:$C$9,0),_xlfn.SINGLE(_xlfn.IFS(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INDEX('Focus Data Crop Rotations'!$D$12:$P$17,MATCH(D85,'Focus Data Crop Rotations'!$C$12:$C$17,0),_xlfn.SINGLE(_xlfn.IFS(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winterwheat</v>
      </c>
      <c r="G85">
        <v>7.2</v>
      </c>
      <c r="H85" s="227">
        <f>VLOOKUP(F85,'CFT Specific Data'!$F$4:$H$19,3,FALSE)*G85*
IF(B85=B84,
IF(AND(ISNUMBER(SEARCH("wheat",F85))=TRUE,ISNUMBER(SEARCH("Barley",F84))=TRUE),0.89,
IF(AND(ISNUMBER(SEARCH("wheat",F85))=TRUE,F84="setaside"),0.94,
IF(AND(ISNUMBER(SEARCH("barley",F85))=TRUE,ISNUMBER(SEARCH("wheat",F84))=TRUE),0.89,
IF(AND(F85="winterbarley",F84="setaside"),0.94,
IF(AND(F85="sugarbeet",F84="warepotatoes"),0.95,
IF(AND((OR(ISNUMBER(SEARCH("beans",F85)),ISNUMBER(SEARCH("driedpeas",F85)),ISNUMBER(SEARCH("sugarbeet",F85)))=TRUE),ISNUMBER(SEARCH("osr",F84))=TRUE),0,
IF(AND((OR((ISNUMBER(SEARCH("wheat",F85))),ISNUMBER(SEARCH("linseed",F85)),ISNUMBER(SEARCH("driedpeas",F85)),ISNUMBER(SEARCH("osr",F85)))=TRUE),F84="sugarbeet"),0,
IF(AND((OR((ISNUMBER(SEARCH("osr",F85))),ISNUMBER(SEARCH("linseed",F85)))=TRUE),ISNUMBER(SEARCH("beans",F84))=TRUE),0,
IF(AND(F85="wosr",ISNUMBER(SEARCH("linseed",F84))=TRUE),0,
IF(AND(F85="sugarbeet",F84="warepotatoes"),0,
1)))))))))),
IF(AND(ISNUMBER(SEARCH("wheat",F85))=TRUE,ISNUMBER(SEARCH("Barley",F90))=TRUE),0.89,
IF(AND(ISNUMBER(SEARCH("wheat",F85))=TRUE,F90="setaside"),0.94,
IF(AND(ISNUMBER(SEARCH("barley",F85))=TRUE,ISNUMBER(SEARCH("wheat",F90))=TRUE),0.89,
IF(AND(F85="winterbarley",F90="setaside"),0.94,
IF(AND(F85="sugarbeet",F90="warepotatoes"),0.95,
IF(AND((OR(ISNUMBER(SEARCH("beans",F85)),ISNUMBER(SEARCH("driedpeas",F85)),ISNUMBER(SEARCH("sugarbeet",F85)))=TRUE),ISNUMBER(SEARCH("osr",F90))=TRUE),0,
IF(AND((OR((ISNUMBER(SEARCH("wheat",F85))),ISNUMBER(SEARCH("linseed",F85)),ISNUMBER(SEARCH("driedpeas",F85)),ISNUMBER(SEARCH("osr",F85)))=TRUE),F90="sugarbeet"),0,
IF(AND((OR((ISNUMBER(SEARCH("osr",F85))),ISNUMBER(SEARCH("linseed",F85)))=TRUE),ISNUMBER(SEARCH("beans",F90))=TRUE),0,
IF(AND(F85="wosr",ISNUMBER(SEARCH("linseed",F90))=TRUE),0,
IF(AND(F85="sugarbeet",F90="warepotatoes"),0,
1)))))))))))
*IF(OR(ISNUMBER(SEARCH("wheat",F85)),ISNUMBER(SEARCH("barley",F85)),ISNUMBER(SEARCH("driedpeas",F85)),ISNUMBER(SEARCH("warepotatoes",F85)),ISNUMBER(SEARCH("osr",F85)),ISNUMBER(SEARCH("linseed",F85)),ISNUMBER(SEARCH("sugarbeet",F85))),
IF(COUNTIF(B80:B84,B85)=5,
INDEX('CFT Specific Data'!$G$24:$L$39,MATCH(F85,'CFT Specific Data'!$F$24:$F$39,0),IF(COUNTIF(F80:F84,F85)=5,6,IF(COUNTIF(F81:F84,F85)=4,5,IF(COUNTIF(F82:F84,F85)=3,4,IF(COUNTIF(F83:F84,F85)=2,3,IF(F84=F85,2,1)))))),
IF(COUNTIF(B80:B84,B85)=4,
INDEX('CFT Specific Data'!$G$24:$L$39,MATCH(F85,'CFT Specific Data'!$F$24:$F$39,0),IF(SUM(COUNTIF(F81:F84,F85),COUNTIF(F86,F85))=5,6,IF(COUNTIF(F81:F84,F85)=4,5,IF(COUNTIF(F82:F84,F85)=3,4,IF(COUNTIF(F83:F84,F85)=2,3,IF(F84=F85,2,1)))))),
IF(COUNTIF(B80:B84,B85)=3,
INDEX('CFT Specific Data'!$G$24:$L$39,MATCH(F85,'CFT Specific Data'!$F$24:$F$39,0),IF(SUM(COUNTIF(F82:F84,F85),COUNTIF(F86:F87,F85))=5,6,IF(SUM(COUNTIF(F82:F84,F85),COUNTIF(F87,F85))=4,5,IF(COUNTIF(F82:F84,F85)=3,4,IF(COUNTIF(F83:F84,F85)=2,3,IF(F84=F85,2,1)))))),
IF(COUNTIF(B80:B84,B85)=2,
INDEX('CFT Specific Data'!$G$24:$L$39,MATCH(F85,'CFT Specific Data'!$F$24:$F$39,0),IF(SUM(COUNTIF(F83:F84,F85),COUNTIF(F86:F88,F85))=5,6,IF(SUM(COUNTIF(F83:F84,F85),COUNTIF(F87:F88,F85))=4,5,IF(SUM(COUNTIF(F83:F84,F85),COUNTIF(F88,F85))=3,4,IF(COUNTIF(F83:F84,F85)=2,3,IF(F84=F85,2,1)))))),
IF(COUNTIF(B80:B84,B85)=1,
INDEX('CFT Specific Data'!$G$24:$L$39,MATCH(F85,'CFT Specific Data'!$F$24:$F$39,0),IF(SUM(COUNTIF(F84,F85),COUNTIF(F86:F89,F85))=5,6,IF(SUM(COUNTIF(F84,F85),COUNTIF(F87:F89,F85))=4,5,IF(SUM(COUNTIF(F84,F85),COUNTIF(F88:F89,F85))=3,4,IF(SUM(COUNTIF(F84,F85),COUNTIF(F89,F85))=2,3,IF(F84=F85,2,1)))))),
IF(COUNTIF(B80:B84,B85)=0,
INDEX('CFT Specific Data'!$G$24:$L$39,MATCH(F85,'CFT Specific Data'!$F$24:$F$39,0),IF(COUNTIF(F86:F90,F85)=5,6,IF(COUNTIF(F87:F90,F85)=4,5,IF(COUNTIF(F88:F90,F85)=3,4,IF(COUNTIF(F89:F90,F85)=2,3,IF(F90=F85,2,1)))))))))))),1)</f>
        <v>61.92</v>
      </c>
      <c r="I85" s="210" t="s">
        <v>348</v>
      </c>
      <c r="J85">
        <v>10</v>
      </c>
      <c r="K85" s="210" t="str">
        <f>VLOOKUP(F85,'CFT Specific Data'!$F$4:$G$19,2,FALSE)</f>
        <v>Winter wheat</v>
      </c>
      <c r="L85" t="str">
        <f t="shared" si="8"/>
        <v>Medium</v>
      </c>
      <c r="M85">
        <f t="shared" si="9"/>
        <v>4.4720000000000004</v>
      </c>
      <c r="N85" t="str">
        <f t="shared" si="10"/>
        <v>1.72 &lt; SOM &lt;= 5.16</v>
      </c>
      <c r="O85" t="s">
        <v>349</v>
      </c>
      <c r="P85" t="s">
        <v>350</v>
      </c>
      <c r="Q85">
        <v>7</v>
      </c>
      <c r="R85" t="str">
        <f t="shared" si="6"/>
        <v>5.5 &lt; pH &lt;= 7.3</v>
      </c>
      <c r="S85" t="s">
        <v>351</v>
      </c>
      <c r="T85" s="210">
        <f t="array" ref="T85">_xlfn.SINGLE(INDEX('Focus Data NFertiliser Rate'!$D$4:$P$19,MATCH(F85,'Focus Data NFertiliser Rate'!$C$4:$C$19,0),_xlfn.SINGLE(_xlfn.IFS(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240</v>
      </c>
      <c r="U85" t="str">
        <f t="shared" si="11"/>
        <v>Apply in solution</v>
      </c>
      <c r="V85" s="210">
        <f t="array" ref="V85">_xlfn.SINGLE(INDEX('№ Fertiliser sprayings'!$D$4:$P$19,MATCH(F85,'№ Fertiliser sprayings'!$C$4:$C$19,0),_xlfn.SINGLE(_xlfn.IFS(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3</v>
      </c>
      <c r="W85" s="264">
        <f t="array" ref="W85">_xlfn.SINGLE(INDEX('Focus Data CFT NSpraying'!$D$4:$P$19,MATCH(F85,'Focus Data CFT NSpraying'!$C$4:$C$19,0),_xlfn.SINGLE(_xlfn.IFS(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f>
        <v>13.135999999999999</v>
      </c>
      <c r="X85" t="s">
        <v>363</v>
      </c>
      <c r="Y85">
        <v>0</v>
      </c>
      <c r="Z85">
        <v>100</v>
      </c>
      <c r="AA85" t="s">
        <v>352</v>
      </c>
      <c r="AB85" s="226" t="str">
        <f>IF(B85=B84,_xlfn.IFS(
AND(AA85=Lists!$L$8,AA84=Lists!$L$8),Lists!$N$5,
AND(OR(AA85=Lists!$L$5,AA85=Lists!$L$7,AA85=Lists!$L$9,AA85=Lists!$L$10,AA85=Lists!$L$6),OR(AA84=Lists!$L$5,AA84=Lists!$L$7,AA84=Lists!$L$9,AA84=Lists!$L$10,AA84=Lists!$L$6)),Lists!$N$5,
AND(AA85=Lists!$L$8,OR(AA84=Lists!$L$5,AA84=Lists!$L$7,AA84=Lists!$L$9,AA84=Lists!$L$10,AA84=Lists!$L$6)),Lists!$N$6,
AND(OR(AA85=Lists!$L$5,AA85=Lists!$L$6,AA85=Lists!$L$7,AA85=Lists!$L$9,AA85=Lists!$L$10),AA84=Lists!$L$8),Lists!$N$7),
_xlfn.IFS(
AND(AA85=Lists!$L$8,AA90=Lists!$L$8),Lists!$N$5,
AND(OR(AA85=Lists!$L$5,AA85=Lists!$L$7,AA85=Lists!$L$9,AA85=Lists!$L$10,AA85=Lists!$L$6),OR(AA90=Lists!$L$5,AA90=Lists!$L$7,AA90=Lists!$L$9,AA90=Lists!$L$10,AA90=Lists!$L$6)),Lists!$N$5,
AND(AA85=Lists!$L$8,OR(AA90=Lists!$L$5,AA90=Lists!$L$7,AA90=Lists!$L$9,AA90=Lists!$L$10,AA90=Lists!$L$6)),Lists!$N$6,
AND(OR(AA85=Lists!$L$5,AA85=Lists!$L$7,AA85=Lists!$L$9,AA85=Lists!$L$10),AA90=Lists!$L$8),Lists!$N$7))</f>
        <v>no change</v>
      </c>
      <c r="AC85">
        <v>0</v>
      </c>
      <c r="AD85">
        <v>0</v>
      </c>
      <c r="AE85" s="102">
        <f t="array" ref="AE85">IF(OR(ISNUMBER(SEARCH("heavy",A85))=TRUE, ISNUMBER(SEARCH("medium",A85))=TRUE),
(LEN(_xlfn.SINGLE(
INDEX('Focus Data Tillage by farm'!$D$4:$P$9,MATCH(D85,'Focus Data Tillage by farm'!$C$4:$C$9,0),_xlfn.SINGLE(_xlfn.IFS(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-LEN(SUBSTITUTE(_xlfn.SINGLE(
INDEX('Focus Data Tillage by farm'!$D$4:$P$9,MATCH(D85,'Focus Data Tillage by farm'!$C$4:$C$9,0),_xlfn.SINGLE(_xlfn.IFS(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"disc","")))/LEN("disc"),
(LEN(_xlfn.SINGLE(
INDEX('Focus Data Tillage by farm'!$D$12:$P$17,MATCH(D85,'Focus Data Tillage by farm'!$C$12:$C$17,0),_xlfn.SINGLE(_xlfn.IFS(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-LEN(SUBSTITUTE(_xlfn.SINGLE(
INDEX('Focus Data Tillage by farm'!$D$12:$P$17,MATCH(D85,'Focus Data Tillage by farm'!$C$12:$C$17,0),_xlfn.SINGLE(_xlfn.IFS(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"disc","")))/LEN("disc"))</f>
        <v>1</v>
      </c>
      <c r="AF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"field cultivator","")))/LEN("field cultivator"),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"field cultivator","")))/LEN("field cultivator"))</f>
        <v>0</v>
      </c>
      <c r="AG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"grain drill","")))/LEN("grain drill"),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"grain drill","")))/LEN("grain drill"))</f>
        <v>0</v>
      </c>
      <c r="AH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"minimum tillage","")))/LEN("minimum tillage"),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"minimum tillage","")))/LEN("minimum tillage"))</f>
        <v>1</v>
      </c>
      <c r="AI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"row crop planter","")))/LEN("row crop planter"),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"row crop planter","")))/LEN("row crop planter"))</f>
        <v>0</v>
      </c>
      <c r="AJ85" s="102">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"plough","")))/LEN("plough"),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"plough","")))/LEN("plough"))</f>
        <v>1</v>
      </c>
      <c r="AK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harrow","")))/LEN("roller harrow"),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harrow","")))/LEN("roller harrow"))</f>
        <v>1</v>
      </c>
      <c r="AL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packer","")))/LEN("roller packer"),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"roller packer","")))/LEN("roller packer"))</f>
        <v>2</v>
      </c>
      <c r="AM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"rotary hoe","")))/LEN("rotary hoe"),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"rotary hoe","")))/LEN("rotary hoe"))</f>
        <v>0</v>
      </c>
      <c r="AN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"subsoil","")))/LEN("subsoil"),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"subsoil","")))/LEN("subsoil"))</f>
        <v>0</v>
      </c>
      <c r="AO85">
        <f>IF(OR(ISNUMBER(SEARCH("heavy",A85))=TRUE, ISNUMBER(SEARCH("medium",A85))=TRUE),
(LEN(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farm'!$D$4:$P$9,MATCH(D85,'Focus Data Tillage by farm'!$C$4:$C$9,0),_xlfn.IFS(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"tine harrow","")))/LEN("tine harrow"),
(LEN(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-LEN(SUBSTITUTE(
INDEX('Focus Data Tillage by farm'!$D$12:$P$17,MATCH(D85,'Focus Data Tillage by farm'!$C$12:$C$17,0),_xlfn.IFS(
AND(ISNUMBER(SEARCH("H-Dsty.",A85))=TRUE,ISNUMBER(SEARCH("H-Res",A85))=TRUE,ISNUMBER(SEARCH("E.",A85))=TRUE),1,
AND(ISNUMBER(SEARCH("H-Dsty.",A85))=TRUE,ISNUMBER(SEARCH("H-Res",A85))=TRUE,OR(ISNUMBER(SEARCH("N.he",A85))=TRUE,ISNUMBER(SEARCH("N.me",A85))=TRUE,ISNUMBER(SEARCH("N.li",A85))=TRUE)),2,
AND(ISNUMBER(SEARCH("H-Dsty.",A85))=TRUE,ISNUMBER(SEARCH("H-Res",A85))=TRUE,ISNUMBER(SEARCH("C.",A85))=TRUE),3,
AND(ISNUMBER(SEARCH("L-Dsty.",A85))=TRUE,ISNUMBER(SEARCH("H-Res",A85))=TRUE,ISNUMBER(SEARCH("E.",A85))=TRUE),6,
AND(ISNUMBER(SEARCH("L-Dsty.",A85))=TRUE,ISNUMBER(SEARCH("H-Res",A85))=TRUE,OR(ISNUMBER(SEARCH("N.he",A85))=TRUE,ISNUMBER(SEARCH("N.me",A85))=TRUE,ISNUMBER(SEARCH("N.li",A85))=TRUE)),7,
AND(ISNUMBER(SEARCH("L-Dsty.",A85))=TRUE,ISNUMBER(SEARCH("H-Res",A85))=TRUE,ISNUMBER(SEARCH("C.",A85))=TRUE),8,
AND(ISNUMBER(SEARCH("L-Dsty.",A85))=TRUE,ISNUMBER(SEARCH("L-Res",A85))=TRUE,ISNUMBER(SEARCH("E.",A85))=TRUE),11,
AND(ISNUMBER(SEARCH("L-Dsty.",A85))=TRUE,ISNUMBER(SEARCH("L-Res",A85))=TRUE,OR(ISNUMBER(SEARCH("N.he",A85))=TRUE,ISNUMBER(SEARCH("N.me",A85))=TRUE,ISNUMBER(SEARCH("N.li",A85))=TRUE)),12,
AND(ISNUMBER(SEARCH("L-Dsty.",A85))=TRUE,ISNUMBER(SEARCH("L-Res",A85))=TRUE,ISNUMBER(SEARCH("C.",A85))=TRUE),13)),
"tine harrow","")))/LEN("tine harrow"))</f>
        <v>0</v>
      </c>
      <c r="AP85" s="102">
        <v>4</v>
      </c>
    </row>
    <row r="86" spans="1:42" x14ac:dyDescent="0.2">
      <c r="A86" t="s">
        <v>507</v>
      </c>
      <c r="B86" s="210" t="str">
        <f t="array" ref="B86">INDEX(ECOMOD_input_estimate!$A$2:$A$55, MATCH(CFT_input!$A86, ECOMOD_input_estimate!$B:$B, 0))</f>
        <v>FF_17.4</v>
      </c>
      <c r="C86" s="210">
        <v>2020</v>
      </c>
      <c r="D86" s="395" t="s">
        <v>731</v>
      </c>
      <c r="E86" s="210" t="str">
        <f t="shared" si="7"/>
        <v>E.medium.L-Dsty.L-Res</v>
      </c>
      <c r="F86" s="210" t="str">
        <f t="array" ref="F86">_xlfn.SINGLE(IF(OR(ISNUMBER(SEARCH("heavy",A86))=TRUE,ISNUMBER(SEARCH("medium",A86))=TRUE),
INDEX('Focus Data Crop Rotations'!$D$4:$P$9,MATCH(D86,'Focus Data Crop Rotations'!$C$4:$C$9,0),_xlfn.SINGLE(_xlfn.IFS(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INDEX('Focus Data Crop Rotations'!$D$12:$P$17,MATCH(D86,'Focus Data Crop Rotations'!$C$12:$C$17,0),_xlfn.SINGLE(_xlfn.IFS(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winterwheat</v>
      </c>
      <c r="G86">
        <v>7.2</v>
      </c>
      <c r="H86" s="227">
        <f>VLOOKUP(F86,'CFT Specific Data'!$F$4:$H$19,3,FALSE)*G86*
IF(B86=B85,
IF(AND(ISNUMBER(SEARCH("wheat",F86))=TRUE,ISNUMBER(SEARCH("Barley",F85))=TRUE),0.89,
IF(AND(ISNUMBER(SEARCH("wheat",F86))=TRUE,F85="setaside"),0.94,
IF(AND(ISNUMBER(SEARCH("barley",F86))=TRUE,ISNUMBER(SEARCH("wheat",F85))=TRUE),0.89,
IF(AND(F86="winterbarley",F85="setaside"),0.94,
IF(AND(F86="sugarbeet",F85="warepotatoes"),0.95,
IF(AND((OR(ISNUMBER(SEARCH("beans",F86)),ISNUMBER(SEARCH("driedpeas",F86)),ISNUMBER(SEARCH("sugarbeet",F86)))=TRUE),ISNUMBER(SEARCH("osr",F85))=TRUE),0,
IF(AND((OR((ISNUMBER(SEARCH("wheat",F86))),ISNUMBER(SEARCH("linseed",F86)),ISNUMBER(SEARCH("driedpeas",F86)),ISNUMBER(SEARCH("osr",F86)))=TRUE),F85="sugarbeet"),0,
IF(AND((OR((ISNUMBER(SEARCH("osr",F86))),ISNUMBER(SEARCH("linseed",F86)))=TRUE),ISNUMBER(SEARCH("beans",F85))=TRUE),0,
IF(AND(F86="wosr",ISNUMBER(SEARCH("linseed",F85))=TRUE),0,
IF(AND(F86="sugarbeet",F85="warepotatoes"),0,
1)))))))))),
IF(AND(ISNUMBER(SEARCH("wheat",F86))=TRUE,ISNUMBER(SEARCH("Barley",F91))=TRUE),0.89,
IF(AND(ISNUMBER(SEARCH("wheat",F86))=TRUE,F91="setaside"),0.94,
IF(AND(ISNUMBER(SEARCH("barley",F86))=TRUE,ISNUMBER(SEARCH("wheat",F91))=TRUE),0.89,
IF(AND(F86="winterbarley",F91="setaside"),0.94,
IF(AND(F86="sugarbeet",F91="warepotatoes"),0.95,
IF(AND((OR(ISNUMBER(SEARCH("beans",F86)),ISNUMBER(SEARCH("driedpeas",F86)),ISNUMBER(SEARCH("sugarbeet",F86)))=TRUE),ISNUMBER(SEARCH("osr",F91))=TRUE),0,
IF(AND((OR((ISNUMBER(SEARCH("wheat",F86))),ISNUMBER(SEARCH("linseed",F86)),ISNUMBER(SEARCH("driedpeas",F86)),ISNUMBER(SEARCH("osr",F86)))=TRUE),F91="sugarbeet"),0,
IF(AND((OR((ISNUMBER(SEARCH("osr",F86))),ISNUMBER(SEARCH("linseed",F86)))=TRUE),ISNUMBER(SEARCH("beans",F91))=TRUE),0,
IF(AND(F86="wosr",ISNUMBER(SEARCH("linseed",F91))=TRUE),0,
IF(AND(F86="sugarbeet",F91="warepotatoes"),0,
1)))))))))))
*IF(OR(ISNUMBER(SEARCH("wheat",F86)),ISNUMBER(SEARCH("barley",F86)),ISNUMBER(SEARCH("driedpeas",F86)),ISNUMBER(SEARCH("warepotatoes",F86)),ISNUMBER(SEARCH("osr",F86)),ISNUMBER(SEARCH("linseed",F86)),ISNUMBER(SEARCH("sugarbeet",F86))),
IF(COUNTIF(B81:B85,B86)=5,
INDEX('CFT Specific Data'!$G$24:$L$39,MATCH(F86,'CFT Specific Data'!$F$24:$F$39,0),IF(COUNTIF(F81:F85,F86)=5,6,IF(COUNTIF(F82:F85,F86)=4,5,IF(COUNTIF(F83:F85,F86)=3,4,IF(COUNTIF(F84:F85,F86)=2,3,IF(F85=F86,2,1)))))),
IF(COUNTIF(B81:B85,B86)=4,
INDEX('CFT Specific Data'!$G$24:$L$39,MATCH(F86,'CFT Specific Data'!$F$24:$F$39,0),IF(SUM(COUNTIF(F82:F85,F86),COUNTIF(F87,F86))=5,6,IF(COUNTIF(F82:F85,F86)=4,5,IF(COUNTIF(F83:F85,F86)=3,4,IF(COUNTIF(F84:F85,F86)=2,3,IF(F85=F86,2,1)))))),
IF(COUNTIF(B81:B85,B86)=3,
INDEX('CFT Specific Data'!$G$24:$L$39,MATCH(F86,'CFT Specific Data'!$F$24:$F$39,0),IF(SUM(COUNTIF(F83:F85,F86),COUNTIF(F87:F88,F86))=5,6,IF(SUM(COUNTIF(F83:F85,F86),COUNTIF(F88,F86))=4,5,IF(COUNTIF(F83:F85,F86)=3,4,IF(COUNTIF(F84:F85,F86)=2,3,IF(F85=F86,2,1)))))),
IF(COUNTIF(B81:B85,B86)=2,
INDEX('CFT Specific Data'!$G$24:$L$39,MATCH(F86,'CFT Specific Data'!$F$24:$F$39,0),IF(SUM(COUNTIF(F84:F85,F86),COUNTIF(F87:F89,F86))=5,6,IF(SUM(COUNTIF(F84:F85,F86),COUNTIF(F88:F89,F86))=4,5,IF(SUM(COUNTIF(F84:F85,F86),COUNTIF(F89,F86))=3,4,IF(COUNTIF(F84:F85,F86)=2,3,IF(F85=F86,2,1)))))),
IF(COUNTIF(B81:B85,B86)=1,
INDEX('CFT Specific Data'!$G$24:$L$39,MATCH(F86,'CFT Specific Data'!$F$24:$F$39,0),IF(SUM(COUNTIF(F85,F86),COUNTIF(F87:F90,F86))=5,6,IF(SUM(COUNTIF(F85,F86),COUNTIF(F88:F90,F86))=4,5,IF(SUM(COUNTIF(F85,F86),COUNTIF(F89:F90,F86))=3,4,IF(SUM(COUNTIF(F85,F86),COUNTIF(F90,F86))=2,3,IF(F85=F86,2,1)))))),
IF(COUNTIF(B81:B85,B86)=0,
INDEX('CFT Specific Data'!$G$24:$L$39,MATCH(F86,'CFT Specific Data'!$F$24:$F$39,0),IF(COUNTIF(F87:F91,F86)=5,6,IF(COUNTIF(F88:F91,F86)=4,5,IF(COUNTIF(F89:F91,F86)=3,4,IF(COUNTIF(F90:F91,F86)=2,3,IF(F91=F86,2,1)))))))))))),1)</f>
        <v>55.728000000000002</v>
      </c>
      <c r="I86" s="210" t="s">
        <v>348</v>
      </c>
      <c r="J86">
        <v>10</v>
      </c>
      <c r="K86" s="210" t="str">
        <f>VLOOKUP(F86,'CFT Specific Data'!$F$4:$G$19,2,FALSE)</f>
        <v>Winter wheat</v>
      </c>
      <c r="L86" t="str">
        <f t="shared" si="8"/>
        <v>Medium</v>
      </c>
      <c r="M86">
        <f t="shared" si="9"/>
        <v>4.4720000000000004</v>
      </c>
      <c r="N86" t="str">
        <f t="shared" si="10"/>
        <v>1.72 &lt; SOM &lt;= 5.16</v>
      </c>
      <c r="O86" t="s">
        <v>349</v>
      </c>
      <c r="P86" t="s">
        <v>350</v>
      </c>
      <c r="Q86">
        <v>7</v>
      </c>
      <c r="R86" t="str">
        <f t="shared" si="6"/>
        <v>5.5 &lt; pH &lt;= 7.3</v>
      </c>
      <c r="S86" t="s">
        <v>351</v>
      </c>
      <c r="T86" s="210">
        <f t="array" ref="T86">_xlfn.SINGLE(INDEX('Focus Data NFertiliser Rate'!$D$4:$P$19,MATCH(F86,'Focus Data NFertiliser Rate'!$C$4:$C$19,0),_xlfn.SINGLE(_xlfn.IFS(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220</v>
      </c>
      <c r="U86" t="str">
        <f t="shared" si="11"/>
        <v>Apply in solution</v>
      </c>
      <c r="V86" s="210">
        <f t="array" ref="V86">_xlfn.SINGLE(INDEX('№ Fertiliser sprayings'!$D$4:$P$19,MATCH(F86,'№ Fertiliser sprayings'!$C$4:$C$19,0),_xlfn.SINGLE(_xlfn.IFS(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3</v>
      </c>
      <c r="W86" s="264">
        <f t="array" ref="W86">_xlfn.SINGLE(INDEX('Focus Data CFT NSpraying'!$D$4:$P$19,MATCH(F86,'Focus Data CFT NSpraying'!$C$4:$C$19,0),_xlfn.SINGLE(_xlfn.IFS(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6.3887999999999998</v>
      </c>
      <c r="X86" t="s">
        <v>363</v>
      </c>
      <c r="Y86">
        <v>0</v>
      </c>
      <c r="Z86">
        <v>100</v>
      </c>
      <c r="AA86" t="s">
        <v>352</v>
      </c>
      <c r="AB86" s="226" t="str">
        <f>IF(B86=B85,_xlfn.IFS(
AND(AA86=Lists!$L$8,AA85=Lists!$L$8),Lists!$N$5,
AND(OR(AA86=Lists!$L$5,AA86=Lists!$L$7,AA86=Lists!$L$9,AA86=Lists!$L$10,AA86=Lists!$L$6),OR(AA85=Lists!$L$5,AA85=Lists!$L$7,AA85=Lists!$L$9,AA85=Lists!$L$10,AA85=Lists!$L$6)),Lists!$N$5,
AND(AA86=Lists!$L$8,OR(AA85=Lists!$L$5,AA85=Lists!$L$7,AA85=Lists!$L$9,AA85=Lists!$L$10,AA85=Lists!$L$6)),Lists!$N$6,
AND(OR(AA86=Lists!$L$5,AA86=Lists!$L$6,AA86=Lists!$L$7,AA86=Lists!$L$9,AA86=Lists!$L$10),AA85=Lists!$L$8),Lists!$N$7),
_xlfn.IFS(
AND(AA86=Lists!$L$8,AA91=Lists!$L$8),Lists!$N$5,
AND(OR(AA86=Lists!$L$5,AA86=Lists!$L$7,AA86=Lists!$L$9,AA86=Lists!$L$10,AA86=Lists!$L$6),OR(AA91=Lists!$L$5,AA91=Lists!$L$7,AA91=Lists!$L$9,AA91=Lists!$L$10,AA91=Lists!$L$6)),Lists!$N$5,
AND(AA86=Lists!$L$8,OR(AA91=Lists!$L$5,AA91=Lists!$L$7,AA91=Lists!$L$9,AA91=Lists!$L$10,AA91=Lists!$L$6)),Lists!$N$6,
AND(OR(AA86=Lists!$L$5,AA86=Lists!$L$7,AA86=Lists!$L$9,AA86=Lists!$L$10),AA91=Lists!$L$8),Lists!$N$7))</f>
        <v>no change</v>
      </c>
      <c r="AC86">
        <v>0</v>
      </c>
      <c r="AD86">
        <v>0</v>
      </c>
      <c r="AE86" s="102">
        <f t="array" ref="AE86">IF(OR(ISNUMBER(SEARCH("heavy",A86))=TRUE, ISNUMBER(SEARCH("medium",A86))=TRUE),
(LEN(_xlfn.SINGLE(
INDEX('Focus Data Tillage by farm'!$D$4:$P$9,MATCH(D86,'Focus Data Tillage by farm'!$C$4:$C$9,0),_xlfn.SINGLE(_xlfn.IFS(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-LEN(SUBSTITUTE(_xlfn.SINGLE(
INDEX('Focus Data Tillage by farm'!$D$4:$P$9,MATCH(D86,'Focus Data Tillage by farm'!$C$4:$C$9,0),_xlfn.SINGLE(_xlfn.IFS(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"disc","")))/LEN("disc"),
(LEN(_xlfn.SINGLE(
INDEX('Focus Data Tillage by farm'!$D$12:$P$17,MATCH(D86,'Focus Data Tillage by farm'!$C$12:$C$17,0),_xlfn.SINGLE(_xlfn.IFS(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-LEN(SUBSTITUTE(_xlfn.SINGLE(
INDEX('Focus Data Tillage by farm'!$D$12:$P$17,MATCH(D86,'Focus Data Tillage by farm'!$C$12:$C$17,0),_xlfn.SINGLE(_xlfn.IFS(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"disc","")))/LEN("disc"))</f>
        <v>2</v>
      </c>
      <c r="AF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"field cultivator","")))/LEN("field cultivator"),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"field cultivator","")))/LEN("field cultivator"))</f>
        <v>0</v>
      </c>
      <c r="AG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"grain drill","")))/LEN("grain drill"),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"grain drill","")))/LEN("grain drill"))</f>
        <v>0</v>
      </c>
      <c r="AH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"minimum tillage","")))/LEN("minimum tillage"),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"minimum tillage","")))/LEN("minimum tillage"))</f>
        <v>1</v>
      </c>
      <c r="AI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"row crop planter","")))/LEN("row crop planter"),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"row crop planter","")))/LEN("row crop planter"))</f>
        <v>0</v>
      </c>
      <c r="AJ86" s="102">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"plough","")))/LEN("plough"),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"plough","")))/LEN("plough"))</f>
        <v>0</v>
      </c>
      <c r="AK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harrow","")))/LEN("roller harrow"),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harrow","")))/LEN("roller harrow"))</f>
        <v>0</v>
      </c>
      <c r="AL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packer","")))/LEN("roller packer"),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"roller packer","")))/LEN("roller packer"))</f>
        <v>2</v>
      </c>
      <c r="AM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"rotary hoe","")))/LEN("rotary hoe"),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"rotary hoe","")))/LEN("rotary hoe"))</f>
        <v>0</v>
      </c>
      <c r="AN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"subsoil","")))/LEN("subsoil"),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"subsoil","")))/LEN("subsoil"))</f>
        <v>0</v>
      </c>
      <c r="AO86">
        <f>IF(OR(ISNUMBER(SEARCH("heavy",A86))=TRUE, ISNUMBER(SEARCH("medium",A86))=TRUE),
(LEN(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farm'!$D$4:$P$9,MATCH(D86,'Focus Data Tillage by farm'!$C$4:$C$9,0),_xlfn.IFS(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"tine harrow","")))/LEN("tine harrow"),
(LEN(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-LEN(SUBSTITUTE(
INDEX('Focus Data Tillage by farm'!$D$12:$P$17,MATCH(D86,'Focus Data Tillage by farm'!$C$12:$C$17,0),_xlfn.IFS(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
"tine harrow","")))/LEN("tine harrow"))</f>
        <v>0</v>
      </c>
      <c r="AP86" s="102">
        <f>INDEX('Focus Data NSpraying'!$D$4:$P$19,MATCH(F86,'Focus Data NSpraying'!$C$4:$C$19,0),_xlfn.IFS(
AND(ISNUMBER(SEARCH("H-Dsty.",A86))=TRUE,ISNUMBER(SEARCH("H-Res",A86))=TRUE,ISNUMBER(SEARCH("E.",A86))=TRUE),1,
AND(ISNUMBER(SEARCH("H-Dsty.",A86))=TRUE,ISNUMBER(SEARCH("H-Res",A86))=TRUE,OR(ISNUMBER(SEARCH("N.he",A86))=TRUE,ISNUMBER(SEARCH("N.me",A86))=TRUE,ISNUMBER(SEARCH("N.li",A86))=TRUE)),2,
AND(ISNUMBER(SEARCH("H-Dsty.",A86))=TRUE,ISNUMBER(SEARCH("H-Res",A86))=TRUE,ISNUMBER(SEARCH("C.",A86))=TRUE),3,
AND(ISNUMBER(SEARCH("L-Dsty.",A86))=TRUE,ISNUMBER(SEARCH("H-Res",A86))=TRUE,ISNUMBER(SEARCH("E.",A86))=TRUE),6,
AND(ISNUMBER(SEARCH("L-Dsty.",A86))=TRUE,ISNUMBER(SEARCH("H-Res",A86))=TRUE,OR(ISNUMBER(SEARCH("N.he",A86))=TRUE,ISNUMBER(SEARCH("N.me",A86))=TRUE,ISNUMBER(SEARCH("N.li",A86))=TRUE)),7,
AND(ISNUMBER(SEARCH("L-Dsty.",A86))=TRUE,ISNUMBER(SEARCH("H-Res",A86))=TRUE,ISNUMBER(SEARCH("C.",A86))=TRUE),8,
AND(ISNUMBER(SEARCH("L-Dsty.",A86))=TRUE,ISNUMBER(SEARCH("L-Res",A86))=TRUE,ISNUMBER(SEARCH("E.",A86))=TRUE),11,
AND(ISNUMBER(SEARCH("L-Dsty.",A86))=TRUE,ISNUMBER(SEARCH("L-Res",A86))=TRUE,OR(ISNUMBER(SEARCH("N.he",A86))=TRUE,ISNUMBER(SEARCH("N.me",A86))=TRUE,ISNUMBER(SEARCH("N.li",A86))=TRUE)),12,
AND(ISNUMBER(SEARCH("L-Dsty.",A86))=TRUE,ISNUMBER(SEARCH("L-Res",A86))=TRUE,ISNUMBER(SEARCH("C.",A86))=TRUE),13))</f>
        <v>4</v>
      </c>
    </row>
    <row r="87" spans="1:42" x14ac:dyDescent="0.2">
      <c r="A87" t="s">
        <v>507</v>
      </c>
      <c r="B87" s="210" t="str">
        <f t="array" ref="B87">INDEX(ECOMOD_input_estimate!$A$2:$A$55, MATCH(CFT_input!$A87, ECOMOD_input_estimate!$B:$B, 0))</f>
        <v>FF_17.4</v>
      </c>
      <c r="C87" s="210">
        <v>2020</v>
      </c>
      <c r="D87" s="395" t="s">
        <v>730</v>
      </c>
      <c r="E87" s="210" t="str">
        <f t="shared" si="7"/>
        <v>E.medium.L-Dsty.L-Res</v>
      </c>
      <c r="F87" s="210" t="str">
        <f t="array" ref="F87">_xlfn.SINGLE(IF(OR(ISNUMBER(SEARCH("heavy",A87))=TRUE,ISNUMBER(SEARCH("medium",A87))=TRUE),
INDEX('Focus Data Crop Rotations'!$D$4:$P$9,MATCH(D87,'Focus Data Crop Rotations'!$C$4:$C$9,0),_xlfn.SINGLE(_xlfn.IFS(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INDEX('Focus Data Crop Rotations'!$D$12:$P$17,MATCH(D87,'Focus Data Crop Rotations'!$C$12:$C$17,0),_xlfn.SINGLE(_xlfn.IFS(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wosr</v>
      </c>
      <c r="G87">
        <v>7.2</v>
      </c>
      <c r="H87" s="227">
        <f>VLOOKUP(F87,'CFT Specific Data'!$F$4:$H$19,3,FALSE)*G87*
IF(B87=B86,
IF(AND(ISNUMBER(SEARCH("wheat",F87))=TRUE,ISNUMBER(SEARCH("Barley",F86))=TRUE),0.89,
IF(AND(ISNUMBER(SEARCH("wheat",F87))=TRUE,F86="setaside"),0.94,
IF(AND(ISNUMBER(SEARCH("barley",F87))=TRUE,ISNUMBER(SEARCH("wheat",F86))=TRUE),0.89,
IF(AND(F87="winterbarley",F86="setaside"),0.94,
IF(AND(F87="sugarbeet",F86="warepotatoes"),0.95,
IF(AND((OR(ISNUMBER(SEARCH("beans",F87)),ISNUMBER(SEARCH("driedpeas",F87)),ISNUMBER(SEARCH("sugarbeet",F87)))=TRUE),ISNUMBER(SEARCH("osr",F86))=TRUE),0,
IF(AND((OR((ISNUMBER(SEARCH("wheat",F87))),ISNUMBER(SEARCH("linseed",F87)),ISNUMBER(SEARCH("driedpeas",F87)),ISNUMBER(SEARCH("osr",F87)))=TRUE),F86="sugarbeet"),0,
IF(AND((OR((ISNUMBER(SEARCH("osr",F87))),ISNUMBER(SEARCH("linseed",F87)))=TRUE),ISNUMBER(SEARCH("beans",F86))=TRUE),0,
IF(AND(F87="wosr",ISNUMBER(SEARCH("linseed",F86))=TRUE),0,
IF(AND(F87="sugarbeet",F86="warepotatoes"),0,
1)))))))))),
IF(AND(ISNUMBER(SEARCH("wheat",F87))=TRUE,ISNUMBER(SEARCH("Barley",F92))=TRUE),0.89,
IF(AND(ISNUMBER(SEARCH("wheat",F87))=TRUE,F92="setaside"),0.94,
IF(AND(ISNUMBER(SEARCH("barley",F87))=TRUE,ISNUMBER(SEARCH("wheat",F92))=TRUE),0.89,
IF(AND(F87="winterbarley",F92="setaside"),0.94,
IF(AND(F87="sugarbeet",F92="warepotatoes"),0.95,
IF(AND((OR(ISNUMBER(SEARCH("beans",F87)),ISNUMBER(SEARCH("driedpeas",F87)),ISNUMBER(SEARCH("sugarbeet",F87)))=TRUE),ISNUMBER(SEARCH("osr",F92))=TRUE),0,
IF(AND((OR((ISNUMBER(SEARCH("wheat",F87))),ISNUMBER(SEARCH("linseed",F87)),ISNUMBER(SEARCH("driedpeas",F87)),ISNUMBER(SEARCH("osr",F87)))=TRUE),F92="sugarbeet"),0,
IF(AND((OR((ISNUMBER(SEARCH("osr",F87))),ISNUMBER(SEARCH("linseed",F87)))=TRUE),ISNUMBER(SEARCH("beans",F92))=TRUE),0,
IF(AND(F87="wosr",ISNUMBER(SEARCH("linseed",F92))=TRUE),0,
IF(AND(F87="sugarbeet",F92="warepotatoes"),0,
1)))))))))))
*IF(OR(ISNUMBER(SEARCH("wheat",F87)),ISNUMBER(SEARCH("barley",F87)),ISNUMBER(SEARCH("driedpeas",F87)),ISNUMBER(SEARCH("warepotatoes",F87)),ISNUMBER(SEARCH("osr",F87)),ISNUMBER(SEARCH("linseed",F87)),ISNUMBER(SEARCH("sugarbeet",F87))),
IF(COUNTIF(B82:B86,B87)=5,
INDEX('CFT Specific Data'!$G$24:$L$39,MATCH(F87,'CFT Specific Data'!$F$24:$F$39,0),IF(COUNTIF(F82:F86,F87)=5,6,IF(COUNTIF(F83:F86,F87)=4,5,IF(COUNTIF(F84:F86,F87)=3,4,IF(COUNTIF(F85:F86,F87)=2,3,IF(F86=F87,2,1)))))),
IF(COUNTIF(B82:B86,B87)=4,
INDEX('CFT Specific Data'!$G$24:$L$39,MATCH(F87,'CFT Specific Data'!$F$24:$F$39,0),IF(SUM(COUNTIF(F83:F86,F87),COUNTIF(F88,F87))=5,6,IF(COUNTIF(F83:F86,F87)=4,5,IF(COUNTIF(F84:F86,F87)=3,4,IF(COUNTIF(F85:F86,F87)=2,3,IF(F86=F87,2,1)))))),
IF(COUNTIF(B82:B86,B87)=3,
INDEX('CFT Specific Data'!$G$24:$L$39,MATCH(F87,'CFT Specific Data'!$F$24:$F$39,0),IF(SUM(COUNTIF(F84:F86,F87),COUNTIF(F88:F89,F87))=5,6,IF(SUM(COUNTIF(F84:F86,F87),COUNTIF(F89,F87))=4,5,IF(COUNTIF(F84:F86,F87)=3,4,IF(COUNTIF(F85:F86,F87)=2,3,IF(F86=F87,2,1)))))),
IF(COUNTIF(B82:B86,B87)=2,
INDEX('CFT Specific Data'!$G$24:$L$39,MATCH(F87,'CFT Specific Data'!$F$24:$F$39,0),IF(SUM(COUNTIF(F85:F86,F87),COUNTIF(F88:F90,F87))=5,6,IF(SUM(COUNTIF(F85:F86,F87),COUNTIF(F89:F90,F87))=4,5,IF(SUM(COUNTIF(F85:F86,F87),COUNTIF(F90,F87))=3,4,IF(COUNTIF(F85:F86,F87)=2,3,IF(F86=F87,2,1)))))),
IF(COUNTIF(B82:B86,B87)=1,
INDEX('CFT Specific Data'!$G$24:$L$39,MATCH(F87,'CFT Specific Data'!$F$24:$F$39,0),IF(SUM(COUNTIF(F86,F87),COUNTIF(F88:F91,F87))=5,6,IF(SUM(COUNTIF(F86,F87),COUNTIF(F89:F91,F87))=4,5,IF(SUM(COUNTIF(F86,F87),COUNTIF(F90:F91,F87))=3,4,IF(SUM(COUNTIF(F86,F87),COUNTIF(F91,F87))=2,3,IF(F86=F87,2,1)))))),
IF(COUNTIF(B82:B86,B87)=0,
INDEX('CFT Specific Data'!$G$24:$L$39,MATCH(F87,'CFT Specific Data'!$F$24:$F$39,0),IF(COUNTIF(F88:F92,F87)=5,6,IF(COUNTIF(F89:F92,F87)=4,5,IF(COUNTIF(F90:F92,F87)=3,4,IF(COUNTIF(F91:F92,F87)=2,3,IF(F92=F87,2,1)))))))))))),1)</f>
        <v>25.2</v>
      </c>
      <c r="I87" s="210" t="s">
        <v>348</v>
      </c>
      <c r="J87">
        <v>10</v>
      </c>
      <c r="K87" s="210" t="str">
        <f>VLOOKUP(F87,'CFT Specific Data'!$F$4:$G$19,2,FALSE)</f>
        <v>Other</v>
      </c>
      <c r="L87" t="str">
        <f t="shared" si="8"/>
        <v>Medium</v>
      </c>
      <c r="M87">
        <f t="shared" si="9"/>
        <v>4.4720000000000004</v>
      </c>
      <c r="N87" t="str">
        <f t="shared" si="10"/>
        <v>1.72 &lt; SOM &lt;= 5.16</v>
      </c>
      <c r="O87" t="s">
        <v>349</v>
      </c>
      <c r="P87" t="s">
        <v>350</v>
      </c>
      <c r="Q87">
        <v>7</v>
      </c>
      <c r="R87" t="str">
        <f t="shared" si="6"/>
        <v>5.5 &lt; pH &lt;= 7.3</v>
      </c>
      <c r="S87" t="s">
        <v>351</v>
      </c>
      <c r="T87" s="210">
        <f t="array" ref="T87">_xlfn.SINGLE(INDEX('Focus Data NFertiliser Rate'!$D$4:$P$19,MATCH(F87,'Focus Data NFertiliser Rate'!$C$4:$C$19,0),_xlfn.SINGLE(_xlfn.IFS(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180</v>
      </c>
      <c r="U87" t="str">
        <f t="shared" si="11"/>
        <v>Apply in solution</v>
      </c>
      <c r="V87" s="210">
        <f t="array" ref="V87">_xlfn.SINGLE(INDEX('№ Fertiliser sprayings'!$D$4:$P$19,MATCH(F87,'№ Fertiliser sprayings'!$C$4:$C$19,0),_xlfn.SINGLE(_xlfn.IFS(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3</v>
      </c>
      <c r="W87" s="264">
        <f t="array" ref="W87">_xlfn.SINGLE(INDEX('Focus Data CFT NSpraying'!$D$4:$P$19,MATCH(F87,'Focus Data CFT NSpraying'!$C$4:$C$19,0),_xlfn.SINGLE(_xlfn.IFS(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0</v>
      </c>
      <c r="X87" t="s">
        <v>363</v>
      </c>
      <c r="Y87">
        <v>0</v>
      </c>
      <c r="Z87">
        <v>100</v>
      </c>
      <c r="AA87" t="s">
        <v>352</v>
      </c>
      <c r="AB87" s="226" t="str">
        <f>IF(B87=B86,_xlfn.IFS(
AND(AA87=Lists!$L$8,AA86=Lists!$L$8),Lists!$N$5,
AND(OR(AA87=Lists!$L$5,AA87=Lists!$L$7,AA87=Lists!$L$9,AA87=Lists!$L$10,AA87=Lists!$L$6),OR(AA86=Lists!$L$5,AA86=Lists!$L$7,AA86=Lists!$L$9,AA86=Lists!$L$10,AA86=Lists!$L$6)),Lists!$N$5,
AND(AA87=Lists!$L$8,OR(AA86=Lists!$L$5,AA86=Lists!$L$7,AA86=Lists!$L$9,AA86=Lists!$L$10,AA86=Lists!$L$6)),Lists!$N$6,
AND(OR(AA87=Lists!$L$5,AA87=Lists!$L$6,AA87=Lists!$L$7,AA87=Lists!$L$9,AA87=Lists!$L$10),AA86=Lists!$L$8),Lists!$N$7),
_xlfn.IFS(
AND(AA87=Lists!$L$8,AA92=Lists!$L$8),Lists!$N$5,
AND(OR(AA87=Lists!$L$5,AA87=Lists!$L$7,AA87=Lists!$L$9,AA87=Lists!$L$10,AA87=Lists!$L$6),OR(AA92=Lists!$L$5,AA92=Lists!$L$7,AA92=Lists!$L$9,AA92=Lists!$L$10,AA92=Lists!$L$6)),Lists!$N$5,
AND(AA87=Lists!$L$8,OR(AA92=Lists!$L$5,AA92=Lists!$L$7,AA92=Lists!$L$9,AA92=Lists!$L$10,AA92=Lists!$L$6)),Lists!$N$6,
AND(OR(AA87=Lists!$L$5,AA87=Lists!$L$7,AA87=Lists!$L$9,AA87=Lists!$L$10),AA92=Lists!$L$8),Lists!$N$7))</f>
        <v>no change</v>
      </c>
      <c r="AC87">
        <v>0</v>
      </c>
      <c r="AD87">
        <v>0</v>
      </c>
      <c r="AE87" s="102">
        <f t="array" ref="AE87">IF(OR(ISNUMBER(SEARCH("heavy",A87))=TRUE, ISNUMBER(SEARCH("medium",A87))=TRUE),
(LEN(_xlfn.SINGLE(
INDEX('Focus Data Tillage by farm'!$D$4:$P$9,MATCH(D87,'Focus Data Tillage by farm'!$C$4:$C$9,0),_xlfn.SINGLE(_xlfn.IFS(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-LEN(SUBSTITUTE(_xlfn.SINGLE(
INDEX('Focus Data Tillage by farm'!$D$4:$P$9,MATCH(D87,'Focus Data Tillage by farm'!$C$4:$C$9,0),_xlfn.SINGLE(_xlfn.IFS(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"disc","")))/LEN("disc"),
(LEN(_xlfn.SINGLE(
INDEX('Focus Data Tillage by farm'!$D$12:$P$17,MATCH(D87,'Focus Data Tillage by farm'!$C$12:$C$17,0),_xlfn.SINGLE(_xlfn.IFS(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-LEN(SUBSTITUTE(_xlfn.SINGLE(
INDEX('Focus Data Tillage by farm'!$D$12:$P$17,MATCH(D87,'Focus Data Tillage by farm'!$C$12:$C$17,0),_xlfn.SINGLE(_xlfn.IFS(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"disc","")))/LEN("disc"))</f>
        <v>0</v>
      </c>
      <c r="AF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"field cultivator","")))/LEN("field cultivator"),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"field cultivator","")))/LEN("field cultivator"))</f>
        <v>0</v>
      </c>
      <c r="AG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"grain drill","")))/LEN("grain drill"),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"grain drill","")))/LEN("grain drill"))</f>
        <v>0</v>
      </c>
      <c r="AH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"minimum tillage","")))/LEN("minimum tillage"),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"minimum tillage","")))/LEN("minimum tillage"))</f>
        <v>0</v>
      </c>
      <c r="AI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"row crop planter","")))/LEN("row crop planter"),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"row crop planter","")))/LEN("row crop planter"))</f>
        <v>0</v>
      </c>
      <c r="AJ87" s="102">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"plough","")))/LEN("plough"),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"plough","")))/LEN("plough"))</f>
        <v>0</v>
      </c>
      <c r="AK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harrow","")))/LEN("roller harrow"),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harrow","")))/LEN("roller harrow"))</f>
        <v>0</v>
      </c>
      <c r="AL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packer","")))/LEN("roller packer"),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"roller packer","")))/LEN("roller packer"))</f>
        <v>1</v>
      </c>
      <c r="AM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"rotary hoe","")))/LEN("rotary hoe"),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"rotary hoe","")))/LEN("rotary hoe"))</f>
        <v>0</v>
      </c>
      <c r="AN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"subsoil","")))/LEN("subsoil"),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"subsoil","")))/LEN("subsoil"))</f>
        <v>1</v>
      </c>
      <c r="AO87">
        <f>IF(OR(ISNUMBER(SEARCH("heavy",A87))=TRUE, ISNUMBER(SEARCH("medium",A87))=TRUE),
(LEN(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farm'!$D$4:$P$9,MATCH(D87,'Focus Data Tillage by farm'!$C$4:$C$9,0),_xlfn.IFS(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"tine harrow","")))/LEN("tine harrow"),
(LEN(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-LEN(SUBSTITUTE(
INDEX('Focus Data Tillage by farm'!$D$12:$P$17,MATCH(D87,'Focus Data Tillage by farm'!$C$12:$C$17,0),_xlfn.IFS(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
"tine harrow","")))/LEN("tine harrow"))</f>
        <v>0</v>
      </c>
      <c r="AP87" s="102">
        <f>INDEX('Focus Data NSpraying'!$D$4:$P$19,MATCH(F87,'Focus Data NSpraying'!$C$4:$C$19,0),_xlfn.IFS(
AND(ISNUMBER(SEARCH("H-Dsty.",A87))=TRUE,ISNUMBER(SEARCH("H-Res",A87))=TRUE,ISNUMBER(SEARCH("E.",A87))=TRUE),1,
AND(ISNUMBER(SEARCH("H-Dsty.",A87))=TRUE,ISNUMBER(SEARCH("H-Res",A87))=TRUE,OR(ISNUMBER(SEARCH("N.he",A87))=TRUE,ISNUMBER(SEARCH("N.me",A87))=TRUE,ISNUMBER(SEARCH("N.li",A87))=TRUE)),2,
AND(ISNUMBER(SEARCH("H-Dsty.",A87))=TRUE,ISNUMBER(SEARCH("H-Res",A87))=TRUE,ISNUMBER(SEARCH("C.",A87))=TRUE),3,
AND(ISNUMBER(SEARCH("L-Dsty.",A87))=TRUE,ISNUMBER(SEARCH("H-Res",A87))=TRUE,ISNUMBER(SEARCH("E.",A87))=TRUE),6,
AND(ISNUMBER(SEARCH("L-Dsty.",A87))=TRUE,ISNUMBER(SEARCH("H-Res",A87))=TRUE,OR(ISNUMBER(SEARCH("N.he",A87))=TRUE,ISNUMBER(SEARCH("N.me",A87))=TRUE,ISNUMBER(SEARCH("N.li",A87))=TRUE)),7,
AND(ISNUMBER(SEARCH("L-Dsty.",A87))=TRUE,ISNUMBER(SEARCH("H-Res",A87))=TRUE,ISNUMBER(SEARCH("C.",A87))=TRUE),8,
AND(ISNUMBER(SEARCH("L-Dsty.",A87))=TRUE,ISNUMBER(SEARCH("L-Res",A87))=TRUE,ISNUMBER(SEARCH("E.",A87))=TRUE),11,
AND(ISNUMBER(SEARCH("L-Dsty.",A87))=TRUE,ISNUMBER(SEARCH("L-Res",A87))=TRUE,OR(ISNUMBER(SEARCH("N.he",A87))=TRUE,ISNUMBER(SEARCH("N.me",A87))=TRUE,ISNUMBER(SEARCH("N.li",A87))=TRUE)),12,
AND(ISNUMBER(SEARCH("L-Dsty.",A87))=TRUE,ISNUMBER(SEARCH("L-Res",A87))=TRUE,ISNUMBER(SEARCH("C.",A87))=TRUE),13))</f>
        <v>0</v>
      </c>
    </row>
    <row r="88" spans="1:42" x14ac:dyDescent="0.2">
      <c r="A88" t="s">
        <v>507</v>
      </c>
      <c r="B88" s="210" t="str">
        <f t="array" ref="B88">INDEX(ECOMOD_input_estimate!$A$2:$A$55, MATCH(CFT_input!$A88, ECOMOD_input_estimate!$B:$B, 0))</f>
        <v>FF_17.4</v>
      </c>
      <c r="C88" s="210">
        <v>2020</v>
      </c>
      <c r="D88" s="395" t="s">
        <v>1694</v>
      </c>
      <c r="E88" s="210" t="str">
        <f t="shared" si="7"/>
        <v>E.medium.L-Dsty.L-Res</v>
      </c>
      <c r="F88" s="210" t="str">
        <f t="array" ref="F88">_xlfn.SINGLE(IF(OR(ISNUMBER(SEARCH("heavy",A88))=TRUE,ISNUMBER(SEARCH("medium",A88))=TRUE),
INDEX('Focus Data Crop Rotations'!$D$4:$P$9,MATCH(D88,'Focus Data Crop Rotations'!$C$4:$C$9,0),_xlfn.SINGLE(_xlfn.IFS(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INDEX('Focus Data Crop Rotations'!$D$12:$P$17,MATCH(D88,'Focus Data Crop Rotations'!$C$12:$C$17,0),_xlfn.SINGLE(_xlfn.IFS(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winterwheat</v>
      </c>
      <c r="G88">
        <v>7.2</v>
      </c>
      <c r="H88" s="227">
        <f>VLOOKUP(F88,'CFT Specific Data'!$F$4:$H$19,3,FALSE)*G88*
IF(B88=B87,
IF(AND(ISNUMBER(SEARCH("wheat",F88))=TRUE,ISNUMBER(SEARCH("Barley",F87))=TRUE),0.89,
IF(AND(ISNUMBER(SEARCH("wheat",F88))=TRUE,F87="setaside"),0.94,
IF(AND(ISNUMBER(SEARCH("barley",F88))=TRUE,ISNUMBER(SEARCH("wheat",F87))=TRUE),0.89,
IF(AND(F88="winterbarley",F87="setaside"),0.94,
IF(AND(F88="sugarbeet",F87="warepotatoes"),0.95,
IF(AND((OR(ISNUMBER(SEARCH("beans",F88)),ISNUMBER(SEARCH("driedpeas",F88)),ISNUMBER(SEARCH("sugarbeet",F88)))=TRUE),ISNUMBER(SEARCH("osr",F87))=TRUE),0,
IF(AND((OR((ISNUMBER(SEARCH("wheat",F88))),ISNUMBER(SEARCH("linseed",F88)),ISNUMBER(SEARCH("driedpeas",F88)),ISNUMBER(SEARCH("osr",F88)))=TRUE),F87="sugarbeet"),0,
IF(AND((OR((ISNUMBER(SEARCH("osr",F88))),ISNUMBER(SEARCH("linseed",F88)))=TRUE),ISNUMBER(SEARCH("beans",F87))=TRUE),0,
IF(AND(F88="wosr",ISNUMBER(SEARCH("linseed",F87))=TRUE),0,
IF(AND(F88="sugarbeet",F87="warepotatoes"),0,
1)))))))))),
IF(AND(ISNUMBER(SEARCH("wheat",F88))=TRUE,ISNUMBER(SEARCH("Barley",F93))=TRUE),0.89,
IF(AND(ISNUMBER(SEARCH("wheat",F88))=TRUE,F93="setaside"),0.94,
IF(AND(ISNUMBER(SEARCH("barley",F88))=TRUE,ISNUMBER(SEARCH("wheat",F93))=TRUE),0.89,
IF(AND(F88="winterbarley",F93="setaside"),0.94,
IF(AND(F88="sugarbeet",F93="warepotatoes"),0.95,
IF(AND((OR(ISNUMBER(SEARCH("beans",F88)),ISNUMBER(SEARCH("driedpeas",F88)),ISNUMBER(SEARCH("sugarbeet",F88)))=TRUE),ISNUMBER(SEARCH("osr",F93))=TRUE),0,
IF(AND((OR((ISNUMBER(SEARCH("wheat",F88))),ISNUMBER(SEARCH("linseed",F88)),ISNUMBER(SEARCH("driedpeas",F88)),ISNUMBER(SEARCH("osr",F88)))=TRUE),F93="sugarbeet"),0,
IF(AND((OR((ISNUMBER(SEARCH("osr",F88))),ISNUMBER(SEARCH("linseed",F88)))=TRUE),ISNUMBER(SEARCH("beans",F93))=TRUE),0,
IF(AND(F88="wosr",ISNUMBER(SEARCH("linseed",F93))=TRUE),0,
IF(AND(F88="sugarbeet",F93="warepotatoes"),0,
1)))))))))))
*IF(OR(ISNUMBER(SEARCH("wheat",F88)),ISNUMBER(SEARCH("barley",F88)),ISNUMBER(SEARCH("driedpeas",F88)),ISNUMBER(SEARCH("warepotatoes",F88)),ISNUMBER(SEARCH("osr",F88)),ISNUMBER(SEARCH("linseed",F88)),ISNUMBER(SEARCH("sugarbeet",F88))),
IF(COUNTIF(B83:B87,B88)=5,
INDEX('CFT Specific Data'!$G$24:$L$39,MATCH(F88,'CFT Specific Data'!$F$24:$F$39,0),IF(COUNTIF(F83:F87,F88)=5,6,IF(COUNTIF(F84:F87,F88)=4,5,IF(COUNTIF(F85:F87,F88)=3,4,IF(COUNTIF(F86:F87,F88)=2,3,IF(F87=F88,2,1)))))),
IF(COUNTIF(B83:B87,B88)=4,
INDEX('CFT Specific Data'!$G$24:$L$39,MATCH(F88,'CFT Specific Data'!$F$24:$F$39,0),IF(SUM(COUNTIF(F84:F87,F88),COUNTIF(F89,F88))=5,6,IF(COUNTIF(F84:F87,F88)=4,5,IF(COUNTIF(F85:F87,F88)=3,4,IF(COUNTIF(F86:F87,F88)=2,3,IF(F87=F88,2,1)))))),
IF(COUNTIF(B83:B87,B88)=3,
INDEX('CFT Specific Data'!$G$24:$L$39,MATCH(F88,'CFT Specific Data'!$F$24:$F$39,0),IF(SUM(COUNTIF(F85:F87,F88),COUNTIF(F89:F90,F88))=5,6,IF(SUM(COUNTIF(F85:F87,F88),COUNTIF(F90,F88))=4,5,IF(COUNTIF(F85:F87,F88)=3,4,IF(COUNTIF(F86:F87,F88)=2,3,IF(F87=F88,2,1)))))),
IF(COUNTIF(B83:B87,B88)=2,
INDEX('CFT Specific Data'!$G$24:$L$39,MATCH(F88,'CFT Specific Data'!$F$24:$F$39,0),IF(SUM(COUNTIF(F86:F87,F88),COUNTIF(F89:F91,F88))=5,6,IF(SUM(COUNTIF(F86:F87,F88),COUNTIF(F90:F91,F88))=4,5,IF(SUM(COUNTIF(F86:F87,F88),COUNTIF(F91,F88))=3,4,IF(COUNTIF(F86:F87,F88)=2,3,IF(F87=F88,2,1)))))),
IF(COUNTIF(B83:B87,B88)=1,
INDEX('CFT Specific Data'!$G$24:$L$39,MATCH(F88,'CFT Specific Data'!$F$24:$F$39,0),IF(SUM(COUNTIF(F87,F88),COUNTIF(F89:F92,F88))=5,6,IF(SUM(COUNTIF(F87,F88),COUNTIF(F90:F92,F88))=4,5,IF(SUM(COUNTIF(F87,F88),COUNTIF(F91:F92,F88))=3,4,IF(SUM(COUNTIF(F87,F88),COUNTIF(F92,F88))=2,3,IF(F87=F88,2,1)))))),
IF(COUNTIF(B83:B87,B88)=0,
INDEX('CFT Specific Data'!$G$24:$L$39,MATCH(F88,'CFT Specific Data'!$F$24:$F$39,0),IF(COUNTIF(F89:F93,F88)=5,6,IF(COUNTIF(F90:F93,F88)=4,5,IF(COUNTIF(F91:F93,F88)=3,4,IF(COUNTIF(F92:F93,F88)=2,3,IF(F93=F88,2,1)))))))))))),1)</f>
        <v>61.92</v>
      </c>
      <c r="I88" s="210" t="s">
        <v>348</v>
      </c>
      <c r="J88">
        <v>10</v>
      </c>
      <c r="K88" s="210" t="str">
        <f>VLOOKUP(F88,'CFT Specific Data'!$F$4:$G$19,2,FALSE)</f>
        <v>Winter wheat</v>
      </c>
      <c r="L88" t="str">
        <f t="shared" si="8"/>
        <v>Medium</v>
      </c>
      <c r="M88">
        <f t="shared" si="9"/>
        <v>4.4720000000000004</v>
      </c>
      <c r="N88" t="str">
        <f t="shared" si="10"/>
        <v>1.72 &lt; SOM &lt;= 5.16</v>
      </c>
      <c r="O88" t="s">
        <v>349</v>
      </c>
      <c r="P88" t="s">
        <v>350</v>
      </c>
      <c r="Q88">
        <v>7</v>
      </c>
      <c r="R88" t="str">
        <f t="shared" si="6"/>
        <v>5.5 &lt; pH &lt;= 7.3</v>
      </c>
      <c r="S88" t="s">
        <v>351</v>
      </c>
      <c r="T88" s="210">
        <f t="array" ref="T88">_xlfn.SINGLE(INDEX('Focus Data NFertiliser Rate'!$D$4:$P$19,MATCH(F88,'Focus Data NFertiliser Rate'!$C$4:$C$19,0),_xlfn.SINGLE(_xlfn.IFS(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220</v>
      </c>
      <c r="U88" t="str">
        <f t="shared" si="11"/>
        <v>Apply in solution</v>
      </c>
      <c r="V88" s="210">
        <f t="array" ref="V88">_xlfn.SINGLE(INDEX('№ Fertiliser sprayings'!$D$4:$P$19,MATCH(F88,'№ Fertiliser sprayings'!$C$4:$C$19,0),_xlfn.SINGLE(_xlfn.IFS(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3</v>
      </c>
      <c r="W88" s="264">
        <f t="array" ref="W88">_xlfn.SINGLE(INDEX('Focus Data CFT NSpraying'!$D$4:$P$19,MATCH(F88,'Focus Data CFT NSpraying'!$C$4:$C$19,0),_xlfn.SINGLE(_xlfn.IFS(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6.3887999999999998</v>
      </c>
      <c r="X88" t="s">
        <v>363</v>
      </c>
      <c r="Y88">
        <v>0</v>
      </c>
      <c r="Z88">
        <v>100</v>
      </c>
      <c r="AA88" t="s">
        <v>352</v>
      </c>
      <c r="AB88" s="226" t="str">
        <f>IF(B88=B87,_xlfn.IFS(
AND(AA88=Lists!$L$8,AA87=Lists!$L$8),Lists!$N$5,
AND(OR(AA88=Lists!$L$5,AA88=Lists!$L$7,AA88=Lists!$L$9,AA88=Lists!$L$10,AA88=Lists!$L$6),OR(AA87=Lists!$L$5,AA87=Lists!$L$7,AA87=Lists!$L$9,AA87=Lists!$L$10,AA87=Lists!$L$6)),Lists!$N$5,
AND(AA88=Lists!$L$8,OR(AA87=Lists!$L$5,AA87=Lists!$L$7,AA87=Lists!$L$9,AA87=Lists!$L$10,AA87=Lists!$L$6)),Lists!$N$6,
AND(OR(AA88=Lists!$L$5,AA88=Lists!$L$6,AA88=Lists!$L$7,AA88=Lists!$L$9,AA88=Lists!$L$10),AA87=Lists!$L$8),Lists!$N$7),
_xlfn.IFS(
AND(AA88=Lists!$L$8,AA93=Lists!$L$8),Lists!$N$5,
AND(OR(AA88=Lists!$L$5,AA88=Lists!$L$7,AA88=Lists!$L$9,AA88=Lists!$L$10,AA88=Lists!$L$6),OR(AA93=Lists!$L$5,AA93=Lists!$L$7,AA93=Lists!$L$9,AA93=Lists!$L$10,AA93=Lists!$L$6)),Lists!$N$5,
AND(AA88=Lists!$L$8,OR(AA93=Lists!$L$5,AA93=Lists!$L$7,AA93=Lists!$L$9,AA93=Lists!$L$10,AA93=Lists!$L$6)),Lists!$N$6,
AND(OR(AA88=Lists!$L$5,AA88=Lists!$L$7,AA88=Lists!$L$9,AA88=Lists!$L$10),AA93=Lists!$L$8),Lists!$N$7))</f>
        <v>no change</v>
      </c>
      <c r="AC88">
        <v>0</v>
      </c>
      <c r="AD88">
        <v>0</v>
      </c>
      <c r="AE88" s="102">
        <f t="array" ref="AE88">IF(OR(ISNUMBER(SEARCH("heavy",A88))=TRUE, ISNUMBER(SEARCH("medium",A88))=TRUE),
(LEN(_xlfn.SINGLE(
INDEX('Focus Data Tillage by farm'!$D$4:$P$9,MATCH(D88,'Focus Data Tillage by farm'!$C$4:$C$9,0),_xlfn.SINGLE(_xlfn.IFS(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-LEN(SUBSTITUTE(_xlfn.SINGLE(
INDEX('Focus Data Tillage by farm'!$D$4:$P$9,MATCH(D88,'Focus Data Tillage by farm'!$C$4:$C$9,0),_xlfn.SINGLE(_xlfn.IFS(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"disc","")))/LEN("disc"),
(LEN(_xlfn.SINGLE(
INDEX('Focus Data Tillage by farm'!$D$12:$P$17,MATCH(D88,'Focus Data Tillage by farm'!$C$12:$C$17,0),_xlfn.SINGLE(_xlfn.IFS(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-LEN(SUBSTITUTE(_xlfn.SINGLE(
INDEX('Focus Data Tillage by farm'!$D$12:$P$17,MATCH(D88,'Focus Data Tillage by farm'!$C$12:$C$17,0),_xlfn.SINGLE(_xlfn.IFS(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"disc","")))/LEN("disc"))</f>
        <v>2</v>
      </c>
      <c r="AF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"field cultivator","")))/LEN("field cultivator"),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"field cultivator","")))/LEN("field cultivator"))</f>
        <v>0</v>
      </c>
      <c r="AG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"grain drill","")))/LEN("grain drill"),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"grain drill","")))/LEN("grain drill"))</f>
        <v>0</v>
      </c>
      <c r="AH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"minimum tillage","")))/LEN("minimum tillage"),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"minimum tillage","")))/LEN("minimum tillage"))</f>
        <v>1</v>
      </c>
      <c r="AI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"row crop planter","")))/LEN("row crop planter"),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"row crop planter","")))/LEN("row crop planter"))</f>
        <v>0</v>
      </c>
      <c r="AJ88" s="102">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"plough","")))/LEN("plough"),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"plough","")))/LEN("plough"))</f>
        <v>0</v>
      </c>
      <c r="AK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harrow","")))/LEN("roller harrow"),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harrow","")))/LEN("roller harrow"))</f>
        <v>0</v>
      </c>
      <c r="AL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packer","")))/LEN("roller packer"),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"roller packer","")))/LEN("roller packer"))</f>
        <v>2</v>
      </c>
      <c r="AM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"rotary hoe","")))/LEN("rotary hoe"),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"rotary hoe","")))/LEN("rotary hoe"))</f>
        <v>0</v>
      </c>
      <c r="AN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"subsoil","")))/LEN("subsoil"),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"subsoil","")))/LEN("subsoil"))</f>
        <v>0</v>
      </c>
      <c r="AO88">
        <f>IF(OR(ISNUMBER(SEARCH("heavy",A88))=TRUE, ISNUMBER(SEARCH("medium",A88))=TRUE),
(LEN(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farm'!$D$4:$P$9,MATCH(D88,'Focus Data Tillage by farm'!$C$4:$C$9,0),_xlfn.IFS(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"tine harrow","")))/LEN("tine harrow"),
(LEN(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-LEN(SUBSTITUTE(
INDEX('Focus Data Tillage by farm'!$D$12:$P$17,MATCH(D88,'Focus Data Tillage by farm'!$C$12:$C$17,0),_xlfn.IFS(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
"tine harrow","")))/LEN("tine harrow"))</f>
        <v>0</v>
      </c>
      <c r="AP88" s="102">
        <f>INDEX('Focus Data NSpraying'!$D$4:$P$19,MATCH(F88,'Focus Data NSpraying'!$C$4:$C$19,0),_xlfn.IFS(
AND(ISNUMBER(SEARCH("H-Dsty.",A88))=TRUE,ISNUMBER(SEARCH("H-Res",A88))=TRUE,ISNUMBER(SEARCH("E.",A88))=TRUE),1,
AND(ISNUMBER(SEARCH("H-Dsty.",A88))=TRUE,ISNUMBER(SEARCH("H-Res",A88))=TRUE,OR(ISNUMBER(SEARCH("N.he",A88))=TRUE,ISNUMBER(SEARCH("N.me",A88))=TRUE,ISNUMBER(SEARCH("N.li",A88))=TRUE)),2,
AND(ISNUMBER(SEARCH("H-Dsty.",A88))=TRUE,ISNUMBER(SEARCH("H-Res",A88))=TRUE,ISNUMBER(SEARCH("C.",A88))=TRUE),3,
AND(ISNUMBER(SEARCH("L-Dsty.",A88))=TRUE,ISNUMBER(SEARCH("H-Res",A88))=TRUE,ISNUMBER(SEARCH("E.",A88))=TRUE),6,
AND(ISNUMBER(SEARCH("L-Dsty.",A88))=TRUE,ISNUMBER(SEARCH("H-Res",A88))=TRUE,OR(ISNUMBER(SEARCH("N.he",A88))=TRUE,ISNUMBER(SEARCH("N.me",A88))=TRUE,ISNUMBER(SEARCH("N.li",A88))=TRUE)),7,
AND(ISNUMBER(SEARCH("L-Dsty.",A88))=TRUE,ISNUMBER(SEARCH("H-Res",A88))=TRUE,ISNUMBER(SEARCH("C.",A88))=TRUE),8,
AND(ISNUMBER(SEARCH("L-Dsty.",A88))=TRUE,ISNUMBER(SEARCH("L-Res",A88))=TRUE,ISNUMBER(SEARCH("E.",A88))=TRUE),11,
AND(ISNUMBER(SEARCH("L-Dsty.",A88))=TRUE,ISNUMBER(SEARCH("L-Res",A88))=TRUE,OR(ISNUMBER(SEARCH("N.he",A88))=TRUE,ISNUMBER(SEARCH("N.me",A88))=TRUE,ISNUMBER(SEARCH("N.li",A88))=TRUE)),12,
AND(ISNUMBER(SEARCH("L-Dsty.",A88))=TRUE,ISNUMBER(SEARCH("L-Res",A88))=TRUE,ISNUMBER(SEARCH("C.",A88))=TRUE),13))</f>
        <v>4</v>
      </c>
    </row>
    <row r="89" spans="1:42" x14ac:dyDescent="0.2">
      <c r="A89" t="s">
        <v>507</v>
      </c>
      <c r="B89" s="210" t="str">
        <f t="array" ref="B89">INDEX(ECOMOD_input_estimate!$A$2:$A$55, MATCH(CFT_input!$A89, ECOMOD_input_estimate!$B:$B, 0))</f>
        <v>FF_17.4</v>
      </c>
      <c r="C89" s="210">
        <v>2020</v>
      </c>
      <c r="D89" s="395" t="s">
        <v>1695</v>
      </c>
      <c r="E89" s="210" t="str">
        <f t="shared" si="7"/>
        <v>E.medium.L-Dsty.L-Res</v>
      </c>
      <c r="F89" s="210" t="str">
        <f t="array" ref="F89">_xlfn.SINGLE(IF(OR(ISNUMBER(SEARCH("heavy",A89))=TRUE,ISNUMBER(SEARCH("medium",A89))=TRUE),
INDEX('Focus Data Crop Rotations'!$D$4:$P$9,MATCH(D89,'Focus Data Crop Rotations'!$C$4:$C$9,0),_xlfn.SINGLE(_xlfn.IFS(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INDEX('Focus Data Crop Rotations'!$D$12:$P$17,MATCH(D89,'Focus Data Crop Rotations'!$C$12:$C$17,0),_xlfn.SINGLE(_xlfn.IFS(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winterwheat</v>
      </c>
      <c r="G89">
        <v>7.2</v>
      </c>
      <c r="H89" s="227">
        <f>VLOOKUP(F89,'CFT Specific Data'!$F$4:$H$19,3,FALSE)*G89*
IF(B89=B88,
IF(AND(ISNUMBER(SEARCH("wheat",F89))=TRUE,ISNUMBER(SEARCH("Barley",F88))=TRUE),0.89,
IF(AND(ISNUMBER(SEARCH("wheat",F89))=TRUE,F88="setaside"),0.94,
IF(AND(ISNUMBER(SEARCH("barley",F89))=TRUE,ISNUMBER(SEARCH("wheat",F88))=TRUE),0.89,
IF(AND(F89="winterbarley",F88="setaside"),0.94,
IF(AND(F89="sugarbeet",F88="warepotatoes"),0.95,
IF(AND((OR(ISNUMBER(SEARCH("beans",F89)),ISNUMBER(SEARCH("driedpeas",F89)),ISNUMBER(SEARCH("sugarbeet",F89)))=TRUE),ISNUMBER(SEARCH("osr",F88))=TRUE),0,
IF(AND((OR((ISNUMBER(SEARCH("wheat",F89))),ISNUMBER(SEARCH("linseed",F89)),ISNUMBER(SEARCH("driedpeas",F89)),ISNUMBER(SEARCH("osr",F89)))=TRUE),F88="sugarbeet"),0,
IF(AND((OR((ISNUMBER(SEARCH("osr",F89))),ISNUMBER(SEARCH("linseed",F89)))=TRUE),ISNUMBER(SEARCH("beans",F88))=TRUE),0,
IF(AND(F89="wosr",ISNUMBER(SEARCH("linseed",F88))=TRUE),0,
IF(AND(F89="sugarbeet",F88="warepotatoes"),0,
1)))))))))),
IF(AND(ISNUMBER(SEARCH("wheat",F89))=TRUE,ISNUMBER(SEARCH("Barley",F94))=TRUE),0.89,
IF(AND(ISNUMBER(SEARCH("wheat",F89))=TRUE,F94="setaside"),0.94,
IF(AND(ISNUMBER(SEARCH("barley",F89))=TRUE,ISNUMBER(SEARCH("wheat",F94))=TRUE),0.89,
IF(AND(F89="winterbarley",F94="setaside"),0.94,
IF(AND(F89="sugarbeet",F94="warepotatoes"),0.95,
IF(AND((OR(ISNUMBER(SEARCH("beans",F89)),ISNUMBER(SEARCH("driedpeas",F89)),ISNUMBER(SEARCH("sugarbeet",F89)))=TRUE),ISNUMBER(SEARCH("osr",F94))=TRUE),0,
IF(AND((OR((ISNUMBER(SEARCH("wheat",F89))),ISNUMBER(SEARCH("linseed",F89)),ISNUMBER(SEARCH("driedpeas",F89)),ISNUMBER(SEARCH("osr",F89)))=TRUE),F94="sugarbeet"),0,
IF(AND((OR((ISNUMBER(SEARCH("osr",F89))),ISNUMBER(SEARCH("linseed",F89)))=TRUE),ISNUMBER(SEARCH("beans",F94))=TRUE),0,
IF(AND(F89="wosr",ISNUMBER(SEARCH("linseed",F94))=TRUE),0,
IF(AND(F89="sugarbeet",F94="warepotatoes"),0,
1)))))))))))
*IF(OR(ISNUMBER(SEARCH("wheat",F89)),ISNUMBER(SEARCH("barley",F89)),ISNUMBER(SEARCH("driedpeas",F89)),ISNUMBER(SEARCH("warepotatoes",F89)),ISNUMBER(SEARCH("osr",F89)),ISNUMBER(SEARCH("linseed",F89)),ISNUMBER(SEARCH("sugarbeet",F89))),
IF(COUNTIF(B84:B88,B89)=5,
INDEX('CFT Specific Data'!$G$24:$L$39,MATCH(F89,'CFT Specific Data'!$F$24:$F$39,0),IF(COUNTIF(F84:F88,F89)=5,6,IF(COUNTIF(F85:F88,F89)=4,5,IF(COUNTIF(F86:F88,F89)=3,4,IF(COUNTIF(F87:F88,F89)=2,3,IF(F88=F89,2,1)))))),
IF(COUNTIF(B84:B88,B89)=4,
INDEX('CFT Specific Data'!$G$24:$L$39,MATCH(F89,'CFT Specific Data'!$F$24:$F$39,0),IF(SUM(COUNTIF(F85:F88,F89),COUNTIF(F90,F89))=5,6,IF(COUNTIF(F85:F88,F89)=4,5,IF(COUNTIF(F86:F88,F89)=3,4,IF(COUNTIF(F87:F88,F89)=2,3,IF(F88=F89,2,1)))))),
IF(COUNTIF(B84:B88,B89)=3,
INDEX('CFT Specific Data'!$G$24:$L$39,MATCH(F89,'CFT Specific Data'!$F$24:$F$39,0),IF(SUM(COUNTIF(F86:F88,F89),COUNTIF(F90:F91,F89))=5,6,IF(SUM(COUNTIF(F86:F88,F89),COUNTIF(F91,F89))=4,5,IF(COUNTIF(F86:F88,F89)=3,4,IF(COUNTIF(F87:F88,F89)=2,3,IF(F88=F89,2,1)))))),
IF(COUNTIF(B84:B88,B89)=2,
INDEX('CFT Specific Data'!$G$24:$L$39,MATCH(F89,'CFT Specific Data'!$F$24:$F$39,0),IF(SUM(COUNTIF(F87:F88,F89),COUNTIF(F90:F92,F89))=5,6,IF(SUM(COUNTIF(F87:F88,F89),COUNTIF(F91:F92,F89))=4,5,IF(SUM(COUNTIF(F87:F88,F89),COUNTIF(F92,F89))=3,4,IF(COUNTIF(F87:F88,F89)=2,3,IF(F88=F89,2,1)))))),
IF(COUNTIF(B84:B88,B89)=1,
INDEX('CFT Specific Data'!$G$24:$L$39,MATCH(F89,'CFT Specific Data'!$F$24:$F$39,0),IF(SUM(COUNTIF(F88,F89),COUNTIF(F90:F93,F89))=5,6,IF(SUM(COUNTIF(F88,F89),COUNTIF(F91:F93,F89))=4,5,IF(SUM(COUNTIF(F88,F89),COUNTIF(F92:F93,F89))=3,4,IF(SUM(COUNTIF(F88,F89),COUNTIF(F93,F89))=2,3,IF(F88=F89,2,1)))))),
IF(COUNTIF(B84:B88,B89)=0,
INDEX('CFT Specific Data'!$G$24:$L$39,MATCH(F89,'CFT Specific Data'!$F$24:$F$39,0),IF(COUNTIF(F90:F94,F89)=5,6,IF(COUNTIF(F91:F94,F89)=4,5,IF(COUNTIF(F92:F94,F89)=3,4,IF(COUNTIF(F93:F94,F89)=2,3,IF(F94=F89,2,1)))))))))))),1)</f>
        <v>55.728000000000002</v>
      </c>
      <c r="I89" s="210" t="s">
        <v>348</v>
      </c>
      <c r="J89">
        <v>10</v>
      </c>
      <c r="K89" s="210" t="str">
        <f>VLOOKUP(F89,'CFT Specific Data'!$F$4:$G$19,2,FALSE)</f>
        <v>Winter wheat</v>
      </c>
      <c r="L89" t="str">
        <f t="shared" si="8"/>
        <v>Medium</v>
      </c>
      <c r="M89">
        <f t="shared" si="9"/>
        <v>4.4720000000000004</v>
      </c>
      <c r="N89" t="str">
        <f t="shared" si="10"/>
        <v>1.72 &lt; SOM &lt;= 5.16</v>
      </c>
      <c r="O89" t="s">
        <v>349</v>
      </c>
      <c r="P89" t="s">
        <v>350</v>
      </c>
      <c r="Q89">
        <v>7</v>
      </c>
      <c r="R89" t="str">
        <f t="shared" si="6"/>
        <v>5.5 &lt; pH &lt;= 7.3</v>
      </c>
      <c r="S89" t="s">
        <v>351</v>
      </c>
      <c r="T89" s="210">
        <f t="array" ref="T89">_xlfn.SINGLE(INDEX('Focus Data NFertiliser Rate'!$D$4:$P$19,MATCH(F89,'Focus Data NFertiliser Rate'!$C$4:$C$19,0),_xlfn.SINGLE(_xlfn.IFS(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220</v>
      </c>
      <c r="U89" t="str">
        <f t="shared" si="11"/>
        <v>Apply in solution</v>
      </c>
      <c r="V89" s="210">
        <f t="array" ref="V89">_xlfn.SINGLE(INDEX('№ Fertiliser sprayings'!$D$4:$P$19,MATCH(F89,'№ Fertiliser sprayings'!$C$4:$C$19,0),_xlfn.SINGLE(_xlfn.IFS(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3</v>
      </c>
      <c r="W89" s="264">
        <f t="array" ref="W89">_xlfn.SINGLE(INDEX('Focus Data CFT NSpraying'!$D$4:$P$19,MATCH(F89,'Focus Data CFT NSpraying'!$C$4:$C$19,0),_xlfn.SINGLE(_xlfn.IFS(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6.3887999999999998</v>
      </c>
      <c r="X89" t="s">
        <v>363</v>
      </c>
      <c r="Y89">
        <v>0</v>
      </c>
      <c r="Z89">
        <v>100</v>
      </c>
      <c r="AA89" t="s">
        <v>352</v>
      </c>
      <c r="AB89" s="226" t="str">
        <f>IF(B89=B88,_xlfn.IFS(
AND(AA89=Lists!$L$8,AA88=Lists!$L$8),Lists!$N$5,
AND(OR(AA89=Lists!$L$5,AA89=Lists!$L$7,AA89=Lists!$L$9,AA89=Lists!$L$10,AA89=Lists!$L$6),OR(AA88=Lists!$L$5,AA88=Lists!$L$7,AA88=Lists!$L$9,AA88=Lists!$L$10,AA88=Lists!$L$6)),Lists!$N$5,
AND(AA89=Lists!$L$8,OR(AA88=Lists!$L$5,AA88=Lists!$L$7,AA88=Lists!$L$9,AA88=Lists!$L$10,AA88=Lists!$L$6)),Lists!$N$6,
AND(OR(AA89=Lists!$L$5,AA89=Lists!$L$6,AA89=Lists!$L$7,AA89=Lists!$L$9,AA89=Lists!$L$10),AA88=Lists!$L$8),Lists!$N$7),
_xlfn.IFS(
AND(AA89=Lists!$L$8,AA94=Lists!$L$8),Lists!$N$5,
AND(OR(AA89=Lists!$L$5,AA89=Lists!$L$7,AA89=Lists!$L$9,AA89=Lists!$L$10,AA89=Lists!$L$6),OR(AA94=Lists!$L$5,AA94=Lists!$L$7,AA94=Lists!$L$9,AA94=Lists!$L$10,AA94=Lists!$L$6)),Lists!$N$5,
AND(AA89=Lists!$L$8,OR(AA94=Lists!$L$5,AA94=Lists!$L$7,AA94=Lists!$L$9,AA94=Lists!$L$10,AA94=Lists!$L$6)),Lists!$N$6,
AND(OR(AA89=Lists!$L$5,AA89=Lists!$L$7,AA89=Lists!$L$9,AA89=Lists!$L$10),AA94=Lists!$L$8),Lists!$N$7))</f>
        <v>no change</v>
      </c>
      <c r="AC89">
        <v>0</v>
      </c>
      <c r="AD89">
        <v>0</v>
      </c>
      <c r="AE89" s="102">
        <f t="array" ref="AE89">IF(OR(ISNUMBER(SEARCH("heavy",A89))=TRUE, ISNUMBER(SEARCH("medium",A89))=TRUE),
(LEN(_xlfn.SINGLE(
INDEX('Focus Data Tillage by farm'!$D$4:$P$9,MATCH(D89,'Focus Data Tillage by farm'!$C$4:$C$9,0),_xlfn.SINGLE(_xlfn.IFS(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-LEN(SUBSTITUTE(_xlfn.SINGLE(
INDEX('Focus Data Tillage by farm'!$D$4:$P$9,MATCH(D89,'Focus Data Tillage by farm'!$C$4:$C$9,0),_xlfn.SINGLE(_xlfn.IFS(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"disc","")))/LEN("disc"),
(LEN(_xlfn.SINGLE(
INDEX('Focus Data Tillage by farm'!$D$12:$P$17,MATCH(D89,'Focus Data Tillage by farm'!$C$12:$C$17,0),_xlfn.SINGLE(_xlfn.IFS(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-LEN(SUBSTITUTE(_xlfn.SINGLE(
INDEX('Focus Data Tillage by farm'!$D$12:$P$17,MATCH(D89,'Focus Data Tillage by farm'!$C$12:$C$17,0),_xlfn.SINGLE(_xlfn.IFS(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"disc","")))/LEN("disc"))</f>
        <v>2</v>
      </c>
      <c r="AF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"field cultivator","")))/LEN("field cultivator"),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"field cultivator","")))/LEN("field cultivator"))</f>
        <v>0</v>
      </c>
      <c r="AG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"grain drill","")))/LEN("grain drill"),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"grain drill","")))/LEN("grain drill"))</f>
        <v>0</v>
      </c>
      <c r="AH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"minimum tillage","")))/LEN("minimum tillage"),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"minimum tillage","")))/LEN("minimum tillage"))</f>
        <v>1</v>
      </c>
      <c r="AI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"row crop planter","")))/LEN("row crop planter"),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"row crop planter","")))/LEN("row crop planter"))</f>
        <v>0</v>
      </c>
      <c r="AJ89" s="102">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"plough","")))/LEN("plough"),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"plough","")))/LEN("plough"))</f>
        <v>0</v>
      </c>
      <c r="AK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harrow","")))/LEN("roller harrow"),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harrow","")))/LEN("roller harrow"))</f>
        <v>0</v>
      </c>
      <c r="AL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packer","")))/LEN("roller packer"),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"roller packer","")))/LEN("roller packer"))</f>
        <v>2</v>
      </c>
      <c r="AM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"rotary hoe","")))/LEN("rotary hoe"),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"rotary hoe","")))/LEN("rotary hoe"))</f>
        <v>0</v>
      </c>
      <c r="AN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"subsoil","")))/LEN("subsoil"),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"subsoil","")))/LEN("subsoil"))</f>
        <v>0</v>
      </c>
      <c r="AO89">
        <f>IF(OR(ISNUMBER(SEARCH("heavy",A89))=TRUE, ISNUMBER(SEARCH("medium",A89))=TRUE),
(LEN(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farm'!$D$4:$P$9,MATCH(D89,'Focus Data Tillage by farm'!$C$4:$C$9,0),_xlfn.IFS(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"tine harrow","")))/LEN("tine harrow"),
(LEN(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-LEN(SUBSTITUTE(
INDEX('Focus Data Tillage by farm'!$D$12:$P$17,MATCH(D89,'Focus Data Tillage by farm'!$C$12:$C$17,0),_xlfn.IFS(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
"tine harrow","")))/LEN("tine harrow"))</f>
        <v>0</v>
      </c>
      <c r="AP89" s="102">
        <f>INDEX('Focus Data NSpraying'!$D$4:$P$19,MATCH(F89,'Focus Data NSpraying'!$C$4:$C$19,0),_xlfn.IFS(
AND(ISNUMBER(SEARCH("H-Dsty.",A89))=TRUE,ISNUMBER(SEARCH("H-Res",A89))=TRUE,ISNUMBER(SEARCH("E.",A89))=TRUE),1,
AND(ISNUMBER(SEARCH("H-Dsty.",A89))=TRUE,ISNUMBER(SEARCH("H-Res",A89))=TRUE,OR(ISNUMBER(SEARCH("N.he",A89))=TRUE,ISNUMBER(SEARCH("N.me",A89))=TRUE,ISNUMBER(SEARCH("N.li",A89))=TRUE)),2,
AND(ISNUMBER(SEARCH("H-Dsty.",A89))=TRUE,ISNUMBER(SEARCH("H-Res",A89))=TRUE,ISNUMBER(SEARCH("C.",A89))=TRUE),3,
AND(ISNUMBER(SEARCH("L-Dsty.",A89))=TRUE,ISNUMBER(SEARCH("H-Res",A89))=TRUE,ISNUMBER(SEARCH("E.",A89))=TRUE),6,
AND(ISNUMBER(SEARCH("L-Dsty.",A89))=TRUE,ISNUMBER(SEARCH("H-Res",A89))=TRUE,OR(ISNUMBER(SEARCH("N.he",A89))=TRUE,ISNUMBER(SEARCH("N.me",A89))=TRUE,ISNUMBER(SEARCH("N.li",A89))=TRUE)),7,
AND(ISNUMBER(SEARCH("L-Dsty.",A89))=TRUE,ISNUMBER(SEARCH("H-Res",A89))=TRUE,ISNUMBER(SEARCH("C.",A89))=TRUE),8,
AND(ISNUMBER(SEARCH("L-Dsty.",A89))=TRUE,ISNUMBER(SEARCH("L-Res",A89))=TRUE,ISNUMBER(SEARCH("E.",A89))=TRUE),11,
AND(ISNUMBER(SEARCH("L-Dsty.",A89))=TRUE,ISNUMBER(SEARCH("L-Res",A89))=TRUE,OR(ISNUMBER(SEARCH("N.he",A89))=TRUE,ISNUMBER(SEARCH("N.me",A89))=TRUE,ISNUMBER(SEARCH("N.li",A89))=TRUE)),12,
AND(ISNUMBER(SEARCH("L-Dsty.",A89))=TRUE,ISNUMBER(SEARCH("L-Res",A89))=TRUE,ISNUMBER(SEARCH("C.",A89))=TRUE),13))</f>
        <v>4</v>
      </c>
    </row>
    <row r="90" spans="1:42" x14ac:dyDescent="0.2">
      <c r="A90" t="s">
        <v>507</v>
      </c>
      <c r="B90" s="210" t="str">
        <f t="array" ref="B90">INDEX(ECOMOD_input_estimate!$A$2:$A$55, MATCH(CFT_input!$A90, ECOMOD_input_estimate!$B:$B, 0))</f>
        <v>FF_17.4</v>
      </c>
      <c r="C90" s="210">
        <v>2020</v>
      </c>
      <c r="D90" s="395" t="s">
        <v>1696</v>
      </c>
      <c r="E90" s="210" t="str">
        <f t="shared" si="7"/>
        <v>E.medium.L-Dsty.L-Res</v>
      </c>
      <c r="F90" s="210" t="str">
        <f t="array" ref="F90">_xlfn.SINGLE(IF(OR(ISNUMBER(SEARCH("heavy",A90))=TRUE,ISNUMBER(SEARCH("medium",A90))=TRUE),
INDEX('Focus Data Crop Rotations'!$D$4:$P$9,MATCH(D90,'Focus Data Crop Rotations'!$C$4:$C$9,0),_xlfn.SINGLE(_xlfn.IFS(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INDEX('Focus Data Crop Rotations'!$D$12:$P$17,MATCH(D90,'Focus Data Crop Rotations'!$C$12:$C$17,0),_xlfn.SINGLE(_xlfn.IFS(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wosr</v>
      </c>
      <c r="G90">
        <v>7.2</v>
      </c>
      <c r="H90" s="227">
        <f>VLOOKUP(F90,'CFT Specific Data'!$F$4:$H$19,3,FALSE)*G90*
IF(B90=B89,
IF(AND(ISNUMBER(SEARCH("wheat",F90))=TRUE,ISNUMBER(SEARCH("Barley",F89))=TRUE),0.89,
IF(AND(ISNUMBER(SEARCH("wheat",F90))=TRUE,F89="setaside"),0.94,
IF(AND(ISNUMBER(SEARCH("barley",F90))=TRUE,ISNUMBER(SEARCH("wheat",F89))=TRUE),0.89,
IF(AND(F90="winterbarley",F89="setaside"),0.94,
IF(AND(F90="sugarbeet",F89="warepotatoes"),0.95,
IF(AND((OR(ISNUMBER(SEARCH("beans",F90)),ISNUMBER(SEARCH("driedpeas",F90)),ISNUMBER(SEARCH("sugarbeet",F90)))=TRUE),ISNUMBER(SEARCH("osr",F89))=TRUE),0,
IF(AND((OR((ISNUMBER(SEARCH("wheat",F90))),ISNUMBER(SEARCH("linseed",F90)),ISNUMBER(SEARCH("driedpeas",F90)),ISNUMBER(SEARCH("osr",F90)))=TRUE),F89="sugarbeet"),0,
IF(AND((OR((ISNUMBER(SEARCH("osr",F90))),ISNUMBER(SEARCH("linseed",F90)))=TRUE),ISNUMBER(SEARCH("beans",F89))=TRUE),0,
IF(AND(F90="wosr",ISNUMBER(SEARCH("linseed",F89))=TRUE),0,
IF(AND(F90="sugarbeet",F89="warepotatoes"),0,
1)))))))))),
IF(AND(ISNUMBER(SEARCH("wheat",F90))=TRUE,ISNUMBER(SEARCH("Barley",F95))=TRUE),0.89,
IF(AND(ISNUMBER(SEARCH("wheat",F90))=TRUE,F95="setaside"),0.94,
IF(AND(ISNUMBER(SEARCH("barley",F90))=TRUE,ISNUMBER(SEARCH("wheat",F95))=TRUE),0.89,
IF(AND(F90="winterbarley",F95="setaside"),0.94,
IF(AND(F90="sugarbeet",F95="warepotatoes"),0.95,
IF(AND((OR(ISNUMBER(SEARCH("beans",F90)),ISNUMBER(SEARCH("driedpeas",F90)),ISNUMBER(SEARCH("sugarbeet",F90)))=TRUE),ISNUMBER(SEARCH("osr",F95))=TRUE),0,
IF(AND((OR((ISNUMBER(SEARCH("wheat",F90))),ISNUMBER(SEARCH("linseed",F90)),ISNUMBER(SEARCH("driedpeas",F90)),ISNUMBER(SEARCH("osr",F90)))=TRUE),F95="sugarbeet"),0,
IF(AND((OR((ISNUMBER(SEARCH("osr",F90))),ISNUMBER(SEARCH("linseed",F90)))=TRUE),ISNUMBER(SEARCH("beans",F95))=TRUE),0,
IF(AND(F90="wosr",ISNUMBER(SEARCH("linseed",F95))=TRUE),0,
IF(AND(F90="sugarbeet",F95="warepotatoes"),0,
1)))))))))))
*IF(OR(ISNUMBER(SEARCH("wheat",F90)),ISNUMBER(SEARCH("barley",F90)),ISNUMBER(SEARCH("driedpeas",F90)),ISNUMBER(SEARCH("warepotatoes",F90)),ISNUMBER(SEARCH("osr",F90)),ISNUMBER(SEARCH("linseed",F90)),ISNUMBER(SEARCH("sugarbeet",F90))),
IF(COUNTIF(B85:B89,B90)=5,
INDEX('CFT Specific Data'!$G$24:$L$39,MATCH(F90,'CFT Specific Data'!$F$24:$F$39,0),IF(COUNTIF(F85:F89,F90)=5,6,IF(COUNTIF(F86:F89,F90)=4,5,IF(COUNTIF(F87:F89,F90)=3,4,IF(COUNTIF(F88:F89,F90)=2,3,IF(F89=F90,2,1)))))),
IF(COUNTIF(B85:B89,B90)=4,
INDEX('CFT Specific Data'!$G$24:$L$39,MATCH(F90,'CFT Specific Data'!$F$24:$F$39,0),IF(SUM(COUNTIF(F86:F89,F90),COUNTIF(F91,F90))=5,6,IF(COUNTIF(F86:F89,F90)=4,5,IF(COUNTIF(F87:F89,F90)=3,4,IF(COUNTIF(F88:F89,F90)=2,3,IF(F89=F90,2,1)))))),
IF(COUNTIF(B85:B89,B90)=3,
INDEX('CFT Specific Data'!$G$24:$L$39,MATCH(F90,'CFT Specific Data'!$F$24:$F$39,0),IF(SUM(COUNTIF(F87:F89,F90),COUNTIF(F91:F92,F90))=5,6,IF(SUM(COUNTIF(F87:F89,F90),COUNTIF(F92,F90))=4,5,IF(COUNTIF(F87:F89,F90)=3,4,IF(COUNTIF(F88:F89,F90)=2,3,IF(F89=F90,2,1)))))),
IF(COUNTIF(B85:B89,B90)=2,
INDEX('CFT Specific Data'!$G$24:$L$39,MATCH(F90,'CFT Specific Data'!$F$24:$F$39,0),IF(SUM(COUNTIF(F88:F89,F90),COUNTIF(F91:F93,F90))=5,6,IF(SUM(COUNTIF(F88:F89,F90),COUNTIF(F92:F93,F90))=4,5,IF(SUM(COUNTIF(F88:F89,F90),COUNTIF(F93,F90))=3,4,IF(COUNTIF(F88:F89,F90)=2,3,IF(F89=F90,2,1)))))),
IF(COUNTIF(B85:B89,B90)=1,
INDEX('CFT Specific Data'!$G$24:$L$39,MATCH(F90,'CFT Specific Data'!$F$24:$F$39,0),IF(SUM(COUNTIF(F89,F90),COUNTIF(F91:F94,F90))=5,6,IF(SUM(COUNTIF(F89,F90),COUNTIF(F92:F94,F90))=4,5,IF(SUM(COUNTIF(F89,F90),COUNTIF(F93:F94,F90))=3,4,IF(SUM(COUNTIF(F89,F90),COUNTIF(F94,F90))=2,3,IF(F89=F90,2,1)))))),
IF(COUNTIF(B85:B89,B90)=0,
INDEX('CFT Specific Data'!$G$24:$L$39,MATCH(F90,'CFT Specific Data'!$F$24:$F$39,0),IF(COUNTIF(F91:F95,F90)=5,6,IF(COUNTIF(F92:F95,F90)=4,5,IF(COUNTIF(F93:F95,F90)=3,4,IF(COUNTIF(F94:F95,F90)=2,3,IF(F95=F90,2,1)))))))))))),1)</f>
        <v>25.2</v>
      </c>
      <c r="I90" s="210" t="s">
        <v>348</v>
      </c>
      <c r="J90">
        <v>10</v>
      </c>
      <c r="K90" s="210" t="str">
        <f>VLOOKUP(F90,'CFT Specific Data'!$F$4:$G$19,2,FALSE)</f>
        <v>Other</v>
      </c>
      <c r="L90" t="str">
        <f t="shared" si="8"/>
        <v>Medium</v>
      </c>
      <c r="M90">
        <f t="shared" si="9"/>
        <v>4.4720000000000004</v>
      </c>
      <c r="N90" t="str">
        <f t="shared" si="10"/>
        <v>1.72 &lt; SOM &lt;= 5.16</v>
      </c>
      <c r="O90" t="s">
        <v>349</v>
      </c>
      <c r="P90" t="s">
        <v>350</v>
      </c>
      <c r="Q90">
        <v>7</v>
      </c>
      <c r="R90" t="str">
        <f t="shared" si="6"/>
        <v>5.5 &lt; pH &lt;= 7.3</v>
      </c>
      <c r="S90" t="s">
        <v>351</v>
      </c>
      <c r="T90" s="210">
        <f t="array" ref="T90">_xlfn.SINGLE(INDEX('Focus Data NFertiliser Rate'!$D$4:$P$19,MATCH(F90,'Focus Data NFertiliser Rate'!$C$4:$C$19,0),_xlfn.SINGLE(_xlfn.IFS(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180</v>
      </c>
      <c r="U90" t="str">
        <f t="shared" si="11"/>
        <v>Apply in solution</v>
      </c>
      <c r="V90" s="210">
        <f t="array" ref="V90">_xlfn.SINGLE(INDEX('№ Fertiliser sprayings'!$D$4:$P$19,MATCH(F90,'№ Fertiliser sprayings'!$C$4:$C$19,0),_xlfn.SINGLE(_xlfn.IFS(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3</v>
      </c>
      <c r="W90" s="264">
        <f t="array" ref="W90">_xlfn.SINGLE(INDEX('Focus Data CFT NSpraying'!$D$4:$P$19,MATCH(F90,'Focus Data CFT NSpraying'!$C$4:$C$19,0),_xlfn.SINGLE(_xlfn.IFS(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0</v>
      </c>
      <c r="X90" t="s">
        <v>363</v>
      </c>
      <c r="Y90">
        <v>0</v>
      </c>
      <c r="Z90">
        <v>100</v>
      </c>
      <c r="AA90" t="s">
        <v>352</v>
      </c>
      <c r="AB90" s="226" t="str">
        <f>IF(B90=B89,_xlfn.IFS(
AND(AA90=Lists!$L$8,AA89=Lists!$L$8),Lists!$N$5,
AND(OR(AA90=Lists!$L$5,AA90=Lists!$L$7,AA90=Lists!$L$9,AA90=Lists!$L$10,AA90=Lists!$L$6),OR(AA89=Lists!$L$5,AA89=Lists!$L$7,AA89=Lists!$L$9,AA89=Lists!$L$10,AA89=Lists!$L$6)),Lists!$N$5,
AND(AA90=Lists!$L$8,OR(AA89=Lists!$L$5,AA89=Lists!$L$7,AA89=Lists!$L$9,AA89=Lists!$L$10,AA89=Lists!$L$6)),Lists!$N$6,
AND(OR(AA90=Lists!$L$5,AA90=Lists!$L$6,AA90=Lists!$L$7,AA90=Lists!$L$9,AA90=Lists!$L$10),AA89=Lists!$L$8),Lists!$N$7),
_xlfn.IFS(
AND(AA90=Lists!$L$8,AA95=Lists!$L$8),Lists!$N$5,
AND(OR(AA90=Lists!$L$5,AA90=Lists!$L$7,AA90=Lists!$L$9,AA90=Lists!$L$10,AA90=Lists!$L$6),OR(AA95=Lists!$L$5,AA95=Lists!$L$7,AA95=Lists!$L$9,AA95=Lists!$L$10,AA95=Lists!$L$6)),Lists!$N$5,
AND(AA90=Lists!$L$8,OR(AA95=Lists!$L$5,AA95=Lists!$L$7,AA95=Lists!$L$9,AA95=Lists!$L$10,AA95=Lists!$L$6)),Lists!$N$6,
AND(OR(AA90=Lists!$L$5,AA90=Lists!$L$7,AA90=Lists!$L$9,AA90=Lists!$L$10),AA95=Lists!$L$8),Lists!$N$7))</f>
        <v>no change</v>
      </c>
      <c r="AC90">
        <v>0</v>
      </c>
      <c r="AD90">
        <v>0</v>
      </c>
      <c r="AE90" s="102">
        <f t="array" ref="AE90">IF(OR(ISNUMBER(SEARCH("heavy",A90))=TRUE, ISNUMBER(SEARCH("medium",A90))=TRUE),
(LEN(_xlfn.SINGLE(
INDEX('Focus Data Tillage by farm'!$D$4:$P$9,MATCH(D90,'Focus Data Tillage by farm'!$C$4:$C$9,0),_xlfn.SINGLE(_xlfn.IFS(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-LEN(SUBSTITUTE(_xlfn.SINGLE(
INDEX('Focus Data Tillage by farm'!$D$4:$P$9,MATCH(D90,'Focus Data Tillage by farm'!$C$4:$C$9,0),_xlfn.SINGLE(_xlfn.IFS(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"disc","")))/LEN("disc"),
(LEN(_xlfn.SINGLE(
INDEX('Focus Data Tillage by farm'!$D$12:$P$17,MATCH(D90,'Focus Data Tillage by farm'!$C$12:$C$17,0),_xlfn.SINGLE(_xlfn.IFS(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-LEN(SUBSTITUTE(_xlfn.SINGLE(
INDEX('Focus Data Tillage by farm'!$D$12:$P$17,MATCH(D90,'Focus Data Tillage by farm'!$C$12:$C$17,0),_xlfn.SINGLE(_xlfn.IFS(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"disc","")))/LEN("disc"))</f>
        <v>0</v>
      </c>
      <c r="AF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"field cultivator","")))/LEN("field cultivator"),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"field cultivator","")))/LEN("field cultivator"))</f>
        <v>0</v>
      </c>
      <c r="AG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"grain drill","")))/LEN("grain drill"),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"grain drill","")))/LEN("grain drill"))</f>
        <v>0</v>
      </c>
      <c r="AH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"minimum tillage","")))/LEN("minimum tillage"),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"minimum tillage","")))/LEN("minimum tillage"))</f>
        <v>0</v>
      </c>
      <c r="AI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"row crop planter","")))/LEN("row crop planter"),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"row crop planter","")))/LEN("row crop planter"))</f>
        <v>0</v>
      </c>
      <c r="AJ90" s="102">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"plough","")))/LEN("plough"),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"plough","")))/LEN("plough"))</f>
        <v>0</v>
      </c>
      <c r="AK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harrow","")))/LEN("roller harrow"),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harrow","")))/LEN("roller harrow"))</f>
        <v>0</v>
      </c>
      <c r="AL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packer","")))/LEN("roller packer"),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"roller packer","")))/LEN("roller packer"))</f>
        <v>1</v>
      </c>
      <c r="AM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"rotary hoe","")))/LEN("rotary hoe"),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"rotary hoe","")))/LEN("rotary hoe"))</f>
        <v>0</v>
      </c>
      <c r="AN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"subsoil","")))/LEN("subsoil"),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"subsoil","")))/LEN("subsoil"))</f>
        <v>1</v>
      </c>
      <c r="AO90">
        <f>IF(OR(ISNUMBER(SEARCH("heavy",A90))=TRUE, ISNUMBER(SEARCH("medium",A90))=TRUE),
(LEN(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farm'!$D$4:$P$9,MATCH(D90,'Focus Data Tillage by farm'!$C$4:$C$9,0),_xlfn.IFS(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"tine harrow","")))/LEN("tine harrow"),
(LEN(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-LEN(SUBSTITUTE(
INDEX('Focus Data Tillage by farm'!$D$12:$P$17,MATCH(D90,'Focus Data Tillage by farm'!$C$12:$C$17,0),_xlfn.IFS(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
"tine harrow","")))/LEN("tine harrow"))</f>
        <v>0</v>
      </c>
      <c r="AP90" s="102">
        <f>INDEX('Focus Data NSpraying'!$D$4:$P$19,MATCH(F90,'Focus Data NSpraying'!$C$4:$C$19,0),_xlfn.IFS(
AND(ISNUMBER(SEARCH("H-Dsty.",A90))=TRUE,ISNUMBER(SEARCH("H-Res",A90))=TRUE,ISNUMBER(SEARCH("E.",A90))=TRUE),1,
AND(ISNUMBER(SEARCH("H-Dsty.",A90))=TRUE,ISNUMBER(SEARCH("H-Res",A90))=TRUE,OR(ISNUMBER(SEARCH("N.he",A90))=TRUE,ISNUMBER(SEARCH("N.me",A90))=TRUE,ISNUMBER(SEARCH("N.li",A90))=TRUE)),2,
AND(ISNUMBER(SEARCH("H-Dsty.",A90))=TRUE,ISNUMBER(SEARCH("H-Res",A90))=TRUE,ISNUMBER(SEARCH("C.",A90))=TRUE),3,
AND(ISNUMBER(SEARCH("L-Dsty.",A90))=TRUE,ISNUMBER(SEARCH("H-Res",A90))=TRUE,ISNUMBER(SEARCH("E.",A90))=TRUE),6,
AND(ISNUMBER(SEARCH("L-Dsty.",A90))=TRUE,ISNUMBER(SEARCH("H-Res",A90))=TRUE,OR(ISNUMBER(SEARCH("N.he",A90))=TRUE,ISNUMBER(SEARCH("N.me",A90))=TRUE,ISNUMBER(SEARCH("N.li",A90))=TRUE)),7,
AND(ISNUMBER(SEARCH("L-Dsty.",A90))=TRUE,ISNUMBER(SEARCH("H-Res",A90))=TRUE,ISNUMBER(SEARCH("C.",A90))=TRUE),8,
AND(ISNUMBER(SEARCH("L-Dsty.",A90))=TRUE,ISNUMBER(SEARCH("L-Res",A90))=TRUE,ISNUMBER(SEARCH("E.",A90))=TRUE),11,
AND(ISNUMBER(SEARCH("L-Dsty.",A90))=TRUE,ISNUMBER(SEARCH("L-Res",A90))=TRUE,OR(ISNUMBER(SEARCH("N.he",A90))=TRUE,ISNUMBER(SEARCH("N.me",A90))=TRUE,ISNUMBER(SEARCH("N.li",A90))=TRUE)),12,
AND(ISNUMBER(SEARCH("L-Dsty.",A90))=TRUE,ISNUMBER(SEARCH("L-Res",A90))=TRUE,ISNUMBER(SEARCH("C.",A90))=TRUE),13))</f>
        <v>0</v>
      </c>
    </row>
    <row r="91" spans="1:42" x14ac:dyDescent="0.2">
      <c r="A91" t="s">
        <v>507</v>
      </c>
      <c r="B91" s="210" t="str">
        <f t="array" ref="B91">INDEX(ECOMOD_input_estimate!$A$2:$A$55, MATCH(CFT_input!$A91, ECOMOD_input_estimate!$B:$B, 0))</f>
        <v>FF_17.4</v>
      </c>
      <c r="C91" s="210">
        <v>2020</v>
      </c>
      <c r="D91" s="395" t="s">
        <v>735</v>
      </c>
      <c r="E91" s="210" t="str">
        <f t="shared" si="7"/>
        <v>E.medium.L-Dsty.L-Res</v>
      </c>
      <c r="F91" s="210" t="str">
        <f t="array" ref="F91">_xlfn.SINGLE(IF(OR(ISNUMBER(SEARCH("heavy",A91))=TRUE,ISNUMBER(SEARCH("medium",A91))=TRUE),
INDEX('Focus Data Crop Rotations'!$D$4:$P$9,MATCH(D91,'Focus Data Crop Rotations'!$C$4:$C$9,0),_xlfn.SINGLE(_xlfn.IFS(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INDEX('Focus Data Crop Rotations'!$D$12:$P$17,MATCH(D91,'Focus Data Crop Rotations'!$C$12:$C$17,0),_xlfn.SINGLE(_xlfn.IFS(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winterwheat</v>
      </c>
      <c r="G91">
        <v>7.2</v>
      </c>
      <c r="H91" s="227">
        <f>VLOOKUP(F91,'CFT Specific Data'!$F$4:$H$19,3,FALSE)*G91*
IF(B91=B90,
IF(AND(ISNUMBER(SEARCH("wheat",F91))=TRUE,ISNUMBER(SEARCH("Barley",F90))=TRUE),0.89,
IF(AND(ISNUMBER(SEARCH("wheat",F91))=TRUE,F90="setaside"),0.94,
IF(AND(ISNUMBER(SEARCH("barley",F91))=TRUE,ISNUMBER(SEARCH("wheat",F90))=TRUE),0.89,
IF(AND(F91="winterbarley",F90="setaside"),0.94,
IF(AND(F91="sugarbeet",F90="warepotatoes"),0.95,
IF(AND((OR(ISNUMBER(SEARCH("beans",F91)),ISNUMBER(SEARCH("driedpeas",F91)),ISNUMBER(SEARCH("sugarbeet",F91)))=TRUE),ISNUMBER(SEARCH("osr",F90))=TRUE),0,
IF(AND((OR((ISNUMBER(SEARCH("wheat",F91))),ISNUMBER(SEARCH("linseed",F91)),ISNUMBER(SEARCH("driedpeas",F91)),ISNUMBER(SEARCH("osr",F91)))=TRUE),F90="sugarbeet"),0,
IF(AND((OR((ISNUMBER(SEARCH("osr",F91))),ISNUMBER(SEARCH("linseed",F91)))=TRUE),ISNUMBER(SEARCH("beans",F90))=TRUE),0,
IF(AND(F91="wosr",ISNUMBER(SEARCH("linseed",F90))=TRUE),0,
IF(AND(F91="sugarbeet",F90="warepotatoes"),0,
1)))))))))),
IF(AND(ISNUMBER(SEARCH("wheat",F91))=TRUE,ISNUMBER(SEARCH("Barley",F96))=TRUE),0.89,
IF(AND(ISNUMBER(SEARCH("wheat",F91))=TRUE,F96="setaside"),0.94,
IF(AND(ISNUMBER(SEARCH("barley",F91))=TRUE,ISNUMBER(SEARCH("wheat",F96))=TRUE),0.89,
IF(AND(F91="winterbarley",F96="setaside"),0.94,
IF(AND(F91="sugarbeet",F96="warepotatoes"),0.95,
IF(AND((OR(ISNUMBER(SEARCH("beans",F91)),ISNUMBER(SEARCH("driedpeas",F91)),ISNUMBER(SEARCH("sugarbeet",F91)))=TRUE),ISNUMBER(SEARCH("osr",F96))=TRUE),0,
IF(AND((OR((ISNUMBER(SEARCH("wheat",F91))),ISNUMBER(SEARCH("linseed",F91)),ISNUMBER(SEARCH("driedpeas",F91)),ISNUMBER(SEARCH("osr",F91)))=TRUE),F96="sugarbeet"),0,
IF(AND((OR((ISNUMBER(SEARCH("osr",F91))),ISNUMBER(SEARCH("linseed",F91)))=TRUE),ISNUMBER(SEARCH("beans",F96))=TRUE),0,
IF(AND(F91="wosr",ISNUMBER(SEARCH("linseed",F96))=TRUE),0,
IF(AND(F91="sugarbeet",F96="warepotatoes"),0,
1)))))))))))
*IF(OR(ISNUMBER(SEARCH("wheat",F91)),ISNUMBER(SEARCH("barley",F91)),ISNUMBER(SEARCH("driedpeas",F91)),ISNUMBER(SEARCH("warepotatoes",F91)),ISNUMBER(SEARCH("osr",F91)),ISNUMBER(SEARCH("linseed",F91)),ISNUMBER(SEARCH("sugarbeet",F91))),
IF(COUNTIF(B86:B90,B91)=5,
INDEX('CFT Specific Data'!$G$24:$L$39,MATCH(F91,'CFT Specific Data'!$F$24:$F$39,0),IF(COUNTIF(F86:F90,F91)=5,6,IF(COUNTIF(F87:F90,F91)=4,5,IF(COUNTIF(F88:F90,F91)=3,4,IF(COUNTIF(F89:F90,F91)=2,3,IF(F90=F91,2,1)))))),
IF(COUNTIF(B86:B90,B91)=4,
INDEX('CFT Specific Data'!$G$24:$L$39,MATCH(F91,'CFT Specific Data'!$F$24:$F$39,0),IF(SUM(COUNTIF(F87:F90,F91),COUNTIF(F92,F91))=5,6,IF(COUNTIF(F87:F90,F91)=4,5,IF(COUNTIF(F88:F90,F91)=3,4,IF(COUNTIF(F89:F90,F91)=2,3,IF(F90=F91,2,1)))))),
IF(COUNTIF(B86:B90,B91)=3,
INDEX('CFT Specific Data'!$G$24:$L$39,MATCH(F91,'CFT Specific Data'!$F$24:$F$39,0),IF(SUM(COUNTIF(F88:F90,F91),COUNTIF(F92:F93,F91))=5,6,IF(SUM(COUNTIF(F88:F90,F91),COUNTIF(F93,F91))=4,5,IF(COUNTIF(F88:F90,F91)=3,4,IF(COUNTIF(F89:F90,F91)=2,3,IF(F90=F91,2,1)))))),
IF(COUNTIF(B86:B90,B91)=2,
INDEX('CFT Specific Data'!$G$24:$L$39,MATCH(F91,'CFT Specific Data'!$F$24:$F$39,0),IF(SUM(COUNTIF(F89:F90,F91),COUNTIF(F92:F94,F91))=5,6,IF(SUM(COUNTIF(F89:F90,F91),COUNTIF(F93:F94,F91))=4,5,IF(SUM(COUNTIF(F89:F90,F91),COUNTIF(F94,F91))=3,4,IF(COUNTIF(F89:F90,F91)=2,3,IF(F90=F91,2,1)))))),
IF(COUNTIF(B86:B90,B91)=1,
INDEX('CFT Specific Data'!$G$24:$L$39,MATCH(F91,'CFT Specific Data'!$F$24:$F$39,0),IF(SUM(COUNTIF(F90,F91),COUNTIF(F92:F95,F91))=5,6,IF(SUM(COUNTIF(F90,F91),COUNTIF(F93:F95,F91))=4,5,IF(SUM(COUNTIF(F90,F91),COUNTIF(F94:F95,F91))=3,4,IF(SUM(COUNTIF(F90,F91),COUNTIF(F95,F91))=2,3,IF(F90=F91,2,1)))))),
IF(COUNTIF(B86:B90,B91)=0,
INDEX('CFT Specific Data'!$G$24:$L$39,MATCH(F91,'CFT Specific Data'!$F$24:$F$39,0),IF(COUNTIF(F92:F96,F91)=5,6,IF(COUNTIF(F93:F96,F91)=4,5,IF(COUNTIF(F94:F96,F91)=3,4,IF(COUNTIF(F95:F96,F91)=2,3,IF(F96=F91,2,1)))))))))))),1)</f>
        <v>61.92</v>
      </c>
      <c r="I91" s="210" t="s">
        <v>348</v>
      </c>
      <c r="J91">
        <v>10</v>
      </c>
      <c r="K91" s="210" t="str">
        <f>VLOOKUP(F91,'CFT Specific Data'!$F$4:$G$19,2,FALSE)</f>
        <v>Winter wheat</v>
      </c>
      <c r="L91" t="str">
        <f t="shared" si="8"/>
        <v>Medium</v>
      </c>
      <c r="M91">
        <f t="shared" si="9"/>
        <v>4.4720000000000004</v>
      </c>
      <c r="N91" t="str">
        <f t="shared" si="10"/>
        <v>1.72 &lt; SOM &lt;= 5.16</v>
      </c>
      <c r="O91" t="s">
        <v>349</v>
      </c>
      <c r="P91" t="s">
        <v>350</v>
      </c>
      <c r="Q91">
        <v>7</v>
      </c>
      <c r="R91" t="str">
        <f t="shared" si="6"/>
        <v>5.5 &lt; pH &lt;= 7.3</v>
      </c>
      <c r="S91" t="s">
        <v>351</v>
      </c>
      <c r="T91" s="210">
        <f t="array" ref="T91">_xlfn.SINGLE(INDEX('Focus Data NFertiliser Rate'!$D$4:$P$19,MATCH(F91,'Focus Data NFertiliser Rate'!$C$4:$C$19,0),_xlfn.SINGLE(_xlfn.IFS(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220</v>
      </c>
      <c r="U91" t="str">
        <f t="shared" si="11"/>
        <v>Apply in solution</v>
      </c>
      <c r="V91" s="210">
        <f t="array" ref="V91">_xlfn.SINGLE(INDEX('№ Fertiliser sprayings'!$D$4:$P$19,MATCH(F91,'№ Fertiliser sprayings'!$C$4:$C$19,0),_xlfn.SINGLE(_xlfn.IFS(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3</v>
      </c>
      <c r="W91" s="264">
        <f t="array" ref="W91">_xlfn.SINGLE(INDEX('Focus Data CFT NSpraying'!$D$4:$P$19,MATCH(F91,'Focus Data CFT NSpraying'!$C$4:$C$19,0),_xlfn.SINGLE(_xlfn.IFS(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6.3887999999999998</v>
      </c>
      <c r="X91" t="s">
        <v>363</v>
      </c>
      <c r="Y91">
        <v>0</v>
      </c>
      <c r="Z91">
        <v>100</v>
      </c>
      <c r="AA91" t="s">
        <v>352</v>
      </c>
      <c r="AB91" s="226" t="str">
        <f>IF(B91=B90,_xlfn.IFS(
AND(AA91=Lists!$L$8,AA90=Lists!$L$8),Lists!$N$5,
AND(OR(AA91=Lists!$L$5,AA91=Lists!$L$7,AA91=Lists!$L$9,AA91=Lists!$L$10,AA91=Lists!$L$6),OR(AA90=Lists!$L$5,AA90=Lists!$L$7,AA90=Lists!$L$9,AA90=Lists!$L$10,AA90=Lists!$L$6)),Lists!$N$5,
AND(AA91=Lists!$L$8,OR(AA90=Lists!$L$5,AA90=Lists!$L$7,AA90=Lists!$L$9,AA90=Lists!$L$10,AA90=Lists!$L$6)),Lists!$N$6,
AND(OR(AA91=Lists!$L$5,AA91=Lists!$L$6,AA91=Lists!$L$7,AA91=Lists!$L$9,AA91=Lists!$L$10),AA90=Lists!$L$8),Lists!$N$7),
_xlfn.IFS(
AND(AA91=Lists!$L$8,AA96=Lists!$L$8),Lists!$N$5,
AND(OR(AA91=Lists!$L$5,AA91=Lists!$L$7,AA91=Lists!$L$9,AA91=Lists!$L$10,AA91=Lists!$L$6),OR(AA96=Lists!$L$5,AA96=Lists!$L$7,AA96=Lists!$L$9,AA96=Lists!$L$10,AA96=Lists!$L$6)),Lists!$N$5,
AND(AA91=Lists!$L$8,OR(AA96=Lists!$L$5,AA96=Lists!$L$7,AA96=Lists!$L$9,AA96=Lists!$L$10,AA96=Lists!$L$6)),Lists!$N$6,
AND(OR(AA91=Lists!$L$5,AA91=Lists!$L$7,AA91=Lists!$L$9,AA91=Lists!$L$10),AA96=Lists!$L$8),Lists!$N$7))</f>
        <v>no change</v>
      </c>
      <c r="AC91">
        <v>0</v>
      </c>
      <c r="AD91">
        <v>0</v>
      </c>
      <c r="AE91" s="102">
        <f t="array" ref="AE91">IF(OR(ISNUMBER(SEARCH("heavy",A91))=TRUE, ISNUMBER(SEARCH("medium",A91))=TRUE),
(LEN(_xlfn.SINGLE(
INDEX('Focus Data Tillage by farm'!$D$4:$P$9,MATCH(D91,'Focus Data Tillage by farm'!$C$4:$C$9,0),_xlfn.SINGLE(_xlfn.IFS(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-LEN(SUBSTITUTE(_xlfn.SINGLE(
INDEX('Focus Data Tillage by farm'!$D$4:$P$9,MATCH(D91,'Focus Data Tillage by farm'!$C$4:$C$9,0),_xlfn.SINGLE(_xlfn.IFS(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"disc","")))/LEN("disc"),
(LEN(_xlfn.SINGLE(
INDEX('Focus Data Tillage by farm'!$D$12:$P$17,MATCH(D91,'Focus Data Tillage by farm'!$C$12:$C$17,0),_xlfn.SINGLE(_xlfn.IFS(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-LEN(SUBSTITUTE(_xlfn.SINGLE(
INDEX('Focus Data Tillage by farm'!$D$12:$P$17,MATCH(D91,'Focus Data Tillage by farm'!$C$12:$C$17,0),_xlfn.SINGLE(_xlfn.IFS(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"disc","")))/LEN("disc"))</f>
        <v>2</v>
      </c>
      <c r="AF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"field cultivator","")))/LEN("field cultivator"),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"field cultivator","")))/LEN("field cultivator"))</f>
        <v>0</v>
      </c>
      <c r="AG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"grain drill","")))/LEN("grain drill"),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"grain drill","")))/LEN("grain drill"))</f>
        <v>0</v>
      </c>
      <c r="AH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"minimum tillage","")))/LEN("minimum tillage"),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"minimum tillage","")))/LEN("minimum tillage"))</f>
        <v>1</v>
      </c>
      <c r="AI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"row crop planter","")))/LEN("row crop planter"),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"row crop planter","")))/LEN("row crop planter"))</f>
        <v>0</v>
      </c>
      <c r="AJ91" s="102">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"plough","")))/LEN("plough"),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"plough","")))/LEN("plough"))</f>
        <v>0</v>
      </c>
      <c r="AK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harrow","")))/LEN("roller harrow"),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harrow","")))/LEN("roller harrow"))</f>
        <v>0</v>
      </c>
      <c r="AL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packer","")))/LEN("roller packer"),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"roller packer","")))/LEN("roller packer"))</f>
        <v>2</v>
      </c>
      <c r="AM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"rotary hoe","")))/LEN("rotary hoe"),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"rotary hoe","")))/LEN("rotary hoe"))</f>
        <v>0</v>
      </c>
      <c r="AN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"subsoil","")))/LEN("subsoil"),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"subsoil","")))/LEN("subsoil"))</f>
        <v>0</v>
      </c>
      <c r="AO91">
        <f>IF(OR(ISNUMBER(SEARCH("heavy",A91))=TRUE, ISNUMBER(SEARCH("medium",A91))=TRUE),
(LEN(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farm'!$D$4:$P$9,MATCH(D91,'Focus Data Tillage by farm'!$C$4:$C$9,0),_xlfn.IFS(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"tine harrow","")))/LEN("tine harrow"),
(LEN(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-LEN(SUBSTITUTE(
INDEX('Focus Data Tillage by farm'!$D$12:$P$17,MATCH(D91,'Focus Data Tillage by farm'!$C$12:$C$17,0),_xlfn.IFS(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
"tine harrow","")))/LEN("tine harrow"))</f>
        <v>0</v>
      </c>
      <c r="AP91" s="102">
        <f>INDEX('Focus Data NSpraying'!$D$4:$P$19,MATCH(F91,'Focus Data NSpraying'!$C$4:$C$19,0),_xlfn.IFS(
AND(ISNUMBER(SEARCH("H-Dsty.",A91))=TRUE,ISNUMBER(SEARCH("H-Res",A91))=TRUE,ISNUMBER(SEARCH("E.",A91))=TRUE),1,
AND(ISNUMBER(SEARCH("H-Dsty.",A91))=TRUE,ISNUMBER(SEARCH("H-Res",A91))=TRUE,OR(ISNUMBER(SEARCH("N.he",A91))=TRUE,ISNUMBER(SEARCH("N.me",A91))=TRUE,ISNUMBER(SEARCH("N.li",A91))=TRUE)),2,
AND(ISNUMBER(SEARCH("H-Dsty.",A91))=TRUE,ISNUMBER(SEARCH("H-Res",A91))=TRUE,ISNUMBER(SEARCH("C.",A91))=TRUE),3,
AND(ISNUMBER(SEARCH("L-Dsty.",A91))=TRUE,ISNUMBER(SEARCH("H-Res",A91))=TRUE,ISNUMBER(SEARCH("E.",A91))=TRUE),6,
AND(ISNUMBER(SEARCH("L-Dsty.",A91))=TRUE,ISNUMBER(SEARCH("H-Res",A91))=TRUE,OR(ISNUMBER(SEARCH("N.he",A91))=TRUE,ISNUMBER(SEARCH("N.me",A91))=TRUE,ISNUMBER(SEARCH("N.li",A91))=TRUE)),7,
AND(ISNUMBER(SEARCH("L-Dsty.",A91))=TRUE,ISNUMBER(SEARCH("H-Res",A91))=TRUE,ISNUMBER(SEARCH("C.",A91))=TRUE),8,
AND(ISNUMBER(SEARCH("L-Dsty.",A91))=TRUE,ISNUMBER(SEARCH("L-Res",A91))=TRUE,ISNUMBER(SEARCH("E.",A91))=TRUE),11,
AND(ISNUMBER(SEARCH("L-Dsty.",A91))=TRUE,ISNUMBER(SEARCH("L-Res",A91))=TRUE,OR(ISNUMBER(SEARCH("N.he",A91))=TRUE,ISNUMBER(SEARCH("N.me",A91))=TRUE,ISNUMBER(SEARCH("N.li",A91))=TRUE)),12,
AND(ISNUMBER(SEARCH("L-Dsty.",A91))=TRUE,ISNUMBER(SEARCH("L-Res",A91))=TRUE,ISNUMBER(SEARCH("C.",A91))=TRUE),13))</f>
        <v>4</v>
      </c>
    </row>
    <row r="92" spans="1:42" x14ac:dyDescent="0.2">
      <c r="A92" t="s">
        <v>508</v>
      </c>
      <c r="B92" s="210" t="str">
        <f t="array" ref="B92">INDEX(ECOMOD_input_estimate!$A$2:$A$55, MATCH(CFT_input!$A92, ECOMOD_input_estimate!$B:$B, 0))</f>
        <v>FF_06.2</v>
      </c>
      <c r="C92" s="210">
        <v>2020</v>
      </c>
      <c r="D92" s="395" t="s">
        <v>731</v>
      </c>
      <c r="E92" s="210" t="str">
        <f t="shared" si="7"/>
        <v>E.light.H-Dsty.H-Res</v>
      </c>
      <c r="F92" s="210" t="str">
        <f t="array" ref="F92">_xlfn.SINGLE(IF(OR(ISNUMBER(SEARCH("heavy",A92))=TRUE,ISNUMBER(SEARCH("medium",A92))=TRUE),
INDEX('Focus Data Crop Rotations'!$D$4:$P$9,MATCH(D92,'Focus Data Crop Rotations'!$C$4:$C$9,0),_xlfn.SINGLE(_xlfn.IFS(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INDEX('Focus Data Crop Rotations'!$D$12:$P$17,MATCH(D92,'Focus Data Crop Rotations'!$C$12:$C$17,0),_xlfn.SINGLE(_xlfn.IFS(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springlinseed</v>
      </c>
      <c r="G92">
        <v>7.2</v>
      </c>
      <c r="H92" s="227">
        <f>VLOOKUP(F92,'CFT Specific Data'!$F$4:$H$19,3,FALSE)*G92*
IF(B92=B91,
IF(AND(ISNUMBER(SEARCH("wheat",F92))=TRUE,ISNUMBER(SEARCH("Barley",F91))=TRUE),0.89,
IF(AND(ISNUMBER(SEARCH("wheat",F92))=TRUE,F91="setaside"),0.94,
IF(AND(ISNUMBER(SEARCH("barley",F92))=TRUE,ISNUMBER(SEARCH("wheat",F91))=TRUE),0.89,
IF(AND(F92="winterbarley",F91="setaside"),0.94,
IF(AND(F92="sugarbeet",F91="warepotatoes"),0.95,
IF(AND((OR(ISNUMBER(SEARCH("beans",F92)),ISNUMBER(SEARCH("driedpeas",F92)),ISNUMBER(SEARCH("sugarbeet",F92)))=TRUE),ISNUMBER(SEARCH("osr",F91))=TRUE),0,
IF(AND((OR((ISNUMBER(SEARCH("wheat",F92))),ISNUMBER(SEARCH("linseed",F92)),ISNUMBER(SEARCH("driedpeas",F92)),ISNUMBER(SEARCH("osr",F92)))=TRUE),F91="sugarbeet"),0,
IF(AND((OR((ISNUMBER(SEARCH("osr",F92))),ISNUMBER(SEARCH("linseed",F92)))=TRUE),ISNUMBER(SEARCH("beans",F91))=TRUE),0,
IF(AND(F92="wosr",ISNUMBER(SEARCH("linseed",F91))=TRUE),0,
IF(AND(F92="sugarbeet",F91="warepotatoes"),0,
1)))))))))),
IF(AND(ISNUMBER(SEARCH("wheat",F92))=TRUE,ISNUMBER(SEARCH("Barley",F97))=TRUE),0.89,
IF(AND(ISNUMBER(SEARCH("wheat",F92))=TRUE,F97="setaside"),0.94,
IF(AND(ISNUMBER(SEARCH("barley",F92))=TRUE,ISNUMBER(SEARCH("wheat",F97))=TRUE),0.89,
IF(AND(F92="winterbarley",F97="setaside"),0.94,
IF(AND(F92="sugarbeet",F97="warepotatoes"),0.95,
IF(AND((OR(ISNUMBER(SEARCH("beans",F92)),ISNUMBER(SEARCH("driedpeas",F92)),ISNUMBER(SEARCH("sugarbeet",F92)))=TRUE),ISNUMBER(SEARCH("osr",F97))=TRUE),0,
IF(AND((OR((ISNUMBER(SEARCH("wheat",F92))),ISNUMBER(SEARCH("linseed",F92)),ISNUMBER(SEARCH("driedpeas",F92)),ISNUMBER(SEARCH("osr",F92)))=TRUE),F97="sugarbeet"),0,
IF(AND((OR((ISNUMBER(SEARCH("osr",F92))),ISNUMBER(SEARCH("linseed",F92)))=TRUE),ISNUMBER(SEARCH("beans",F97))=TRUE),0,
IF(AND(F92="wosr",ISNUMBER(SEARCH("linseed",F97))=TRUE),0,
IF(AND(F92="sugarbeet",F97="warepotatoes"),0,
1)))))))))))
*IF(OR(ISNUMBER(SEARCH("wheat",F92)),ISNUMBER(SEARCH("barley",F92)),ISNUMBER(SEARCH("driedpeas",F92)),ISNUMBER(SEARCH("warepotatoes",F92)),ISNUMBER(SEARCH("osr",F92)),ISNUMBER(SEARCH("linseed",F92)),ISNUMBER(SEARCH("sugarbeet",F92))),
IF(COUNTIF(B87:B91,B92)=5,
INDEX('CFT Specific Data'!$G$24:$L$39,MATCH(F92,'CFT Specific Data'!$F$24:$F$39,0),IF(COUNTIF(F87:F91,F92)=5,6,IF(COUNTIF(F88:F91,F92)=4,5,IF(COUNTIF(F89:F91,F92)=3,4,IF(COUNTIF(F90:F91,F92)=2,3,IF(F91=F92,2,1)))))),
IF(COUNTIF(B87:B91,B92)=4,
INDEX('CFT Specific Data'!$G$24:$L$39,MATCH(F92,'CFT Specific Data'!$F$24:$F$39,0),IF(SUM(COUNTIF(F88:F91,F92),COUNTIF(F93,F92))=5,6,IF(COUNTIF(F88:F91,F92)=4,5,IF(COUNTIF(F89:F91,F92)=3,4,IF(COUNTIF(F90:F91,F92)=2,3,IF(F91=F92,2,1)))))),
IF(COUNTIF(B87:B91,B92)=3,
INDEX('CFT Specific Data'!$G$24:$L$39,MATCH(F92,'CFT Specific Data'!$F$24:$F$39,0),IF(SUM(COUNTIF(F89:F91,F92),COUNTIF(F93:F94,F92))=5,6,IF(SUM(COUNTIF(F89:F91,F92),COUNTIF(F94,F92))=4,5,IF(COUNTIF(F89:F91,F92)=3,4,IF(COUNTIF(F90:F91,F92)=2,3,IF(F91=F92,2,1)))))),
IF(COUNTIF(B87:B91,B92)=2,
INDEX('CFT Specific Data'!$G$24:$L$39,MATCH(F92,'CFT Specific Data'!$F$24:$F$39,0),IF(SUM(COUNTIF(F90:F91,F92),COUNTIF(F93:F95,F92))=5,6,IF(SUM(COUNTIF(F90:F91,F92),COUNTIF(F94:F95,F92))=4,5,IF(SUM(COUNTIF(F90:F91,F92),COUNTIF(F95,F92))=3,4,IF(COUNTIF(F90:F91,F92)=2,3,IF(F91=F92,2,1)))))),
IF(COUNTIF(B87:B91,B92)=1,
INDEX('CFT Specific Data'!$G$24:$L$39,MATCH(F92,'CFT Specific Data'!$F$24:$F$39,0),IF(SUM(COUNTIF(F91,F92),COUNTIF(F93:F96,F92))=5,6,IF(SUM(COUNTIF(F91,F92),COUNTIF(F94:F96,F92))=4,5,IF(SUM(COUNTIF(F91,F92),COUNTIF(F95:F96,F92))=3,4,IF(SUM(COUNTIF(F91,F92),COUNTIF(F96,F92))=2,3,IF(F91=F92,2,1)))))),
IF(COUNTIF(B87:B91,B92)=0,
INDEX('CFT Specific Data'!$G$24:$L$39,MATCH(F92,'CFT Specific Data'!$F$24:$F$39,0),IF(COUNTIF(F93:F97,F92)=5,6,IF(COUNTIF(F94:F97,F92)=4,5,IF(COUNTIF(F95:F97,F92)=3,4,IF(COUNTIF(F96:F97,F92)=2,3,IF(F97=F92,2,1)))))))))))),1)</f>
        <v>12.6</v>
      </c>
      <c r="I92" s="210" t="s">
        <v>348</v>
      </c>
      <c r="J92">
        <v>10</v>
      </c>
      <c r="K92" s="210" t="str">
        <f>VLOOKUP(F92,'CFT Specific Data'!$F$4:$G$19,2,FALSE)</f>
        <v>Other</v>
      </c>
      <c r="L92" t="str">
        <f t="shared" si="8"/>
        <v>Coarse</v>
      </c>
      <c r="M92">
        <f t="shared" si="9"/>
        <v>5.16</v>
      </c>
      <c r="N92" t="str">
        <f t="shared" si="10"/>
        <v>1.72 &lt; SOM &lt;= 5.16</v>
      </c>
      <c r="O92" t="s">
        <v>349</v>
      </c>
      <c r="P92" t="s">
        <v>350</v>
      </c>
      <c r="Q92">
        <v>7</v>
      </c>
      <c r="R92" t="str">
        <f t="shared" si="6"/>
        <v>5.5 &lt; pH &lt;= 7.3</v>
      </c>
      <c r="S92" t="s">
        <v>351</v>
      </c>
      <c r="T92" s="210">
        <f t="array" ref="T92">_xlfn.SINGLE(INDEX('Focus Data NFertiliser Rate'!$D$4:$P$19,MATCH(F92,'Focus Data NFertiliser Rate'!$C$4:$C$19,0),_xlfn.SINGLE(_xlfn.IFS(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80</v>
      </c>
      <c r="U92" t="str">
        <f t="shared" si="11"/>
        <v>Apply in solution</v>
      </c>
      <c r="V92" s="210">
        <f t="array" ref="V92">_xlfn.SINGLE(INDEX('№ Fertiliser sprayings'!$D$4:$P$19,MATCH(F92,'№ Fertiliser sprayings'!$C$4:$C$19,0),_xlfn.SINGLE(_xlfn.IFS(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1</v>
      </c>
      <c r="W92" s="264">
        <f t="array" ref="W92">_xlfn.SINGLE(INDEX('Focus Data CFT NSpraying'!$D$4:$P$19,MATCH(F92,'Focus Data CFT NSpraying'!$C$4:$C$19,0),_xlfn.SINGLE(_xlfn.IFS(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11.246</v>
      </c>
      <c r="X92" t="s">
        <v>363</v>
      </c>
      <c r="Y92">
        <v>0</v>
      </c>
      <c r="Z92">
        <v>100</v>
      </c>
      <c r="AA92" t="s">
        <v>352</v>
      </c>
      <c r="AB92" s="226" t="str">
        <f>IF(B92=B91,_xlfn.IFS(
AND(AA92=Lists!$L$8,AA91=Lists!$L$8),Lists!$N$5,
AND(OR(AA92=Lists!$L$5,AA92=Lists!$L$7,AA92=Lists!$L$9,AA92=Lists!$L$10,AA92=Lists!$L$6),OR(AA91=Lists!$L$5,AA91=Lists!$L$7,AA91=Lists!$L$9,AA91=Lists!$L$10,AA91=Lists!$L$6)),Lists!$N$5,
AND(AA92=Lists!$L$8,OR(AA91=Lists!$L$5,AA91=Lists!$L$7,AA91=Lists!$L$9,AA91=Lists!$L$10,AA91=Lists!$L$6)),Lists!$N$6,
AND(OR(AA92=Lists!$L$5,AA92=Lists!$L$6,AA92=Lists!$L$7,AA92=Lists!$L$9,AA92=Lists!$L$10),AA91=Lists!$L$8),Lists!$N$7),
_xlfn.IFS(
AND(AA92=Lists!$L$8,AA97=Lists!$L$8),Lists!$N$5,
AND(OR(AA92=Lists!$L$5,AA92=Lists!$L$7,AA92=Lists!$L$9,AA92=Lists!$L$10,AA92=Lists!$L$6),OR(AA97=Lists!$L$5,AA97=Lists!$L$7,AA97=Lists!$L$9,AA97=Lists!$L$10,AA97=Lists!$L$6)),Lists!$N$5,
AND(AA92=Lists!$L$8,OR(AA97=Lists!$L$5,AA97=Lists!$L$7,AA97=Lists!$L$9,AA97=Lists!$L$10,AA97=Lists!$L$6)),Lists!$N$6,
AND(OR(AA92=Lists!$L$5,AA92=Lists!$L$7,AA92=Lists!$L$9,AA92=Lists!$L$10),AA97=Lists!$L$8),Lists!$N$7))</f>
        <v>no change</v>
      </c>
      <c r="AC92">
        <v>0</v>
      </c>
      <c r="AD92">
        <v>0</v>
      </c>
      <c r="AE92" s="102">
        <f t="array" ref="AE92">IF(OR(ISNUMBER(SEARCH("heavy",A92))=TRUE, ISNUMBER(SEARCH("medium",A92))=TRUE),
(LEN(_xlfn.SINGLE(
INDEX('Focus Data Tillage by farm'!$D$4:$P$9,MATCH(D92,'Focus Data Tillage by farm'!$C$4:$C$9,0),_xlfn.SINGLE(_xlfn.IFS(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-LEN(SUBSTITUTE(_xlfn.SINGLE(
INDEX('Focus Data Tillage by farm'!$D$4:$P$9,MATCH(D92,'Focus Data Tillage by farm'!$C$4:$C$9,0),_xlfn.SINGLE(_xlfn.IFS(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"disc","")))/LEN("disc"),
(LEN(_xlfn.SINGLE(
INDEX('Focus Data Tillage by farm'!$D$12:$P$17,MATCH(D92,'Focus Data Tillage by farm'!$C$12:$C$17,0),_xlfn.SINGLE(_xlfn.IFS(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-LEN(SUBSTITUTE(_xlfn.SINGLE(
INDEX('Focus Data Tillage by farm'!$D$12:$P$17,MATCH(D92,'Focus Data Tillage by farm'!$C$12:$C$17,0),_xlfn.SINGLE(_xlfn.IFS(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"disc","")))/LEN("disc"))</f>
        <v>3</v>
      </c>
      <c r="AF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"field cultivator","")))/LEN("field cultivator"),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"field cultivator","")))/LEN("field cultivator"))</f>
        <v>0</v>
      </c>
      <c r="AG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"grain drill","")))/LEN("grain drill"),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"grain drill","")))/LEN("grain drill"))</f>
        <v>0</v>
      </c>
      <c r="AH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"minimum tillage","")))/LEN("minimum tillage"),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"minimum tillage","")))/LEN("minimum tillage"))</f>
        <v>1</v>
      </c>
      <c r="AI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"row crop planter","")))/LEN("row crop planter"),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"row crop planter","")))/LEN("row crop planter"))</f>
        <v>0</v>
      </c>
      <c r="AJ92" s="10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"plough","")))/LEN("plough"),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"plough","")))/LEN("plough"))</f>
        <v>0</v>
      </c>
      <c r="AK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harrow","")))/LEN("roller harrow"),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harrow","")))/LEN("roller harrow"))</f>
        <v>0</v>
      </c>
      <c r="AL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packer","")))/LEN("roller packer"),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"roller packer","")))/LEN("roller packer"))</f>
        <v>0</v>
      </c>
      <c r="AM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"rotary hoe","")))/LEN("rotary hoe"),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"rotary hoe","")))/LEN("rotary hoe"))</f>
        <v>0</v>
      </c>
      <c r="AN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"subsoil","")))/LEN("subsoil"),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"subsoil","")))/LEN("subsoil"))</f>
        <v>0</v>
      </c>
      <c r="AO92">
        <f>IF(OR(ISNUMBER(SEARCH("heavy",A92))=TRUE, ISNUMBER(SEARCH("medium",A92))=TRUE),
(LEN(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farm'!$D$4:$P$9,MATCH(D92,'Focus Data Tillage by farm'!$C$4:$C$9,0),_xlfn.IFS(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"tine harrow","")))/LEN("tine harrow"),
(LEN(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-LEN(SUBSTITUTE(
INDEX('Focus Data Tillage by farm'!$D$12:$P$17,MATCH(D92,'Focus Data Tillage by farm'!$C$12:$C$17,0),_xlfn.IFS(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
"tine harrow","")))/LEN("tine harrow"))</f>
        <v>0</v>
      </c>
      <c r="AP92" s="102">
        <f>INDEX('Focus Data NSpraying'!$D$4:$P$19,MATCH(F92,'Focus Data NSpraying'!$C$4:$C$19,0),_xlfn.IFS(
AND(ISNUMBER(SEARCH("H-Dsty.",A92))=TRUE,ISNUMBER(SEARCH("H-Res",A92))=TRUE,ISNUMBER(SEARCH("E.",A92))=TRUE),1,
AND(ISNUMBER(SEARCH("H-Dsty.",A92))=TRUE,ISNUMBER(SEARCH("H-Res",A92))=TRUE,OR(ISNUMBER(SEARCH("N.he",A92))=TRUE,ISNUMBER(SEARCH("N.me",A92))=TRUE,ISNUMBER(SEARCH("N.li",A92))=TRUE)),2,
AND(ISNUMBER(SEARCH("H-Dsty.",A92))=TRUE,ISNUMBER(SEARCH("H-Res",A92))=TRUE,ISNUMBER(SEARCH("C.",A92))=TRUE),3,
AND(ISNUMBER(SEARCH("L-Dsty.",A92))=TRUE,ISNUMBER(SEARCH("H-Res",A92))=TRUE,ISNUMBER(SEARCH("E.",A92))=TRUE),6,
AND(ISNUMBER(SEARCH("L-Dsty.",A92))=TRUE,ISNUMBER(SEARCH("H-Res",A92))=TRUE,OR(ISNUMBER(SEARCH("N.he",A92))=TRUE,ISNUMBER(SEARCH("N.me",A92))=TRUE,ISNUMBER(SEARCH("N.li",A92))=TRUE)),7,
AND(ISNUMBER(SEARCH("L-Dsty.",A92))=TRUE,ISNUMBER(SEARCH("H-Res",A92))=TRUE,ISNUMBER(SEARCH("C.",A92))=TRUE),8,
AND(ISNUMBER(SEARCH("L-Dsty.",A92))=TRUE,ISNUMBER(SEARCH("L-Res",A92))=TRUE,ISNUMBER(SEARCH("E.",A92))=TRUE),11,
AND(ISNUMBER(SEARCH("L-Dsty.",A92))=TRUE,ISNUMBER(SEARCH("L-Res",A92))=TRUE,OR(ISNUMBER(SEARCH("N.he",A92))=TRUE,ISNUMBER(SEARCH("N.me",A92))=TRUE,ISNUMBER(SEARCH("N.li",A92))=TRUE)),12,
AND(ISNUMBER(SEARCH("L-Dsty.",A92))=TRUE,ISNUMBER(SEARCH("L-Res",A92))=TRUE,ISNUMBER(SEARCH("C.",A92))=TRUE),13))</f>
        <v>5</v>
      </c>
    </row>
    <row r="93" spans="1:42" x14ac:dyDescent="0.2">
      <c r="A93" t="s">
        <v>508</v>
      </c>
      <c r="B93" s="210" t="str">
        <f t="array" ref="B93">INDEX(ECOMOD_input_estimate!$A$2:$A$55, MATCH(CFT_input!$A93, ECOMOD_input_estimate!$B:$B, 0))</f>
        <v>FF_06.2</v>
      </c>
      <c r="C93" s="210">
        <v>2020</v>
      </c>
      <c r="D93" s="395" t="s">
        <v>730</v>
      </c>
      <c r="E93" s="210" t="str">
        <f t="shared" si="7"/>
        <v>E.light.H-Dsty.H-Res</v>
      </c>
      <c r="F93" s="210" t="str">
        <f t="array" ref="F93">_xlfn.SINGLE(IF(OR(ISNUMBER(SEARCH("heavy",A93))=TRUE,ISNUMBER(SEARCH("medium",A93))=TRUE),
INDEX('Focus Data Crop Rotations'!$D$4:$P$9,MATCH(D93,'Focus Data Crop Rotations'!$C$4:$C$9,0),_xlfn.SINGLE(_xlfn.IFS(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INDEX('Focus Data Crop Rotations'!$D$12:$P$17,MATCH(D93,'Focus Data Crop Rotations'!$C$12:$C$17,0),_xlfn.SINGLE(_xlfn.IFS(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driedpeas</v>
      </c>
      <c r="G93">
        <v>7.2</v>
      </c>
      <c r="H93" s="227">
        <f>VLOOKUP(F93,'CFT Specific Data'!$F$4:$H$19,3,FALSE)*G93*
IF(B93=B92,
IF(AND(ISNUMBER(SEARCH("wheat",F93))=TRUE,ISNUMBER(SEARCH("Barley",F92))=TRUE),0.89,
IF(AND(ISNUMBER(SEARCH("wheat",F93))=TRUE,F92="setaside"),0.94,
IF(AND(ISNUMBER(SEARCH("barley",F93))=TRUE,ISNUMBER(SEARCH("wheat",F92))=TRUE),0.89,
IF(AND(F93="winterbarley",F92="setaside"),0.94,
IF(AND(F93="sugarbeet",F92="warepotatoes"),0.95,
IF(AND((OR(ISNUMBER(SEARCH("beans",F93)),ISNUMBER(SEARCH("driedpeas",F93)),ISNUMBER(SEARCH("sugarbeet",F93)))=TRUE),ISNUMBER(SEARCH("osr",F92))=TRUE),0,
IF(AND((OR((ISNUMBER(SEARCH("wheat",F93))),ISNUMBER(SEARCH("linseed",F93)),ISNUMBER(SEARCH("driedpeas",F93)),ISNUMBER(SEARCH("osr",F93)))=TRUE),F92="sugarbeet"),0,
IF(AND((OR((ISNUMBER(SEARCH("osr",F93))),ISNUMBER(SEARCH("linseed",F93)))=TRUE),ISNUMBER(SEARCH("beans",F92))=TRUE),0,
IF(AND(F93="wosr",ISNUMBER(SEARCH("linseed",F92))=TRUE),0,
IF(AND(F93="sugarbeet",F92="warepotatoes"),0,
1)))))))))),
IF(AND(ISNUMBER(SEARCH("wheat",F93))=TRUE,ISNUMBER(SEARCH("Barley",F98))=TRUE),0.89,
IF(AND(ISNUMBER(SEARCH("wheat",F93))=TRUE,F98="setaside"),0.94,
IF(AND(ISNUMBER(SEARCH("barley",F93))=TRUE,ISNUMBER(SEARCH("wheat",F98))=TRUE),0.89,
IF(AND(F93="winterbarley",F98="setaside"),0.94,
IF(AND(F93="sugarbeet",F98="warepotatoes"),0.95,
IF(AND((OR(ISNUMBER(SEARCH("beans",F93)),ISNUMBER(SEARCH("driedpeas",F93)),ISNUMBER(SEARCH("sugarbeet",F93)))=TRUE),ISNUMBER(SEARCH("osr",F98))=TRUE),0,
IF(AND((OR((ISNUMBER(SEARCH("wheat",F93))),ISNUMBER(SEARCH("linseed",F93)),ISNUMBER(SEARCH("driedpeas",F93)),ISNUMBER(SEARCH("osr",F93)))=TRUE),F98="sugarbeet"),0,
IF(AND((OR((ISNUMBER(SEARCH("osr",F93))),ISNUMBER(SEARCH("linseed",F93)))=TRUE),ISNUMBER(SEARCH("beans",F98))=TRUE),0,
IF(AND(F93="wosr",ISNUMBER(SEARCH("linseed",F98))=TRUE),0,
IF(AND(F93="sugarbeet",F98="warepotatoes"),0,
1)))))))))))
*IF(OR(ISNUMBER(SEARCH("wheat",F93)),ISNUMBER(SEARCH("barley",F93)),ISNUMBER(SEARCH("driedpeas",F93)),ISNUMBER(SEARCH("warepotatoes",F93)),ISNUMBER(SEARCH("osr",F93)),ISNUMBER(SEARCH("linseed",F93)),ISNUMBER(SEARCH("sugarbeet",F93))),
IF(COUNTIF(B88:B92,B93)=5,
INDEX('CFT Specific Data'!$G$24:$L$39,MATCH(F93,'CFT Specific Data'!$F$24:$F$39,0),IF(COUNTIF(F88:F92,F93)=5,6,IF(COUNTIF(F89:F92,F93)=4,5,IF(COUNTIF(F90:F92,F93)=3,4,IF(COUNTIF(F91:F92,F93)=2,3,IF(F92=F93,2,1)))))),
IF(COUNTIF(B88:B92,B93)=4,
INDEX('CFT Specific Data'!$G$24:$L$39,MATCH(F93,'CFT Specific Data'!$F$24:$F$39,0),IF(SUM(COUNTIF(F89:F92,F93),COUNTIF(F94,F93))=5,6,IF(COUNTIF(F89:F92,F93)=4,5,IF(COUNTIF(F90:F92,F93)=3,4,IF(COUNTIF(F91:F92,F93)=2,3,IF(F92=F93,2,1)))))),
IF(COUNTIF(B88:B92,B93)=3,
INDEX('CFT Specific Data'!$G$24:$L$39,MATCH(F93,'CFT Specific Data'!$F$24:$F$39,0),IF(SUM(COUNTIF(F90:F92,F93),COUNTIF(F94:F95,F93))=5,6,IF(SUM(COUNTIF(F90:F92,F93),COUNTIF(F95,F93))=4,5,IF(COUNTIF(F90:F92,F93)=3,4,IF(COUNTIF(F91:F92,F93)=2,3,IF(F92=F93,2,1)))))),
IF(COUNTIF(B88:B92,B93)=2,
INDEX('CFT Specific Data'!$G$24:$L$39,MATCH(F93,'CFT Specific Data'!$F$24:$F$39,0),IF(SUM(COUNTIF(F91:F92,F93),COUNTIF(F94:F96,F93))=5,6,IF(SUM(COUNTIF(F91:F92,F93),COUNTIF(F95:F96,F93))=4,5,IF(SUM(COUNTIF(F91:F92,F93),COUNTIF(F96,F93))=3,4,IF(COUNTIF(F91:F92,F93)=2,3,IF(F92=F93,2,1)))))),
IF(COUNTIF(B88:B92,B93)=1,
INDEX('CFT Specific Data'!$G$24:$L$39,MATCH(F93,'CFT Specific Data'!$F$24:$F$39,0),IF(SUM(COUNTIF(F92,F93),COUNTIF(F94:F97,F93))=5,6,IF(SUM(COUNTIF(F92,F93),COUNTIF(F95:F97,F93))=4,5,IF(SUM(COUNTIF(F92,F93),COUNTIF(F96:F97,F93))=3,4,IF(SUM(COUNTIF(F92,F93),COUNTIF(F97,F93))=2,3,IF(F92=F93,2,1)))))),
IF(COUNTIF(B88:B92,B93)=0,
INDEX('CFT Specific Data'!$G$24:$L$39,MATCH(F93,'CFT Specific Data'!$F$24:$F$39,0),IF(COUNTIF(F94:F98,F93)=5,6,IF(COUNTIF(F95:F98,F93)=4,5,IF(COUNTIF(F96:F98,F93)=3,4,IF(COUNTIF(F97:F98,F93)=2,3,IF(F98=F93,2,1)))))))))))),1)</f>
        <v>28.8</v>
      </c>
      <c r="I93" s="210" t="s">
        <v>348</v>
      </c>
      <c r="J93">
        <v>10</v>
      </c>
      <c r="K93" s="210" t="str">
        <f>VLOOKUP(F93,'CFT Specific Data'!$F$4:$G$19,2,FALSE)</f>
        <v>Other legume</v>
      </c>
      <c r="L93" t="str">
        <f t="shared" si="8"/>
        <v>Coarse</v>
      </c>
      <c r="M93">
        <f t="shared" si="9"/>
        <v>5.16</v>
      </c>
      <c r="N93" t="str">
        <f t="shared" si="10"/>
        <v>1.72 &lt; SOM &lt;= 5.16</v>
      </c>
      <c r="O93" t="s">
        <v>349</v>
      </c>
      <c r="P93" t="s">
        <v>350</v>
      </c>
      <c r="Q93">
        <v>7</v>
      </c>
      <c r="R93" t="str">
        <f t="shared" si="6"/>
        <v>5.5 &lt; pH &lt;= 7.3</v>
      </c>
      <c r="S93" t="s">
        <v>351</v>
      </c>
      <c r="T93" s="210">
        <f t="array" ref="T93">_xlfn.SINGLE(INDEX('Focus Data NFertiliser Rate'!$D$4:$P$19,MATCH(F93,'Focus Data NFertiliser Rate'!$C$4:$C$19,0),_xlfn.SINGLE(_xlfn.IFS(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0</v>
      </c>
      <c r="U93">
        <f t="shared" si="11"/>
        <v>0</v>
      </c>
      <c r="V93" s="210">
        <f t="array" ref="V93">_xlfn.SINGLE(INDEX('№ Fertiliser sprayings'!$D$4:$P$19,MATCH(F93,'№ Fertiliser sprayings'!$C$4:$C$19,0),_xlfn.SINGLE(_xlfn.IFS(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0</v>
      </c>
      <c r="W93" s="264">
        <f t="array" ref="W93">_xlfn.SINGLE(INDEX('Focus Data CFT NSpraying'!$D$4:$P$19,MATCH(F93,'Focus Data CFT NSpraying'!$C$4:$C$19,0),_xlfn.SINGLE(_xlfn.IFS(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8.3762999999999987</v>
      </c>
      <c r="X93" t="s">
        <v>363</v>
      </c>
      <c r="Y93">
        <v>0</v>
      </c>
      <c r="Z93">
        <v>100</v>
      </c>
      <c r="AA93" t="s">
        <v>352</v>
      </c>
      <c r="AB93" s="226" t="str">
        <f>IF(B93=B92,_xlfn.IFS(
AND(AA93=Lists!$L$8,AA92=Lists!$L$8),Lists!$N$5,
AND(OR(AA93=Lists!$L$5,AA93=Lists!$L$7,AA93=Lists!$L$9,AA93=Lists!$L$10,AA93=Lists!$L$6),OR(AA92=Lists!$L$5,AA92=Lists!$L$7,AA92=Lists!$L$9,AA92=Lists!$L$10,AA92=Lists!$L$6)),Lists!$N$5,
AND(AA93=Lists!$L$8,OR(AA92=Lists!$L$5,AA92=Lists!$L$7,AA92=Lists!$L$9,AA92=Lists!$L$10,AA92=Lists!$L$6)),Lists!$N$6,
AND(OR(AA93=Lists!$L$5,AA93=Lists!$L$6,AA93=Lists!$L$7,AA93=Lists!$L$9,AA93=Lists!$L$10),AA92=Lists!$L$8),Lists!$N$7),
_xlfn.IFS(
AND(AA93=Lists!$L$8,AA98=Lists!$L$8),Lists!$N$5,
AND(OR(AA93=Lists!$L$5,AA93=Lists!$L$7,AA93=Lists!$L$9,AA93=Lists!$L$10,AA93=Lists!$L$6),OR(AA98=Lists!$L$5,AA98=Lists!$L$7,AA98=Lists!$L$9,AA98=Lists!$L$10,AA98=Lists!$L$6)),Lists!$N$5,
AND(AA93=Lists!$L$8,OR(AA98=Lists!$L$5,AA98=Lists!$L$7,AA98=Lists!$L$9,AA98=Lists!$L$10,AA98=Lists!$L$6)),Lists!$N$6,
AND(OR(AA93=Lists!$L$5,AA93=Lists!$L$7,AA93=Lists!$L$9,AA93=Lists!$L$10),AA98=Lists!$L$8),Lists!$N$7))</f>
        <v>no change</v>
      </c>
      <c r="AC93">
        <v>0</v>
      </c>
      <c r="AD93">
        <v>0</v>
      </c>
      <c r="AE93" s="102">
        <f t="array" ref="AE93">IF(OR(ISNUMBER(SEARCH("heavy",A93))=TRUE, ISNUMBER(SEARCH("medium",A93))=TRUE),
(LEN(_xlfn.SINGLE(
INDEX('Focus Data Tillage by farm'!$D$4:$P$9,MATCH(D93,'Focus Data Tillage by farm'!$C$4:$C$9,0),_xlfn.SINGLE(_xlfn.IFS(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-LEN(SUBSTITUTE(_xlfn.SINGLE(
INDEX('Focus Data Tillage by farm'!$D$4:$P$9,MATCH(D93,'Focus Data Tillage by farm'!$C$4:$C$9,0),_xlfn.SINGLE(_xlfn.IFS(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"disc","")))/LEN("disc"),
(LEN(_xlfn.SINGLE(
INDEX('Focus Data Tillage by farm'!$D$12:$P$17,MATCH(D93,'Focus Data Tillage by farm'!$C$12:$C$17,0),_xlfn.SINGLE(_xlfn.IFS(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-LEN(SUBSTITUTE(_xlfn.SINGLE(
INDEX('Focus Data Tillage by farm'!$D$12:$P$17,MATCH(D93,'Focus Data Tillage by farm'!$C$12:$C$17,0),_xlfn.SINGLE(_xlfn.IFS(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"disc","")))/LEN("disc"))</f>
        <v>2</v>
      </c>
      <c r="AF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"field cultivator","")))/LEN("field cultivator"),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"field cultivator","")))/LEN("field cultivator"))</f>
        <v>0</v>
      </c>
      <c r="AG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"grain drill","")))/LEN("grain drill"),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"grain drill","")))/LEN("grain drill"))</f>
        <v>0</v>
      </c>
      <c r="AH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"minimum tillage","")))/LEN("minimum tillage"),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"minimum tillage","")))/LEN("minimum tillage"))</f>
        <v>1</v>
      </c>
      <c r="AI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"row crop planter","")))/LEN("row crop planter"),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"row crop planter","")))/LEN("row crop planter"))</f>
        <v>0</v>
      </c>
      <c r="AJ93" s="102">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"plough","")))/LEN("plough"),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"plough","")))/LEN("plough"))</f>
        <v>0</v>
      </c>
      <c r="AK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harrow","")))/LEN("roller harrow"),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harrow","")))/LEN("roller harrow"))</f>
        <v>0</v>
      </c>
      <c r="AL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packer","")))/LEN("roller packer"),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"roller packer","")))/LEN("roller packer"))</f>
        <v>0</v>
      </c>
      <c r="AM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"rotary hoe","")))/LEN("rotary hoe"),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"rotary hoe","")))/LEN("rotary hoe"))</f>
        <v>0</v>
      </c>
      <c r="AN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"subsoil","")))/LEN("subsoil"),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"subsoil","")))/LEN("subsoil"))</f>
        <v>1</v>
      </c>
      <c r="AO93">
        <f>IF(OR(ISNUMBER(SEARCH("heavy",A93))=TRUE, ISNUMBER(SEARCH("medium",A93))=TRUE),
(LEN(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farm'!$D$4:$P$9,MATCH(D93,'Focus Data Tillage by farm'!$C$4:$C$9,0),_xlfn.IFS(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"tine harrow","")))/LEN("tine harrow"),
(LEN(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-LEN(SUBSTITUTE(
INDEX('Focus Data Tillage by farm'!$D$12:$P$17,MATCH(D93,'Focus Data Tillage by farm'!$C$12:$C$17,0),_xlfn.IFS(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
"tine harrow","")))/LEN("tine harrow"))</f>
        <v>0</v>
      </c>
      <c r="AP93" s="102">
        <f>INDEX('Focus Data NSpraying'!$D$4:$P$19,MATCH(F93,'Focus Data NSpraying'!$C$4:$C$19,0),_xlfn.IFS(
AND(ISNUMBER(SEARCH("H-Dsty.",A93))=TRUE,ISNUMBER(SEARCH("H-Res",A93))=TRUE,ISNUMBER(SEARCH("E.",A93))=TRUE),1,
AND(ISNUMBER(SEARCH("H-Dsty.",A93))=TRUE,ISNUMBER(SEARCH("H-Res",A93))=TRUE,OR(ISNUMBER(SEARCH("N.he",A93))=TRUE,ISNUMBER(SEARCH("N.me",A93))=TRUE,ISNUMBER(SEARCH("N.li",A93))=TRUE)),2,
AND(ISNUMBER(SEARCH("H-Dsty.",A93))=TRUE,ISNUMBER(SEARCH("H-Res",A93))=TRUE,ISNUMBER(SEARCH("C.",A93))=TRUE),3,
AND(ISNUMBER(SEARCH("L-Dsty.",A93))=TRUE,ISNUMBER(SEARCH("H-Res",A93))=TRUE,ISNUMBER(SEARCH("E.",A93))=TRUE),6,
AND(ISNUMBER(SEARCH("L-Dsty.",A93))=TRUE,ISNUMBER(SEARCH("H-Res",A93))=TRUE,OR(ISNUMBER(SEARCH("N.he",A93))=TRUE,ISNUMBER(SEARCH("N.me",A93))=TRUE,ISNUMBER(SEARCH("N.li",A93))=TRUE)),7,
AND(ISNUMBER(SEARCH("L-Dsty.",A93))=TRUE,ISNUMBER(SEARCH("H-Res",A93))=TRUE,ISNUMBER(SEARCH("C.",A93))=TRUE),8,
AND(ISNUMBER(SEARCH("L-Dsty.",A93))=TRUE,ISNUMBER(SEARCH("L-Res",A93))=TRUE,ISNUMBER(SEARCH("E.",A93))=TRUE),11,
AND(ISNUMBER(SEARCH("L-Dsty.",A93))=TRUE,ISNUMBER(SEARCH("L-Res",A93))=TRUE,OR(ISNUMBER(SEARCH("N.he",A93))=TRUE,ISNUMBER(SEARCH("N.me",A93))=TRUE,ISNUMBER(SEARCH("N.li",A93))=TRUE)),12,
AND(ISNUMBER(SEARCH("L-Dsty.",A93))=TRUE,ISNUMBER(SEARCH("L-Res",A93))=TRUE,ISNUMBER(SEARCH("C.",A93))=TRUE),13))</f>
        <v>5</v>
      </c>
    </row>
    <row r="94" spans="1:42" x14ac:dyDescent="0.2">
      <c r="A94" t="s">
        <v>508</v>
      </c>
      <c r="B94" s="210" t="str">
        <f t="array" ref="B94">INDEX(ECOMOD_input_estimate!$A$2:$A$55, MATCH(CFT_input!$A94, ECOMOD_input_estimate!$B:$B, 0))</f>
        <v>FF_06.2</v>
      </c>
      <c r="C94" s="210">
        <v>2020</v>
      </c>
      <c r="D94" s="395" t="s">
        <v>1694</v>
      </c>
      <c r="E94" s="210" t="str">
        <f t="shared" si="7"/>
        <v>E.light.H-Dsty.H-Res</v>
      </c>
      <c r="F94" s="210" t="str">
        <f t="array" ref="F94">_xlfn.SINGLE(IF(OR(ISNUMBER(SEARCH("heavy",A94))=TRUE,ISNUMBER(SEARCH("medium",A94))=TRUE),
INDEX('Focus Data Crop Rotations'!$D$4:$P$9,MATCH(D94,'Focus Data Crop Rotations'!$C$4:$C$9,0),_xlfn.SINGLE(_xlfn.IFS(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INDEX('Focus Data Crop Rotations'!$D$12:$P$17,MATCH(D94,'Focus Data Crop Rotations'!$C$12:$C$17,0),_xlfn.SINGLE(_xlfn.IFS(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winterwheat</v>
      </c>
      <c r="G94">
        <v>7.2</v>
      </c>
      <c r="H94" s="227">
        <f>VLOOKUP(F94,'CFT Specific Data'!$F$4:$H$19,3,FALSE)*G94*
IF(B94=B93,
IF(AND(ISNUMBER(SEARCH("wheat",F94))=TRUE,ISNUMBER(SEARCH("Barley",F93))=TRUE),0.89,
IF(AND(ISNUMBER(SEARCH("wheat",F94))=TRUE,F93="setaside"),0.94,
IF(AND(ISNUMBER(SEARCH("barley",F94))=TRUE,ISNUMBER(SEARCH("wheat",F93))=TRUE),0.89,
IF(AND(F94="winterbarley",F93="setaside"),0.94,
IF(AND(F94="sugarbeet",F93="warepotatoes"),0.95,
IF(AND((OR(ISNUMBER(SEARCH("beans",F94)),ISNUMBER(SEARCH("driedpeas",F94)),ISNUMBER(SEARCH("sugarbeet",F94)))=TRUE),ISNUMBER(SEARCH("osr",F93))=TRUE),0,
IF(AND((OR((ISNUMBER(SEARCH("wheat",F94))),ISNUMBER(SEARCH("linseed",F94)),ISNUMBER(SEARCH("driedpeas",F94)),ISNUMBER(SEARCH("osr",F94)))=TRUE),F93="sugarbeet"),0,
IF(AND((OR((ISNUMBER(SEARCH("osr",F94))),ISNUMBER(SEARCH("linseed",F94)))=TRUE),ISNUMBER(SEARCH("beans",F93))=TRUE),0,
IF(AND(F94="wosr",ISNUMBER(SEARCH("linseed",F93))=TRUE),0,
IF(AND(F94="sugarbeet",F93="warepotatoes"),0,
1)))))))))),
IF(AND(ISNUMBER(SEARCH("wheat",F94))=TRUE,ISNUMBER(SEARCH("Barley",F99))=TRUE),0.89,
IF(AND(ISNUMBER(SEARCH("wheat",F94))=TRUE,F99="setaside"),0.94,
IF(AND(ISNUMBER(SEARCH("barley",F94))=TRUE,ISNUMBER(SEARCH("wheat",F99))=TRUE),0.89,
IF(AND(F94="winterbarley",F99="setaside"),0.94,
IF(AND(F94="sugarbeet",F99="warepotatoes"),0.95,
IF(AND((OR(ISNUMBER(SEARCH("beans",F94)),ISNUMBER(SEARCH("driedpeas",F94)),ISNUMBER(SEARCH("sugarbeet",F94)))=TRUE),ISNUMBER(SEARCH("osr",F99))=TRUE),0,
IF(AND((OR((ISNUMBER(SEARCH("wheat",F94))),ISNUMBER(SEARCH("linseed",F94)),ISNUMBER(SEARCH("driedpeas",F94)),ISNUMBER(SEARCH("osr",F94)))=TRUE),F99="sugarbeet"),0,
IF(AND((OR((ISNUMBER(SEARCH("osr",F94))),ISNUMBER(SEARCH("linseed",F94)))=TRUE),ISNUMBER(SEARCH("beans",F99))=TRUE),0,
IF(AND(F94="wosr",ISNUMBER(SEARCH("linseed",F99))=TRUE),0,
IF(AND(F94="sugarbeet",F99="warepotatoes"),0,
1)))))))))))
*IF(OR(ISNUMBER(SEARCH("wheat",F94)),ISNUMBER(SEARCH("barley",F94)),ISNUMBER(SEARCH("driedpeas",F94)),ISNUMBER(SEARCH("warepotatoes",F94)),ISNUMBER(SEARCH("osr",F94)),ISNUMBER(SEARCH("linseed",F94)),ISNUMBER(SEARCH("sugarbeet",F94))),
IF(COUNTIF(B89:B93,B94)=5,
INDEX('CFT Specific Data'!$G$24:$L$39,MATCH(F94,'CFT Specific Data'!$F$24:$F$39,0),IF(COUNTIF(F89:F93,F94)=5,6,IF(COUNTIF(F90:F93,F94)=4,5,IF(COUNTIF(F91:F93,F94)=3,4,IF(COUNTIF(F92:F93,F94)=2,3,IF(F93=F94,2,1)))))),
IF(COUNTIF(B89:B93,B94)=4,
INDEX('CFT Specific Data'!$G$24:$L$39,MATCH(F94,'CFT Specific Data'!$F$24:$F$39,0),IF(SUM(COUNTIF(F90:F93,F94),COUNTIF(F95,F94))=5,6,IF(COUNTIF(F90:F93,F94)=4,5,IF(COUNTIF(F91:F93,F94)=3,4,IF(COUNTIF(F92:F93,F94)=2,3,IF(F93=F94,2,1)))))),
IF(COUNTIF(B89:B93,B94)=3,
INDEX('CFT Specific Data'!$G$24:$L$39,MATCH(F94,'CFT Specific Data'!$F$24:$F$39,0),IF(SUM(COUNTIF(F91:F93,F94),COUNTIF(F95:F96,F94))=5,6,IF(SUM(COUNTIF(F91:F93,F94),COUNTIF(F96,F94))=4,5,IF(COUNTIF(F91:F93,F94)=3,4,IF(COUNTIF(F92:F93,F94)=2,3,IF(F93=F94,2,1)))))),
IF(COUNTIF(B89:B93,B94)=2,
INDEX('CFT Specific Data'!$G$24:$L$39,MATCH(F94,'CFT Specific Data'!$F$24:$F$39,0),IF(SUM(COUNTIF(F92:F93,F94),COUNTIF(F95:F97,F94))=5,6,IF(SUM(COUNTIF(F92:F93,F94),COUNTIF(F96:F97,F94))=4,5,IF(SUM(COUNTIF(F92:F93,F94),COUNTIF(F97,F94))=3,4,IF(COUNTIF(F92:F93,F94)=2,3,IF(F93=F94,2,1)))))),
IF(COUNTIF(B89:B93,B94)=1,
INDEX('CFT Specific Data'!$G$24:$L$39,MATCH(F94,'CFT Specific Data'!$F$24:$F$39,0),IF(SUM(COUNTIF(F93,F94),COUNTIF(F95:F98,F94))=5,6,IF(SUM(COUNTIF(F93,F94),COUNTIF(F96:F98,F94))=4,5,IF(SUM(COUNTIF(F93,F94),COUNTIF(F97:F98,F94))=3,4,IF(SUM(COUNTIF(F93,F94),COUNTIF(F98,F94))=2,3,IF(F93=F94,2,1)))))),
IF(COUNTIF(B89:B93,B94)=0,
INDEX('CFT Specific Data'!$G$24:$L$39,MATCH(F94,'CFT Specific Data'!$F$24:$F$39,0),IF(COUNTIF(F95:F99,F94)=5,6,IF(COUNTIF(F96:F99,F94)=4,5,IF(COUNTIF(F97:F99,F94)=3,4,IF(COUNTIF(F98:F99,F94)=2,3,IF(F99=F94,2,1)))))))))))),1)</f>
        <v>61.92</v>
      </c>
      <c r="I94" s="210" t="s">
        <v>348</v>
      </c>
      <c r="J94">
        <v>10</v>
      </c>
      <c r="K94" s="210" t="str">
        <f>VLOOKUP(F94,'CFT Specific Data'!$F$4:$G$19,2,FALSE)</f>
        <v>Winter wheat</v>
      </c>
      <c r="L94" t="str">
        <f t="shared" si="8"/>
        <v>Coarse</v>
      </c>
      <c r="M94">
        <f t="shared" si="9"/>
        <v>5.16</v>
      </c>
      <c r="N94" t="str">
        <f t="shared" si="10"/>
        <v>1.72 &lt; SOM &lt;= 5.16</v>
      </c>
      <c r="O94" t="s">
        <v>349</v>
      </c>
      <c r="P94" t="s">
        <v>350</v>
      </c>
      <c r="Q94">
        <v>7</v>
      </c>
      <c r="R94" t="str">
        <f t="shared" si="6"/>
        <v>5.5 &lt; pH &lt;= 7.3</v>
      </c>
      <c r="S94" t="s">
        <v>351</v>
      </c>
      <c r="T94" s="210">
        <f t="array" ref="T94">_xlfn.SINGLE(INDEX('Focus Data NFertiliser Rate'!$D$4:$P$19,MATCH(F94,'Focus Data NFertiliser Rate'!$C$4:$C$19,0),_xlfn.SINGLE(_xlfn.IFS(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220</v>
      </c>
      <c r="U94" t="str">
        <f t="shared" si="11"/>
        <v>Apply in solution</v>
      </c>
      <c r="V94" s="210">
        <f t="array" ref="V94">_xlfn.SINGLE(INDEX('№ Fertiliser sprayings'!$D$4:$P$19,MATCH(F94,'№ Fertiliser sprayings'!$C$4:$C$19,0),_xlfn.SINGLE(_xlfn.IFS(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3</v>
      </c>
      <c r="W94" s="264">
        <f t="array" ref="W94">_xlfn.SINGLE(INDEX('Focus Data CFT NSpraying'!$D$4:$P$19,MATCH(F94,'Focus Data CFT NSpraying'!$C$4:$C$19,0),_xlfn.SINGLE(_xlfn.IFS(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17.876000000000001</v>
      </c>
      <c r="X94" t="s">
        <v>363</v>
      </c>
      <c r="Y94">
        <v>0</v>
      </c>
      <c r="Z94">
        <v>100</v>
      </c>
      <c r="AA94" t="s">
        <v>352</v>
      </c>
      <c r="AB94" s="226" t="str">
        <f>IF(B94=B93,_xlfn.IFS(
AND(AA94=Lists!$L$8,AA93=Lists!$L$8),Lists!$N$5,
AND(OR(AA94=Lists!$L$5,AA94=Lists!$L$7,AA94=Lists!$L$9,AA94=Lists!$L$10,AA94=Lists!$L$6),OR(AA93=Lists!$L$5,AA93=Lists!$L$7,AA93=Lists!$L$9,AA93=Lists!$L$10,AA93=Lists!$L$6)),Lists!$N$5,
AND(AA94=Lists!$L$8,OR(AA93=Lists!$L$5,AA93=Lists!$L$7,AA93=Lists!$L$9,AA93=Lists!$L$10,AA93=Lists!$L$6)),Lists!$N$6,
AND(OR(AA94=Lists!$L$5,AA94=Lists!$L$6,AA94=Lists!$L$7,AA94=Lists!$L$9,AA94=Lists!$L$10),AA93=Lists!$L$8),Lists!$N$7),
_xlfn.IFS(
AND(AA94=Lists!$L$8,AA99=Lists!$L$8),Lists!$N$5,
AND(OR(AA94=Lists!$L$5,AA94=Lists!$L$7,AA94=Lists!$L$9,AA94=Lists!$L$10,AA94=Lists!$L$6),OR(AA99=Lists!$L$5,AA99=Lists!$L$7,AA99=Lists!$L$9,AA99=Lists!$L$10,AA99=Lists!$L$6)),Lists!$N$5,
AND(AA94=Lists!$L$8,OR(AA99=Lists!$L$5,AA99=Lists!$L$7,AA99=Lists!$L$9,AA99=Lists!$L$10,AA99=Lists!$L$6)),Lists!$N$6,
AND(OR(AA94=Lists!$L$5,AA94=Lists!$L$7,AA94=Lists!$L$9,AA94=Lists!$L$10),AA99=Lists!$L$8),Lists!$N$7))</f>
        <v>no change</v>
      </c>
      <c r="AC94">
        <v>0</v>
      </c>
      <c r="AD94">
        <v>0</v>
      </c>
      <c r="AE94" s="102">
        <f t="array" ref="AE94">IF(OR(ISNUMBER(SEARCH("heavy",A94))=TRUE, ISNUMBER(SEARCH("medium",A94))=TRUE),
(LEN(_xlfn.SINGLE(
INDEX('Focus Data Tillage by farm'!$D$4:$P$9,MATCH(D94,'Focus Data Tillage by farm'!$C$4:$C$9,0),_xlfn.SINGLE(_xlfn.IFS(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-LEN(SUBSTITUTE(_xlfn.SINGLE(
INDEX('Focus Data Tillage by farm'!$D$4:$P$9,MATCH(D94,'Focus Data Tillage by farm'!$C$4:$C$9,0),_xlfn.SINGLE(_xlfn.IFS(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"disc","")))/LEN("disc"),
(LEN(_xlfn.SINGLE(
INDEX('Focus Data Tillage by farm'!$D$12:$P$17,MATCH(D94,'Focus Data Tillage by farm'!$C$12:$C$17,0),_xlfn.SINGLE(_xlfn.IFS(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-LEN(SUBSTITUTE(_xlfn.SINGLE(
INDEX('Focus Data Tillage by farm'!$D$12:$P$17,MATCH(D94,'Focus Data Tillage by farm'!$C$12:$C$17,0),_xlfn.SINGLE(_xlfn.IFS(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"disc","")))/LEN("disc"))</f>
        <v>2</v>
      </c>
      <c r="AF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"field cultivator","")))/LEN("field cultivator"),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"field cultivator","")))/LEN("field cultivator"))</f>
        <v>0</v>
      </c>
      <c r="AG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"grain drill","")))/LEN("grain drill"),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"grain drill","")))/LEN("grain drill"))</f>
        <v>0</v>
      </c>
      <c r="AH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"minimum tillage","")))/LEN("minimum tillage"),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"minimum tillage","")))/LEN("minimum tillage"))</f>
        <v>1</v>
      </c>
      <c r="AI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"row crop planter","")))/LEN("row crop planter"),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"row crop planter","")))/LEN("row crop planter"))</f>
        <v>0</v>
      </c>
      <c r="AJ94" s="102">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"plough","")))/LEN("plough"),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"plough","")))/LEN("plough"))</f>
        <v>0</v>
      </c>
      <c r="AK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harrow","")))/LEN("roller harrow"),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harrow","")))/LEN("roller harrow"))</f>
        <v>0</v>
      </c>
      <c r="AL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packer","")))/LEN("roller packer"),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"roller packer","")))/LEN("roller packer"))</f>
        <v>0</v>
      </c>
      <c r="AM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"rotary hoe","")))/LEN("rotary hoe"),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"rotary hoe","")))/LEN("rotary hoe"))</f>
        <v>0</v>
      </c>
      <c r="AN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"subsoil","")))/LEN("subsoil"),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"subsoil","")))/LEN("subsoil"))</f>
        <v>0</v>
      </c>
      <c r="AO94">
        <f>IF(OR(ISNUMBER(SEARCH("heavy",A94))=TRUE, ISNUMBER(SEARCH("medium",A94))=TRUE),
(LEN(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farm'!$D$4:$P$9,MATCH(D94,'Focus Data Tillage by farm'!$C$4:$C$9,0),_xlfn.IFS(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"tine harrow","")))/LEN("tine harrow"),
(LEN(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-LEN(SUBSTITUTE(
INDEX('Focus Data Tillage by farm'!$D$12:$P$17,MATCH(D94,'Focus Data Tillage by farm'!$C$12:$C$17,0),_xlfn.IFS(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
"tine harrow","")))/LEN("tine harrow"))</f>
        <v>0</v>
      </c>
      <c r="AP94" s="102">
        <f>INDEX('Focus Data NSpraying'!$D$4:$P$19,MATCH(F94,'Focus Data NSpraying'!$C$4:$C$19,0),_xlfn.IFS(
AND(ISNUMBER(SEARCH("H-Dsty.",A94))=TRUE,ISNUMBER(SEARCH("H-Res",A94))=TRUE,ISNUMBER(SEARCH("E.",A94))=TRUE),1,
AND(ISNUMBER(SEARCH("H-Dsty.",A94))=TRUE,ISNUMBER(SEARCH("H-Res",A94))=TRUE,OR(ISNUMBER(SEARCH("N.he",A94))=TRUE,ISNUMBER(SEARCH("N.me",A94))=TRUE,ISNUMBER(SEARCH("N.li",A94))=TRUE)),2,
AND(ISNUMBER(SEARCH("H-Dsty.",A94))=TRUE,ISNUMBER(SEARCH("H-Res",A94))=TRUE,ISNUMBER(SEARCH("C.",A94))=TRUE),3,
AND(ISNUMBER(SEARCH("L-Dsty.",A94))=TRUE,ISNUMBER(SEARCH("H-Res",A94))=TRUE,ISNUMBER(SEARCH("E.",A94))=TRUE),6,
AND(ISNUMBER(SEARCH("L-Dsty.",A94))=TRUE,ISNUMBER(SEARCH("H-Res",A94))=TRUE,OR(ISNUMBER(SEARCH("N.he",A94))=TRUE,ISNUMBER(SEARCH("N.me",A94))=TRUE,ISNUMBER(SEARCH("N.li",A94))=TRUE)),7,
AND(ISNUMBER(SEARCH("L-Dsty.",A94))=TRUE,ISNUMBER(SEARCH("H-Res",A94))=TRUE,ISNUMBER(SEARCH("C.",A94))=TRUE),8,
AND(ISNUMBER(SEARCH("L-Dsty.",A94))=TRUE,ISNUMBER(SEARCH("L-Res",A94))=TRUE,ISNUMBER(SEARCH("E.",A94))=TRUE),11,
AND(ISNUMBER(SEARCH("L-Dsty.",A94))=TRUE,ISNUMBER(SEARCH("L-Res",A94))=TRUE,OR(ISNUMBER(SEARCH("N.he",A94))=TRUE,ISNUMBER(SEARCH("N.me",A94))=TRUE,ISNUMBER(SEARCH("N.li",A94))=TRUE)),12,
AND(ISNUMBER(SEARCH("L-Dsty.",A94))=TRUE,ISNUMBER(SEARCH("L-Res",A94))=TRUE,ISNUMBER(SEARCH("C.",A94))=TRUE),13))</f>
        <v>6</v>
      </c>
    </row>
    <row r="95" spans="1:42" x14ac:dyDescent="0.2">
      <c r="A95" t="s">
        <v>508</v>
      </c>
      <c r="B95" s="210" t="str">
        <f t="array" ref="B95">INDEX(ECOMOD_input_estimate!$A$2:$A$55, MATCH(CFT_input!$A95, ECOMOD_input_estimate!$B:$B, 0))</f>
        <v>FF_06.2</v>
      </c>
      <c r="C95" s="210">
        <v>2020</v>
      </c>
      <c r="D95" s="395" t="s">
        <v>1695</v>
      </c>
      <c r="E95" s="210" t="str">
        <f t="shared" si="7"/>
        <v>E.light.H-Dsty.H-Res</v>
      </c>
      <c r="F95" s="210" t="str">
        <f t="array" ref="F95">_xlfn.SINGLE(IF(OR(ISNUMBER(SEARCH("heavy",A95))=TRUE,ISNUMBER(SEARCH("medium",A95))=TRUE),
INDEX('Focus Data Crop Rotations'!$D$4:$P$9,MATCH(D95,'Focus Data Crop Rotations'!$C$4:$C$9,0),_xlfn.SINGLE(_xlfn.IFS(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INDEX('Focus Data Crop Rotations'!$D$12:$P$17,MATCH(D95,'Focus Data Crop Rotations'!$C$12:$C$17,0),_xlfn.SINGLE(_xlfn.IFS(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sugarbeet</v>
      </c>
      <c r="G95">
        <v>7.2</v>
      </c>
      <c r="H95" s="227">
        <f>VLOOKUP(F95,'CFT Specific Data'!$F$4:$H$19,3,FALSE)*G95*
IF(B95=B94,
IF(AND(ISNUMBER(SEARCH("wheat",F95))=TRUE,ISNUMBER(SEARCH("Barley",F94))=TRUE),0.89,
IF(AND(ISNUMBER(SEARCH("wheat",F95))=TRUE,F94="setaside"),0.94,
IF(AND(ISNUMBER(SEARCH("barley",F95))=TRUE,ISNUMBER(SEARCH("wheat",F94))=TRUE),0.89,
IF(AND(F95="winterbarley",F94="setaside"),0.94,
IF(AND(F95="sugarbeet",F94="warepotatoes"),0.95,
IF(AND((OR(ISNUMBER(SEARCH("beans",F95)),ISNUMBER(SEARCH("driedpeas",F95)),ISNUMBER(SEARCH("sugarbeet",F95)))=TRUE),ISNUMBER(SEARCH("osr",F94))=TRUE),0,
IF(AND((OR((ISNUMBER(SEARCH("wheat",F95))),ISNUMBER(SEARCH("linseed",F95)),ISNUMBER(SEARCH("driedpeas",F95)),ISNUMBER(SEARCH("osr",F95)))=TRUE),F94="sugarbeet"),0,
IF(AND((OR((ISNUMBER(SEARCH("osr",F95))),ISNUMBER(SEARCH("linseed",F95)))=TRUE),ISNUMBER(SEARCH("beans",F94))=TRUE),0,
IF(AND(F95="wosr",ISNUMBER(SEARCH("linseed",F94))=TRUE),0,
IF(AND(F95="sugarbeet",F94="warepotatoes"),0,
1)))))))))),
IF(AND(ISNUMBER(SEARCH("wheat",F95))=TRUE,ISNUMBER(SEARCH("Barley",F100))=TRUE),0.89,
IF(AND(ISNUMBER(SEARCH("wheat",F95))=TRUE,F100="setaside"),0.94,
IF(AND(ISNUMBER(SEARCH("barley",F95))=TRUE,ISNUMBER(SEARCH("wheat",F100))=TRUE),0.89,
IF(AND(F95="winterbarley",F100="setaside"),0.94,
IF(AND(F95="sugarbeet",F100="warepotatoes"),0.95,
IF(AND((OR(ISNUMBER(SEARCH("beans",F95)),ISNUMBER(SEARCH("driedpeas",F95)),ISNUMBER(SEARCH("sugarbeet",F95)))=TRUE),ISNUMBER(SEARCH("osr",F100))=TRUE),0,
IF(AND((OR((ISNUMBER(SEARCH("wheat",F95))),ISNUMBER(SEARCH("linseed",F95)),ISNUMBER(SEARCH("driedpeas",F95)),ISNUMBER(SEARCH("osr",F95)))=TRUE),F100="sugarbeet"),0,
IF(AND((OR((ISNUMBER(SEARCH("osr",F95))),ISNUMBER(SEARCH("linseed",F95)))=TRUE),ISNUMBER(SEARCH("beans",F100))=TRUE),0,
IF(AND(F95="wosr",ISNUMBER(SEARCH("linseed",F100))=TRUE),0,
IF(AND(F95="sugarbeet",F100="warepotatoes"),0,
1)))))))))))
*IF(OR(ISNUMBER(SEARCH("wheat",F95)),ISNUMBER(SEARCH("barley",F95)),ISNUMBER(SEARCH("driedpeas",F95)),ISNUMBER(SEARCH("warepotatoes",F95)),ISNUMBER(SEARCH("osr",F95)),ISNUMBER(SEARCH("linseed",F95)),ISNUMBER(SEARCH("sugarbeet",F95))),
IF(COUNTIF(B90:B94,B95)=5,
INDEX('CFT Specific Data'!$G$24:$L$39,MATCH(F95,'CFT Specific Data'!$F$24:$F$39,0),IF(COUNTIF(F90:F94,F95)=5,6,IF(COUNTIF(F91:F94,F95)=4,5,IF(COUNTIF(F92:F94,F95)=3,4,IF(COUNTIF(F93:F94,F95)=2,3,IF(F94=F95,2,1)))))),
IF(COUNTIF(B90:B94,B95)=4,
INDEX('CFT Specific Data'!$G$24:$L$39,MATCH(F95,'CFT Specific Data'!$F$24:$F$39,0),IF(SUM(COUNTIF(F91:F94,F95),COUNTIF(F96,F95))=5,6,IF(COUNTIF(F91:F94,F95)=4,5,IF(COUNTIF(F92:F94,F95)=3,4,IF(COUNTIF(F93:F94,F95)=2,3,IF(F94=F95,2,1)))))),
IF(COUNTIF(B90:B94,B95)=3,
INDEX('CFT Specific Data'!$G$24:$L$39,MATCH(F95,'CFT Specific Data'!$F$24:$F$39,0),IF(SUM(COUNTIF(F92:F94,F95),COUNTIF(F96:F97,F95))=5,6,IF(SUM(COUNTIF(F92:F94,F95),COUNTIF(F97,F95))=4,5,IF(COUNTIF(F92:F94,F95)=3,4,IF(COUNTIF(F93:F94,F95)=2,3,IF(F94=F95,2,1)))))),
IF(COUNTIF(B90:B94,B95)=2,
INDEX('CFT Specific Data'!$G$24:$L$39,MATCH(F95,'CFT Specific Data'!$F$24:$F$39,0),IF(SUM(COUNTIF(F93:F94,F95),COUNTIF(F96:F98,F95))=5,6,IF(SUM(COUNTIF(F93:F94,F95),COUNTIF(F97:F98,F95))=4,5,IF(SUM(COUNTIF(F93:F94,F95),COUNTIF(F98,F95))=3,4,IF(COUNTIF(F93:F94,F95)=2,3,IF(F94=F95,2,1)))))),
IF(COUNTIF(B90:B94,B95)=1,
INDEX('CFT Specific Data'!$G$24:$L$39,MATCH(F95,'CFT Specific Data'!$F$24:$F$39,0),IF(SUM(COUNTIF(F94,F95),COUNTIF(F96:F99,F95))=5,6,IF(SUM(COUNTIF(F94,F95),COUNTIF(F97:F99,F95))=4,5,IF(SUM(COUNTIF(F94,F95),COUNTIF(F98:F99,F95))=3,4,IF(SUM(COUNTIF(F94,F95),COUNTIF(F99,F95))=2,3,IF(F94=F95,2,1)))))),
IF(COUNTIF(B90:B94,B95)=0,
INDEX('CFT Specific Data'!$G$24:$L$39,MATCH(F95,'CFT Specific Data'!$F$24:$F$39,0),IF(COUNTIF(F96:F100,F95)=5,6,IF(COUNTIF(F97:F100,F95)=4,5,IF(COUNTIF(F98:F100,F95)=3,4,IF(COUNTIF(F99:F100,F95)=2,3,IF(F100=F95,2,1)))))))))))),1)</f>
        <v>561.6</v>
      </c>
      <c r="I95" s="210" t="s">
        <v>348</v>
      </c>
      <c r="J95">
        <v>10</v>
      </c>
      <c r="K95" s="210" t="str">
        <f>VLOOKUP(F95,'CFT Specific Data'!$F$4:$G$19,2,FALSE)</f>
        <v>Other root crops</v>
      </c>
      <c r="L95" t="str">
        <f t="shared" si="8"/>
        <v>Coarse</v>
      </c>
      <c r="M95">
        <f t="shared" si="9"/>
        <v>5.16</v>
      </c>
      <c r="N95" t="str">
        <f t="shared" si="10"/>
        <v>1.72 &lt; SOM &lt;= 5.16</v>
      </c>
      <c r="O95" t="s">
        <v>349</v>
      </c>
      <c r="P95" t="s">
        <v>350</v>
      </c>
      <c r="Q95">
        <v>7</v>
      </c>
      <c r="R95" t="str">
        <f t="shared" si="6"/>
        <v>5.5 &lt; pH &lt;= 7.3</v>
      </c>
      <c r="S95" t="s">
        <v>351</v>
      </c>
      <c r="T95" s="210">
        <f t="array" ref="T95">_xlfn.SINGLE(INDEX('Focus Data NFertiliser Rate'!$D$4:$P$19,MATCH(F95,'Focus Data NFertiliser Rate'!$C$4:$C$19,0),_xlfn.SINGLE(_xlfn.IFS(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85</v>
      </c>
      <c r="U95" t="str">
        <f t="shared" si="11"/>
        <v>Apply in solution</v>
      </c>
      <c r="V95" s="210">
        <f t="array" ref="V95">_xlfn.SINGLE(INDEX('№ Fertiliser sprayings'!$D$4:$P$19,MATCH(F95,'№ Fertiliser sprayings'!$C$4:$C$19,0),_xlfn.SINGLE(_xlfn.IFS(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1</v>
      </c>
      <c r="W95" s="264">
        <f t="array" ref="W95">_xlfn.SINGLE(INDEX('Focus Data CFT NSpraying'!$D$4:$P$19,MATCH(F95,'Focus Data CFT NSpraying'!$C$4:$C$19,0),_xlfn.SINGLE(_xlfn.IFS(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12.673500000000001</v>
      </c>
      <c r="X95" t="s">
        <v>363</v>
      </c>
      <c r="Y95">
        <v>0</v>
      </c>
      <c r="Z95">
        <v>100</v>
      </c>
      <c r="AA95" t="s">
        <v>352</v>
      </c>
      <c r="AB95" s="226" t="str">
        <f>IF(B95=B94,_xlfn.IFS(
AND(AA95=Lists!$L$8,AA94=Lists!$L$8),Lists!$N$5,
AND(OR(AA95=Lists!$L$5,AA95=Lists!$L$7,AA95=Lists!$L$9,AA95=Lists!$L$10,AA95=Lists!$L$6),OR(AA94=Lists!$L$5,AA94=Lists!$L$7,AA94=Lists!$L$9,AA94=Lists!$L$10,AA94=Lists!$L$6)),Lists!$N$5,
AND(AA95=Lists!$L$8,OR(AA94=Lists!$L$5,AA94=Lists!$L$7,AA94=Lists!$L$9,AA94=Lists!$L$10,AA94=Lists!$L$6)),Lists!$N$6,
AND(OR(AA95=Lists!$L$5,AA95=Lists!$L$6,AA95=Lists!$L$7,AA95=Lists!$L$9,AA95=Lists!$L$10),AA94=Lists!$L$8),Lists!$N$7),
_xlfn.IFS(
AND(AA95=Lists!$L$8,AA100=Lists!$L$8),Lists!$N$5,
AND(OR(AA95=Lists!$L$5,AA95=Lists!$L$7,AA95=Lists!$L$9,AA95=Lists!$L$10,AA95=Lists!$L$6),OR(AA100=Lists!$L$5,AA100=Lists!$L$7,AA100=Lists!$L$9,AA100=Lists!$L$10,AA100=Lists!$L$6)),Lists!$N$5,
AND(AA95=Lists!$L$8,OR(AA100=Lists!$L$5,AA100=Lists!$L$7,AA100=Lists!$L$9,AA100=Lists!$L$10,AA100=Lists!$L$6)),Lists!$N$6,
AND(OR(AA95=Lists!$L$5,AA95=Lists!$L$7,AA95=Lists!$L$9,AA95=Lists!$L$10),AA100=Lists!$L$8),Lists!$N$7))</f>
        <v>no change</v>
      </c>
      <c r="AC95">
        <v>0</v>
      </c>
      <c r="AD95">
        <v>0</v>
      </c>
      <c r="AE95" s="102">
        <f t="array" ref="AE95">IF(OR(ISNUMBER(SEARCH("heavy",A95))=TRUE, ISNUMBER(SEARCH("medium",A95))=TRUE),
(LEN(_xlfn.SINGLE(
INDEX('Focus Data Tillage by farm'!$D$4:$P$9,MATCH(D95,'Focus Data Tillage by farm'!$C$4:$C$9,0),_xlfn.SINGLE(_xlfn.IFS(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-LEN(SUBSTITUTE(_xlfn.SINGLE(
INDEX('Focus Data Tillage by farm'!$D$4:$P$9,MATCH(D95,'Focus Data Tillage by farm'!$C$4:$C$9,0),_xlfn.SINGLE(_xlfn.IFS(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"disc","")))/LEN("disc"),
(LEN(_xlfn.SINGLE(
INDEX('Focus Data Tillage by farm'!$D$12:$P$17,MATCH(D95,'Focus Data Tillage by farm'!$C$12:$C$17,0),_xlfn.SINGLE(_xlfn.IFS(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-LEN(SUBSTITUTE(_xlfn.SINGLE(
INDEX('Focus Data Tillage by farm'!$D$12:$P$17,MATCH(D95,'Focus Data Tillage by farm'!$C$12:$C$17,0),_xlfn.SINGLE(_xlfn.IFS(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"disc","")))/LEN("disc"))</f>
        <v>2</v>
      </c>
      <c r="AF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"field cultivator","")))/LEN("field cultivator"),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"field cultivator","")))/LEN("field cultivator"))</f>
        <v>0</v>
      </c>
      <c r="AG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"grain drill","")))/LEN("grain drill"),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"grain drill","")))/LEN("grain drill"))</f>
        <v>0</v>
      </c>
      <c r="AH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"minimum tillage","")))/LEN("minimum tillage"),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"minimum tillage","")))/LEN("minimum tillage"))</f>
        <v>0</v>
      </c>
      <c r="AI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"row crop planter","")))/LEN("row crop planter"),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"row crop planter","")))/LEN("row crop planter"))</f>
        <v>1</v>
      </c>
      <c r="AJ95" s="102">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"plough","")))/LEN("plough"),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"plough","")))/LEN("plough"))</f>
        <v>0</v>
      </c>
      <c r="AK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harrow","")))/LEN("roller harrow"),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harrow","")))/LEN("roller harrow"))</f>
        <v>0</v>
      </c>
      <c r="AL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packer","")))/LEN("roller packer"),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"roller packer","")))/LEN("roller packer"))</f>
        <v>0</v>
      </c>
      <c r="AM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"rotary hoe","")))/LEN("rotary hoe"),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"rotary hoe","")))/LEN("rotary hoe"))</f>
        <v>0</v>
      </c>
      <c r="AN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"subsoil","")))/LEN("subsoil"),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"subsoil","")))/LEN("subsoil"))</f>
        <v>0</v>
      </c>
      <c r="AO95">
        <f>IF(OR(ISNUMBER(SEARCH("heavy",A95))=TRUE, ISNUMBER(SEARCH("medium",A95))=TRUE),
(LEN(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farm'!$D$4:$P$9,MATCH(D95,'Focus Data Tillage by farm'!$C$4:$C$9,0),_xlfn.IFS(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"tine harrow","")))/LEN("tine harrow"),
(LEN(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-LEN(SUBSTITUTE(
INDEX('Focus Data Tillage by farm'!$D$12:$P$17,MATCH(D95,'Focus Data Tillage by farm'!$C$12:$C$17,0),_xlfn.IFS(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
"tine harrow","")))/LEN("tine harrow"))</f>
        <v>0</v>
      </c>
      <c r="AP95" s="102">
        <f>INDEX('Focus Data NSpraying'!$D$4:$P$19,MATCH(F95,'Focus Data NSpraying'!$C$4:$C$19,0),_xlfn.IFS(
AND(ISNUMBER(SEARCH("H-Dsty.",A95))=TRUE,ISNUMBER(SEARCH("H-Res",A95))=TRUE,ISNUMBER(SEARCH("E.",A95))=TRUE),1,
AND(ISNUMBER(SEARCH("H-Dsty.",A95))=TRUE,ISNUMBER(SEARCH("H-Res",A95))=TRUE,OR(ISNUMBER(SEARCH("N.he",A95))=TRUE,ISNUMBER(SEARCH("N.me",A95))=TRUE,ISNUMBER(SEARCH("N.li",A95))=TRUE)),2,
AND(ISNUMBER(SEARCH("H-Dsty.",A95))=TRUE,ISNUMBER(SEARCH("H-Res",A95))=TRUE,ISNUMBER(SEARCH("C.",A95))=TRUE),3,
AND(ISNUMBER(SEARCH("L-Dsty.",A95))=TRUE,ISNUMBER(SEARCH("H-Res",A95))=TRUE,ISNUMBER(SEARCH("E.",A95))=TRUE),6,
AND(ISNUMBER(SEARCH("L-Dsty.",A95))=TRUE,ISNUMBER(SEARCH("H-Res",A95))=TRUE,OR(ISNUMBER(SEARCH("N.he",A95))=TRUE,ISNUMBER(SEARCH("N.me",A95))=TRUE,ISNUMBER(SEARCH("N.li",A95))=TRUE)),7,
AND(ISNUMBER(SEARCH("L-Dsty.",A95))=TRUE,ISNUMBER(SEARCH("H-Res",A95))=TRUE,ISNUMBER(SEARCH("C.",A95))=TRUE),8,
AND(ISNUMBER(SEARCH("L-Dsty.",A95))=TRUE,ISNUMBER(SEARCH("L-Res",A95))=TRUE,ISNUMBER(SEARCH("E.",A95))=TRUE),11,
AND(ISNUMBER(SEARCH("L-Dsty.",A95))=TRUE,ISNUMBER(SEARCH("L-Res",A95))=TRUE,OR(ISNUMBER(SEARCH("N.he",A95))=TRUE,ISNUMBER(SEARCH("N.me",A95))=TRUE,ISNUMBER(SEARCH("N.li",A95))=TRUE)),12,
AND(ISNUMBER(SEARCH("L-Dsty.",A95))=TRUE,ISNUMBER(SEARCH("L-Res",A95))=TRUE,ISNUMBER(SEARCH("C.",A95))=TRUE),13))</f>
        <v>6</v>
      </c>
    </row>
    <row r="96" spans="1:42" x14ac:dyDescent="0.2">
      <c r="A96" t="s">
        <v>508</v>
      </c>
      <c r="B96" s="210" t="str">
        <f t="array" ref="B96">INDEX(ECOMOD_input_estimate!$A$2:$A$55, MATCH(CFT_input!$A96, ECOMOD_input_estimate!$B:$B, 0))</f>
        <v>FF_06.2</v>
      </c>
      <c r="C96" s="210">
        <v>2020</v>
      </c>
      <c r="D96" s="395" t="s">
        <v>1696</v>
      </c>
      <c r="E96" s="210" t="str">
        <f t="shared" si="7"/>
        <v>E.light.H-Dsty.H-Res</v>
      </c>
      <c r="F96" s="210" t="str">
        <f t="array" ref="F96">_xlfn.SINGLE(IF(OR(ISNUMBER(SEARCH("heavy",A96))=TRUE,ISNUMBER(SEARCH("medium",A96))=TRUE),
INDEX('Focus Data Crop Rotations'!$D$4:$P$9,MATCH(D96,'Focus Data Crop Rotations'!$C$4:$C$9,0),_xlfn.SINGLE(_xlfn.IFS(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INDEX('Focus Data Crop Rotations'!$D$12:$P$17,MATCH(D96,'Focus Data Crop Rotations'!$C$12:$C$17,0),_xlfn.SINGLE(_xlfn.IFS(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springoats</v>
      </c>
      <c r="G96">
        <v>7.2</v>
      </c>
      <c r="H96" s="227">
        <f>VLOOKUP(F96,'CFT Specific Data'!$F$4:$H$19,3,FALSE)*G96*
IF(B96=B95,
IF(AND(ISNUMBER(SEARCH("wheat",F96))=TRUE,ISNUMBER(SEARCH("Barley",F95))=TRUE),0.89,
IF(AND(ISNUMBER(SEARCH("wheat",F96))=TRUE,F95="setaside"),0.94,
IF(AND(ISNUMBER(SEARCH("barley",F96))=TRUE,ISNUMBER(SEARCH("wheat",F95))=TRUE),0.89,
IF(AND(F96="winterbarley",F95="setaside"),0.94,
IF(AND(F96="sugarbeet",F95="warepotatoes"),0.95,
IF(AND((OR(ISNUMBER(SEARCH("beans",F96)),ISNUMBER(SEARCH("driedpeas",F96)),ISNUMBER(SEARCH("sugarbeet",F96)))=TRUE),ISNUMBER(SEARCH("osr",F95))=TRUE),0,
IF(AND((OR((ISNUMBER(SEARCH("wheat",F96))),ISNUMBER(SEARCH("linseed",F96)),ISNUMBER(SEARCH("driedpeas",F96)),ISNUMBER(SEARCH("osr",F96)))=TRUE),F95="sugarbeet"),0,
IF(AND((OR((ISNUMBER(SEARCH("osr",F96))),ISNUMBER(SEARCH("linseed",F96)))=TRUE),ISNUMBER(SEARCH("beans",F95))=TRUE),0,
IF(AND(F96="wosr",ISNUMBER(SEARCH("linseed",F95))=TRUE),0,
IF(AND(F96="sugarbeet",F95="warepotatoes"),0,
1)))))))))),
IF(AND(ISNUMBER(SEARCH("wheat",F96))=TRUE,ISNUMBER(SEARCH("Barley",F101))=TRUE),0.89,
IF(AND(ISNUMBER(SEARCH("wheat",F96))=TRUE,F101="setaside"),0.94,
IF(AND(ISNUMBER(SEARCH("barley",F96))=TRUE,ISNUMBER(SEARCH("wheat",F101))=TRUE),0.89,
IF(AND(F96="winterbarley",F101="setaside"),0.94,
IF(AND(F96="sugarbeet",F101="warepotatoes"),0.95,
IF(AND((OR(ISNUMBER(SEARCH("beans",F96)),ISNUMBER(SEARCH("driedpeas",F96)),ISNUMBER(SEARCH("sugarbeet",F96)))=TRUE),ISNUMBER(SEARCH("osr",F101))=TRUE),0,
IF(AND((OR((ISNUMBER(SEARCH("wheat",F96))),ISNUMBER(SEARCH("linseed",F96)),ISNUMBER(SEARCH("driedpeas",F96)),ISNUMBER(SEARCH("osr",F96)))=TRUE),F101="sugarbeet"),0,
IF(AND((OR((ISNUMBER(SEARCH("osr",F96))),ISNUMBER(SEARCH("linseed",F96)))=TRUE),ISNUMBER(SEARCH("beans",F101))=TRUE),0,
IF(AND(F96="wosr",ISNUMBER(SEARCH("linseed",F101))=TRUE),0,
IF(AND(F96="sugarbeet",F101="warepotatoes"),0,
1)))))))))))
*IF(OR(ISNUMBER(SEARCH("wheat",F96)),ISNUMBER(SEARCH("barley",F96)),ISNUMBER(SEARCH("driedpeas",F96)),ISNUMBER(SEARCH("warepotatoes",F96)),ISNUMBER(SEARCH("osr",F96)),ISNUMBER(SEARCH("linseed",F96)),ISNUMBER(SEARCH("sugarbeet",F96))),
IF(COUNTIF(B91:B95,B96)=5,
INDEX('CFT Specific Data'!$G$24:$L$39,MATCH(F96,'CFT Specific Data'!$F$24:$F$39,0),IF(COUNTIF(F91:F95,F96)=5,6,IF(COUNTIF(F92:F95,F96)=4,5,IF(COUNTIF(F93:F95,F96)=3,4,IF(COUNTIF(F94:F95,F96)=2,3,IF(F95=F96,2,1)))))),
IF(COUNTIF(B91:B95,B96)=4,
INDEX('CFT Specific Data'!$G$24:$L$39,MATCH(F96,'CFT Specific Data'!$F$24:$F$39,0),IF(SUM(COUNTIF(F92:F95,F96),COUNTIF(F97,F96))=5,6,IF(COUNTIF(F92:F95,F96)=4,5,IF(COUNTIF(F93:F95,F96)=3,4,IF(COUNTIF(F94:F95,F96)=2,3,IF(F95=F96,2,1)))))),
IF(COUNTIF(B91:B95,B96)=3,
INDEX('CFT Specific Data'!$G$24:$L$39,MATCH(F96,'CFT Specific Data'!$F$24:$F$39,0),IF(SUM(COUNTIF(F93:F95,F96),COUNTIF(F97:F98,F96))=5,6,IF(SUM(COUNTIF(F93:F95,F96),COUNTIF(F98,F96))=4,5,IF(COUNTIF(F93:F95,F96)=3,4,IF(COUNTIF(F94:F95,F96)=2,3,IF(F95=F96,2,1)))))),
IF(COUNTIF(B91:B95,B96)=2,
INDEX('CFT Specific Data'!$G$24:$L$39,MATCH(F96,'CFT Specific Data'!$F$24:$F$39,0),IF(SUM(COUNTIF(F94:F95,F96),COUNTIF(F97:F99,F96))=5,6,IF(SUM(COUNTIF(F94:F95,F96),COUNTIF(F98:F99,F96))=4,5,IF(SUM(COUNTIF(F94:F95,F96),COUNTIF(F99,F96))=3,4,IF(COUNTIF(F94:F95,F96)=2,3,IF(F95=F96,2,1)))))),
IF(COUNTIF(B91:B95,B96)=1,
INDEX('CFT Specific Data'!$G$24:$L$39,MATCH(F96,'CFT Specific Data'!$F$24:$F$39,0),IF(SUM(COUNTIF(F95,F96),COUNTIF(F97:F100,F96))=5,6,IF(SUM(COUNTIF(F95,F96),COUNTIF(F98:F100,F96))=4,5,IF(SUM(COUNTIF(F95,F96),COUNTIF(F99:F100,F96))=3,4,IF(SUM(COUNTIF(F95,F96),COUNTIF(F100,F96))=2,3,IF(F95=F96,2,1)))))),
IF(COUNTIF(B91:B95,B96)=0,
INDEX('CFT Specific Data'!$G$24:$L$39,MATCH(F96,'CFT Specific Data'!$F$24:$F$39,0),IF(COUNTIF(F97:F101,F96)=5,6,IF(COUNTIF(F98:F101,F96)=4,5,IF(COUNTIF(F99:F101,F96)=3,4,IF(COUNTIF(F100:F101,F96)=2,3,IF(F101=F96,2,1)))))))))))),1)</f>
        <v>39.6</v>
      </c>
      <c r="I96" s="210" t="s">
        <v>348</v>
      </c>
      <c r="J96">
        <v>10</v>
      </c>
      <c r="K96" s="210" t="str">
        <f>VLOOKUP(F96,'CFT Specific Data'!$F$4:$G$19,2,FALSE)</f>
        <v>Oats</v>
      </c>
      <c r="L96" t="str">
        <f t="shared" si="8"/>
        <v>Coarse</v>
      </c>
      <c r="M96">
        <f t="shared" si="9"/>
        <v>5.16</v>
      </c>
      <c r="N96" t="str">
        <f t="shared" si="10"/>
        <v>1.72 &lt; SOM &lt;= 5.16</v>
      </c>
      <c r="O96" t="s">
        <v>349</v>
      </c>
      <c r="P96" t="s">
        <v>350</v>
      </c>
      <c r="Q96">
        <v>7</v>
      </c>
      <c r="R96" t="str">
        <f t="shared" si="6"/>
        <v>5.5 &lt; pH &lt;= 7.3</v>
      </c>
      <c r="S96" t="s">
        <v>351</v>
      </c>
      <c r="T96" s="210">
        <f t="array" ref="T96">_xlfn.SINGLE(INDEX('Focus Data NFertiliser Rate'!$D$4:$P$19,MATCH(F96,'Focus Data NFertiliser Rate'!$C$4:$C$19,0),_xlfn.SINGLE(_xlfn.IFS(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100</v>
      </c>
      <c r="U96" t="str">
        <f t="shared" si="11"/>
        <v>Apply in solution</v>
      </c>
      <c r="V96" s="210">
        <f t="array" ref="V96">_xlfn.SINGLE(INDEX('№ Fertiliser sprayings'!$D$4:$P$19,MATCH(F96,'№ Fertiliser sprayings'!$C$4:$C$19,0),_xlfn.SINGLE(_xlfn.IFS(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1</v>
      </c>
      <c r="W96" s="264">
        <f t="array" ref="W96">_xlfn.SINGLE(INDEX('Focus Data CFT NSpraying'!$D$4:$P$19,MATCH(F96,'Focus Data CFT NSpraying'!$C$4:$C$19,0),_xlfn.SINGLE(_xlfn.IFS(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4.7859999999999996</v>
      </c>
      <c r="X96" t="s">
        <v>363</v>
      </c>
      <c r="Y96">
        <v>0</v>
      </c>
      <c r="Z96">
        <v>100</v>
      </c>
      <c r="AA96" t="s">
        <v>352</v>
      </c>
      <c r="AB96" s="226" t="str">
        <f>IF(B96=B95,_xlfn.IFS(
AND(AA96=Lists!$L$8,AA95=Lists!$L$8),Lists!$N$5,
AND(OR(AA96=Lists!$L$5,AA96=Lists!$L$7,AA96=Lists!$L$9,AA96=Lists!$L$10,AA96=Lists!$L$6),OR(AA95=Lists!$L$5,AA95=Lists!$L$7,AA95=Lists!$L$9,AA95=Lists!$L$10,AA95=Lists!$L$6)),Lists!$N$5,
AND(AA96=Lists!$L$8,OR(AA95=Lists!$L$5,AA95=Lists!$L$7,AA95=Lists!$L$9,AA95=Lists!$L$10,AA95=Lists!$L$6)),Lists!$N$6,
AND(OR(AA96=Lists!$L$5,AA96=Lists!$L$6,AA96=Lists!$L$7,AA96=Lists!$L$9,AA96=Lists!$L$10),AA95=Lists!$L$8),Lists!$N$7),
_xlfn.IFS(
AND(AA96=Lists!$L$8,AA101=Lists!$L$8),Lists!$N$5,
AND(OR(AA96=Lists!$L$5,AA96=Lists!$L$7,AA96=Lists!$L$9,AA96=Lists!$L$10,AA96=Lists!$L$6),OR(AA101=Lists!$L$5,AA101=Lists!$L$7,AA101=Lists!$L$9,AA101=Lists!$L$10,AA101=Lists!$L$6)),Lists!$N$5,
AND(AA96=Lists!$L$8,OR(AA101=Lists!$L$5,AA101=Lists!$L$7,AA101=Lists!$L$9,AA101=Lists!$L$10,AA101=Lists!$L$6)),Lists!$N$6,
AND(OR(AA96=Lists!$L$5,AA96=Lists!$L$7,AA96=Lists!$L$9,AA96=Lists!$L$10),AA101=Lists!$L$8),Lists!$N$7))</f>
        <v>no change</v>
      </c>
      <c r="AC96">
        <v>0</v>
      </c>
      <c r="AD96">
        <v>0</v>
      </c>
      <c r="AE96" s="102">
        <f t="array" ref="AE96">IF(OR(ISNUMBER(SEARCH("heavy",A96))=TRUE, ISNUMBER(SEARCH("medium",A96))=TRUE),
(LEN(_xlfn.SINGLE(
INDEX('Focus Data Tillage by farm'!$D$4:$P$9,MATCH(D96,'Focus Data Tillage by farm'!$C$4:$C$9,0),_xlfn.SINGLE(_xlfn.IFS(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-LEN(SUBSTITUTE(_xlfn.SINGLE(
INDEX('Focus Data Tillage by farm'!$D$4:$P$9,MATCH(D96,'Focus Data Tillage by farm'!$C$4:$C$9,0),_xlfn.SINGLE(_xlfn.IFS(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"disc","")))/LEN("disc"),
(LEN(_xlfn.SINGLE(
INDEX('Focus Data Tillage by farm'!$D$12:$P$17,MATCH(D96,'Focus Data Tillage by farm'!$C$12:$C$17,0),_xlfn.SINGLE(_xlfn.IFS(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-LEN(SUBSTITUTE(_xlfn.SINGLE(
INDEX('Focus Data Tillage by farm'!$D$12:$P$17,MATCH(D96,'Focus Data Tillage by farm'!$C$12:$C$17,0),_xlfn.SINGLE(_xlfn.IFS(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"disc","")))/LEN("disc"))</f>
        <v>2</v>
      </c>
      <c r="AF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"field cultivator","")))/LEN("field cultivator"),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"field cultivator","")))/LEN("field cultivator"))</f>
        <v>0</v>
      </c>
      <c r="AG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"grain drill","")))/LEN("grain drill"),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"grain drill","")))/LEN("grain drill"))</f>
        <v>0</v>
      </c>
      <c r="AH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"minimum tillage","")))/LEN("minimum tillage"),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"minimum tillage","")))/LEN("minimum tillage"))</f>
        <v>1</v>
      </c>
      <c r="AI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"row crop planter","")))/LEN("row crop planter"),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"row crop planter","")))/LEN("row crop planter"))</f>
        <v>0</v>
      </c>
      <c r="AJ96" s="102">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"plough","")))/LEN("plough"),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"plough","")))/LEN("plough"))</f>
        <v>0</v>
      </c>
      <c r="AK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harrow","")))/LEN("roller harrow"),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harrow","")))/LEN("roller harrow"))</f>
        <v>0</v>
      </c>
      <c r="AL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packer","")))/LEN("roller packer"),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"roller packer","")))/LEN("roller packer"))</f>
        <v>0</v>
      </c>
      <c r="AM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"rotary hoe","")))/LEN("rotary hoe"),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"rotary hoe","")))/LEN("rotary hoe"))</f>
        <v>0</v>
      </c>
      <c r="AN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"subsoil","")))/LEN("subsoil"),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"subsoil","")))/LEN("subsoil"))</f>
        <v>0</v>
      </c>
      <c r="AO96">
        <f>IF(OR(ISNUMBER(SEARCH("heavy",A96))=TRUE, ISNUMBER(SEARCH("medium",A96))=TRUE),
(LEN(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farm'!$D$4:$P$9,MATCH(D96,'Focus Data Tillage by farm'!$C$4:$C$9,0),_xlfn.IFS(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"tine harrow","")))/LEN("tine harrow"),
(LEN(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-LEN(SUBSTITUTE(
INDEX('Focus Data Tillage by farm'!$D$12:$P$17,MATCH(D96,'Focus Data Tillage by farm'!$C$12:$C$17,0),_xlfn.IFS(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
"tine harrow","")))/LEN("tine harrow"))</f>
        <v>0</v>
      </c>
      <c r="AP96" s="102">
        <f>INDEX('Focus Data NSpraying'!$D$4:$P$19,MATCH(F96,'Focus Data NSpraying'!$C$4:$C$19,0),_xlfn.IFS(
AND(ISNUMBER(SEARCH("H-Dsty.",A96))=TRUE,ISNUMBER(SEARCH("H-Res",A96))=TRUE,ISNUMBER(SEARCH("E.",A96))=TRUE),1,
AND(ISNUMBER(SEARCH("H-Dsty.",A96))=TRUE,ISNUMBER(SEARCH("H-Res",A96))=TRUE,OR(ISNUMBER(SEARCH("N.he",A96))=TRUE,ISNUMBER(SEARCH("N.me",A96))=TRUE,ISNUMBER(SEARCH("N.li",A96))=TRUE)),2,
AND(ISNUMBER(SEARCH("H-Dsty.",A96))=TRUE,ISNUMBER(SEARCH("H-Res",A96))=TRUE,ISNUMBER(SEARCH("C.",A96))=TRUE),3,
AND(ISNUMBER(SEARCH("L-Dsty.",A96))=TRUE,ISNUMBER(SEARCH("H-Res",A96))=TRUE,ISNUMBER(SEARCH("E.",A96))=TRUE),6,
AND(ISNUMBER(SEARCH("L-Dsty.",A96))=TRUE,ISNUMBER(SEARCH("H-Res",A96))=TRUE,OR(ISNUMBER(SEARCH("N.he",A96))=TRUE,ISNUMBER(SEARCH("N.me",A96))=TRUE,ISNUMBER(SEARCH("N.li",A96))=TRUE)),7,
AND(ISNUMBER(SEARCH("L-Dsty.",A96))=TRUE,ISNUMBER(SEARCH("H-Res",A96))=TRUE,ISNUMBER(SEARCH("C.",A96))=TRUE),8,
AND(ISNUMBER(SEARCH("L-Dsty.",A96))=TRUE,ISNUMBER(SEARCH("L-Res",A96))=TRUE,ISNUMBER(SEARCH("E.",A96))=TRUE),11,
AND(ISNUMBER(SEARCH("L-Dsty.",A96))=TRUE,ISNUMBER(SEARCH("L-Res",A96))=TRUE,OR(ISNUMBER(SEARCH("N.he",A96))=TRUE,ISNUMBER(SEARCH("N.me",A96))=TRUE,ISNUMBER(SEARCH("N.li",A96))=TRUE)),12,
AND(ISNUMBER(SEARCH("L-Dsty.",A96))=TRUE,ISNUMBER(SEARCH("L-Res",A96))=TRUE,ISNUMBER(SEARCH("C.",A96))=TRUE),13))</f>
        <v>4</v>
      </c>
    </row>
    <row r="97" spans="1:42" x14ac:dyDescent="0.2">
      <c r="A97" t="s">
        <v>508</v>
      </c>
      <c r="B97" s="210" t="str">
        <f t="array" ref="B97">INDEX(ECOMOD_input_estimate!$A$2:$A$55, MATCH(CFT_input!$A97, ECOMOD_input_estimate!$B:$B, 0))</f>
        <v>FF_06.2</v>
      </c>
      <c r="C97" s="210">
        <v>2020</v>
      </c>
      <c r="D97" s="395" t="s">
        <v>735</v>
      </c>
      <c r="E97" s="210" t="str">
        <f t="shared" si="7"/>
        <v>E.light.H-Dsty.H-Res</v>
      </c>
      <c r="F97" s="210" t="str">
        <f t="array" ref="F97">_xlfn.SINGLE(IF(OR(ISNUMBER(SEARCH("heavy",A97))=TRUE,ISNUMBER(SEARCH("medium",A97))=TRUE),
INDEX('Focus Data Crop Rotations'!$D$4:$P$9,MATCH(D97,'Focus Data Crop Rotations'!$C$4:$C$9,0),_xlfn.SINGLE(_xlfn.IFS(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INDEX('Focus Data Crop Rotations'!$D$12:$P$17,MATCH(D97,'Focus Data Crop Rotations'!$C$12:$C$17,0),_xlfn.SINGLE(_xlfn.IFS(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winterwheat</v>
      </c>
      <c r="G97">
        <v>7.2</v>
      </c>
      <c r="H97" s="227">
        <f>VLOOKUP(F97,'CFT Specific Data'!$F$4:$H$19,3,FALSE)*G97*
IF(B97=B96,
IF(AND(ISNUMBER(SEARCH("wheat",F97))=TRUE,ISNUMBER(SEARCH("Barley",F96))=TRUE),0.89,
IF(AND(ISNUMBER(SEARCH("wheat",F97))=TRUE,F96="setaside"),0.94,
IF(AND(ISNUMBER(SEARCH("barley",F97))=TRUE,ISNUMBER(SEARCH("wheat",F96))=TRUE),0.89,
IF(AND(F97="winterbarley",F96="setaside"),0.94,
IF(AND(F97="sugarbeet",F96="warepotatoes"),0.95,
IF(AND((OR(ISNUMBER(SEARCH("beans",F97)),ISNUMBER(SEARCH("driedpeas",F97)),ISNUMBER(SEARCH("sugarbeet",F97)))=TRUE),ISNUMBER(SEARCH("osr",F96))=TRUE),0,
IF(AND((OR((ISNUMBER(SEARCH("wheat",F97))),ISNUMBER(SEARCH("linseed",F97)),ISNUMBER(SEARCH("driedpeas",F97)),ISNUMBER(SEARCH("osr",F97)))=TRUE),F96="sugarbeet"),0,
IF(AND((OR((ISNUMBER(SEARCH("osr",F97))),ISNUMBER(SEARCH("linseed",F97)))=TRUE),ISNUMBER(SEARCH("beans",F96))=TRUE),0,
IF(AND(F97="wosr",ISNUMBER(SEARCH("linseed",F96))=TRUE),0,
IF(AND(F97="sugarbeet",F96="warepotatoes"),0,
1)))))))))),
IF(AND(ISNUMBER(SEARCH("wheat",F97))=TRUE,ISNUMBER(SEARCH("Barley",F102))=TRUE),0.89,
IF(AND(ISNUMBER(SEARCH("wheat",F97))=TRUE,F102="setaside"),0.94,
IF(AND(ISNUMBER(SEARCH("barley",F97))=TRUE,ISNUMBER(SEARCH("wheat",F102))=TRUE),0.89,
IF(AND(F97="winterbarley",F102="setaside"),0.94,
IF(AND(F97="sugarbeet",F102="warepotatoes"),0.95,
IF(AND((OR(ISNUMBER(SEARCH("beans",F97)),ISNUMBER(SEARCH("driedpeas",F97)),ISNUMBER(SEARCH("sugarbeet",F97)))=TRUE),ISNUMBER(SEARCH("osr",F102))=TRUE),0,
IF(AND((OR((ISNUMBER(SEARCH("wheat",F97))),ISNUMBER(SEARCH("linseed",F97)),ISNUMBER(SEARCH("driedpeas",F97)),ISNUMBER(SEARCH("osr",F97)))=TRUE),F102="sugarbeet"),0,
IF(AND((OR((ISNUMBER(SEARCH("osr",F97))),ISNUMBER(SEARCH("linseed",F97)))=TRUE),ISNUMBER(SEARCH("beans",F102))=TRUE),0,
IF(AND(F97="wosr",ISNUMBER(SEARCH("linseed",F102))=TRUE),0,
IF(AND(F97="sugarbeet",F102="warepotatoes"),0,
1)))))))))))
*IF(OR(ISNUMBER(SEARCH("wheat",F97)),ISNUMBER(SEARCH("barley",F97)),ISNUMBER(SEARCH("driedpeas",F97)),ISNUMBER(SEARCH("warepotatoes",F97)),ISNUMBER(SEARCH("osr",F97)),ISNUMBER(SEARCH("linseed",F97)),ISNUMBER(SEARCH("sugarbeet",F97))),
IF(COUNTIF(B92:B96,B97)=5,
INDEX('CFT Specific Data'!$G$24:$L$39,MATCH(F97,'CFT Specific Data'!$F$24:$F$39,0),IF(COUNTIF(F92:F96,F97)=5,6,IF(COUNTIF(F93:F96,F97)=4,5,IF(COUNTIF(F94:F96,F97)=3,4,IF(COUNTIF(F95:F96,F97)=2,3,IF(F96=F97,2,1)))))),
IF(COUNTIF(B92:B96,B97)=4,
INDEX('CFT Specific Data'!$G$24:$L$39,MATCH(F97,'CFT Specific Data'!$F$24:$F$39,0),IF(SUM(COUNTIF(F93:F96,F97),COUNTIF(F98,F97))=5,6,IF(COUNTIF(F93:F96,F97)=4,5,IF(COUNTIF(F94:F96,F97)=3,4,IF(COUNTIF(F95:F96,F97)=2,3,IF(F96=F97,2,1)))))),
IF(COUNTIF(B92:B96,B97)=3,
INDEX('CFT Specific Data'!$G$24:$L$39,MATCH(F97,'CFT Specific Data'!$F$24:$F$39,0),IF(SUM(COUNTIF(F94:F96,F97),COUNTIF(F98:F99,F97))=5,6,IF(SUM(COUNTIF(F94:F96,F97),COUNTIF(F99,F97))=4,5,IF(COUNTIF(F94:F96,F97)=3,4,IF(COUNTIF(F95:F96,F97)=2,3,IF(F96=F97,2,1)))))),
IF(COUNTIF(B92:B96,B97)=2,
INDEX('CFT Specific Data'!$G$24:$L$39,MATCH(F97,'CFT Specific Data'!$F$24:$F$39,0),IF(SUM(COUNTIF(F95:F96,F97),COUNTIF(F98:F100,F97))=5,6,IF(SUM(COUNTIF(F95:F96,F97),COUNTIF(F99:F100,F97))=4,5,IF(SUM(COUNTIF(F95:F96,F97),COUNTIF(F100,F97))=3,4,IF(COUNTIF(F95:F96,F97)=2,3,IF(F96=F97,2,1)))))),
IF(COUNTIF(B92:B96,B97)=1,
INDEX('CFT Specific Data'!$G$24:$L$39,MATCH(F97,'CFT Specific Data'!$F$24:$F$39,0),IF(SUM(COUNTIF(F96,F97),COUNTIF(F98:F101,F97))=5,6,IF(SUM(COUNTIF(F96,F97),COUNTIF(F99:F101,F97))=4,5,IF(SUM(COUNTIF(F96,F97),COUNTIF(F100:F101,F97))=3,4,IF(SUM(COUNTIF(F96,F97),COUNTIF(F101,F97))=2,3,IF(F96=F97,2,1)))))),
IF(COUNTIF(B92:B96,B97)=0,
INDEX('CFT Specific Data'!$G$24:$L$39,MATCH(F97,'CFT Specific Data'!$F$24:$F$39,0),IF(COUNTIF(F98:F102,F97)=5,6,IF(COUNTIF(F99:F102,F97)=4,5,IF(COUNTIF(F100:F102,F97)=3,4,IF(COUNTIF(F101:F102,F97)=2,3,IF(F102=F97,2,1)))))))))))),1)</f>
        <v>61.92</v>
      </c>
      <c r="I97" s="210" t="s">
        <v>348</v>
      </c>
      <c r="J97">
        <v>10</v>
      </c>
      <c r="K97" s="210" t="str">
        <f>VLOOKUP(F97,'CFT Specific Data'!$F$4:$G$19,2,FALSE)</f>
        <v>Winter wheat</v>
      </c>
      <c r="L97" t="str">
        <f t="shared" si="8"/>
        <v>Coarse</v>
      </c>
      <c r="M97">
        <f t="shared" si="9"/>
        <v>5.16</v>
      </c>
      <c r="N97" t="str">
        <f t="shared" si="10"/>
        <v>1.72 &lt; SOM &lt;= 5.16</v>
      </c>
      <c r="O97" t="s">
        <v>349</v>
      </c>
      <c r="P97" t="s">
        <v>350</v>
      </c>
      <c r="Q97">
        <v>7</v>
      </c>
      <c r="R97" t="str">
        <f t="shared" si="6"/>
        <v>5.5 &lt; pH &lt;= 7.3</v>
      </c>
      <c r="S97" t="s">
        <v>351</v>
      </c>
      <c r="T97" s="210">
        <f t="array" ref="T97">_xlfn.SINGLE(INDEX('Focus Data NFertiliser Rate'!$D$4:$P$19,MATCH(F97,'Focus Data NFertiliser Rate'!$C$4:$C$19,0),_xlfn.SINGLE(_xlfn.IFS(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220</v>
      </c>
      <c r="U97" t="str">
        <f t="shared" si="11"/>
        <v>Apply in solution</v>
      </c>
      <c r="V97" s="210">
        <f t="array" ref="V97">_xlfn.SINGLE(INDEX('№ Fertiliser sprayings'!$D$4:$P$19,MATCH(F97,'№ Fertiliser sprayings'!$C$4:$C$19,0),_xlfn.SINGLE(_xlfn.IFS(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3</v>
      </c>
      <c r="W97" s="264">
        <f t="array" ref="W97">_xlfn.SINGLE(INDEX('Focus Data CFT NSpraying'!$D$4:$P$19,MATCH(F97,'Focus Data CFT NSpraying'!$C$4:$C$19,0),_xlfn.SINGLE(_xlfn.IFS(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17.876000000000001</v>
      </c>
      <c r="X97" t="s">
        <v>363</v>
      </c>
      <c r="Y97">
        <v>0</v>
      </c>
      <c r="Z97">
        <v>100</v>
      </c>
      <c r="AA97" t="s">
        <v>352</v>
      </c>
      <c r="AB97" s="226" t="str">
        <f>IF(B97=B96,_xlfn.IFS(
AND(AA97=Lists!$L$8,AA96=Lists!$L$8),Lists!$N$5,
AND(OR(AA97=Lists!$L$5,AA97=Lists!$L$7,AA97=Lists!$L$9,AA97=Lists!$L$10,AA97=Lists!$L$6),OR(AA96=Lists!$L$5,AA96=Lists!$L$7,AA96=Lists!$L$9,AA96=Lists!$L$10,AA96=Lists!$L$6)),Lists!$N$5,
AND(AA97=Lists!$L$8,OR(AA96=Lists!$L$5,AA96=Lists!$L$7,AA96=Lists!$L$9,AA96=Lists!$L$10,AA96=Lists!$L$6)),Lists!$N$6,
AND(OR(AA97=Lists!$L$5,AA97=Lists!$L$6,AA97=Lists!$L$7,AA97=Lists!$L$9,AA97=Lists!$L$10),AA96=Lists!$L$8),Lists!$N$7),
_xlfn.IFS(
AND(AA97=Lists!$L$8,AA102=Lists!$L$8),Lists!$N$5,
AND(OR(AA97=Lists!$L$5,AA97=Lists!$L$7,AA97=Lists!$L$9,AA97=Lists!$L$10,AA97=Lists!$L$6),OR(AA102=Lists!$L$5,AA102=Lists!$L$7,AA102=Lists!$L$9,AA102=Lists!$L$10,AA102=Lists!$L$6)),Lists!$N$5,
AND(AA97=Lists!$L$8,OR(AA102=Lists!$L$5,AA102=Lists!$L$7,AA102=Lists!$L$9,AA102=Lists!$L$10,AA102=Lists!$L$6)),Lists!$N$6,
AND(OR(AA97=Lists!$L$5,AA97=Lists!$L$7,AA97=Lists!$L$9,AA97=Lists!$L$10),AA102=Lists!$L$8),Lists!$N$7))</f>
        <v>no change</v>
      </c>
      <c r="AC97">
        <v>0</v>
      </c>
      <c r="AD97">
        <v>0</v>
      </c>
      <c r="AE97" s="102">
        <f t="array" ref="AE97">IF(OR(ISNUMBER(SEARCH("heavy",A97))=TRUE, ISNUMBER(SEARCH("medium",A97))=TRUE),
(LEN(_xlfn.SINGLE(
INDEX('Focus Data Tillage by farm'!$D$4:$P$9,MATCH(D97,'Focus Data Tillage by farm'!$C$4:$C$9,0),_xlfn.SINGLE(_xlfn.IFS(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-LEN(SUBSTITUTE(_xlfn.SINGLE(
INDEX('Focus Data Tillage by farm'!$D$4:$P$9,MATCH(D97,'Focus Data Tillage by farm'!$C$4:$C$9,0),_xlfn.SINGLE(_xlfn.IFS(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"disc","")))/LEN("disc"),
(LEN(_xlfn.SINGLE(
INDEX('Focus Data Tillage by farm'!$D$12:$P$17,MATCH(D97,'Focus Data Tillage by farm'!$C$12:$C$17,0),_xlfn.SINGLE(_xlfn.IFS(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-LEN(SUBSTITUTE(_xlfn.SINGLE(
INDEX('Focus Data Tillage by farm'!$D$12:$P$17,MATCH(D97,'Focus Data Tillage by farm'!$C$12:$C$17,0),_xlfn.SINGLE(_xlfn.IFS(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"disc","")))/LEN("disc"))</f>
        <v>1</v>
      </c>
      <c r="AF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"field cultivator","")))/LEN("field cultivator"),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"field cultivator","")))/LEN("field cultivator"))</f>
        <v>0</v>
      </c>
      <c r="AG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"grain drill","")))/LEN("grain drill"),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"grain drill","")))/LEN("grain drill"))</f>
        <v>1</v>
      </c>
      <c r="AH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"minimum tillage","")))/LEN("minimum tillage"),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"minimum tillage","")))/LEN("minimum tillage"))</f>
        <v>0</v>
      </c>
      <c r="AI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"row crop planter","")))/LEN("row crop planter"),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"row crop planter","")))/LEN("row crop planter"))</f>
        <v>0</v>
      </c>
      <c r="AJ97" s="102">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"plough","")))/LEN("plough"),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"plough","")))/LEN("plough"))</f>
        <v>1</v>
      </c>
      <c r="AK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harrow","")))/LEN("roller harrow"),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harrow","")))/LEN("roller harrow"))</f>
        <v>1</v>
      </c>
      <c r="AL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packer","")))/LEN("roller packer"),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"roller packer","")))/LEN("roller packer"))</f>
        <v>1</v>
      </c>
      <c r="AM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"rotary hoe","")))/LEN("rotary hoe"),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"rotary hoe","")))/LEN("rotary hoe"))</f>
        <v>0</v>
      </c>
      <c r="AN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"subsoil","")))/LEN("subsoil"),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"subsoil","")))/LEN("subsoil"))</f>
        <v>0</v>
      </c>
      <c r="AO97">
        <f>IF(OR(ISNUMBER(SEARCH("heavy",A97))=TRUE, ISNUMBER(SEARCH("medium",A97))=TRUE),
(LEN(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farm'!$D$4:$P$9,MATCH(D97,'Focus Data Tillage by farm'!$C$4:$C$9,0),_xlfn.IFS(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"tine harrow","")))/LEN("tine harrow"),
(LEN(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-LEN(SUBSTITUTE(
INDEX('Focus Data Tillage by farm'!$D$12:$P$17,MATCH(D97,'Focus Data Tillage by farm'!$C$12:$C$17,0),_xlfn.IFS(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
"tine harrow","")))/LEN("tine harrow"))</f>
        <v>0</v>
      </c>
      <c r="AP97" s="102">
        <f>INDEX('Focus Data NSpraying'!$D$4:$P$19,MATCH(F97,'Focus Data NSpraying'!$C$4:$C$19,0),_xlfn.IFS(
AND(ISNUMBER(SEARCH("H-Dsty.",A97))=TRUE,ISNUMBER(SEARCH("H-Res",A97))=TRUE,ISNUMBER(SEARCH("E.",A97))=TRUE),1,
AND(ISNUMBER(SEARCH("H-Dsty.",A97))=TRUE,ISNUMBER(SEARCH("H-Res",A97))=TRUE,OR(ISNUMBER(SEARCH("N.he",A97))=TRUE,ISNUMBER(SEARCH("N.me",A97))=TRUE,ISNUMBER(SEARCH("N.li",A97))=TRUE)),2,
AND(ISNUMBER(SEARCH("H-Dsty.",A97))=TRUE,ISNUMBER(SEARCH("H-Res",A97))=TRUE,ISNUMBER(SEARCH("C.",A97))=TRUE),3,
AND(ISNUMBER(SEARCH("L-Dsty.",A97))=TRUE,ISNUMBER(SEARCH("H-Res",A97))=TRUE,ISNUMBER(SEARCH("E.",A97))=TRUE),6,
AND(ISNUMBER(SEARCH("L-Dsty.",A97))=TRUE,ISNUMBER(SEARCH("H-Res",A97))=TRUE,OR(ISNUMBER(SEARCH("N.he",A97))=TRUE,ISNUMBER(SEARCH("N.me",A97))=TRUE,ISNUMBER(SEARCH("N.li",A97))=TRUE)),7,
AND(ISNUMBER(SEARCH("L-Dsty.",A97))=TRUE,ISNUMBER(SEARCH("H-Res",A97))=TRUE,ISNUMBER(SEARCH("C.",A97))=TRUE),8,
AND(ISNUMBER(SEARCH("L-Dsty.",A97))=TRUE,ISNUMBER(SEARCH("L-Res",A97))=TRUE,ISNUMBER(SEARCH("E.",A97))=TRUE),11,
AND(ISNUMBER(SEARCH("L-Dsty.",A97))=TRUE,ISNUMBER(SEARCH("L-Res",A97))=TRUE,OR(ISNUMBER(SEARCH("N.he",A97))=TRUE,ISNUMBER(SEARCH("N.me",A97))=TRUE,ISNUMBER(SEARCH("N.li",A97))=TRUE)),12,
AND(ISNUMBER(SEARCH("L-Dsty.",A97))=TRUE,ISNUMBER(SEARCH("L-Res",A97))=TRUE,ISNUMBER(SEARCH("C.",A97))=TRUE),13))</f>
        <v>6</v>
      </c>
    </row>
    <row r="98" spans="1:42" x14ac:dyDescent="0.2">
      <c r="A98" t="s">
        <v>509</v>
      </c>
      <c r="B98" s="210" t="str">
        <f t="array" ref="B98">INDEX(ECOMOD_input_estimate!$A$2:$A$55, MATCH(CFT_input!$A98, ECOMOD_input_estimate!$B:$B, 0))</f>
        <v>FF_12.2</v>
      </c>
      <c r="C98" s="210">
        <v>2020</v>
      </c>
      <c r="D98" s="395" t="s">
        <v>731</v>
      </c>
      <c r="E98" s="210" t="str">
        <f t="shared" si="7"/>
        <v>E.light.L-Dsty.H-Res</v>
      </c>
      <c r="F98" s="210" t="str">
        <f t="array" ref="F98">_xlfn.SINGLE(IF(OR(ISNUMBER(SEARCH("heavy",A98))=TRUE,ISNUMBER(SEARCH("medium",A98))=TRUE),
INDEX('Focus Data Crop Rotations'!$D$4:$P$9,MATCH(D98,'Focus Data Crop Rotations'!$C$4:$C$9,0),_xlfn.SINGLE(_xlfn.IFS(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INDEX('Focus Data Crop Rotations'!$D$12:$P$17,MATCH(D98,'Focus Data Crop Rotations'!$C$12:$C$17,0),_xlfn.SINGLE(_xlfn.IFS(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winterwheat</v>
      </c>
      <c r="G98">
        <v>7.2</v>
      </c>
      <c r="H98" s="227">
        <f>VLOOKUP(F98,'CFT Specific Data'!$F$4:$H$19,3,FALSE)*G98*
IF(B98=B97,
IF(AND(ISNUMBER(SEARCH("wheat",F98))=TRUE,ISNUMBER(SEARCH("Barley",F97))=TRUE),0.89,
IF(AND(ISNUMBER(SEARCH("wheat",F98))=TRUE,F97="setaside"),0.94,
IF(AND(ISNUMBER(SEARCH("barley",F98))=TRUE,ISNUMBER(SEARCH("wheat",F97))=TRUE),0.89,
IF(AND(F98="winterbarley",F97="setaside"),0.94,
IF(AND(F98="sugarbeet",F97="warepotatoes"),0.95,
IF(AND((OR(ISNUMBER(SEARCH("beans",F98)),ISNUMBER(SEARCH("driedpeas",F98)),ISNUMBER(SEARCH("sugarbeet",F98)))=TRUE),ISNUMBER(SEARCH("osr",F97))=TRUE),0,
IF(AND((OR((ISNUMBER(SEARCH("wheat",F98))),ISNUMBER(SEARCH("linseed",F98)),ISNUMBER(SEARCH("driedpeas",F98)),ISNUMBER(SEARCH("osr",F98)))=TRUE),F97="sugarbeet"),0,
IF(AND((OR((ISNUMBER(SEARCH("osr",F98))),ISNUMBER(SEARCH("linseed",F98)))=TRUE),ISNUMBER(SEARCH("beans",F97))=TRUE),0,
IF(AND(F98="wosr",ISNUMBER(SEARCH("linseed",F97))=TRUE),0,
IF(AND(F98="sugarbeet",F97="warepotatoes"),0,
1)))))))))),
IF(AND(ISNUMBER(SEARCH("wheat",F98))=TRUE,ISNUMBER(SEARCH("Barley",F103))=TRUE),0.89,
IF(AND(ISNUMBER(SEARCH("wheat",F98))=TRUE,F103="setaside"),0.94,
IF(AND(ISNUMBER(SEARCH("barley",F98))=TRUE,ISNUMBER(SEARCH("wheat",F103))=TRUE),0.89,
IF(AND(F98="winterbarley",F103="setaside"),0.94,
IF(AND(F98="sugarbeet",F103="warepotatoes"),0.95,
IF(AND((OR(ISNUMBER(SEARCH("beans",F98)),ISNUMBER(SEARCH("driedpeas",F98)),ISNUMBER(SEARCH("sugarbeet",F98)))=TRUE),ISNUMBER(SEARCH("osr",F103))=TRUE),0,
IF(AND((OR((ISNUMBER(SEARCH("wheat",F98))),ISNUMBER(SEARCH("linseed",F98)),ISNUMBER(SEARCH("driedpeas",F98)),ISNUMBER(SEARCH("osr",F98)))=TRUE),F103="sugarbeet"),0,
IF(AND((OR((ISNUMBER(SEARCH("osr",F98))),ISNUMBER(SEARCH("linseed",F98)))=TRUE),ISNUMBER(SEARCH("beans",F103))=TRUE),0,
IF(AND(F98="wosr",ISNUMBER(SEARCH("linseed",F103))=TRUE),0,
IF(AND(F98="sugarbeet",F103="warepotatoes"),0,
1)))))))))))
*IF(OR(ISNUMBER(SEARCH("wheat",F98)),ISNUMBER(SEARCH("barley",F98)),ISNUMBER(SEARCH("driedpeas",F98)),ISNUMBER(SEARCH("warepotatoes",F98)),ISNUMBER(SEARCH("osr",F98)),ISNUMBER(SEARCH("linseed",F98)),ISNUMBER(SEARCH("sugarbeet",F98))),
IF(COUNTIF(B93:B97,B98)=5,
INDEX('CFT Specific Data'!$G$24:$L$39,MATCH(F98,'CFT Specific Data'!$F$24:$F$39,0),IF(COUNTIF(F93:F97,F98)=5,6,IF(COUNTIF(F94:F97,F98)=4,5,IF(COUNTIF(F95:F97,F98)=3,4,IF(COUNTIF(F96:F97,F98)=2,3,IF(F97=F98,2,1)))))),
IF(COUNTIF(B93:B97,B98)=4,
INDEX('CFT Specific Data'!$G$24:$L$39,MATCH(F98,'CFT Specific Data'!$F$24:$F$39,0),IF(SUM(COUNTIF(F94:F97,F98),COUNTIF(F99,F98))=5,6,IF(COUNTIF(F94:F97,F98)=4,5,IF(COUNTIF(F95:F97,F98)=3,4,IF(COUNTIF(F96:F97,F98)=2,3,IF(F97=F98,2,1)))))),
IF(COUNTIF(B93:B97,B98)=3,
INDEX('CFT Specific Data'!$G$24:$L$39,MATCH(F98,'CFT Specific Data'!$F$24:$F$39,0),IF(SUM(COUNTIF(F95:F97,F98),COUNTIF(F99:F100,F98))=5,6,IF(SUM(COUNTIF(F95:F97,F98),COUNTIF(F100,F98))=4,5,IF(COUNTIF(F95:F97,F98)=3,4,IF(COUNTIF(F96:F97,F98)=2,3,IF(F97=F98,2,1)))))),
IF(COUNTIF(B93:B97,B98)=2,
INDEX('CFT Specific Data'!$G$24:$L$39,MATCH(F98,'CFT Specific Data'!$F$24:$F$39,0),IF(SUM(COUNTIF(F96:F97,F98),COUNTIF(F99:F101,F98))=5,6,IF(SUM(COUNTIF(F96:F97,F98),COUNTIF(F100:F101,F98))=4,5,IF(SUM(COUNTIF(F96:F97,F98),COUNTIF(F101,F98))=3,4,IF(COUNTIF(F96:F97,F98)=2,3,IF(F97=F98,2,1)))))),
IF(COUNTIF(B93:B97,B98)=1,
INDEX('CFT Specific Data'!$G$24:$L$39,MATCH(F98,'CFT Specific Data'!$F$24:$F$39,0),IF(SUM(COUNTIF(F97,F98),COUNTIF(F99:F102,F98))=5,6,IF(SUM(COUNTIF(F97,F98),COUNTIF(F100:F102,F98))=4,5,IF(SUM(COUNTIF(F97,F98),COUNTIF(F101:F102,F98))=3,4,IF(SUM(COUNTIF(F97,F98),COUNTIF(F102,F98))=2,3,IF(F97=F98,2,1)))))),
IF(COUNTIF(B93:B97,B98)=0,
INDEX('CFT Specific Data'!$G$24:$L$39,MATCH(F98,'CFT Specific Data'!$F$24:$F$39,0),IF(COUNTIF(F99:F103,F98)=5,6,IF(COUNTIF(F100:F103,F98)=4,5,IF(COUNTIF(F101:F103,F98)=3,4,IF(COUNTIF(F102:F103,F98)=2,3,IF(F103=F98,2,1)))))))))))),1)</f>
        <v>55.728000000000002</v>
      </c>
      <c r="I98" s="210" t="s">
        <v>348</v>
      </c>
      <c r="J98">
        <v>10</v>
      </c>
      <c r="K98" s="210" t="str">
        <f>VLOOKUP(F98,'CFT Specific Data'!$F$4:$G$19,2,FALSE)</f>
        <v>Winter wheat</v>
      </c>
      <c r="L98" t="str">
        <f t="shared" si="8"/>
        <v>Coarse</v>
      </c>
      <c r="M98">
        <f t="shared" si="9"/>
        <v>5.16</v>
      </c>
      <c r="N98" t="str">
        <f t="shared" si="10"/>
        <v>1.72 &lt; SOM &lt;= 5.16</v>
      </c>
      <c r="O98" t="s">
        <v>349</v>
      </c>
      <c r="P98" t="s">
        <v>350</v>
      </c>
      <c r="Q98">
        <v>7</v>
      </c>
      <c r="R98" t="str">
        <f t="shared" si="6"/>
        <v>5.5 &lt; pH &lt;= 7.3</v>
      </c>
      <c r="S98" t="s">
        <v>351</v>
      </c>
      <c r="T98" s="210">
        <f t="array" ref="T98">_xlfn.SINGLE(INDEX('Focus Data NFertiliser Rate'!$D$4:$P$19,MATCH(F98,'Focus Data NFertiliser Rate'!$C$4:$C$19,0),_xlfn.SINGLE(_xlfn.IFS(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240</v>
      </c>
      <c r="U98" t="str">
        <f t="shared" si="11"/>
        <v>Apply in solution</v>
      </c>
      <c r="V98" s="210">
        <f t="array" ref="V98">_xlfn.SINGLE(INDEX('№ Fertiliser sprayings'!$D$4:$P$19,MATCH(F98,'№ Fertiliser sprayings'!$C$4:$C$19,0),_xlfn.SINGLE(_xlfn.IFS(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3</v>
      </c>
      <c r="W98" s="264">
        <f t="array" ref="W98">_xlfn.SINGLE(INDEX('Focus Data CFT NSpraying'!$D$4:$P$19,MATCH(F98,'Focus Data CFT NSpraying'!$C$4:$C$19,0),_xlfn.SINGLE(_xlfn.IFS(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13.135999999999999</v>
      </c>
      <c r="X98" t="s">
        <v>363</v>
      </c>
      <c r="Y98">
        <v>0</v>
      </c>
      <c r="Z98">
        <v>100</v>
      </c>
      <c r="AA98" t="s">
        <v>352</v>
      </c>
      <c r="AB98" s="226" t="str">
        <f>IF(B98=B97,_xlfn.IFS(
AND(AA98=Lists!$L$8,AA97=Lists!$L$8),Lists!$N$5,
AND(OR(AA98=Lists!$L$5,AA98=Lists!$L$7,AA98=Lists!$L$9,AA98=Lists!$L$10,AA98=Lists!$L$6),OR(AA97=Lists!$L$5,AA97=Lists!$L$7,AA97=Lists!$L$9,AA97=Lists!$L$10,AA97=Lists!$L$6)),Lists!$N$5,
AND(AA98=Lists!$L$8,OR(AA97=Lists!$L$5,AA97=Lists!$L$7,AA97=Lists!$L$9,AA97=Lists!$L$10,AA97=Lists!$L$6)),Lists!$N$6,
AND(OR(AA98=Lists!$L$5,AA98=Lists!$L$6,AA98=Lists!$L$7,AA98=Lists!$L$9,AA98=Lists!$L$10),AA97=Lists!$L$8),Lists!$N$7),
_xlfn.IFS(
AND(AA98=Lists!$L$8,AA103=Lists!$L$8),Lists!$N$5,
AND(OR(AA98=Lists!$L$5,AA98=Lists!$L$7,AA98=Lists!$L$9,AA98=Lists!$L$10,AA98=Lists!$L$6),OR(AA103=Lists!$L$5,AA103=Lists!$L$7,AA103=Lists!$L$9,AA103=Lists!$L$10,AA103=Lists!$L$6)),Lists!$N$5,
AND(AA98=Lists!$L$8,OR(AA103=Lists!$L$5,AA103=Lists!$L$7,AA103=Lists!$L$9,AA103=Lists!$L$10,AA103=Lists!$L$6)),Lists!$N$6,
AND(OR(AA98=Lists!$L$5,AA98=Lists!$L$7,AA98=Lists!$L$9,AA98=Lists!$L$10),AA103=Lists!$L$8),Lists!$N$7))</f>
        <v>no change</v>
      </c>
      <c r="AC98">
        <v>0</v>
      </c>
      <c r="AD98">
        <v>0</v>
      </c>
      <c r="AE98" s="102">
        <f t="array" ref="AE98">IF(OR(ISNUMBER(SEARCH("heavy",A98))=TRUE, ISNUMBER(SEARCH("medium",A98))=TRUE),
(LEN(_xlfn.SINGLE(
INDEX('Focus Data Tillage by farm'!$D$4:$P$9,MATCH(D98,'Focus Data Tillage by farm'!$C$4:$C$9,0),_xlfn.SINGLE(_xlfn.IFS(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-LEN(SUBSTITUTE(_xlfn.SINGLE(
INDEX('Focus Data Tillage by farm'!$D$4:$P$9,MATCH(D98,'Focus Data Tillage by farm'!$C$4:$C$9,0),_xlfn.SINGLE(_xlfn.IFS(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"disc","")))/LEN("disc"),
(LEN(_xlfn.SINGLE(
INDEX('Focus Data Tillage by farm'!$D$12:$P$17,MATCH(D98,'Focus Data Tillage by farm'!$C$12:$C$17,0),_xlfn.SINGLE(_xlfn.IFS(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-LEN(SUBSTITUTE(_xlfn.SINGLE(
INDEX('Focus Data Tillage by farm'!$D$12:$P$17,MATCH(D98,'Focus Data Tillage by farm'!$C$12:$C$17,0),_xlfn.SINGLE(_xlfn.IFS(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"disc","")))/LEN("disc"))</f>
        <v>2</v>
      </c>
      <c r="AF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"field cultivator","")))/LEN("field cultivator"),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"field cultivator","")))/LEN("field cultivator"))</f>
        <v>0</v>
      </c>
      <c r="AG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"grain drill","")))/LEN("grain drill"),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"grain drill","")))/LEN("grain drill"))</f>
        <v>0</v>
      </c>
      <c r="AH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"minimum tillage","")))/LEN("minimum tillage"),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"minimum tillage","")))/LEN("minimum tillage"))</f>
        <v>1</v>
      </c>
      <c r="AI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"row crop planter","")))/LEN("row crop planter"),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"row crop planter","")))/LEN("row crop planter"))</f>
        <v>0</v>
      </c>
      <c r="AJ98" s="102">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"plough","")))/LEN("plough"),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"plough","")))/LEN("plough"))</f>
        <v>0</v>
      </c>
      <c r="AK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harrow","")))/LEN("roller harrow"),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harrow","")))/LEN("roller harrow"))</f>
        <v>0</v>
      </c>
      <c r="AL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packer","")))/LEN("roller packer"),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"roller packer","")))/LEN("roller packer"))</f>
        <v>2</v>
      </c>
      <c r="AM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"rotary hoe","")))/LEN("rotary hoe"),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"rotary hoe","")))/LEN("rotary hoe"))</f>
        <v>0</v>
      </c>
      <c r="AN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"subsoil","")))/LEN("subsoil"),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"subsoil","")))/LEN("subsoil"))</f>
        <v>0</v>
      </c>
      <c r="AO98">
        <f>IF(OR(ISNUMBER(SEARCH("heavy",A98))=TRUE, ISNUMBER(SEARCH("medium",A98))=TRUE),
(LEN(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farm'!$D$4:$P$9,MATCH(D98,'Focus Data Tillage by farm'!$C$4:$C$9,0),_xlfn.IFS(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"tine harrow","")))/LEN("tine harrow"),
(LEN(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-LEN(SUBSTITUTE(
INDEX('Focus Data Tillage by farm'!$D$12:$P$17,MATCH(D98,'Focus Data Tillage by farm'!$C$12:$C$17,0),_xlfn.IFS(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
"tine harrow","")))/LEN("tine harrow"))</f>
        <v>0</v>
      </c>
      <c r="AP98" s="102">
        <f>INDEX('Focus Data NSpraying'!$D$4:$P$19,MATCH(F98,'Focus Data NSpraying'!$C$4:$C$19,0),_xlfn.IFS(
AND(ISNUMBER(SEARCH("H-Dsty.",A98))=TRUE,ISNUMBER(SEARCH("H-Res",A98))=TRUE,ISNUMBER(SEARCH("E.",A98))=TRUE),1,
AND(ISNUMBER(SEARCH("H-Dsty.",A98))=TRUE,ISNUMBER(SEARCH("H-Res",A98))=TRUE,OR(ISNUMBER(SEARCH("N.he",A98))=TRUE,ISNUMBER(SEARCH("N.me",A98))=TRUE,ISNUMBER(SEARCH("N.li",A98))=TRUE)),2,
AND(ISNUMBER(SEARCH("H-Dsty.",A98))=TRUE,ISNUMBER(SEARCH("H-Res",A98))=TRUE,ISNUMBER(SEARCH("C.",A98))=TRUE),3,
AND(ISNUMBER(SEARCH("L-Dsty.",A98))=TRUE,ISNUMBER(SEARCH("H-Res",A98))=TRUE,ISNUMBER(SEARCH("E.",A98))=TRUE),6,
AND(ISNUMBER(SEARCH("L-Dsty.",A98))=TRUE,ISNUMBER(SEARCH("H-Res",A98))=TRUE,OR(ISNUMBER(SEARCH("N.he",A98))=TRUE,ISNUMBER(SEARCH("N.me",A98))=TRUE,ISNUMBER(SEARCH("N.li",A98))=TRUE)),7,
AND(ISNUMBER(SEARCH("L-Dsty.",A98))=TRUE,ISNUMBER(SEARCH("H-Res",A98))=TRUE,ISNUMBER(SEARCH("C.",A98))=TRUE),8,
AND(ISNUMBER(SEARCH("L-Dsty.",A98))=TRUE,ISNUMBER(SEARCH("L-Res",A98))=TRUE,ISNUMBER(SEARCH("E.",A98))=TRUE),11,
AND(ISNUMBER(SEARCH("L-Dsty.",A98))=TRUE,ISNUMBER(SEARCH("L-Res",A98))=TRUE,OR(ISNUMBER(SEARCH("N.he",A98))=TRUE,ISNUMBER(SEARCH("N.me",A98))=TRUE,ISNUMBER(SEARCH("N.li",A98))=TRUE)),12,
AND(ISNUMBER(SEARCH("L-Dsty.",A98))=TRUE,ISNUMBER(SEARCH("L-Res",A98))=TRUE,ISNUMBER(SEARCH("C.",A98))=TRUE),13))</f>
        <v>4</v>
      </c>
    </row>
    <row r="99" spans="1:42" x14ac:dyDescent="0.2">
      <c r="A99" t="s">
        <v>509</v>
      </c>
      <c r="B99" s="210" t="str">
        <f t="array" ref="B99">INDEX(ECOMOD_input_estimate!$A$2:$A$55, MATCH(CFT_input!$A99, ECOMOD_input_estimate!$B:$B, 0))</f>
        <v>FF_12.2</v>
      </c>
      <c r="C99" s="210">
        <v>2020</v>
      </c>
      <c r="D99" s="395" t="s">
        <v>730</v>
      </c>
      <c r="E99" s="210" t="str">
        <f t="shared" si="7"/>
        <v>E.light.L-Dsty.H-Res</v>
      </c>
      <c r="F99" s="210" t="str">
        <f t="array" ref="F99">_xlfn.SINGLE(IF(OR(ISNUMBER(SEARCH("heavy",A99))=TRUE,ISNUMBER(SEARCH("medium",A99))=TRUE),
INDEX('Focus Data Crop Rotations'!$D$4:$P$9,MATCH(D99,'Focus Data Crop Rotations'!$C$4:$C$9,0),_xlfn.SINGLE(_xlfn.IFS(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INDEX('Focus Data Crop Rotations'!$D$12:$P$17,MATCH(D99,'Focus Data Crop Rotations'!$C$12:$C$17,0),_xlfn.SINGLE(_xlfn.IFS(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driedpeas</v>
      </c>
      <c r="G99">
        <v>7.2</v>
      </c>
      <c r="H99" s="227">
        <f>VLOOKUP(F99,'CFT Specific Data'!$F$4:$H$19,3,FALSE)*G99*
IF(B99=B98,
IF(AND(ISNUMBER(SEARCH("wheat",F99))=TRUE,ISNUMBER(SEARCH("Barley",F98))=TRUE),0.89,
IF(AND(ISNUMBER(SEARCH("wheat",F99))=TRUE,F98="setaside"),0.94,
IF(AND(ISNUMBER(SEARCH("barley",F99))=TRUE,ISNUMBER(SEARCH("wheat",F98))=TRUE),0.89,
IF(AND(F99="winterbarley",F98="setaside"),0.94,
IF(AND(F99="sugarbeet",F98="warepotatoes"),0.95,
IF(AND((OR(ISNUMBER(SEARCH("beans",F99)),ISNUMBER(SEARCH("driedpeas",F99)),ISNUMBER(SEARCH("sugarbeet",F99)))=TRUE),ISNUMBER(SEARCH("osr",F98))=TRUE),0,
IF(AND((OR((ISNUMBER(SEARCH("wheat",F99))),ISNUMBER(SEARCH("linseed",F99)),ISNUMBER(SEARCH("driedpeas",F99)),ISNUMBER(SEARCH("osr",F99)))=TRUE),F98="sugarbeet"),0,
IF(AND((OR((ISNUMBER(SEARCH("osr",F99))),ISNUMBER(SEARCH("linseed",F99)))=TRUE),ISNUMBER(SEARCH("beans",F98))=TRUE),0,
IF(AND(F99="wosr",ISNUMBER(SEARCH("linseed",F98))=TRUE),0,
IF(AND(F99="sugarbeet",F98="warepotatoes"),0,
1)))))))))),
IF(AND(ISNUMBER(SEARCH("wheat",F99))=TRUE,ISNUMBER(SEARCH("Barley",F104))=TRUE),0.89,
IF(AND(ISNUMBER(SEARCH("wheat",F99))=TRUE,F104="setaside"),0.94,
IF(AND(ISNUMBER(SEARCH("barley",F99))=TRUE,ISNUMBER(SEARCH("wheat",F104))=TRUE),0.89,
IF(AND(F99="winterbarley",F104="setaside"),0.94,
IF(AND(F99="sugarbeet",F104="warepotatoes"),0.95,
IF(AND((OR(ISNUMBER(SEARCH("beans",F99)),ISNUMBER(SEARCH("driedpeas",F99)),ISNUMBER(SEARCH("sugarbeet",F99)))=TRUE),ISNUMBER(SEARCH("osr",F104))=TRUE),0,
IF(AND((OR((ISNUMBER(SEARCH("wheat",F99))),ISNUMBER(SEARCH("linseed",F99)),ISNUMBER(SEARCH("driedpeas",F99)),ISNUMBER(SEARCH("osr",F99)))=TRUE),F104="sugarbeet"),0,
IF(AND((OR((ISNUMBER(SEARCH("osr",F99))),ISNUMBER(SEARCH("linseed",F99)))=TRUE),ISNUMBER(SEARCH("beans",F104))=TRUE),0,
IF(AND(F99="wosr",ISNUMBER(SEARCH("linseed",F104))=TRUE),0,
IF(AND(F99="sugarbeet",F104="warepotatoes"),0,
1)))))))))))
*IF(OR(ISNUMBER(SEARCH("wheat",F99)),ISNUMBER(SEARCH("barley",F99)),ISNUMBER(SEARCH("driedpeas",F99)),ISNUMBER(SEARCH("warepotatoes",F99)),ISNUMBER(SEARCH("osr",F99)),ISNUMBER(SEARCH("linseed",F99)),ISNUMBER(SEARCH("sugarbeet",F99))),
IF(COUNTIF(B94:B98,B99)=5,
INDEX('CFT Specific Data'!$G$24:$L$39,MATCH(F99,'CFT Specific Data'!$F$24:$F$39,0),IF(COUNTIF(F94:F98,F99)=5,6,IF(COUNTIF(F95:F98,F99)=4,5,IF(COUNTIF(F96:F98,F99)=3,4,IF(COUNTIF(F97:F98,F99)=2,3,IF(F98=F99,2,1)))))),
IF(COUNTIF(B94:B98,B99)=4,
INDEX('CFT Specific Data'!$G$24:$L$39,MATCH(F99,'CFT Specific Data'!$F$24:$F$39,0),IF(SUM(COUNTIF(F95:F98,F99),COUNTIF(F100,F99))=5,6,IF(COUNTIF(F95:F98,F99)=4,5,IF(COUNTIF(F96:F98,F99)=3,4,IF(COUNTIF(F97:F98,F99)=2,3,IF(F98=F99,2,1)))))),
IF(COUNTIF(B94:B98,B99)=3,
INDEX('CFT Specific Data'!$G$24:$L$39,MATCH(F99,'CFT Specific Data'!$F$24:$F$39,0),IF(SUM(COUNTIF(F96:F98,F99),COUNTIF(F100:F101,F99))=5,6,IF(SUM(COUNTIF(F96:F98,F99),COUNTIF(F101,F99))=4,5,IF(COUNTIF(F96:F98,F99)=3,4,IF(COUNTIF(F97:F98,F99)=2,3,IF(F98=F99,2,1)))))),
IF(COUNTIF(B94:B98,B99)=2,
INDEX('CFT Specific Data'!$G$24:$L$39,MATCH(F99,'CFT Specific Data'!$F$24:$F$39,0),IF(SUM(COUNTIF(F97:F98,F99),COUNTIF(F100:F102,F99))=5,6,IF(SUM(COUNTIF(F97:F98,F99),COUNTIF(F101:F102,F99))=4,5,IF(SUM(COUNTIF(F97:F98,F99),COUNTIF(F102,F99))=3,4,IF(COUNTIF(F97:F98,F99)=2,3,IF(F98=F99,2,1)))))),
IF(COUNTIF(B94:B98,B99)=1,
INDEX('CFT Specific Data'!$G$24:$L$39,MATCH(F99,'CFT Specific Data'!$F$24:$F$39,0),IF(SUM(COUNTIF(F98,F99),COUNTIF(F100:F103,F99))=5,6,IF(SUM(COUNTIF(F98,F99),COUNTIF(F101:F103,F99))=4,5,IF(SUM(COUNTIF(F98,F99),COUNTIF(F102:F103,F99))=3,4,IF(SUM(COUNTIF(F98,F99),COUNTIF(F103,F99))=2,3,IF(F98=F99,2,1)))))),
IF(COUNTIF(B94:B98,B99)=0,
INDEX('CFT Specific Data'!$G$24:$L$39,MATCH(F99,'CFT Specific Data'!$F$24:$F$39,0),IF(COUNTIF(F100:F104,F99)=5,6,IF(COUNTIF(F101:F104,F99)=4,5,IF(COUNTIF(F102:F104,F99)=3,4,IF(COUNTIF(F103:F104,F99)=2,3,IF(F104=F99,2,1)))))))))))),1)</f>
        <v>28.8</v>
      </c>
      <c r="I99" s="210" t="s">
        <v>348</v>
      </c>
      <c r="J99">
        <v>10</v>
      </c>
      <c r="K99" s="210" t="str">
        <f>VLOOKUP(F99,'CFT Specific Data'!$F$4:$G$19,2,FALSE)</f>
        <v>Other legume</v>
      </c>
      <c r="L99" t="str">
        <f t="shared" si="8"/>
        <v>Coarse</v>
      </c>
      <c r="M99">
        <f t="shared" si="9"/>
        <v>5.16</v>
      </c>
      <c r="N99" t="str">
        <f t="shared" si="10"/>
        <v>1.72 &lt; SOM &lt;= 5.16</v>
      </c>
      <c r="O99" t="s">
        <v>349</v>
      </c>
      <c r="P99" t="s">
        <v>350</v>
      </c>
      <c r="Q99">
        <v>7</v>
      </c>
      <c r="R99" t="str">
        <f t="shared" si="6"/>
        <v>5.5 &lt; pH &lt;= 7.3</v>
      </c>
      <c r="S99" t="s">
        <v>351</v>
      </c>
      <c r="T99" s="210">
        <f t="array" ref="T99">_xlfn.SINGLE(INDEX('Focus Data NFertiliser Rate'!$D$4:$P$19,MATCH(F99,'Focus Data NFertiliser Rate'!$C$4:$C$19,0),_xlfn.SINGLE(_xlfn.IFS(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0</v>
      </c>
      <c r="U99">
        <f t="shared" si="11"/>
        <v>0</v>
      </c>
      <c r="V99" s="210">
        <f t="array" ref="V99">_xlfn.SINGLE(INDEX('№ Fertiliser sprayings'!$D$4:$P$19,MATCH(F99,'№ Fertiliser sprayings'!$C$4:$C$19,0),_xlfn.SINGLE(_xlfn.IFS(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0</v>
      </c>
      <c r="W99" s="264">
        <f t="array" ref="W99">_xlfn.SINGLE(INDEX('Focus Data CFT NSpraying'!$D$4:$P$19,MATCH(F99,'Focus Data CFT NSpraying'!$C$4:$C$19,0),_xlfn.SINGLE(_xlfn.IFS(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8.3762999999999987</v>
      </c>
      <c r="X99" t="s">
        <v>363</v>
      </c>
      <c r="Y99">
        <v>0</v>
      </c>
      <c r="Z99">
        <v>100</v>
      </c>
      <c r="AA99" t="s">
        <v>352</v>
      </c>
      <c r="AB99" s="226" t="str">
        <f>IF(B99=B98,_xlfn.IFS(
AND(AA99=Lists!$L$8,AA98=Lists!$L$8),Lists!$N$5,
AND(OR(AA99=Lists!$L$5,AA99=Lists!$L$7,AA99=Lists!$L$9,AA99=Lists!$L$10,AA99=Lists!$L$6),OR(AA98=Lists!$L$5,AA98=Lists!$L$7,AA98=Lists!$L$9,AA98=Lists!$L$10,AA98=Lists!$L$6)),Lists!$N$5,
AND(AA99=Lists!$L$8,OR(AA98=Lists!$L$5,AA98=Lists!$L$7,AA98=Lists!$L$9,AA98=Lists!$L$10,AA98=Lists!$L$6)),Lists!$N$6,
AND(OR(AA99=Lists!$L$5,AA99=Lists!$L$6,AA99=Lists!$L$7,AA99=Lists!$L$9,AA99=Lists!$L$10),AA98=Lists!$L$8),Lists!$N$7),
_xlfn.IFS(
AND(AA99=Lists!$L$8,AA104=Lists!$L$8),Lists!$N$5,
AND(OR(AA99=Lists!$L$5,AA99=Lists!$L$7,AA99=Lists!$L$9,AA99=Lists!$L$10,AA99=Lists!$L$6),OR(AA104=Lists!$L$5,AA104=Lists!$L$7,AA104=Lists!$L$9,AA104=Lists!$L$10,AA104=Lists!$L$6)),Lists!$N$5,
AND(AA99=Lists!$L$8,OR(AA104=Lists!$L$5,AA104=Lists!$L$7,AA104=Lists!$L$9,AA104=Lists!$L$10,AA104=Lists!$L$6)),Lists!$N$6,
AND(OR(AA99=Lists!$L$5,AA99=Lists!$L$7,AA99=Lists!$L$9,AA99=Lists!$L$10),AA104=Lists!$L$8),Lists!$N$7))</f>
        <v>no change</v>
      </c>
      <c r="AC99">
        <v>0</v>
      </c>
      <c r="AD99">
        <v>0</v>
      </c>
      <c r="AE99" s="102">
        <f t="array" ref="AE99">IF(OR(ISNUMBER(SEARCH("heavy",A99))=TRUE, ISNUMBER(SEARCH("medium",A99))=TRUE),
(LEN(_xlfn.SINGLE(
INDEX('Focus Data Tillage by farm'!$D$4:$P$9,MATCH(D99,'Focus Data Tillage by farm'!$C$4:$C$9,0),_xlfn.SINGLE(_xlfn.IFS(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-LEN(SUBSTITUTE(_xlfn.SINGLE(
INDEX('Focus Data Tillage by farm'!$D$4:$P$9,MATCH(D99,'Focus Data Tillage by farm'!$C$4:$C$9,0),_xlfn.SINGLE(_xlfn.IFS(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"disc","")))/LEN("disc"),
(LEN(_xlfn.SINGLE(
INDEX('Focus Data Tillage by farm'!$D$12:$P$17,MATCH(D99,'Focus Data Tillage by farm'!$C$12:$C$17,0),_xlfn.SINGLE(_xlfn.IFS(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-LEN(SUBSTITUTE(_xlfn.SINGLE(
INDEX('Focus Data Tillage by farm'!$D$12:$P$17,MATCH(D99,'Focus Data Tillage by farm'!$C$12:$C$17,0),_xlfn.SINGLE(_xlfn.IFS(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"disc","")))/LEN("disc"))</f>
        <v>3</v>
      </c>
      <c r="AF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"field cultivator","")))/LEN("field cultivator"),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"field cultivator","")))/LEN("field cultivator"))</f>
        <v>0</v>
      </c>
      <c r="AG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"grain drill","")))/LEN("grain drill"),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"grain drill","")))/LEN("grain drill"))</f>
        <v>0</v>
      </c>
      <c r="AH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"minimum tillage","")))/LEN("minimum tillage"),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"minimum tillage","")))/LEN("minimum tillage"))</f>
        <v>1</v>
      </c>
      <c r="AI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"row crop planter","")))/LEN("row crop planter"),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"row crop planter","")))/LEN("row crop planter"))</f>
        <v>0</v>
      </c>
      <c r="AJ99" s="102">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"plough","")))/LEN("plough"),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"plough","")))/LEN("plough"))</f>
        <v>0</v>
      </c>
      <c r="AK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harrow","")))/LEN("roller harrow"),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harrow","")))/LEN("roller harrow"))</f>
        <v>0</v>
      </c>
      <c r="AL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packer","")))/LEN("roller packer"),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"roller packer","")))/LEN("roller packer"))</f>
        <v>2</v>
      </c>
      <c r="AM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"rotary hoe","")))/LEN("rotary hoe"),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"rotary hoe","")))/LEN("rotary hoe"))</f>
        <v>0</v>
      </c>
      <c r="AN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"subsoil","")))/LEN("subsoil"),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"subsoil","")))/LEN("subsoil"))</f>
        <v>1</v>
      </c>
      <c r="AO99">
        <f>IF(OR(ISNUMBER(SEARCH("heavy",A99))=TRUE, ISNUMBER(SEARCH("medium",A99))=TRUE),
(LEN(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farm'!$D$4:$P$9,MATCH(D99,'Focus Data Tillage by farm'!$C$4:$C$9,0),_xlfn.IFS(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"tine harrow","")))/LEN("tine harrow"),
(LEN(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-LEN(SUBSTITUTE(
INDEX('Focus Data Tillage by farm'!$D$12:$P$17,MATCH(D99,'Focus Data Tillage by farm'!$C$12:$C$17,0),_xlfn.IFS(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
"tine harrow","")))/LEN("tine harrow"))</f>
        <v>0</v>
      </c>
      <c r="AP99" s="102">
        <f>INDEX('Focus Data NSpraying'!$D$4:$P$19,MATCH(F99,'Focus Data NSpraying'!$C$4:$C$19,0),_xlfn.IFS(
AND(ISNUMBER(SEARCH("H-Dsty.",A99))=TRUE,ISNUMBER(SEARCH("H-Res",A99))=TRUE,ISNUMBER(SEARCH("E.",A99))=TRUE),1,
AND(ISNUMBER(SEARCH("H-Dsty.",A99))=TRUE,ISNUMBER(SEARCH("H-Res",A99))=TRUE,OR(ISNUMBER(SEARCH("N.he",A99))=TRUE,ISNUMBER(SEARCH("N.me",A99))=TRUE,ISNUMBER(SEARCH("N.li",A99))=TRUE)),2,
AND(ISNUMBER(SEARCH("H-Dsty.",A99))=TRUE,ISNUMBER(SEARCH("H-Res",A99))=TRUE,ISNUMBER(SEARCH("C.",A99))=TRUE),3,
AND(ISNUMBER(SEARCH("L-Dsty.",A99))=TRUE,ISNUMBER(SEARCH("H-Res",A99))=TRUE,ISNUMBER(SEARCH("E.",A99))=TRUE),6,
AND(ISNUMBER(SEARCH("L-Dsty.",A99))=TRUE,ISNUMBER(SEARCH("H-Res",A99))=TRUE,OR(ISNUMBER(SEARCH("N.he",A99))=TRUE,ISNUMBER(SEARCH("N.me",A99))=TRUE,ISNUMBER(SEARCH("N.li",A99))=TRUE)),7,
AND(ISNUMBER(SEARCH("L-Dsty.",A99))=TRUE,ISNUMBER(SEARCH("H-Res",A99))=TRUE,ISNUMBER(SEARCH("C.",A99))=TRUE),8,
AND(ISNUMBER(SEARCH("L-Dsty.",A99))=TRUE,ISNUMBER(SEARCH("L-Res",A99))=TRUE,ISNUMBER(SEARCH("E.",A99))=TRUE),11,
AND(ISNUMBER(SEARCH("L-Dsty.",A99))=TRUE,ISNUMBER(SEARCH("L-Res",A99))=TRUE,OR(ISNUMBER(SEARCH("N.he",A99))=TRUE,ISNUMBER(SEARCH("N.me",A99))=TRUE,ISNUMBER(SEARCH("N.li",A99))=TRUE)),12,
AND(ISNUMBER(SEARCH("L-Dsty.",A99))=TRUE,ISNUMBER(SEARCH("L-Res",A99))=TRUE,ISNUMBER(SEARCH("C.",A99))=TRUE),13))</f>
        <v>5</v>
      </c>
    </row>
    <row r="100" spans="1:42" x14ac:dyDescent="0.2">
      <c r="A100" t="s">
        <v>509</v>
      </c>
      <c r="B100" s="210" t="str">
        <f t="array" ref="B100">INDEX(ECOMOD_input_estimate!$A$2:$A$55, MATCH(CFT_input!$A100, ECOMOD_input_estimate!$B:$B, 0))</f>
        <v>FF_12.2</v>
      </c>
      <c r="C100" s="210">
        <v>2020</v>
      </c>
      <c r="D100" s="395" t="s">
        <v>1694</v>
      </c>
      <c r="E100" s="210" t="str">
        <f t="shared" si="7"/>
        <v>E.light.L-Dsty.H-Res</v>
      </c>
      <c r="F100" s="210" t="str">
        <f t="array" ref="F100">_xlfn.SINGLE(IF(OR(ISNUMBER(SEARCH("heavy",A100))=TRUE,ISNUMBER(SEARCH("medium",A100))=TRUE),
INDEX('Focus Data Crop Rotations'!$D$4:$P$9,MATCH(D100,'Focus Data Crop Rotations'!$C$4:$C$9,0),_xlfn.SINGLE(_xlfn.IFS(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INDEX('Focus Data Crop Rotations'!$D$12:$P$17,MATCH(D100,'Focus Data Crop Rotations'!$C$12:$C$17,0),_xlfn.SINGLE(_xlfn.IFS(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winterwheat</v>
      </c>
      <c r="G100">
        <v>7.2</v>
      </c>
      <c r="H100" s="227">
        <f>VLOOKUP(F100,'CFT Specific Data'!$F$4:$H$19,3,FALSE)*G100*
IF(B100=B99,
IF(AND(ISNUMBER(SEARCH("wheat",F100))=TRUE,ISNUMBER(SEARCH("Barley",F99))=TRUE),0.89,
IF(AND(ISNUMBER(SEARCH("wheat",F100))=TRUE,F99="setaside"),0.94,
IF(AND(ISNUMBER(SEARCH("barley",F100))=TRUE,ISNUMBER(SEARCH("wheat",F99))=TRUE),0.89,
IF(AND(F100="winterbarley",F99="setaside"),0.94,
IF(AND(F100="sugarbeet",F99="warepotatoes"),0.95,
IF(AND((OR(ISNUMBER(SEARCH("beans",F100)),ISNUMBER(SEARCH("driedpeas",F100)),ISNUMBER(SEARCH("sugarbeet",F100)))=TRUE),ISNUMBER(SEARCH("osr",F99))=TRUE),0,
IF(AND((OR((ISNUMBER(SEARCH("wheat",F100))),ISNUMBER(SEARCH("linseed",F100)),ISNUMBER(SEARCH("driedpeas",F100)),ISNUMBER(SEARCH("osr",F100)))=TRUE),F99="sugarbeet"),0,
IF(AND((OR((ISNUMBER(SEARCH("osr",F100))),ISNUMBER(SEARCH("linseed",F100)))=TRUE),ISNUMBER(SEARCH("beans",F99))=TRUE),0,
IF(AND(F100="wosr",ISNUMBER(SEARCH("linseed",F99))=TRUE),0,
IF(AND(F100="sugarbeet",F99="warepotatoes"),0,
1)))))))))),
IF(AND(ISNUMBER(SEARCH("wheat",F100))=TRUE,ISNUMBER(SEARCH("Barley",F105))=TRUE),0.89,
IF(AND(ISNUMBER(SEARCH("wheat",F100))=TRUE,F105="setaside"),0.94,
IF(AND(ISNUMBER(SEARCH("barley",F100))=TRUE,ISNUMBER(SEARCH("wheat",F105))=TRUE),0.89,
IF(AND(F100="winterbarley",F105="setaside"),0.94,
IF(AND(F100="sugarbeet",F105="warepotatoes"),0.95,
IF(AND((OR(ISNUMBER(SEARCH("beans",F100)),ISNUMBER(SEARCH("driedpeas",F100)),ISNUMBER(SEARCH("sugarbeet",F100)))=TRUE),ISNUMBER(SEARCH("osr",F105))=TRUE),0,
IF(AND((OR((ISNUMBER(SEARCH("wheat",F100))),ISNUMBER(SEARCH("linseed",F100)),ISNUMBER(SEARCH("driedpeas",F100)),ISNUMBER(SEARCH("osr",F100)))=TRUE),F105="sugarbeet"),0,
IF(AND((OR((ISNUMBER(SEARCH("osr",F100))),ISNUMBER(SEARCH("linseed",F100)))=TRUE),ISNUMBER(SEARCH("beans",F105))=TRUE),0,
IF(AND(F100="wosr",ISNUMBER(SEARCH("linseed",F105))=TRUE),0,
IF(AND(F100="sugarbeet",F105="warepotatoes"),0,
1)))))))))))
*IF(OR(ISNUMBER(SEARCH("wheat",F100)),ISNUMBER(SEARCH("barley",F100)),ISNUMBER(SEARCH("driedpeas",F100)),ISNUMBER(SEARCH("warepotatoes",F100)),ISNUMBER(SEARCH("osr",F100)),ISNUMBER(SEARCH("linseed",F100)),ISNUMBER(SEARCH("sugarbeet",F100))),
IF(COUNTIF(B95:B99,B100)=5,
INDEX('CFT Specific Data'!$G$24:$L$39,MATCH(F100,'CFT Specific Data'!$F$24:$F$39,0),IF(COUNTIF(F95:F99,F100)=5,6,IF(COUNTIF(F96:F99,F100)=4,5,IF(COUNTIF(F97:F99,F100)=3,4,IF(COUNTIF(F98:F99,F100)=2,3,IF(F99=F100,2,1)))))),
IF(COUNTIF(B95:B99,B100)=4,
INDEX('CFT Specific Data'!$G$24:$L$39,MATCH(F100,'CFT Specific Data'!$F$24:$F$39,0),IF(SUM(COUNTIF(F96:F99,F100),COUNTIF(F101,F100))=5,6,IF(COUNTIF(F96:F99,F100)=4,5,IF(COUNTIF(F97:F99,F100)=3,4,IF(COUNTIF(F98:F99,F100)=2,3,IF(F99=F100,2,1)))))),
IF(COUNTIF(B95:B99,B100)=3,
INDEX('CFT Specific Data'!$G$24:$L$39,MATCH(F100,'CFT Specific Data'!$F$24:$F$39,0),IF(SUM(COUNTIF(F97:F99,F100),COUNTIF(F101:F102,F100))=5,6,IF(SUM(COUNTIF(F97:F99,F100),COUNTIF(F102,F100))=4,5,IF(COUNTIF(F97:F99,F100)=3,4,IF(COUNTIF(F98:F99,F100)=2,3,IF(F99=F100,2,1)))))),
IF(COUNTIF(B95:B99,B100)=2,
INDEX('CFT Specific Data'!$G$24:$L$39,MATCH(F100,'CFT Specific Data'!$F$24:$F$39,0),IF(SUM(COUNTIF(F98:F99,F100),COUNTIF(F101:F103,F100))=5,6,IF(SUM(COUNTIF(F98:F99,F100),COUNTIF(F102:F103,F100))=4,5,IF(SUM(COUNTIF(F98:F99,F100),COUNTIF(F103,F100))=3,4,IF(COUNTIF(F98:F99,F100)=2,3,IF(F99=F100,2,1)))))),
IF(COUNTIF(B95:B99,B100)=1,
INDEX('CFT Specific Data'!$G$24:$L$39,MATCH(F100,'CFT Specific Data'!$F$24:$F$39,0),IF(SUM(COUNTIF(F99,F100),COUNTIF(F101:F104,F100))=5,6,IF(SUM(COUNTIF(F99,F100),COUNTIF(F102:F104,F100))=4,5,IF(SUM(COUNTIF(F99,F100),COUNTIF(F103:F104,F100))=3,4,IF(SUM(COUNTIF(F99,F100),COUNTIF(F104,F100))=2,3,IF(F99=F100,2,1)))))),
IF(COUNTIF(B95:B99,B100)=0,
INDEX('CFT Specific Data'!$G$24:$L$39,MATCH(F100,'CFT Specific Data'!$F$24:$F$39,0),IF(COUNTIF(F101:F105,F100)=5,6,IF(COUNTIF(F102:F105,F100)=4,5,IF(COUNTIF(F103:F105,F100)=3,4,IF(COUNTIF(F104:F105,F100)=2,3,IF(F105=F100,2,1)))))))))))),1)</f>
        <v>61.92</v>
      </c>
      <c r="I100" s="210" t="s">
        <v>348</v>
      </c>
      <c r="J100">
        <v>10</v>
      </c>
      <c r="K100" s="210" t="str">
        <f>VLOOKUP(F100,'CFT Specific Data'!$F$4:$G$19,2,FALSE)</f>
        <v>Winter wheat</v>
      </c>
      <c r="L100" t="str">
        <f t="shared" si="8"/>
        <v>Coarse</v>
      </c>
      <c r="M100">
        <f t="shared" si="9"/>
        <v>5.16</v>
      </c>
      <c r="N100" t="str">
        <f t="shared" si="10"/>
        <v>1.72 &lt; SOM &lt;= 5.16</v>
      </c>
      <c r="O100" t="s">
        <v>349</v>
      </c>
      <c r="P100" t="s">
        <v>350</v>
      </c>
      <c r="Q100">
        <v>7</v>
      </c>
      <c r="R100" t="str">
        <f t="shared" si="6"/>
        <v>5.5 &lt; pH &lt;= 7.3</v>
      </c>
      <c r="S100" t="s">
        <v>351</v>
      </c>
      <c r="T100" s="210">
        <f t="array" ref="T100">_xlfn.SINGLE(INDEX('Focus Data NFertiliser Rate'!$D$4:$P$19,MATCH(F100,'Focus Data NFertiliser Rate'!$C$4:$C$19,0),_xlfn.SINGLE(_xlfn.IFS(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240</v>
      </c>
      <c r="U100" t="str">
        <f t="shared" si="11"/>
        <v>Apply in solution</v>
      </c>
      <c r="V100" s="210">
        <f t="array" ref="V100">_xlfn.SINGLE(INDEX('№ Fertiliser sprayings'!$D$4:$P$19,MATCH(F100,'№ Fertiliser sprayings'!$C$4:$C$19,0),_xlfn.SINGLE(_xlfn.IFS(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3</v>
      </c>
      <c r="W100" s="264">
        <f t="array" ref="W100">_xlfn.SINGLE(INDEX('Focus Data CFT NSpraying'!$D$4:$P$19,MATCH(F100,'Focus Data CFT NSpraying'!$C$4:$C$19,0),_xlfn.SINGLE(_xlfn.IFS(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13.135999999999999</v>
      </c>
      <c r="X100" t="s">
        <v>363</v>
      </c>
      <c r="Y100">
        <v>0</v>
      </c>
      <c r="Z100">
        <v>100</v>
      </c>
      <c r="AA100" t="s">
        <v>352</v>
      </c>
      <c r="AB100" s="226" t="str">
        <f>IF(B100=B99,_xlfn.IFS(
AND(AA100=Lists!$L$8,AA99=Lists!$L$8),Lists!$N$5,
AND(OR(AA100=Lists!$L$5,AA100=Lists!$L$7,AA100=Lists!$L$9,AA100=Lists!$L$10,AA100=Lists!$L$6),OR(AA99=Lists!$L$5,AA99=Lists!$L$7,AA99=Lists!$L$9,AA99=Lists!$L$10,AA99=Lists!$L$6)),Lists!$N$5,
AND(AA100=Lists!$L$8,OR(AA99=Lists!$L$5,AA99=Lists!$L$7,AA99=Lists!$L$9,AA99=Lists!$L$10,AA99=Lists!$L$6)),Lists!$N$6,
AND(OR(AA100=Lists!$L$5,AA100=Lists!$L$6,AA100=Lists!$L$7,AA100=Lists!$L$9,AA100=Lists!$L$10),AA99=Lists!$L$8),Lists!$N$7),
_xlfn.IFS(
AND(AA100=Lists!$L$8,AA105=Lists!$L$8),Lists!$N$5,
AND(OR(AA100=Lists!$L$5,AA100=Lists!$L$7,AA100=Lists!$L$9,AA100=Lists!$L$10,AA100=Lists!$L$6),OR(AA105=Lists!$L$5,AA105=Lists!$L$7,AA105=Lists!$L$9,AA105=Lists!$L$10,AA105=Lists!$L$6)),Lists!$N$5,
AND(AA100=Lists!$L$8,OR(AA105=Lists!$L$5,AA105=Lists!$L$7,AA105=Lists!$L$9,AA105=Lists!$L$10,AA105=Lists!$L$6)),Lists!$N$6,
AND(OR(AA100=Lists!$L$5,AA100=Lists!$L$7,AA100=Lists!$L$9,AA100=Lists!$L$10),AA105=Lists!$L$8),Lists!$N$7))</f>
        <v>no change</v>
      </c>
      <c r="AC100">
        <v>0</v>
      </c>
      <c r="AD100">
        <v>0</v>
      </c>
      <c r="AE100" s="102">
        <f t="array" ref="AE100">IF(OR(ISNUMBER(SEARCH("heavy",A100))=TRUE, ISNUMBER(SEARCH("medium",A100))=TRUE),
(LEN(_xlfn.SINGLE(
INDEX('Focus Data Tillage by farm'!$D$4:$P$9,MATCH(D100,'Focus Data Tillage by farm'!$C$4:$C$9,0),_xlfn.SINGLE(_xlfn.IFS(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-LEN(SUBSTITUTE(_xlfn.SINGLE(
INDEX('Focus Data Tillage by farm'!$D$4:$P$9,MATCH(D100,'Focus Data Tillage by farm'!$C$4:$C$9,0),_xlfn.SINGLE(_xlfn.IFS(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"disc","")))/LEN("disc"),
(LEN(_xlfn.SINGLE(
INDEX('Focus Data Tillage by farm'!$D$12:$P$17,MATCH(D100,'Focus Data Tillage by farm'!$C$12:$C$17,0),_xlfn.SINGLE(_xlfn.IFS(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-LEN(SUBSTITUTE(_xlfn.SINGLE(
INDEX('Focus Data Tillage by farm'!$D$12:$P$17,MATCH(D100,'Focus Data Tillage by farm'!$C$12:$C$17,0),_xlfn.SINGLE(_xlfn.IFS(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"disc","")))/LEN("disc"))</f>
        <v>2</v>
      </c>
      <c r="AF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"field cultivator","")))/LEN("field cultivator"),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"field cultivator","")))/LEN("field cultivator"))</f>
        <v>0</v>
      </c>
      <c r="AG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"grain drill","")))/LEN("grain drill"),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"grain drill","")))/LEN("grain drill"))</f>
        <v>0</v>
      </c>
      <c r="AH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"minimum tillage","")))/LEN("minimum tillage"),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"minimum tillage","")))/LEN("minimum tillage"))</f>
        <v>1</v>
      </c>
      <c r="AI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"row crop planter","")))/LEN("row crop planter"),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"row crop planter","")))/LEN("row crop planter"))</f>
        <v>0</v>
      </c>
      <c r="AJ100" s="102">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"plough","")))/LEN("plough"),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"plough","")))/LEN("plough"))</f>
        <v>0</v>
      </c>
      <c r="AK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harrow","")))/LEN("roller harrow"),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harrow","")))/LEN("roller harrow"))</f>
        <v>0</v>
      </c>
      <c r="AL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packer","")))/LEN("roller packer"),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"roller packer","")))/LEN("roller packer"))</f>
        <v>2</v>
      </c>
      <c r="AM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"rotary hoe","")))/LEN("rotary hoe"),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"rotary hoe","")))/LEN("rotary hoe"))</f>
        <v>0</v>
      </c>
      <c r="AN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"subsoil","")))/LEN("subsoil"),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"subsoil","")))/LEN("subsoil"))</f>
        <v>0</v>
      </c>
      <c r="AO100">
        <f>IF(OR(ISNUMBER(SEARCH("heavy",A100))=TRUE, ISNUMBER(SEARCH("medium",A100))=TRUE),
(LEN(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farm'!$D$4:$P$9,MATCH(D100,'Focus Data Tillage by farm'!$C$4:$C$9,0),_xlfn.IFS(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"tine harrow","")))/LEN("tine harrow"),
(LEN(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-LEN(SUBSTITUTE(
INDEX('Focus Data Tillage by farm'!$D$12:$P$17,MATCH(D100,'Focus Data Tillage by farm'!$C$12:$C$17,0),_xlfn.IFS(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
"tine harrow","")))/LEN("tine harrow"))</f>
        <v>0</v>
      </c>
      <c r="AP100" s="102">
        <f>INDEX('Focus Data NSpraying'!$D$4:$P$19,MATCH(F100,'Focus Data NSpraying'!$C$4:$C$19,0),_xlfn.IFS(
AND(ISNUMBER(SEARCH("H-Dsty.",A100))=TRUE,ISNUMBER(SEARCH("H-Res",A100))=TRUE,ISNUMBER(SEARCH("E.",A100))=TRUE),1,
AND(ISNUMBER(SEARCH("H-Dsty.",A100))=TRUE,ISNUMBER(SEARCH("H-Res",A100))=TRUE,OR(ISNUMBER(SEARCH("N.he",A100))=TRUE,ISNUMBER(SEARCH("N.me",A100))=TRUE,ISNUMBER(SEARCH("N.li",A100))=TRUE)),2,
AND(ISNUMBER(SEARCH("H-Dsty.",A100))=TRUE,ISNUMBER(SEARCH("H-Res",A100))=TRUE,ISNUMBER(SEARCH("C.",A100))=TRUE),3,
AND(ISNUMBER(SEARCH("L-Dsty.",A100))=TRUE,ISNUMBER(SEARCH("H-Res",A100))=TRUE,ISNUMBER(SEARCH("E.",A100))=TRUE),6,
AND(ISNUMBER(SEARCH("L-Dsty.",A100))=TRUE,ISNUMBER(SEARCH("H-Res",A100))=TRUE,OR(ISNUMBER(SEARCH("N.he",A100))=TRUE,ISNUMBER(SEARCH("N.me",A100))=TRUE,ISNUMBER(SEARCH("N.li",A100))=TRUE)),7,
AND(ISNUMBER(SEARCH("L-Dsty.",A100))=TRUE,ISNUMBER(SEARCH("H-Res",A100))=TRUE,ISNUMBER(SEARCH("C.",A100))=TRUE),8,
AND(ISNUMBER(SEARCH("L-Dsty.",A100))=TRUE,ISNUMBER(SEARCH("L-Res",A100))=TRUE,ISNUMBER(SEARCH("E.",A100))=TRUE),11,
AND(ISNUMBER(SEARCH("L-Dsty.",A100))=TRUE,ISNUMBER(SEARCH("L-Res",A100))=TRUE,OR(ISNUMBER(SEARCH("N.he",A100))=TRUE,ISNUMBER(SEARCH("N.me",A100))=TRUE,ISNUMBER(SEARCH("N.li",A100))=TRUE)),12,
AND(ISNUMBER(SEARCH("L-Dsty.",A100))=TRUE,ISNUMBER(SEARCH("L-Res",A100))=TRUE,ISNUMBER(SEARCH("C.",A100))=TRUE),13))</f>
        <v>4</v>
      </c>
    </row>
    <row r="101" spans="1:42" x14ac:dyDescent="0.2">
      <c r="A101" t="s">
        <v>509</v>
      </c>
      <c r="B101" s="210" t="str">
        <f t="array" ref="B101">INDEX(ECOMOD_input_estimate!$A$2:$A$55, MATCH(CFT_input!$A101, ECOMOD_input_estimate!$B:$B, 0))</f>
        <v>FF_12.2</v>
      </c>
      <c r="C101" s="210">
        <v>2020</v>
      </c>
      <c r="D101" s="395" t="s">
        <v>1695</v>
      </c>
      <c r="E101" s="210" t="str">
        <f t="shared" si="7"/>
        <v>E.light.L-Dsty.H-Res</v>
      </c>
      <c r="F101" s="210" t="str">
        <f t="array" ref="F101">_xlfn.SINGLE(IF(OR(ISNUMBER(SEARCH("heavy",A101))=TRUE,ISNUMBER(SEARCH("medium",A101))=TRUE),
INDEX('Focus Data Crop Rotations'!$D$4:$P$9,MATCH(D101,'Focus Data Crop Rotations'!$C$4:$C$9,0),_xlfn.SINGLE(_xlfn.IFS(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INDEX('Focus Data Crop Rotations'!$D$12:$P$17,MATCH(D101,'Focus Data Crop Rotations'!$C$12:$C$17,0),_xlfn.SINGLE(_xlfn.IFS(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winterbarley</v>
      </c>
      <c r="G101">
        <v>7.2</v>
      </c>
      <c r="H101" s="227">
        <f>VLOOKUP(F101,'CFT Specific Data'!$F$4:$H$19,3,FALSE)*G101*
IF(B101=B100,
IF(AND(ISNUMBER(SEARCH("wheat",F101))=TRUE,ISNUMBER(SEARCH("Barley",F100))=TRUE),0.89,
IF(AND(ISNUMBER(SEARCH("wheat",F101))=TRUE,F100="setaside"),0.94,
IF(AND(ISNUMBER(SEARCH("barley",F101))=TRUE,ISNUMBER(SEARCH("wheat",F100))=TRUE),0.89,
IF(AND(F101="winterbarley",F100="setaside"),0.94,
IF(AND(F101="sugarbeet",F100="warepotatoes"),0.95,
IF(AND((OR(ISNUMBER(SEARCH("beans",F101)),ISNUMBER(SEARCH("driedpeas",F101)),ISNUMBER(SEARCH("sugarbeet",F101)))=TRUE),ISNUMBER(SEARCH("osr",F100))=TRUE),0,
IF(AND((OR((ISNUMBER(SEARCH("wheat",F101))),ISNUMBER(SEARCH("linseed",F101)),ISNUMBER(SEARCH("driedpeas",F101)),ISNUMBER(SEARCH("osr",F101)))=TRUE),F100="sugarbeet"),0,
IF(AND((OR((ISNUMBER(SEARCH("osr",F101))),ISNUMBER(SEARCH("linseed",F101)))=TRUE),ISNUMBER(SEARCH("beans",F100))=TRUE),0,
IF(AND(F101="wosr",ISNUMBER(SEARCH("linseed",F100))=TRUE),0,
IF(AND(F101="sugarbeet",F100="warepotatoes"),0,
1)))))))))),
IF(AND(ISNUMBER(SEARCH("wheat",F101))=TRUE,ISNUMBER(SEARCH("Barley",F106))=TRUE),0.89,
IF(AND(ISNUMBER(SEARCH("wheat",F101))=TRUE,F106="setaside"),0.94,
IF(AND(ISNUMBER(SEARCH("barley",F101))=TRUE,ISNUMBER(SEARCH("wheat",F106))=TRUE),0.89,
IF(AND(F101="winterbarley",F106="setaside"),0.94,
IF(AND(F101="sugarbeet",F106="warepotatoes"),0.95,
IF(AND((OR(ISNUMBER(SEARCH("beans",F101)),ISNUMBER(SEARCH("driedpeas",F101)),ISNUMBER(SEARCH("sugarbeet",F101)))=TRUE),ISNUMBER(SEARCH("osr",F106))=TRUE),0,
IF(AND((OR((ISNUMBER(SEARCH("wheat",F101))),ISNUMBER(SEARCH("linseed",F101)),ISNUMBER(SEARCH("driedpeas",F101)),ISNUMBER(SEARCH("osr",F101)))=TRUE),F106="sugarbeet"),0,
IF(AND((OR((ISNUMBER(SEARCH("osr",F101))),ISNUMBER(SEARCH("linseed",F101)))=TRUE),ISNUMBER(SEARCH("beans",F106))=TRUE),0,
IF(AND(F101="wosr",ISNUMBER(SEARCH("linseed",F106))=TRUE),0,
IF(AND(F101="sugarbeet",F106="warepotatoes"),0,
1)))))))))))
*IF(OR(ISNUMBER(SEARCH("wheat",F101)),ISNUMBER(SEARCH("barley",F101)),ISNUMBER(SEARCH("driedpeas",F101)),ISNUMBER(SEARCH("warepotatoes",F101)),ISNUMBER(SEARCH("osr",F101)),ISNUMBER(SEARCH("linseed",F101)),ISNUMBER(SEARCH("sugarbeet",F101))),
IF(COUNTIF(B96:B100,B101)=5,
INDEX('CFT Specific Data'!$G$24:$L$39,MATCH(F101,'CFT Specific Data'!$F$24:$F$39,0),IF(COUNTIF(F96:F100,F101)=5,6,IF(COUNTIF(F97:F100,F101)=4,5,IF(COUNTIF(F98:F100,F101)=3,4,IF(COUNTIF(F99:F100,F101)=2,3,IF(F100=F101,2,1)))))),
IF(COUNTIF(B96:B100,B101)=4,
INDEX('CFT Specific Data'!$G$24:$L$39,MATCH(F101,'CFT Specific Data'!$F$24:$F$39,0),IF(SUM(COUNTIF(F97:F100,F101),COUNTIF(F102,F101))=5,6,IF(COUNTIF(F97:F100,F101)=4,5,IF(COUNTIF(F98:F100,F101)=3,4,IF(COUNTIF(F99:F100,F101)=2,3,IF(F100=F101,2,1)))))),
IF(COUNTIF(B96:B100,B101)=3,
INDEX('CFT Specific Data'!$G$24:$L$39,MATCH(F101,'CFT Specific Data'!$F$24:$F$39,0),IF(SUM(COUNTIF(F98:F100,F101),COUNTIF(F102:F103,F101))=5,6,IF(SUM(COUNTIF(F98:F100,F101),COUNTIF(F103,F101))=4,5,IF(COUNTIF(F98:F100,F101)=3,4,IF(COUNTIF(F99:F100,F101)=2,3,IF(F100=F101,2,1)))))),
IF(COUNTIF(B96:B100,B101)=2,
INDEX('CFT Specific Data'!$G$24:$L$39,MATCH(F101,'CFT Specific Data'!$F$24:$F$39,0),IF(SUM(COUNTIF(F99:F100,F101),COUNTIF(F102:F104,F101))=5,6,IF(SUM(COUNTIF(F99:F100,F101),COUNTIF(F103:F104,F101))=4,5,IF(SUM(COUNTIF(F99:F100,F101),COUNTIF(F104,F101))=3,4,IF(COUNTIF(F99:F100,F101)=2,3,IF(F100=F101,2,1)))))),
IF(COUNTIF(B96:B100,B101)=1,
INDEX('CFT Specific Data'!$G$24:$L$39,MATCH(F101,'CFT Specific Data'!$F$24:$F$39,0),IF(SUM(COUNTIF(F100,F101),COUNTIF(F102:F105,F101))=5,6,IF(SUM(COUNTIF(F100,F101),COUNTIF(F103:F105,F101))=4,5,IF(SUM(COUNTIF(F100,F101),COUNTIF(F104:F105,F101))=3,4,IF(SUM(COUNTIF(F100,F101),COUNTIF(F105,F101))=2,3,IF(F100=F101,2,1)))))),
IF(COUNTIF(B96:B100,B101)=0,
INDEX('CFT Specific Data'!$G$24:$L$39,MATCH(F101,'CFT Specific Data'!$F$24:$F$39,0),IF(COUNTIF(F102:F106,F101)=5,6,IF(COUNTIF(F103:F106,F101)=4,5,IF(COUNTIF(F104:F106,F101)=3,4,IF(COUNTIF(F105:F106,F101)=2,3,IF(F106=F101,2,1)))))))))))),1)</f>
        <v>47.419200000000004</v>
      </c>
      <c r="I101" s="210" t="s">
        <v>348</v>
      </c>
      <c r="J101">
        <v>10</v>
      </c>
      <c r="K101" s="210" t="str">
        <f>VLOOKUP(F101,'CFT Specific Data'!$F$4:$G$19,2,FALSE)</f>
        <v>Barley</v>
      </c>
      <c r="L101" t="str">
        <f t="shared" si="8"/>
        <v>Coarse</v>
      </c>
      <c r="M101">
        <f t="shared" si="9"/>
        <v>5.16</v>
      </c>
      <c r="N101" t="str">
        <f t="shared" si="10"/>
        <v>1.72 &lt; SOM &lt;= 5.16</v>
      </c>
      <c r="O101" t="s">
        <v>349</v>
      </c>
      <c r="P101" t="s">
        <v>350</v>
      </c>
      <c r="Q101">
        <v>7</v>
      </c>
      <c r="R101" t="str">
        <f t="shared" si="6"/>
        <v>5.5 &lt; pH &lt;= 7.3</v>
      </c>
      <c r="S101" t="s">
        <v>351</v>
      </c>
      <c r="T101" s="210">
        <f t="array" ref="T101">_xlfn.SINGLE(INDEX('Focus Data NFertiliser Rate'!$D$4:$P$19,MATCH(F101,'Focus Data NFertiliser Rate'!$C$4:$C$19,0),_xlfn.SINGLE(_xlfn.IFS(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200</v>
      </c>
      <c r="U101" t="str">
        <f t="shared" si="11"/>
        <v>Apply in solution</v>
      </c>
      <c r="V101" s="210">
        <f t="array" ref="V101">_xlfn.SINGLE(INDEX('№ Fertiliser sprayings'!$D$4:$P$19,MATCH(F101,'№ Fertiliser sprayings'!$C$4:$C$19,0),_xlfn.SINGLE(_xlfn.IFS(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2</v>
      </c>
      <c r="W101" s="264">
        <f t="array" ref="W101">_xlfn.SINGLE(INDEX('Focus Data CFT NSpraying'!$D$4:$P$19,MATCH(F101,'Focus Data CFT NSpraying'!$C$4:$C$19,0),_xlfn.SINGLE(_xlfn.IFS(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14.436</v>
      </c>
      <c r="X101" t="s">
        <v>363</v>
      </c>
      <c r="Y101">
        <v>0</v>
      </c>
      <c r="Z101">
        <v>100</v>
      </c>
      <c r="AA101" t="s">
        <v>352</v>
      </c>
      <c r="AB101" s="226" t="str">
        <f>IF(B101=B100,_xlfn.IFS(
AND(AA101=Lists!$L$8,AA100=Lists!$L$8),Lists!$N$5,
AND(OR(AA101=Lists!$L$5,AA101=Lists!$L$7,AA101=Lists!$L$9,AA101=Lists!$L$10,AA101=Lists!$L$6),OR(AA100=Lists!$L$5,AA100=Lists!$L$7,AA100=Lists!$L$9,AA100=Lists!$L$10,AA100=Lists!$L$6)),Lists!$N$5,
AND(AA101=Lists!$L$8,OR(AA100=Lists!$L$5,AA100=Lists!$L$7,AA100=Lists!$L$9,AA100=Lists!$L$10,AA100=Lists!$L$6)),Lists!$N$6,
AND(OR(AA101=Lists!$L$5,AA101=Lists!$L$6,AA101=Lists!$L$7,AA101=Lists!$L$9,AA101=Lists!$L$10),AA100=Lists!$L$8),Lists!$N$7),
_xlfn.IFS(
AND(AA101=Lists!$L$8,AA106=Lists!$L$8),Lists!$N$5,
AND(OR(AA101=Lists!$L$5,AA101=Lists!$L$7,AA101=Lists!$L$9,AA101=Lists!$L$10,AA101=Lists!$L$6),OR(AA106=Lists!$L$5,AA106=Lists!$L$7,AA106=Lists!$L$9,AA106=Lists!$L$10,AA106=Lists!$L$6)),Lists!$N$5,
AND(AA101=Lists!$L$8,OR(AA106=Lists!$L$5,AA106=Lists!$L$7,AA106=Lists!$L$9,AA106=Lists!$L$10,AA106=Lists!$L$6)),Lists!$N$6,
AND(OR(AA101=Lists!$L$5,AA101=Lists!$L$7,AA101=Lists!$L$9,AA101=Lists!$L$10),AA106=Lists!$L$8),Lists!$N$7))</f>
        <v>no change</v>
      </c>
      <c r="AC101">
        <v>0</v>
      </c>
      <c r="AD101">
        <v>0</v>
      </c>
      <c r="AE101" s="102">
        <f t="array" ref="AE101">IF(OR(ISNUMBER(SEARCH("heavy",A101))=TRUE, ISNUMBER(SEARCH("medium",A101))=TRUE),
(LEN(_xlfn.SINGLE(
INDEX('Focus Data Tillage by farm'!$D$4:$P$9,MATCH(D101,'Focus Data Tillage by farm'!$C$4:$C$9,0),_xlfn.SINGLE(_xlfn.IFS(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-LEN(SUBSTITUTE(_xlfn.SINGLE(
INDEX('Focus Data Tillage by farm'!$D$4:$P$9,MATCH(D101,'Focus Data Tillage by farm'!$C$4:$C$9,0),_xlfn.SINGLE(_xlfn.IFS(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"disc","")))/LEN("disc"),
(LEN(_xlfn.SINGLE(
INDEX('Focus Data Tillage by farm'!$D$12:$P$17,MATCH(D101,'Focus Data Tillage by farm'!$C$12:$C$17,0),_xlfn.SINGLE(_xlfn.IFS(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-LEN(SUBSTITUTE(_xlfn.SINGLE(
INDEX('Focus Data Tillage by farm'!$D$12:$P$17,MATCH(D101,'Focus Data Tillage by farm'!$C$12:$C$17,0),_xlfn.SINGLE(_xlfn.IFS(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"disc","")))/LEN("disc"))</f>
        <v>2</v>
      </c>
      <c r="AF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"field cultivator","")))/LEN("field cultivator"),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"field cultivator","")))/LEN("field cultivator"))</f>
        <v>0</v>
      </c>
      <c r="AG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"grain drill","")))/LEN("grain drill"),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"grain drill","")))/LEN("grain drill"))</f>
        <v>0</v>
      </c>
      <c r="AH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"minimum tillage","")))/LEN("minimum tillage"),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"minimum tillage","")))/LEN("minimum tillage"))</f>
        <v>1</v>
      </c>
      <c r="AI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"row crop planter","")))/LEN("row crop planter"),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"row crop planter","")))/LEN("row crop planter"))</f>
        <v>0</v>
      </c>
      <c r="AJ101" s="102">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"plough","")))/LEN("plough"),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"plough","")))/LEN("plough"))</f>
        <v>0</v>
      </c>
      <c r="AK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harrow","")))/LEN("roller harrow"),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harrow","")))/LEN("roller harrow"))</f>
        <v>0</v>
      </c>
      <c r="AL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packer","")))/LEN("roller packer"),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"roller packer","")))/LEN("roller packer"))</f>
        <v>2</v>
      </c>
      <c r="AM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"rotary hoe","")))/LEN("rotary hoe"),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"rotary hoe","")))/LEN("rotary hoe"))</f>
        <v>0</v>
      </c>
      <c r="AN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"subsoil","")))/LEN("subsoil"),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"subsoil","")))/LEN("subsoil"))</f>
        <v>0</v>
      </c>
      <c r="AO101">
        <f>IF(OR(ISNUMBER(SEARCH("heavy",A101))=TRUE, ISNUMBER(SEARCH("medium",A101))=TRUE),
(LEN(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farm'!$D$4:$P$9,MATCH(D101,'Focus Data Tillage by farm'!$C$4:$C$9,0),_xlfn.IFS(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"tine harrow","")))/LEN("tine harrow"),
(LEN(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-LEN(SUBSTITUTE(
INDEX('Focus Data Tillage by farm'!$D$12:$P$17,MATCH(D101,'Focus Data Tillage by farm'!$C$12:$C$17,0),_xlfn.IFS(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
"tine harrow","")))/LEN("tine harrow"))</f>
        <v>0</v>
      </c>
      <c r="AP101" s="102">
        <f>INDEX('Focus Data NSpraying'!$D$4:$P$19,MATCH(F101,'Focus Data NSpraying'!$C$4:$C$19,0),_xlfn.IFS(
AND(ISNUMBER(SEARCH("H-Dsty.",A101))=TRUE,ISNUMBER(SEARCH("H-Res",A101))=TRUE,ISNUMBER(SEARCH("E.",A101))=TRUE),1,
AND(ISNUMBER(SEARCH("H-Dsty.",A101))=TRUE,ISNUMBER(SEARCH("H-Res",A101))=TRUE,OR(ISNUMBER(SEARCH("N.he",A101))=TRUE,ISNUMBER(SEARCH("N.me",A101))=TRUE,ISNUMBER(SEARCH("N.li",A101))=TRUE)),2,
AND(ISNUMBER(SEARCH("H-Dsty.",A101))=TRUE,ISNUMBER(SEARCH("H-Res",A101))=TRUE,ISNUMBER(SEARCH("C.",A101))=TRUE),3,
AND(ISNUMBER(SEARCH("L-Dsty.",A101))=TRUE,ISNUMBER(SEARCH("H-Res",A101))=TRUE,ISNUMBER(SEARCH("E.",A101))=TRUE),6,
AND(ISNUMBER(SEARCH("L-Dsty.",A101))=TRUE,ISNUMBER(SEARCH("H-Res",A101))=TRUE,OR(ISNUMBER(SEARCH("N.he",A101))=TRUE,ISNUMBER(SEARCH("N.me",A101))=TRUE,ISNUMBER(SEARCH("N.li",A101))=TRUE)),7,
AND(ISNUMBER(SEARCH("L-Dsty.",A101))=TRUE,ISNUMBER(SEARCH("H-Res",A101))=TRUE,ISNUMBER(SEARCH("C.",A101))=TRUE),8,
AND(ISNUMBER(SEARCH("L-Dsty.",A101))=TRUE,ISNUMBER(SEARCH("L-Res",A101))=TRUE,ISNUMBER(SEARCH("E.",A101))=TRUE),11,
AND(ISNUMBER(SEARCH("L-Dsty.",A101))=TRUE,ISNUMBER(SEARCH("L-Res",A101))=TRUE,OR(ISNUMBER(SEARCH("N.he",A101))=TRUE,ISNUMBER(SEARCH("N.me",A101))=TRUE,ISNUMBER(SEARCH("N.li",A101))=TRUE)),12,
AND(ISNUMBER(SEARCH("L-Dsty.",A101))=TRUE,ISNUMBER(SEARCH("L-Res",A101))=TRUE,ISNUMBER(SEARCH("C.",A101))=TRUE),13))</f>
        <v>5</v>
      </c>
    </row>
    <row r="102" spans="1:42" x14ac:dyDescent="0.2">
      <c r="A102" t="s">
        <v>509</v>
      </c>
      <c r="B102" s="210" t="str">
        <f t="array" ref="B102">INDEX(ECOMOD_input_estimate!$A$2:$A$55, MATCH(CFT_input!$A102, ECOMOD_input_estimate!$B:$B, 0))</f>
        <v>FF_12.2</v>
      </c>
      <c r="C102" s="210">
        <v>2020</v>
      </c>
      <c r="D102" s="395" t="s">
        <v>1696</v>
      </c>
      <c r="E102" s="210" t="str">
        <f t="shared" si="7"/>
        <v>E.light.L-Dsty.H-Res</v>
      </c>
      <c r="F102" s="210" t="str">
        <f t="array" ref="F102">_xlfn.SINGLE(IF(OR(ISNUMBER(SEARCH("heavy",A102))=TRUE,ISNUMBER(SEARCH("medium",A102))=TRUE),
INDEX('Focus Data Crop Rotations'!$D$4:$P$9,MATCH(D102,'Focus Data Crop Rotations'!$C$4:$C$9,0),_xlfn.SINGLE(_xlfn.IFS(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INDEX('Focus Data Crop Rotations'!$D$12:$P$17,MATCH(D102,'Focus Data Crop Rotations'!$C$12:$C$17,0),_xlfn.SINGLE(_xlfn.IFS(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wosr</v>
      </c>
      <c r="G102">
        <v>7.2</v>
      </c>
      <c r="H102" s="227">
        <f>VLOOKUP(F102,'CFT Specific Data'!$F$4:$H$19,3,FALSE)*G102*
IF(B102=B101,
IF(AND(ISNUMBER(SEARCH("wheat",F102))=TRUE,ISNUMBER(SEARCH("Barley",F101))=TRUE),0.89,
IF(AND(ISNUMBER(SEARCH("wheat",F102))=TRUE,F101="setaside"),0.94,
IF(AND(ISNUMBER(SEARCH("barley",F102))=TRUE,ISNUMBER(SEARCH("wheat",F101))=TRUE),0.89,
IF(AND(F102="winterbarley",F101="setaside"),0.94,
IF(AND(F102="sugarbeet",F101="warepotatoes"),0.95,
IF(AND((OR(ISNUMBER(SEARCH("beans",F102)),ISNUMBER(SEARCH("driedpeas",F102)),ISNUMBER(SEARCH("sugarbeet",F102)))=TRUE),ISNUMBER(SEARCH("osr",F101))=TRUE),0,
IF(AND((OR((ISNUMBER(SEARCH("wheat",F102))),ISNUMBER(SEARCH("linseed",F102)),ISNUMBER(SEARCH("driedpeas",F102)),ISNUMBER(SEARCH("osr",F102)))=TRUE),F101="sugarbeet"),0,
IF(AND((OR((ISNUMBER(SEARCH("osr",F102))),ISNUMBER(SEARCH("linseed",F102)))=TRUE),ISNUMBER(SEARCH("beans",F101))=TRUE),0,
IF(AND(F102="wosr",ISNUMBER(SEARCH("linseed",F101))=TRUE),0,
IF(AND(F102="sugarbeet",F101="warepotatoes"),0,
1)))))))))),
IF(AND(ISNUMBER(SEARCH("wheat",F102))=TRUE,ISNUMBER(SEARCH("Barley",F107))=TRUE),0.89,
IF(AND(ISNUMBER(SEARCH("wheat",F102))=TRUE,F107="setaside"),0.94,
IF(AND(ISNUMBER(SEARCH("barley",F102))=TRUE,ISNUMBER(SEARCH("wheat",F107))=TRUE),0.89,
IF(AND(F102="winterbarley",F107="setaside"),0.94,
IF(AND(F102="sugarbeet",F107="warepotatoes"),0.95,
IF(AND((OR(ISNUMBER(SEARCH("beans",F102)),ISNUMBER(SEARCH("driedpeas",F102)),ISNUMBER(SEARCH("sugarbeet",F102)))=TRUE),ISNUMBER(SEARCH("osr",F107))=TRUE),0,
IF(AND((OR((ISNUMBER(SEARCH("wheat",F102))),ISNUMBER(SEARCH("linseed",F102)),ISNUMBER(SEARCH("driedpeas",F102)),ISNUMBER(SEARCH("osr",F102)))=TRUE),F107="sugarbeet"),0,
IF(AND((OR((ISNUMBER(SEARCH("osr",F102))),ISNUMBER(SEARCH("linseed",F102)))=TRUE),ISNUMBER(SEARCH("beans",F107))=TRUE),0,
IF(AND(F102="wosr",ISNUMBER(SEARCH("linseed",F107))=TRUE),0,
IF(AND(F102="sugarbeet",F107="warepotatoes"),0,
1)))))))))))
*IF(OR(ISNUMBER(SEARCH("wheat",F102)),ISNUMBER(SEARCH("barley",F102)),ISNUMBER(SEARCH("driedpeas",F102)),ISNUMBER(SEARCH("warepotatoes",F102)),ISNUMBER(SEARCH("osr",F102)),ISNUMBER(SEARCH("linseed",F102)),ISNUMBER(SEARCH("sugarbeet",F102))),
IF(COUNTIF(B97:B101,B102)=5,
INDEX('CFT Specific Data'!$G$24:$L$39,MATCH(F102,'CFT Specific Data'!$F$24:$F$39,0),IF(COUNTIF(F97:F101,F102)=5,6,IF(COUNTIF(F98:F101,F102)=4,5,IF(COUNTIF(F99:F101,F102)=3,4,IF(COUNTIF(F100:F101,F102)=2,3,IF(F101=F102,2,1)))))),
IF(COUNTIF(B97:B101,B102)=4,
INDEX('CFT Specific Data'!$G$24:$L$39,MATCH(F102,'CFT Specific Data'!$F$24:$F$39,0),IF(SUM(COUNTIF(F98:F101,F102),COUNTIF(F103,F102))=5,6,IF(COUNTIF(F98:F101,F102)=4,5,IF(COUNTIF(F99:F101,F102)=3,4,IF(COUNTIF(F100:F101,F102)=2,3,IF(F101=F102,2,1)))))),
IF(COUNTIF(B97:B101,B102)=3,
INDEX('CFT Specific Data'!$G$24:$L$39,MATCH(F102,'CFT Specific Data'!$F$24:$F$39,0),IF(SUM(COUNTIF(F99:F101,F102),COUNTIF(F103:F104,F102))=5,6,IF(SUM(COUNTIF(F99:F101,F102),COUNTIF(F104,F102))=4,5,IF(COUNTIF(F99:F101,F102)=3,4,IF(COUNTIF(F100:F101,F102)=2,3,IF(F101=F102,2,1)))))),
IF(COUNTIF(B97:B101,B102)=2,
INDEX('CFT Specific Data'!$G$24:$L$39,MATCH(F102,'CFT Specific Data'!$F$24:$F$39,0),IF(SUM(COUNTIF(F100:F101,F102),COUNTIF(F103:F105,F102))=5,6,IF(SUM(COUNTIF(F100:F101,F102),COUNTIF(F104:F105,F102))=4,5,IF(SUM(COUNTIF(F100:F101,F102),COUNTIF(F105,F102))=3,4,IF(COUNTIF(F100:F101,F102)=2,3,IF(F101=F102,2,1)))))),
IF(COUNTIF(B97:B101,B102)=1,
INDEX('CFT Specific Data'!$G$24:$L$39,MATCH(F102,'CFT Specific Data'!$F$24:$F$39,0),IF(SUM(COUNTIF(F101,F102),COUNTIF(F103:F106,F102))=5,6,IF(SUM(COUNTIF(F101,F102),COUNTIF(F104:F106,F102))=4,5,IF(SUM(COUNTIF(F101,F102),COUNTIF(F105:F106,F102))=3,4,IF(SUM(COUNTIF(F101,F102),COUNTIF(F106,F102))=2,3,IF(F101=F102,2,1)))))),
IF(COUNTIF(B97:B101,B102)=0,
INDEX('CFT Specific Data'!$G$24:$L$39,MATCH(F102,'CFT Specific Data'!$F$24:$F$39,0),IF(COUNTIF(F103:F107,F102)=5,6,IF(COUNTIF(F104:F107,F102)=4,5,IF(COUNTIF(F105:F107,F102)=3,4,IF(COUNTIF(F106:F107,F102)=2,3,IF(F107=F102,2,1)))))))))))),1)</f>
        <v>25.2</v>
      </c>
      <c r="I102" s="210" t="s">
        <v>348</v>
      </c>
      <c r="J102">
        <v>10</v>
      </c>
      <c r="K102" s="210" t="str">
        <f>VLOOKUP(F102,'CFT Specific Data'!$F$4:$G$19,2,FALSE)</f>
        <v>Other</v>
      </c>
      <c r="L102" t="str">
        <f t="shared" si="8"/>
        <v>Coarse</v>
      </c>
      <c r="M102">
        <f t="shared" si="9"/>
        <v>5.16</v>
      </c>
      <c r="N102" t="str">
        <f t="shared" si="10"/>
        <v>1.72 &lt; SOM &lt;= 5.16</v>
      </c>
      <c r="O102" t="s">
        <v>349</v>
      </c>
      <c r="P102" t="s">
        <v>350</v>
      </c>
      <c r="Q102">
        <v>7</v>
      </c>
      <c r="R102" t="str">
        <f t="shared" si="6"/>
        <v>5.5 &lt; pH &lt;= 7.3</v>
      </c>
      <c r="S102" t="s">
        <v>351</v>
      </c>
      <c r="T102" s="210">
        <f t="array" ref="T102">_xlfn.SINGLE(INDEX('Focus Data NFertiliser Rate'!$D$4:$P$19,MATCH(F102,'Focus Data NFertiliser Rate'!$C$4:$C$19,0),_xlfn.SINGLE(_xlfn.IFS(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180</v>
      </c>
      <c r="U102" t="str">
        <f t="shared" si="11"/>
        <v>Apply in solution</v>
      </c>
      <c r="V102" s="210">
        <f t="array" ref="V102">_xlfn.SINGLE(INDEX('№ Fertiliser sprayings'!$D$4:$P$19,MATCH(F102,'№ Fertiliser sprayings'!$C$4:$C$19,0),_xlfn.SINGLE(_xlfn.IFS(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3</v>
      </c>
      <c r="W102" s="264">
        <f t="array" ref="W102">_xlfn.SINGLE(INDEX('Focus Data CFT NSpraying'!$D$4:$P$19,MATCH(F102,'Focus Data CFT NSpraying'!$C$4:$C$19,0),_xlfn.SINGLE(_xlfn.IFS(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6.24</v>
      </c>
      <c r="X102" t="s">
        <v>363</v>
      </c>
      <c r="Y102">
        <v>0</v>
      </c>
      <c r="Z102">
        <v>100</v>
      </c>
      <c r="AA102" t="s">
        <v>352</v>
      </c>
      <c r="AB102" s="226" t="str">
        <f>IF(B102=B101,_xlfn.IFS(
AND(AA102=Lists!$L$8,AA101=Lists!$L$8),Lists!$N$5,
AND(OR(AA102=Lists!$L$5,AA102=Lists!$L$7,AA102=Lists!$L$9,AA102=Lists!$L$10,AA102=Lists!$L$6),OR(AA101=Lists!$L$5,AA101=Lists!$L$7,AA101=Lists!$L$9,AA101=Lists!$L$10,AA101=Lists!$L$6)),Lists!$N$5,
AND(AA102=Lists!$L$8,OR(AA101=Lists!$L$5,AA101=Lists!$L$7,AA101=Lists!$L$9,AA101=Lists!$L$10,AA101=Lists!$L$6)),Lists!$N$6,
AND(OR(AA102=Lists!$L$5,AA102=Lists!$L$6,AA102=Lists!$L$7,AA102=Lists!$L$9,AA102=Lists!$L$10),AA101=Lists!$L$8),Lists!$N$7),
_xlfn.IFS(
AND(AA102=Lists!$L$8,AA107=Lists!$L$8),Lists!$N$5,
AND(OR(AA102=Lists!$L$5,AA102=Lists!$L$7,AA102=Lists!$L$9,AA102=Lists!$L$10,AA102=Lists!$L$6),OR(AA107=Lists!$L$5,AA107=Lists!$L$7,AA107=Lists!$L$9,AA107=Lists!$L$10,AA107=Lists!$L$6)),Lists!$N$5,
AND(AA102=Lists!$L$8,OR(AA107=Lists!$L$5,AA107=Lists!$L$7,AA107=Lists!$L$9,AA107=Lists!$L$10,AA107=Lists!$L$6)),Lists!$N$6,
AND(OR(AA102=Lists!$L$5,AA102=Lists!$L$7,AA102=Lists!$L$9,AA102=Lists!$L$10),AA107=Lists!$L$8),Lists!$N$7))</f>
        <v>no change</v>
      </c>
      <c r="AC102">
        <v>0</v>
      </c>
      <c r="AD102">
        <v>0</v>
      </c>
      <c r="AE102" s="102">
        <f t="array" ref="AE102">IF(OR(ISNUMBER(SEARCH("heavy",A102))=TRUE, ISNUMBER(SEARCH("medium",A102))=TRUE),
(LEN(_xlfn.SINGLE(
INDEX('Focus Data Tillage by farm'!$D$4:$P$9,MATCH(D102,'Focus Data Tillage by farm'!$C$4:$C$9,0),_xlfn.SINGLE(_xlfn.IFS(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-LEN(SUBSTITUTE(_xlfn.SINGLE(
INDEX('Focus Data Tillage by farm'!$D$4:$P$9,MATCH(D102,'Focus Data Tillage by farm'!$C$4:$C$9,0),_xlfn.SINGLE(_xlfn.IFS(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"disc","")))/LEN("disc"),
(LEN(_xlfn.SINGLE(
INDEX('Focus Data Tillage by farm'!$D$12:$P$17,MATCH(D102,'Focus Data Tillage by farm'!$C$12:$C$17,0),_xlfn.SINGLE(_xlfn.IFS(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-LEN(SUBSTITUTE(_xlfn.SINGLE(
INDEX('Focus Data Tillage by farm'!$D$12:$P$17,MATCH(D102,'Focus Data Tillage by farm'!$C$12:$C$17,0),_xlfn.SINGLE(_xlfn.IFS(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"disc","")))/LEN("disc"))</f>
        <v>0</v>
      </c>
      <c r="AF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"field cultivator","")))/LEN("field cultivator"),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"field cultivator","")))/LEN("field cultivator"))</f>
        <v>0</v>
      </c>
      <c r="AG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"grain drill","")))/LEN("grain drill"),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"grain drill","")))/LEN("grain drill"))</f>
        <v>0</v>
      </c>
      <c r="AH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"minimum tillage","")))/LEN("minimum tillage"),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"minimum tillage","")))/LEN("minimum tillage"))</f>
        <v>1</v>
      </c>
      <c r="AI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"row crop planter","")))/LEN("row crop planter"),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"row crop planter","")))/LEN("row crop planter"))</f>
        <v>0</v>
      </c>
      <c r="AJ102" s="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"plough","")))/LEN("plough"),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"plough","")))/LEN("plough"))</f>
        <v>0</v>
      </c>
      <c r="AK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harrow","")))/LEN("roller harrow"),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harrow","")))/LEN("roller harrow"))</f>
        <v>0</v>
      </c>
      <c r="AL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packer","")))/LEN("roller packer"),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"roller packer","")))/LEN("roller packer"))</f>
        <v>1</v>
      </c>
      <c r="AM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"rotary hoe","")))/LEN("rotary hoe"),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"rotary hoe","")))/LEN("rotary hoe"))</f>
        <v>0</v>
      </c>
      <c r="AN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"subsoil","")))/LEN("subsoil"),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"subsoil","")))/LEN("subsoil"))</f>
        <v>0</v>
      </c>
      <c r="AO102">
        <f>IF(OR(ISNUMBER(SEARCH("heavy",A102))=TRUE, ISNUMBER(SEARCH("medium",A102))=TRUE),
(LEN(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farm'!$D$4:$P$9,MATCH(D102,'Focus Data Tillage by farm'!$C$4:$C$9,0),_xlfn.IFS(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"tine harrow","")))/LEN("tine harrow"),
(LEN(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-LEN(SUBSTITUTE(
INDEX('Focus Data Tillage by farm'!$D$12:$P$17,MATCH(D102,'Focus Data Tillage by farm'!$C$12:$C$17,0),_xlfn.IFS(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
"tine harrow","")))/LEN("tine harrow"))</f>
        <v>0</v>
      </c>
      <c r="AP102" s="102">
        <f>INDEX('Focus Data NSpraying'!$D$4:$P$19,MATCH(F102,'Focus Data NSpraying'!$C$4:$C$19,0),_xlfn.IFS(
AND(ISNUMBER(SEARCH("H-Dsty.",A102))=TRUE,ISNUMBER(SEARCH("H-Res",A102))=TRUE,ISNUMBER(SEARCH("E.",A102))=TRUE),1,
AND(ISNUMBER(SEARCH("H-Dsty.",A102))=TRUE,ISNUMBER(SEARCH("H-Res",A102))=TRUE,OR(ISNUMBER(SEARCH("N.he",A102))=TRUE,ISNUMBER(SEARCH("N.me",A102))=TRUE,ISNUMBER(SEARCH("N.li",A102))=TRUE)),2,
AND(ISNUMBER(SEARCH("H-Dsty.",A102))=TRUE,ISNUMBER(SEARCH("H-Res",A102))=TRUE,ISNUMBER(SEARCH("C.",A102))=TRUE),3,
AND(ISNUMBER(SEARCH("L-Dsty.",A102))=TRUE,ISNUMBER(SEARCH("H-Res",A102))=TRUE,ISNUMBER(SEARCH("E.",A102))=TRUE),6,
AND(ISNUMBER(SEARCH("L-Dsty.",A102))=TRUE,ISNUMBER(SEARCH("H-Res",A102))=TRUE,OR(ISNUMBER(SEARCH("N.he",A102))=TRUE,ISNUMBER(SEARCH("N.me",A102))=TRUE,ISNUMBER(SEARCH("N.li",A102))=TRUE)),7,
AND(ISNUMBER(SEARCH("L-Dsty.",A102))=TRUE,ISNUMBER(SEARCH("H-Res",A102))=TRUE,ISNUMBER(SEARCH("C.",A102))=TRUE),8,
AND(ISNUMBER(SEARCH("L-Dsty.",A102))=TRUE,ISNUMBER(SEARCH("L-Res",A102))=TRUE,ISNUMBER(SEARCH("E.",A102))=TRUE),11,
AND(ISNUMBER(SEARCH("L-Dsty.",A102))=TRUE,ISNUMBER(SEARCH("L-Res",A102))=TRUE,OR(ISNUMBER(SEARCH("N.he",A102))=TRUE,ISNUMBER(SEARCH("N.me",A102))=TRUE,ISNUMBER(SEARCH("N.li",A102))=TRUE)),12,
AND(ISNUMBER(SEARCH("L-Dsty.",A102))=TRUE,ISNUMBER(SEARCH("L-Res",A102))=TRUE,ISNUMBER(SEARCH("C.",A102))=TRUE),13))</f>
        <v>2</v>
      </c>
    </row>
    <row r="103" spans="1:42" x14ac:dyDescent="0.2">
      <c r="A103" t="s">
        <v>509</v>
      </c>
      <c r="B103" s="210" t="str">
        <f t="array" ref="B103">INDEX(ECOMOD_input_estimate!$A$2:$A$55, MATCH(CFT_input!$A103, ECOMOD_input_estimate!$B:$B, 0))</f>
        <v>FF_12.2</v>
      </c>
      <c r="C103" s="210">
        <v>2020</v>
      </c>
      <c r="D103" s="395" t="s">
        <v>735</v>
      </c>
      <c r="E103" s="210" t="str">
        <f t="shared" si="7"/>
        <v>E.light.L-Dsty.H-Res</v>
      </c>
      <c r="F103" s="210" t="str">
        <f t="array" ref="F103">_xlfn.SINGLE(IF(OR(ISNUMBER(SEARCH("heavy",A103))=TRUE,ISNUMBER(SEARCH("medium",A103))=TRUE),
INDEX('Focus Data Crop Rotations'!$D$4:$P$9,MATCH(D103,'Focus Data Crop Rotations'!$C$4:$C$9,0),_xlfn.SINGLE(_xlfn.IFS(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INDEX('Focus Data Crop Rotations'!$D$12:$P$17,MATCH(D103,'Focus Data Crop Rotations'!$C$12:$C$17,0),_xlfn.SINGLE(_xlfn.IFS(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winterwheat</v>
      </c>
      <c r="G103">
        <v>7.2</v>
      </c>
      <c r="H103" s="227">
        <f>VLOOKUP(F103,'CFT Specific Data'!$F$4:$H$19,3,FALSE)*G103*
IF(B103=B102,
IF(AND(ISNUMBER(SEARCH("wheat",F103))=TRUE,ISNUMBER(SEARCH("Barley",F102))=TRUE),0.89,
IF(AND(ISNUMBER(SEARCH("wheat",F103))=TRUE,F102="setaside"),0.94,
IF(AND(ISNUMBER(SEARCH("barley",F103))=TRUE,ISNUMBER(SEARCH("wheat",F102))=TRUE),0.89,
IF(AND(F103="winterbarley",F102="setaside"),0.94,
IF(AND(F103="sugarbeet",F102="warepotatoes"),0.95,
IF(AND((OR(ISNUMBER(SEARCH("beans",F103)),ISNUMBER(SEARCH("driedpeas",F103)),ISNUMBER(SEARCH("sugarbeet",F103)))=TRUE),ISNUMBER(SEARCH("osr",F102))=TRUE),0,
IF(AND((OR((ISNUMBER(SEARCH("wheat",F103))),ISNUMBER(SEARCH("linseed",F103)),ISNUMBER(SEARCH("driedpeas",F103)),ISNUMBER(SEARCH("osr",F103)))=TRUE),F102="sugarbeet"),0,
IF(AND((OR((ISNUMBER(SEARCH("osr",F103))),ISNUMBER(SEARCH("linseed",F103)))=TRUE),ISNUMBER(SEARCH("beans",F102))=TRUE),0,
IF(AND(F103="wosr",ISNUMBER(SEARCH("linseed",F102))=TRUE),0,
IF(AND(F103="sugarbeet",F102="warepotatoes"),0,
1)))))))))),
IF(AND(ISNUMBER(SEARCH("wheat",F103))=TRUE,ISNUMBER(SEARCH("Barley",F108))=TRUE),0.89,
IF(AND(ISNUMBER(SEARCH("wheat",F103))=TRUE,F108="setaside"),0.94,
IF(AND(ISNUMBER(SEARCH("barley",F103))=TRUE,ISNUMBER(SEARCH("wheat",F108))=TRUE),0.89,
IF(AND(F103="winterbarley",F108="setaside"),0.94,
IF(AND(F103="sugarbeet",F108="warepotatoes"),0.95,
IF(AND((OR(ISNUMBER(SEARCH("beans",F103)),ISNUMBER(SEARCH("driedpeas",F103)),ISNUMBER(SEARCH("sugarbeet",F103)))=TRUE),ISNUMBER(SEARCH("osr",F108))=TRUE),0,
IF(AND((OR((ISNUMBER(SEARCH("wheat",F103))),ISNUMBER(SEARCH("linseed",F103)),ISNUMBER(SEARCH("driedpeas",F103)),ISNUMBER(SEARCH("osr",F103)))=TRUE),F108="sugarbeet"),0,
IF(AND((OR((ISNUMBER(SEARCH("osr",F103))),ISNUMBER(SEARCH("linseed",F103)))=TRUE),ISNUMBER(SEARCH("beans",F108))=TRUE),0,
IF(AND(F103="wosr",ISNUMBER(SEARCH("linseed",F108))=TRUE),0,
IF(AND(F103="sugarbeet",F108="warepotatoes"),0,
1)))))))))))
*IF(OR(ISNUMBER(SEARCH("wheat",F103)),ISNUMBER(SEARCH("barley",F103)),ISNUMBER(SEARCH("driedpeas",F103)),ISNUMBER(SEARCH("warepotatoes",F103)),ISNUMBER(SEARCH("osr",F103)),ISNUMBER(SEARCH("linseed",F103)),ISNUMBER(SEARCH("sugarbeet",F103))),
IF(COUNTIF(B98:B102,B103)=5,
INDEX('CFT Specific Data'!$G$24:$L$39,MATCH(F103,'CFT Specific Data'!$F$24:$F$39,0),IF(COUNTIF(F98:F102,F103)=5,6,IF(COUNTIF(F99:F102,F103)=4,5,IF(COUNTIF(F100:F102,F103)=3,4,IF(COUNTIF(F101:F102,F103)=2,3,IF(F102=F103,2,1)))))),
IF(COUNTIF(B98:B102,B103)=4,
INDEX('CFT Specific Data'!$G$24:$L$39,MATCH(F103,'CFT Specific Data'!$F$24:$F$39,0),IF(SUM(COUNTIF(F99:F102,F103),COUNTIF(F104,F103))=5,6,IF(COUNTIF(F99:F102,F103)=4,5,IF(COUNTIF(F100:F102,F103)=3,4,IF(COUNTIF(F101:F102,F103)=2,3,IF(F102=F103,2,1)))))),
IF(COUNTIF(B98:B102,B103)=3,
INDEX('CFT Specific Data'!$G$24:$L$39,MATCH(F103,'CFT Specific Data'!$F$24:$F$39,0),IF(SUM(COUNTIF(F100:F102,F103),COUNTIF(F104:F105,F103))=5,6,IF(SUM(COUNTIF(F100:F102,F103),COUNTIF(F105,F103))=4,5,IF(COUNTIF(F100:F102,F103)=3,4,IF(COUNTIF(F101:F102,F103)=2,3,IF(F102=F103,2,1)))))),
IF(COUNTIF(B98:B102,B103)=2,
INDEX('CFT Specific Data'!$G$24:$L$39,MATCH(F103,'CFT Specific Data'!$F$24:$F$39,0),IF(SUM(COUNTIF(F101:F102,F103),COUNTIF(F104:F106,F103))=5,6,IF(SUM(COUNTIF(F101:F102,F103),COUNTIF(F105:F106,F103))=4,5,IF(SUM(COUNTIF(F101:F102,F103),COUNTIF(F106,F103))=3,4,IF(COUNTIF(F101:F102,F103)=2,3,IF(F102=F103,2,1)))))),
IF(COUNTIF(B98:B102,B103)=1,
INDEX('CFT Specific Data'!$G$24:$L$39,MATCH(F103,'CFT Specific Data'!$F$24:$F$39,0),IF(SUM(COUNTIF(F102,F103),COUNTIF(F104:F107,F103))=5,6,IF(SUM(COUNTIF(F102,F103),COUNTIF(F105:F107,F103))=4,5,IF(SUM(COUNTIF(F102,F103),COUNTIF(F106:F107,F103))=3,4,IF(SUM(COUNTIF(F102,F103),COUNTIF(F107,F103))=2,3,IF(F102=F103,2,1)))))),
IF(COUNTIF(B98:B102,B103)=0,
INDEX('CFT Specific Data'!$G$24:$L$39,MATCH(F103,'CFT Specific Data'!$F$24:$F$39,0),IF(COUNTIF(F104:F108,F103)=5,6,IF(COUNTIF(F105:F108,F103)=4,5,IF(COUNTIF(F106:F108,F103)=3,4,IF(COUNTIF(F107:F108,F103)=2,3,IF(F108=F103,2,1)))))))))))),1)</f>
        <v>61.92</v>
      </c>
      <c r="I103" s="210" t="s">
        <v>348</v>
      </c>
      <c r="J103">
        <v>10</v>
      </c>
      <c r="K103" s="210" t="str">
        <f>VLOOKUP(F103,'CFT Specific Data'!$F$4:$G$19,2,FALSE)</f>
        <v>Winter wheat</v>
      </c>
      <c r="L103" t="str">
        <f t="shared" si="8"/>
        <v>Coarse</v>
      </c>
      <c r="M103">
        <f t="shared" si="9"/>
        <v>5.16</v>
      </c>
      <c r="N103" t="str">
        <f t="shared" si="10"/>
        <v>1.72 &lt; SOM &lt;= 5.16</v>
      </c>
      <c r="O103" t="s">
        <v>349</v>
      </c>
      <c r="P103" t="s">
        <v>350</v>
      </c>
      <c r="Q103">
        <v>7</v>
      </c>
      <c r="R103" t="str">
        <f t="shared" si="6"/>
        <v>5.5 &lt; pH &lt;= 7.3</v>
      </c>
      <c r="S103" t="s">
        <v>351</v>
      </c>
      <c r="T103" s="210">
        <f t="array" ref="T103">_xlfn.SINGLE(INDEX('Focus Data NFertiliser Rate'!$D$4:$P$19,MATCH(F103,'Focus Data NFertiliser Rate'!$C$4:$C$19,0),_xlfn.SINGLE(_xlfn.IFS(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240</v>
      </c>
      <c r="U103" t="str">
        <f t="shared" si="11"/>
        <v>Apply in solution</v>
      </c>
      <c r="V103" s="210">
        <f t="array" ref="V103">_xlfn.SINGLE(INDEX('№ Fertiliser sprayings'!$D$4:$P$19,MATCH(F103,'№ Fertiliser sprayings'!$C$4:$C$19,0),_xlfn.SINGLE(_xlfn.IFS(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3</v>
      </c>
      <c r="W103" s="264">
        <f t="array" ref="W103">_xlfn.SINGLE(INDEX('Focus Data CFT NSpraying'!$D$4:$P$19,MATCH(F103,'Focus Data CFT NSpraying'!$C$4:$C$19,0),_xlfn.SINGLE(_xlfn.IFS(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f>
        <v>13.135999999999999</v>
      </c>
      <c r="X103" t="s">
        <v>363</v>
      </c>
      <c r="Y103">
        <v>0</v>
      </c>
      <c r="Z103">
        <v>100</v>
      </c>
      <c r="AA103" t="s">
        <v>352</v>
      </c>
      <c r="AB103" s="226" t="str">
        <f>IF(B103=B102,_xlfn.IFS(
AND(AA103=Lists!$L$8,AA102=Lists!$L$8),Lists!$N$5,
AND(OR(AA103=Lists!$L$5,AA103=Lists!$L$7,AA103=Lists!$L$9,AA103=Lists!$L$10,AA103=Lists!$L$6),OR(AA102=Lists!$L$5,AA102=Lists!$L$7,AA102=Lists!$L$9,AA102=Lists!$L$10,AA102=Lists!$L$6)),Lists!$N$5,
AND(AA103=Lists!$L$8,OR(AA102=Lists!$L$5,AA102=Lists!$L$7,AA102=Lists!$L$9,AA102=Lists!$L$10,AA102=Lists!$L$6)),Lists!$N$6,
AND(OR(AA103=Lists!$L$5,AA103=Lists!$L$6,AA103=Lists!$L$7,AA103=Lists!$L$9,AA103=Lists!$L$10),AA102=Lists!$L$8),Lists!$N$7),
_xlfn.IFS(
AND(AA103=Lists!$L$8,AA108=Lists!$L$8),Lists!$N$5,
AND(OR(AA103=Lists!$L$5,AA103=Lists!$L$7,AA103=Lists!$L$9,AA103=Lists!$L$10,AA103=Lists!$L$6),OR(AA108=Lists!$L$5,AA108=Lists!$L$7,AA108=Lists!$L$9,AA108=Lists!$L$10,AA108=Lists!$L$6)),Lists!$N$5,
AND(AA103=Lists!$L$8,OR(AA108=Lists!$L$5,AA108=Lists!$L$7,AA108=Lists!$L$9,AA108=Lists!$L$10,AA108=Lists!$L$6)),Lists!$N$6,
AND(OR(AA103=Lists!$L$5,AA103=Lists!$L$7,AA103=Lists!$L$9,AA103=Lists!$L$10),AA108=Lists!$L$8),Lists!$N$7))</f>
        <v>no change</v>
      </c>
      <c r="AC103">
        <v>0</v>
      </c>
      <c r="AD103">
        <v>0</v>
      </c>
      <c r="AE103" s="102">
        <f t="array" ref="AE103">IF(OR(ISNUMBER(SEARCH("heavy",A103))=TRUE, ISNUMBER(SEARCH("medium",A103))=TRUE),
(LEN(_xlfn.SINGLE(
INDEX('Focus Data Tillage by farm'!$D$4:$P$9,MATCH(D103,'Focus Data Tillage by farm'!$C$4:$C$9,0),_xlfn.SINGLE(_xlfn.IFS(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-LEN(SUBSTITUTE(_xlfn.SINGLE(
INDEX('Focus Data Tillage by farm'!$D$4:$P$9,MATCH(D103,'Focus Data Tillage by farm'!$C$4:$C$9,0),_xlfn.SINGLE(_xlfn.IFS(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"disc","")))/LEN("disc"),
(LEN(_xlfn.SINGLE(
INDEX('Focus Data Tillage by farm'!$D$12:$P$17,MATCH(D103,'Focus Data Tillage by farm'!$C$12:$C$17,0),_xlfn.SINGLE(_xlfn.IFS(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-LEN(SUBSTITUTE(_xlfn.SINGLE(
INDEX('Focus Data Tillage by farm'!$D$12:$P$17,MATCH(D103,'Focus Data Tillage by farm'!$C$12:$C$17,0),_xlfn.SINGLE(_xlfn.IFS(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"disc","")))/LEN("disc"))</f>
        <v>1</v>
      </c>
      <c r="AF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"field cultivator","")))/LEN("field cultivator"),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"field cultivator","")))/LEN("field cultivator"))</f>
        <v>0</v>
      </c>
      <c r="AG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"grain drill","")))/LEN("grain drill"),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"grain drill","")))/LEN("grain drill"))</f>
        <v>0</v>
      </c>
      <c r="AH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"minimum tillage","")))/LEN("minimum tillage"),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"minimum tillage","")))/LEN("minimum tillage"))</f>
        <v>1</v>
      </c>
      <c r="AI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"row crop planter","")))/LEN("row crop planter"),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"row crop planter","")))/LEN("row crop planter"))</f>
        <v>0</v>
      </c>
      <c r="AJ103" s="102">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"plough","")))/LEN("plough"),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"plough","")))/LEN("plough"))</f>
        <v>1</v>
      </c>
      <c r="AK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harrow","")))/LEN("roller harrow"),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harrow","")))/LEN("roller harrow"))</f>
        <v>1</v>
      </c>
      <c r="AL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packer","")))/LEN("roller packer"),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"roller packer","")))/LEN("roller packer"))</f>
        <v>2</v>
      </c>
      <c r="AM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"rotary hoe","")))/LEN("rotary hoe"),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"rotary hoe","")))/LEN("rotary hoe"))</f>
        <v>0</v>
      </c>
      <c r="AN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"subsoil","")))/LEN("subsoil"),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"subsoil","")))/LEN("subsoil"))</f>
        <v>0</v>
      </c>
      <c r="AO103">
        <f>IF(OR(ISNUMBER(SEARCH("heavy",A103))=TRUE, ISNUMBER(SEARCH("medium",A103))=TRUE),
(LEN(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farm'!$D$4:$P$9,MATCH(D103,'Focus Data Tillage by farm'!$C$4:$C$9,0),_xlfn.IFS(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"tine harrow","")))/LEN("tine harrow"),
(LEN(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-LEN(SUBSTITUTE(
INDEX('Focus Data Tillage by farm'!$D$12:$P$17,MATCH(D103,'Focus Data Tillage by farm'!$C$12:$C$17,0),_xlfn.IFS(
AND(ISNUMBER(SEARCH("H-Dsty.",A103))=TRUE,ISNUMBER(SEARCH("H-Res",A103))=TRUE,ISNUMBER(SEARCH("E.",A103))=TRUE),1,
AND(ISNUMBER(SEARCH("H-Dsty.",A103))=TRUE,ISNUMBER(SEARCH("H-Res",A103))=TRUE,OR(ISNUMBER(SEARCH("N.he",A103))=TRUE,ISNUMBER(SEARCH("N.me",A103))=TRUE,ISNUMBER(SEARCH("N.li",A103))=TRUE)),2,
AND(ISNUMBER(SEARCH("H-Dsty.",A103))=TRUE,ISNUMBER(SEARCH("H-Res",A103))=TRUE,ISNUMBER(SEARCH("C.",A103))=TRUE),3,
AND(ISNUMBER(SEARCH("L-Dsty.",A103))=TRUE,ISNUMBER(SEARCH("H-Res",A103))=TRUE,ISNUMBER(SEARCH("E.",A103))=TRUE),6,
AND(ISNUMBER(SEARCH("L-Dsty.",A103))=TRUE,ISNUMBER(SEARCH("H-Res",A103))=TRUE,OR(ISNUMBER(SEARCH("N.he",A103))=TRUE,ISNUMBER(SEARCH("N.me",A103))=TRUE,ISNUMBER(SEARCH("N.li",A103))=TRUE)),7,
AND(ISNUMBER(SEARCH("L-Dsty.",A103))=TRUE,ISNUMBER(SEARCH("H-Res",A103))=TRUE,ISNUMBER(SEARCH("C.",A103))=TRUE),8,
AND(ISNUMBER(SEARCH("L-Dsty.",A103))=TRUE,ISNUMBER(SEARCH("L-Res",A103))=TRUE,ISNUMBER(SEARCH("E.",A103))=TRUE),11,
AND(ISNUMBER(SEARCH("L-Dsty.",A103))=TRUE,ISNUMBER(SEARCH("L-Res",A103))=TRUE,OR(ISNUMBER(SEARCH("N.he",A103))=TRUE,ISNUMBER(SEARCH("N.me",A103))=TRUE,ISNUMBER(SEARCH("N.li",A103))=TRUE)),12,
AND(ISNUMBER(SEARCH("L-Dsty.",A103))=TRUE,ISNUMBER(SEARCH("L-Res",A103))=TRUE,ISNUMBER(SEARCH("C.",A103))=TRUE),13)),
"tine harrow","")))/LEN("tine harrow"))</f>
        <v>0</v>
      </c>
      <c r="AP103" s="102">
        <v>4</v>
      </c>
    </row>
    <row r="104" spans="1:42" x14ac:dyDescent="0.2">
      <c r="A104" t="s">
        <v>510</v>
      </c>
      <c r="B104" s="210" t="str">
        <f t="array" ref="B104">INDEX(ECOMOD_input_estimate!$A$2:$A$55, MATCH(CFT_input!$A104, ECOMOD_input_estimate!$B:$B, 0))</f>
        <v>FF_18.2</v>
      </c>
      <c r="C104" s="210">
        <v>2020</v>
      </c>
      <c r="D104" s="395" t="s">
        <v>731</v>
      </c>
      <c r="E104" s="210" t="str">
        <f t="shared" si="7"/>
        <v>E.light.L-Dsty.L-Res</v>
      </c>
      <c r="F104" s="210" t="str">
        <f t="array" ref="F104">_xlfn.SINGLE(IF(OR(ISNUMBER(SEARCH("heavy",A104))=TRUE,ISNUMBER(SEARCH("medium",A104))=TRUE),
INDEX('Focus Data Crop Rotations'!$D$4:$P$9,MATCH(D104,'Focus Data Crop Rotations'!$C$4:$C$9,0),_xlfn.SINGLE(_xlfn.IFS(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INDEX('Focus Data Crop Rotations'!$D$12:$P$17,MATCH(D104,'Focus Data Crop Rotations'!$C$12:$C$17,0),_xlfn.SINGLE(_xlfn.IFS(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winterwheat</v>
      </c>
      <c r="G104">
        <v>7.2</v>
      </c>
      <c r="H104" s="227">
        <f>VLOOKUP(F104,'CFT Specific Data'!$F$4:$H$19,3,FALSE)*G104*
IF(B104=B103,
IF(AND(ISNUMBER(SEARCH("wheat",F104))=TRUE,ISNUMBER(SEARCH("Barley",F103))=TRUE),0.89,
IF(AND(ISNUMBER(SEARCH("wheat",F104))=TRUE,F103="setaside"),0.94,
IF(AND(ISNUMBER(SEARCH("barley",F104))=TRUE,ISNUMBER(SEARCH("wheat",F103))=TRUE),0.89,
IF(AND(F104="winterbarley",F103="setaside"),0.94,
IF(AND(F104="sugarbeet",F103="warepotatoes"),0.95,
IF(AND((OR(ISNUMBER(SEARCH("beans",F104)),ISNUMBER(SEARCH("driedpeas",F104)),ISNUMBER(SEARCH("sugarbeet",F104)))=TRUE),ISNUMBER(SEARCH("osr",F103))=TRUE),0,
IF(AND((OR((ISNUMBER(SEARCH("wheat",F104))),ISNUMBER(SEARCH("linseed",F104)),ISNUMBER(SEARCH("driedpeas",F104)),ISNUMBER(SEARCH("osr",F104)))=TRUE),F103="sugarbeet"),0,
IF(AND((OR((ISNUMBER(SEARCH("osr",F104))),ISNUMBER(SEARCH("linseed",F104)))=TRUE),ISNUMBER(SEARCH("beans",F103))=TRUE),0,
IF(AND(F104="wosr",ISNUMBER(SEARCH("linseed",F103))=TRUE),0,
IF(AND(F104="sugarbeet",F103="warepotatoes"),0,
1)))))))))),
IF(AND(ISNUMBER(SEARCH("wheat",F104))=TRUE,ISNUMBER(SEARCH("Barley",F109))=TRUE),0.89,
IF(AND(ISNUMBER(SEARCH("wheat",F104))=TRUE,F109="setaside"),0.94,
IF(AND(ISNUMBER(SEARCH("barley",F104))=TRUE,ISNUMBER(SEARCH("wheat",F109))=TRUE),0.89,
IF(AND(F104="winterbarley",F109="setaside"),0.94,
IF(AND(F104="sugarbeet",F109="warepotatoes"),0.95,
IF(AND((OR(ISNUMBER(SEARCH("beans",F104)),ISNUMBER(SEARCH("driedpeas",F104)),ISNUMBER(SEARCH("sugarbeet",F104)))=TRUE),ISNUMBER(SEARCH("osr",F109))=TRUE),0,
IF(AND((OR((ISNUMBER(SEARCH("wheat",F104))),ISNUMBER(SEARCH("linseed",F104)),ISNUMBER(SEARCH("driedpeas",F104)),ISNUMBER(SEARCH("osr",F104)))=TRUE),F109="sugarbeet"),0,
IF(AND((OR((ISNUMBER(SEARCH("osr",F104))),ISNUMBER(SEARCH("linseed",F104)))=TRUE),ISNUMBER(SEARCH("beans",F109))=TRUE),0,
IF(AND(F104="wosr",ISNUMBER(SEARCH("linseed",F109))=TRUE),0,
IF(AND(F104="sugarbeet",F109="warepotatoes"),0,
1)))))))))))
*IF(OR(ISNUMBER(SEARCH("wheat",F104)),ISNUMBER(SEARCH("barley",F104)),ISNUMBER(SEARCH("driedpeas",F104)),ISNUMBER(SEARCH("warepotatoes",F104)),ISNUMBER(SEARCH("osr",F104)),ISNUMBER(SEARCH("linseed",F104)),ISNUMBER(SEARCH("sugarbeet",F104))),
IF(COUNTIF(B99:B103,B104)=5,
INDEX('CFT Specific Data'!$G$24:$L$39,MATCH(F104,'CFT Specific Data'!$F$24:$F$39,0),IF(COUNTIF(F99:F103,F104)=5,6,IF(COUNTIF(F100:F103,F104)=4,5,IF(COUNTIF(F101:F103,F104)=3,4,IF(COUNTIF(F102:F103,F104)=2,3,IF(F103=F104,2,1)))))),
IF(COUNTIF(B99:B103,B104)=4,
INDEX('CFT Specific Data'!$G$24:$L$39,MATCH(F104,'CFT Specific Data'!$F$24:$F$39,0),IF(SUM(COUNTIF(F100:F103,F104),COUNTIF(F105,F104))=5,6,IF(COUNTIF(F100:F103,F104)=4,5,IF(COUNTIF(F101:F103,F104)=3,4,IF(COUNTIF(F102:F103,F104)=2,3,IF(F103=F104,2,1)))))),
IF(COUNTIF(B99:B103,B104)=3,
INDEX('CFT Specific Data'!$G$24:$L$39,MATCH(F104,'CFT Specific Data'!$F$24:$F$39,0),IF(SUM(COUNTIF(F101:F103,F104),COUNTIF(F105:F106,F104))=5,6,IF(SUM(COUNTIF(F101:F103,F104),COUNTIF(F106,F104))=4,5,IF(COUNTIF(F101:F103,F104)=3,4,IF(COUNTIF(F102:F103,F104)=2,3,IF(F103=F104,2,1)))))),
IF(COUNTIF(B99:B103,B104)=2,
INDEX('CFT Specific Data'!$G$24:$L$39,MATCH(F104,'CFT Specific Data'!$F$24:$F$39,0),IF(SUM(COUNTIF(F102:F103,F104),COUNTIF(F105:F107,F104))=5,6,IF(SUM(COUNTIF(F102:F103,F104),COUNTIF(F106:F107,F104))=4,5,IF(SUM(COUNTIF(F102:F103,F104),COUNTIF(F107,F104))=3,4,IF(COUNTIF(F102:F103,F104)=2,3,IF(F103=F104,2,1)))))),
IF(COUNTIF(B99:B103,B104)=1,
INDEX('CFT Specific Data'!$G$24:$L$39,MATCH(F104,'CFT Specific Data'!$F$24:$F$39,0),IF(SUM(COUNTIF(F103,F104),COUNTIF(F105:F108,F104))=5,6,IF(SUM(COUNTIF(F103,F104),COUNTIF(F106:F108,F104))=4,5,IF(SUM(COUNTIF(F103,F104),COUNTIF(F107:F108,F104))=3,4,IF(SUM(COUNTIF(F103,F104),COUNTIF(F108,F104))=2,3,IF(F103=F104,2,1)))))),
IF(COUNTIF(B99:B103,B104)=0,
INDEX('CFT Specific Data'!$G$24:$L$39,MATCH(F104,'CFT Specific Data'!$F$24:$F$39,0),IF(COUNTIF(F105:F109,F104)=5,6,IF(COUNTIF(F106:F109,F104)=4,5,IF(COUNTIF(F107:F109,F104)=3,4,IF(COUNTIF(F108:F109,F104)=2,3,IF(F109=F104,2,1)))))))))))),1)</f>
        <v>55.728000000000002</v>
      </c>
      <c r="I104" s="210" t="s">
        <v>348</v>
      </c>
      <c r="J104">
        <v>10</v>
      </c>
      <c r="K104" s="210" t="str">
        <f>VLOOKUP(F104,'CFT Specific Data'!$F$4:$G$19,2,FALSE)</f>
        <v>Winter wheat</v>
      </c>
      <c r="L104" t="str">
        <f t="shared" si="8"/>
        <v>Coarse</v>
      </c>
      <c r="M104">
        <f t="shared" si="9"/>
        <v>5.16</v>
      </c>
      <c r="N104" t="str">
        <f t="shared" si="10"/>
        <v>1.72 &lt; SOM &lt;= 5.16</v>
      </c>
      <c r="O104" t="s">
        <v>349</v>
      </c>
      <c r="P104" t="s">
        <v>350</v>
      </c>
      <c r="Q104">
        <v>7</v>
      </c>
      <c r="R104" t="str">
        <f t="shared" si="6"/>
        <v>5.5 &lt; pH &lt;= 7.3</v>
      </c>
      <c r="S104" t="s">
        <v>351</v>
      </c>
      <c r="T104" s="210">
        <f t="array" ref="T104">_xlfn.SINGLE(INDEX('Focus Data NFertiliser Rate'!$D$4:$P$19,MATCH(F104,'Focus Data NFertiliser Rate'!$C$4:$C$19,0),_xlfn.SINGLE(_xlfn.IFS(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220</v>
      </c>
      <c r="U104" t="str">
        <f t="shared" si="11"/>
        <v>Apply in solution</v>
      </c>
      <c r="V104" s="210">
        <f t="array" ref="V104">_xlfn.SINGLE(INDEX('№ Fertiliser sprayings'!$D$4:$P$19,MATCH(F104,'№ Fertiliser sprayings'!$C$4:$C$19,0),_xlfn.SINGLE(_xlfn.IFS(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3</v>
      </c>
      <c r="W104" s="264">
        <f t="array" ref="W104">_xlfn.SINGLE(INDEX('Focus Data CFT NSpraying'!$D$4:$P$19,MATCH(F104,'Focus Data CFT NSpraying'!$C$4:$C$19,0),_xlfn.SINGLE(_xlfn.IFS(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6.3887999999999998</v>
      </c>
      <c r="X104" t="s">
        <v>363</v>
      </c>
      <c r="Y104">
        <v>0</v>
      </c>
      <c r="Z104">
        <v>100</v>
      </c>
      <c r="AA104" t="s">
        <v>352</v>
      </c>
      <c r="AB104" s="226" t="str">
        <f>IF(B104=B103,_xlfn.IFS(
AND(AA104=Lists!$L$8,AA103=Lists!$L$8),Lists!$N$5,
AND(OR(AA104=Lists!$L$5,AA104=Lists!$L$7,AA104=Lists!$L$9,AA104=Lists!$L$10,AA104=Lists!$L$6),OR(AA103=Lists!$L$5,AA103=Lists!$L$7,AA103=Lists!$L$9,AA103=Lists!$L$10,AA103=Lists!$L$6)),Lists!$N$5,
AND(AA104=Lists!$L$8,OR(AA103=Lists!$L$5,AA103=Lists!$L$7,AA103=Lists!$L$9,AA103=Lists!$L$10,AA103=Lists!$L$6)),Lists!$N$6,
AND(OR(AA104=Lists!$L$5,AA104=Lists!$L$6,AA104=Lists!$L$7,AA104=Lists!$L$9,AA104=Lists!$L$10),AA103=Lists!$L$8),Lists!$N$7),
_xlfn.IFS(
AND(AA104=Lists!$L$8,AA109=Lists!$L$8),Lists!$N$5,
AND(OR(AA104=Lists!$L$5,AA104=Lists!$L$7,AA104=Lists!$L$9,AA104=Lists!$L$10,AA104=Lists!$L$6),OR(AA109=Lists!$L$5,AA109=Lists!$L$7,AA109=Lists!$L$9,AA109=Lists!$L$10,AA109=Lists!$L$6)),Lists!$N$5,
AND(AA104=Lists!$L$8,OR(AA109=Lists!$L$5,AA109=Lists!$L$7,AA109=Lists!$L$9,AA109=Lists!$L$10,AA109=Lists!$L$6)),Lists!$N$6,
AND(OR(AA104=Lists!$L$5,AA104=Lists!$L$7,AA104=Lists!$L$9,AA104=Lists!$L$10),AA109=Lists!$L$8),Lists!$N$7))</f>
        <v>no change</v>
      </c>
      <c r="AC104">
        <v>0</v>
      </c>
      <c r="AD104">
        <v>0</v>
      </c>
      <c r="AE104" s="102">
        <f t="array" ref="AE104">IF(OR(ISNUMBER(SEARCH("heavy",A104))=TRUE, ISNUMBER(SEARCH("medium",A104))=TRUE),
(LEN(_xlfn.SINGLE(
INDEX('Focus Data Tillage by farm'!$D$4:$P$9,MATCH(D104,'Focus Data Tillage by farm'!$C$4:$C$9,0),_xlfn.SINGLE(_xlfn.IFS(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-LEN(SUBSTITUTE(_xlfn.SINGLE(
INDEX('Focus Data Tillage by farm'!$D$4:$P$9,MATCH(D104,'Focus Data Tillage by farm'!$C$4:$C$9,0),_xlfn.SINGLE(_xlfn.IFS(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"disc","")))/LEN("disc"),
(LEN(_xlfn.SINGLE(
INDEX('Focus Data Tillage by farm'!$D$12:$P$17,MATCH(D104,'Focus Data Tillage by farm'!$C$12:$C$17,0),_xlfn.SINGLE(_xlfn.IFS(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-LEN(SUBSTITUTE(_xlfn.SINGLE(
INDEX('Focus Data Tillage by farm'!$D$12:$P$17,MATCH(D104,'Focus Data Tillage by farm'!$C$12:$C$17,0),_xlfn.SINGLE(_xlfn.IFS(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"disc","")))/LEN("disc"))</f>
        <v>2</v>
      </c>
      <c r="AF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"field cultivator","")))/LEN("field cultivator"),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"field cultivator","")))/LEN("field cultivator"))</f>
        <v>0</v>
      </c>
      <c r="AG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"grain drill","")))/LEN("grain drill"),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"grain drill","")))/LEN("grain drill"))</f>
        <v>0</v>
      </c>
      <c r="AH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"minimum tillage","")))/LEN("minimum tillage"),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"minimum tillage","")))/LEN("minimum tillage"))</f>
        <v>1</v>
      </c>
      <c r="AI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"row crop planter","")))/LEN("row crop planter"),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"row crop planter","")))/LEN("row crop planter"))</f>
        <v>0</v>
      </c>
      <c r="AJ104" s="102">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"plough","")))/LEN("plough"),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"plough","")))/LEN("plough"))</f>
        <v>0</v>
      </c>
      <c r="AK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harrow","")))/LEN("roller harrow"),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harrow","")))/LEN("roller harrow"))</f>
        <v>0</v>
      </c>
      <c r="AL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packer","")))/LEN("roller packer"),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"roller packer","")))/LEN("roller packer"))</f>
        <v>2</v>
      </c>
      <c r="AM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"rotary hoe","")))/LEN("rotary hoe"),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"rotary hoe","")))/LEN("rotary hoe"))</f>
        <v>0</v>
      </c>
      <c r="AN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"subsoil","")))/LEN("subsoil"),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"subsoil","")))/LEN("subsoil"))</f>
        <v>0</v>
      </c>
      <c r="AO104">
        <f>IF(OR(ISNUMBER(SEARCH("heavy",A104))=TRUE, ISNUMBER(SEARCH("medium",A104))=TRUE),
(LEN(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farm'!$D$4:$P$9,MATCH(D104,'Focus Data Tillage by farm'!$C$4:$C$9,0),_xlfn.IFS(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"tine harrow","")))/LEN("tine harrow"),
(LEN(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-LEN(SUBSTITUTE(
INDEX('Focus Data Tillage by farm'!$D$12:$P$17,MATCH(D104,'Focus Data Tillage by farm'!$C$12:$C$17,0),_xlfn.IFS(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
"tine harrow","")))/LEN("tine harrow"))</f>
        <v>0</v>
      </c>
      <c r="AP104" s="102">
        <f>INDEX('Focus Data NSpraying'!$D$4:$P$19,MATCH(F104,'Focus Data NSpraying'!$C$4:$C$19,0),_xlfn.IFS(
AND(ISNUMBER(SEARCH("H-Dsty.",A104))=TRUE,ISNUMBER(SEARCH("H-Res",A104))=TRUE,ISNUMBER(SEARCH("E.",A104))=TRUE),1,
AND(ISNUMBER(SEARCH("H-Dsty.",A104))=TRUE,ISNUMBER(SEARCH("H-Res",A104))=TRUE,OR(ISNUMBER(SEARCH("N.he",A104))=TRUE,ISNUMBER(SEARCH("N.me",A104))=TRUE,ISNUMBER(SEARCH("N.li",A104))=TRUE)),2,
AND(ISNUMBER(SEARCH("H-Dsty.",A104))=TRUE,ISNUMBER(SEARCH("H-Res",A104))=TRUE,ISNUMBER(SEARCH("C.",A104))=TRUE),3,
AND(ISNUMBER(SEARCH("L-Dsty.",A104))=TRUE,ISNUMBER(SEARCH("H-Res",A104))=TRUE,ISNUMBER(SEARCH("E.",A104))=TRUE),6,
AND(ISNUMBER(SEARCH("L-Dsty.",A104))=TRUE,ISNUMBER(SEARCH("H-Res",A104))=TRUE,OR(ISNUMBER(SEARCH("N.he",A104))=TRUE,ISNUMBER(SEARCH("N.me",A104))=TRUE,ISNUMBER(SEARCH("N.li",A104))=TRUE)),7,
AND(ISNUMBER(SEARCH("L-Dsty.",A104))=TRUE,ISNUMBER(SEARCH("H-Res",A104))=TRUE,ISNUMBER(SEARCH("C.",A104))=TRUE),8,
AND(ISNUMBER(SEARCH("L-Dsty.",A104))=TRUE,ISNUMBER(SEARCH("L-Res",A104))=TRUE,ISNUMBER(SEARCH("E.",A104))=TRUE),11,
AND(ISNUMBER(SEARCH("L-Dsty.",A104))=TRUE,ISNUMBER(SEARCH("L-Res",A104))=TRUE,OR(ISNUMBER(SEARCH("N.he",A104))=TRUE,ISNUMBER(SEARCH("N.me",A104))=TRUE,ISNUMBER(SEARCH("N.li",A104))=TRUE)),12,
AND(ISNUMBER(SEARCH("L-Dsty.",A104))=TRUE,ISNUMBER(SEARCH("L-Res",A104))=TRUE,ISNUMBER(SEARCH("C.",A104))=TRUE),13))</f>
        <v>4</v>
      </c>
    </row>
    <row r="105" spans="1:42" x14ac:dyDescent="0.2">
      <c r="A105" t="s">
        <v>510</v>
      </c>
      <c r="B105" s="210" t="str">
        <f t="array" ref="B105">INDEX(ECOMOD_input_estimate!$A$2:$A$55, MATCH(CFT_input!$A105, ECOMOD_input_estimate!$B:$B, 0))</f>
        <v>FF_18.2</v>
      </c>
      <c r="C105" s="210">
        <v>2020</v>
      </c>
      <c r="D105" s="395" t="s">
        <v>730</v>
      </c>
      <c r="E105" s="210" t="str">
        <f t="shared" si="7"/>
        <v>E.light.L-Dsty.L-Res</v>
      </c>
      <c r="F105" s="210" t="str">
        <f t="array" ref="F105">_xlfn.SINGLE(IF(OR(ISNUMBER(SEARCH("heavy",A105))=TRUE,ISNUMBER(SEARCH("medium",A105))=TRUE),
INDEX('Focus Data Crop Rotations'!$D$4:$P$9,MATCH(D105,'Focus Data Crop Rotations'!$C$4:$C$9,0),_xlfn.SINGLE(_xlfn.IFS(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INDEX('Focus Data Crop Rotations'!$D$12:$P$17,MATCH(D105,'Focus Data Crop Rotations'!$C$12:$C$17,0),_xlfn.SINGLE(_xlfn.IFS(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wosr</v>
      </c>
      <c r="G105">
        <v>7.2</v>
      </c>
      <c r="H105" s="227">
        <f>VLOOKUP(F105,'CFT Specific Data'!$F$4:$H$19,3,FALSE)*G105*
IF(B105=B104,
IF(AND(ISNUMBER(SEARCH("wheat",F105))=TRUE,ISNUMBER(SEARCH("Barley",F104))=TRUE),0.89,
IF(AND(ISNUMBER(SEARCH("wheat",F105))=TRUE,F104="setaside"),0.94,
IF(AND(ISNUMBER(SEARCH("barley",F105))=TRUE,ISNUMBER(SEARCH("wheat",F104))=TRUE),0.89,
IF(AND(F105="winterbarley",F104="setaside"),0.94,
IF(AND(F105="sugarbeet",F104="warepotatoes"),0.95,
IF(AND((OR(ISNUMBER(SEARCH("beans",F105)),ISNUMBER(SEARCH("driedpeas",F105)),ISNUMBER(SEARCH("sugarbeet",F105)))=TRUE),ISNUMBER(SEARCH("osr",F104))=TRUE),0,
IF(AND((OR((ISNUMBER(SEARCH("wheat",F105))),ISNUMBER(SEARCH("linseed",F105)),ISNUMBER(SEARCH("driedpeas",F105)),ISNUMBER(SEARCH("osr",F105)))=TRUE),F104="sugarbeet"),0,
IF(AND((OR((ISNUMBER(SEARCH("osr",F105))),ISNUMBER(SEARCH("linseed",F105)))=TRUE),ISNUMBER(SEARCH("beans",F104))=TRUE),0,
IF(AND(F105="wosr",ISNUMBER(SEARCH("linseed",F104))=TRUE),0,
IF(AND(F105="sugarbeet",F104="warepotatoes"),0,
1)))))))))),
IF(AND(ISNUMBER(SEARCH("wheat",F105))=TRUE,ISNUMBER(SEARCH("Barley",F110))=TRUE),0.89,
IF(AND(ISNUMBER(SEARCH("wheat",F105))=TRUE,F110="setaside"),0.94,
IF(AND(ISNUMBER(SEARCH("barley",F105))=TRUE,ISNUMBER(SEARCH("wheat",F110))=TRUE),0.89,
IF(AND(F105="winterbarley",F110="setaside"),0.94,
IF(AND(F105="sugarbeet",F110="warepotatoes"),0.95,
IF(AND((OR(ISNUMBER(SEARCH("beans",F105)),ISNUMBER(SEARCH("driedpeas",F105)),ISNUMBER(SEARCH("sugarbeet",F105)))=TRUE),ISNUMBER(SEARCH("osr",F110))=TRUE),0,
IF(AND((OR((ISNUMBER(SEARCH("wheat",F105))),ISNUMBER(SEARCH("linseed",F105)),ISNUMBER(SEARCH("driedpeas",F105)),ISNUMBER(SEARCH("osr",F105)))=TRUE),F110="sugarbeet"),0,
IF(AND((OR((ISNUMBER(SEARCH("osr",F105))),ISNUMBER(SEARCH("linseed",F105)))=TRUE),ISNUMBER(SEARCH("beans",F110))=TRUE),0,
IF(AND(F105="wosr",ISNUMBER(SEARCH("linseed",F110))=TRUE),0,
IF(AND(F105="sugarbeet",F110="warepotatoes"),0,
1)))))))))))
*IF(OR(ISNUMBER(SEARCH("wheat",F105)),ISNUMBER(SEARCH("barley",F105)),ISNUMBER(SEARCH("driedpeas",F105)),ISNUMBER(SEARCH("warepotatoes",F105)),ISNUMBER(SEARCH("osr",F105)),ISNUMBER(SEARCH("linseed",F105)),ISNUMBER(SEARCH("sugarbeet",F105))),
IF(COUNTIF(B100:B104,B105)=5,
INDEX('CFT Specific Data'!$G$24:$L$39,MATCH(F105,'CFT Specific Data'!$F$24:$F$39,0),IF(COUNTIF(F100:F104,F105)=5,6,IF(COUNTIF(F101:F104,F105)=4,5,IF(COUNTIF(F102:F104,F105)=3,4,IF(COUNTIF(F103:F104,F105)=2,3,IF(F104=F105,2,1)))))),
IF(COUNTIF(B100:B104,B105)=4,
INDEX('CFT Specific Data'!$G$24:$L$39,MATCH(F105,'CFT Specific Data'!$F$24:$F$39,0),IF(SUM(COUNTIF(F101:F104,F105),COUNTIF(F106,F105))=5,6,IF(COUNTIF(F101:F104,F105)=4,5,IF(COUNTIF(F102:F104,F105)=3,4,IF(COUNTIF(F103:F104,F105)=2,3,IF(F104=F105,2,1)))))),
IF(COUNTIF(B100:B104,B105)=3,
INDEX('CFT Specific Data'!$G$24:$L$39,MATCH(F105,'CFT Specific Data'!$F$24:$F$39,0),IF(SUM(COUNTIF(F102:F104,F105),COUNTIF(F106:F107,F105))=5,6,IF(SUM(COUNTIF(F102:F104,F105),COUNTIF(F107,F105))=4,5,IF(COUNTIF(F102:F104,F105)=3,4,IF(COUNTIF(F103:F104,F105)=2,3,IF(F104=F105,2,1)))))),
IF(COUNTIF(B100:B104,B105)=2,
INDEX('CFT Specific Data'!$G$24:$L$39,MATCH(F105,'CFT Specific Data'!$F$24:$F$39,0),IF(SUM(COUNTIF(F103:F104,F105),COUNTIF(F106:F108,F105))=5,6,IF(SUM(COUNTIF(F103:F104,F105),COUNTIF(F107:F108,F105))=4,5,IF(SUM(COUNTIF(F103:F104,F105),COUNTIF(F108,F105))=3,4,IF(COUNTIF(F103:F104,F105)=2,3,IF(F104=F105,2,1)))))),
IF(COUNTIF(B100:B104,B105)=1,
INDEX('CFT Specific Data'!$G$24:$L$39,MATCH(F105,'CFT Specific Data'!$F$24:$F$39,0),IF(SUM(COUNTIF(F104,F105),COUNTIF(F106:F109,F105))=5,6,IF(SUM(COUNTIF(F104,F105),COUNTIF(F107:F109,F105))=4,5,IF(SUM(COUNTIF(F104,F105),COUNTIF(F108:F109,F105))=3,4,IF(SUM(COUNTIF(F104,F105),COUNTIF(F109,F105))=2,3,IF(F104=F105,2,1)))))),
IF(COUNTIF(B100:B104,B105)=0,
INDEX('CFT Specific Data'!$G$24:$L$39,MATCH(F105,'CFT Specific Data'!$F$24:$F$39,0),IF(COUNTIF(F106:F110,F105)=5,6,IF(COUNTIF(F107:F110,F105)=4,5,IF(COUNTIF(F108:F110,F105)=3,4,IF(COUNTIF(F109:F110,F105)=2,3,IF(F110=F105,2,1)))))))))))),1)</f>
        <v>25.2</v>
      </c>
      <c r="I105" s="210" t="s">
        <v>348</v>
      </c>
      <c r="J105">
        <v>10</v>
      </c>
      <c r="K105" s="210" t="str">
        <f>VLOOKUP(F105,'CFT Specific Data'!$F$4:$G$19,2,FALSE)</f>
        <v>Other</v>
      </c>
      <c r="L105" t="str">
        <f t="shared" si="8"/>
        <v>Coarse</v>
      </c>
      <c r="M105">
        <f t="shared" si="9"/>
        <v>5.16</v>
      </c>
      <c r="N105" t="str">
        <f t="shared" si="10"/>
        <v>1.72 &lt; SOM &lt;= 5.16</v>
      </c>
      <c r="O105" t="s">
        <v>349</v>
      </c>
      <c r="P105" t="s">
        <v>350</v>
      </c>
      <c r="Q105">
        <v>7</v>
      </c>
      <c r="R105" t="str">
        <f t="shared" si="6"/>
        <v>5.5 &lt; pH &lt;= 7.3</v>
      </c>
      <c r="S105" t="s">
        <v>351</v>
      </c>
      <c r="T105" s="210">
        <f t="array" ref="T105">_xlfn.SINGLE(INDEX('Focus Data NFertiliser Rate'!$D$4:$P$19,MATCH(F105,'Focus Data NFertiliser Rate'!$C$4:$C$19,0),_xlfn.SINGLE(_xlfn.IFS(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180</v>
      </c>
      <c r="U105" t="str">
        <f t="shared" si="11"/>
        <v>Apply in solution</v>
      </c>
      <c r="V105" s="210">
        <f t="array" ref="V105">_xlfn.SINGLE(INDEX('№ Fertiliser sprayings'!$D$4:$P$19,MATCH(F105,'№ Fertiliser sprayings'!$C$4:$C$19,0),_xlfn.SINGLE(_xlfn.IFS(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3</v>
      </c>
      <c r="W105" s="264">
        <f t="array" ref="W105">_xlfn.SINGLE(INDEX('Focus Data CFT NSpraying'!$D$4:$P$19,MATCH(F105,'Focus Data CFT NSpraying'!$C$4:$C$19,0),_xlfn.SINGLE(_xlfn.IFS(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0</v>
      </c>
      <c r="X105" t="s">
        <v>363</v>
      </c>
      <c r="Y105">
        <v>0</v>
      </c>
      <c r="Z105">
        <v>100</v>
      </c>
      <c r="AA105" t="s">
        <v>352</v>
      </c>
      <c r="AB105" s="226" t="str">
        <f>IF(B105=B104,_xlfn.IFS(
AND(AA105=Lists!$L$8,AA104=Lists!$L$8),Lists!$N$5,
AND(OR(AA105=Lists!$L$5,AA105=Lists!$L$7,AA105=Lists!$L$9,AA105=Lists!$L$10,AA105=Lists!$L$6),OR(AA104=Lists!$L$5,AA104=Lists!$L$7,AA104=Lists!$L$9,AA104=Lists!$L$10,AA104=Lists!$L$6)),Lists!$N$5,
AND(AA105=Lists!$L$8,OR(AA104=Lists!$L$5,AA104=Lists!$L$7,AA104=Lists!$L$9,AA104=Lists!$L$10,AA104=Lists!$L$6)),Lists!$N$6,
AND(OR(AA105=Lists!$L$5,AA105=Lists!$L$6,AA105=Lists!$L$7,AA105=Lists!$L$9,AA105=Lists!$L$10),AA104=Lists!$L$8),Lists!$N$7),
_xlfn.IFS(
AND(AA105=Lists!$L$8,AA110=Lists!$L$8),Lists!$N$5,
AND(OR(AA105=Lists!$L$5,AA105=Lists!$L$7,AA105=Lists!$L$9,AA105=Lists!$L$10,AA105=Lists!$L$6),OR(AA110=Lists!$L$5,AA110=Lists!$L$7,AA110=Lists!$L$9,AA110=Lists!$L$10,AA110=Lists!$L$6)),Lists!$N$5,
AND(AA105=Lists!$L$8,OR(AA110=Lists!$L$5,AA110=Lists!$L$7,AA110=Lists!$L$9,AA110=Lists!$L$10,AA110=Lists!$L$6)),Lists!$N$6,
AND(OR(AA105=Lists!$L$5,AA105=Lists!$L$7,AA105=Lists!$L$9,AA105=Lists!$L$10),AA110=Lists!$L$8),Lists!$N$7))</f>
        <v>no change</v>
      </c>
      <c r="AC105">
        <v>0</v>
      </c>
      <c r="AD105">
        <v>0</v>
      </c>
      <c r="AE105" s="102">
        <f t="array" ref="AE105">IF(OR(ISNUMBER(SEARCH("heavy",A105))=TRUE, ISNUMBER(SEARCH("medium",A105))=TRUE),
(LEN(_xlfn.SINGLE(
INDEX('Focus Data Tillage by farm'!$D$4:$P$9,MATCH(D105,'Focus Data Tillage by farm'!$C$4:$C$9,0),_xlfn.SINGLE(_xlfn.IFS(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-LEN(SUBSTITUTE(_xlfn.SINGLE(
INDEX('Focus Data Tillage by farm'!$D$4:$P$9,MATCH(D105,'Focus Data Tillage by farm'!$C$4:$C$9,0),_xlfn.SINGLE(_xlfn.IFS(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"disc","")))/LEN("disc"),
(LEN(_xlfn.SINGLE(
INDEX('Focus Data Tillage by farm'!$D$12:$P$17,MATCH(D105,'Focus Data Tillage by farm'!$C$12:$C$17,0),_xlfn.SINGLE(_xlfn.IFS(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-LEN(SUBSTITUTE(_xlfn.SINGLE(
INDEX('Focus Data Tillage by farm'!$D$12:$P$17,MATCH(D105,'Focus Data Tillage by farm'!$C$12:$C$17,0),_xlfn.SINGLE(_xlfn.IFS(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"disc","")))/LEN("disc"))</f>
        <v>0</v>
      </c>
      <c r="AF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"field cultivator","")))/LEN("field cultivator"),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"field cultivator","")))/LEN("field cultivator"))</f>
        <v>0</v>
      </c>
      <c r="AG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"grain drill","")))/LEN("grain drill"),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"grain drill","")))/LEN("grain drill"))</f>
        <v>0</v>
      </c>
      <c r="AH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"minimum tillage","")))/LEN("minimum tillage"),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"minimum tillage","")))/LEN("minimum tillage"))</f>
        <v>0</v>
      </c>
      <c r="AI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"row crop planter","")))/LEN("row crop planter"),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"row crop planter","")))/LEN("row crop planter"))</f>
        <v>0</v>
      </c>
      <c r="AJ105" s="102">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"plough","")))/LEN("plough"),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"plough","")))/LEN("plough"))</f>
        <v>0</v>
      </c>
      <c r="AK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harrow","")))/LEN("roller harrow"),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harrow","")))/LEN("roller harrow"))</f>
        <v>0</v>
      </c>
      <c r="AL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packer","")))/LEN("roller packer"),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"roller packer","")))/LEN("roller packer"))</f>
        <v>1</v>
      </c>
      <c r="AM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"rotary hoe","")))/LEN("rotary hoe"),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"rotary hoe","")))/LEN("rotary hoe"))</f>
        <v>0</v>
      </c>
      <c r="AN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"subsoil","")))/LEN("subsoil"),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"subsoil","")))/LEN("subsoil"))</f>
        <v>1</v>
      </c>
      <c r="AO105">
        <f>IF(OR(ISNUMBER(SEARCH("heavy",A105))=TRUE, ISNUMBER(SEARCH("medium",A105))=TRUE),
(LEN(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farm'!$D$4:$P$9,MATCH(D105,'Focus Data Tillage by farm'!$C$4:$C$9,0),_xlfn.IFS(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"tine harrow","")))/LEN("tine harrow"),
(LEN(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-LEN(SUBSTITUTE(
INDEX('Focus Data Tillage by farm'!$D$12:$P$17,MATCH(D105,'Focus Data Tillage by farm'!$C$12:$C$17,0),_xlfn.IFS(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
"tine harrow","")))/LEN("tine harrow"))</f>
        <v>0</v>
      </c>
      <c r="AP105" s="102">
        <f>INDEX('Focus Data NSpraying'!$D$4:$P$19,MATCH(F105,'Focus Data NSpraying'!$C$4:$C$19,0),_xlfn.IFS(
AND(ISNUMBER(SEARCH("H-Dsty.",A105))=TRUE,ISNUMBER(SEARCH("H-Res",A105))=TRUE,ISNUMBER(SEARCH("E.",A105))=TRUE),1,
AND(ISNUMBER(SEARCH("H-Dsty.",A105))=TRUE,ISNUMBER(SEARCH("H-Res",A105))=TRUE,OR(ISNUMBER(SEARCH("N.he",A105))=TRUE,ISNUMBER(SEARCH("N.me",A105))=TRUE,ISNUMBER(SEARCH("N.li",A105))=TRUE)),2,
AND(ISNUMBER(SEARCH("H-Dsty.",A105))=TRUE,ISNUMBER(SEARCH("H-Res",A105))=TRUE,ISNUMBER(SEARCH("C.",A105))=TRUE),3,
AND(ISNUMBER(SEARCH("L-Dsty.",A105))=TRUE,ISNUMBER(SEARCH("H-Res",A105))=TRUE,ISNUMBER(SEARCH("E.",A105))=TRUE),6,
AND(ISNUMBER(SEARCH("L-Dsty.",A105))=TRUE,ISNUMBER(SEARCH("H-Res",A105))=TRUE,OR(ISNUMBER(SEARCH("N.he",A105))=TRUE,ISNUMBER(SEARCH("N.me",A105))=TRUE,ISNUMBER(SEARCH("N.li",A105))=TRUE)),7,
AND(ISNUMBER(SEARCH("L-Dsty.",A105))=TRUE,ISNUMBER(SEARCH("H-Res",A105))=TRUE,ISNUMBER(SEARCH("C.",A105))=TRUE),8,
AND(ISNUMBER(SEARCH("L-Dsty.",A105))=TRUE,ISNUMBER(SEARCH("L-Res",A105))=TRUE,ISNUMBER(SEARCH("E.",A105))=TRUE),11,
AND(ISNUMBER(SEARCH("L-Dsty.",A105))=TRUE,ISNUMBER(SEARCH("L-Res",A105))=TRUE,OR(ISNUMBER(SEARCH("N.he",A105))=TRUE,ISNUMBER(SEARCH("N.me",A105))=TRUE,ISNUMBER(SEARCH("N.li",A105))=TRUE)),12,
AND(ISNUMBER(SEARCH("L-Dsty.",A105))=TRUE,ISNUMBER(SEARCH("L-Res",A105))=TRUE,ISNUMBER(SEARCH("C.",A105))=TRUE),13))</f>
        <v>0</v>
      </c>
    </row>
    <row r="106" spans="1:42" x14ac:dyDescent="0.2">
      <c r="A106" t="s">
        <v>510</v>
      </c>
      <c r="B106" s="210" t="str">
        <f t="array" ref="B106">INDEX(ECOMOD_input_estimate!$A$2:$A$55, MATCH(CFT_input!$A106, ECOMOD_input_estimate!$B:$B, 0))</f>
        <v>FF_18.2</v>
      </c>
      <c r="C106" s="210">
        <v>2020</v>
      </c>
      <c r="D106" s="395" t="s">
        <v>1694</v>
      </c>
      <c r="E106" s="210" t="str">
        <f t="shared" si="7"/>
        <v>E.light.L-Dsty.L-Res</v>
      </c>
      <c r="F106" s="210" t="str">
        <f t="array" ref="F106">_xlfn.SINGLE(IF(OR(ISNUMBER(SEARCH("heavy",A106))=TRUE,ISNUMBER(SEARCH("medium",A106))=TRUE),
INDEX('Focus Data Crop Rotations'!$D$4:$P$9,MATCH(D106,'Focus Data Crop Rotations'!$C$4:$C$9,0),_xlfn.SINGLE(_xlfn.IFS(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INDEX('Focus Data Crop Rotations'!$D$12:$P$17,MATCH(D106,'Focus Data Crop Rotations'!$C$12:$C$17,0),_xlfn.SINGLE(_xlfn.IFS(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winterwheat</v>
      </c>
      <c r="G106">
        <v>7.2</v>
      </c>
      <c r="H106" s="227">
        <f>VLOOKUP(F106,'CFT Specific Data'!$F$4:$H$19,3,FALSE)*G106*
IF(B106=B105,
IF(AND(ISNUMBER(SEARCH("wheat",F106))=TRUE,ISNUMBER(SEARCH("Barley",F105))=TRUE),0.89,
IF(AND(ISNUMBER(SEARCH("wheat",F106))=TRUE,F105="setaside"),0.94,
IF(AND(ISNUMBER(SEARCH("barley",F106))=TRUE,ISNUMBER(SEARCH("wheat",F105))=TRUE),0.89,
IF(AND(F106="winterbarley",F105="setaside"),0.94,
IF(AND(F106="sugarbeet",F105="warepotatoes"),0.95,
IF(AND((OR(ISNUMBER(SEARCH("beans",F106)),ISNUMBER(SEARCH("driedpeas",F106)),ISNUMBER(SEARCH("sugarbeet",F106)))=TRUE),ISNUMBER(SEARCH("osr",F105))=TRUE),0,
IF(AND((OR((ISNUMBER(SEARCH("wheat",F106))),ISNUMBER(SEARCH("linseed",F106)),ISNUMBER(SEARCH("driedpeas",F106)),ISNUMBER(SEARCH("osr",F106)))=TRUE),F105="sugarbeet"),0,
IF(AND((OR((ISNUMBER(SEARCH("osr",F106))),ISNUMBER(SEARCH("linseed",F106)))=TRUE),ISNUMBER(SEARCH("beans",F105))=TRUE),0,
IF(AND(F106="wosr",ISNUMBER(SEARCH("linseed",F105))=TRUE),0,
IF(AND(F106="sugarbeet",F105="warepotatoes"),0,
1)))))))))),
IF(AND(ISNUMBER(SEARCH("wheat",F106))=TRUE,ISNUMBER(SEARCH("Barley",F111))=TRUE),0.89,
IF(AND(ISNUMBER(SEARCH("wheat",F106))=TRUE,F111="setaside"),0.94,
IF(AND(ISNUMBER(SEARCH("barley",F106))=TRUE,ISNUMBER(SEARCH("wheat",F111))=TRUE),0.89,
IF(AND(F106="winterbarley",F111="setaside"),0.94,
IF(AND(F106="sugarbeet",F111="warepotatoes"),0.95,
IF(AND((OR(ISNUMBER(SEARCH("beans",F106)),ISNUMBER(SEARCH("driedpeas",F106)),ISNUMBER(SEARCH("sugarbeet",F106)))=TRUE),ISNUMBER(SEARCH("osr",F111))=TRUE),0,
IF(AND((OR((ISNUMBER(SEARCH("wheat",F106))),ISNUMBER(SEARCH("linseed",F106)),ISNUMBER(SEARCH("driedpeas",F106)),ISNUMBER(SEARCH("osr",F106)))=TRUE),F111="sugarbeet"),0,
IF(AND((OR((ISNUMBER(SEARCH("osr",F106))),ISNUMBER(SEARCH("linseed",F106)))=TRUE),ISNUMBER(SEARCH("beans",F111))=TRUE),0,
IF(AND(F106="wosr",ISNUMBER(SEARCH("linseed",F111))=TRUE),0,
IF(AND(F106="sugarbeet",F111="warepotatoes"),0,
1)))))))))))
*IF(OR(ISNUMBER(SEARCH("wheat",F106)),ISNUMBER(SEARCH("barley",F106)),ISNUMBER(SEARCH("driedpeas",F106)),ISNUMBER(SEARCH("warepotatoes",F106)),ISNUMBER(SEARCH("osr",F106)),ISNUMBER(SEARCH("linseed",F106)),ISNUMBER(SEARCH("sugarbeet",F106))),
IF(COUNTIF(B101:B105,B106)=5,
INDEX('CFT Specific Data'!$G$24:$L$39,MATCH(F106,'CFT Specific Data'!$F$24:$F$39,0),IF(COUNTIF(F101:F105,F106)=5,6,IF(COUNTIF(F102:F105,F106)=4,5,IF(COUNTIF(F103:F105,F106)=3,4,IF(COUNTIF(F104:F105,F106)=2,3,IF(F105=F106,2,1)))))),
IF(COUNTIF(B101:B105,B106)=4,
INDEX('CFT Specific Data'!$G$24:$L$39,MATCH(F106,'CFT Specific Data'!$F$24:$F$39,0),IF(SUM(COUNTIF(F102:F105,F106),COUNTIF(F107,F106))=5,6,IF(COUNTIF(F102:F105,F106)=4,5,IF(COUNTIF(F103:F105,F106)=3,4,IF(COUNTIF(F104:F105,F106)=2,3,IF(F105=F106,2,1)))))),
IF(COUNTIF(B101:B105,B106)=3,
INDEX('CFT Specific Data'!$G$24:$L$39,MATCH(F106,'CFT Specific Data'!$F$24:$F$39,0),IF(SUM(COUNTIF(F103:F105,F106),COUNTIF(F107:F108,F106))=5,6,IF(SUM(COUNTIF(F103:F105,F106),COUNTIF(F108,F106))=4,5,IF(COUNTIF(F103:F105,F106)=3,4,IF(COUNTIF(F104:F105,F106)=2,3,IF(F105=F106,2,1)))))),
IF(COUNTIF(B101:B105,B106)=2,
INDEX('CFT Specific Data'!$G$24:$L$39,MATCH(F106,'CFT Specific Data'!$F$24:$F$39,0),IF(SUM(COUNTIF(F104:F105,F106),COUNTIF(F107:F109,F106))=5,6,IF(SUM(COUNTIF(F104:F105,F106),COUNTIF(F108:F109,F106))=4,5,IF(SUM(COUNTIF(F104:F105,F106),COUNTIF(F109,F106))=3,4,IF(COUNTIF(F104:F105,F106)=2,3,IF(F105=F106,2,1)))))),
IF(COUNTIF(B101:B105,B106)=1,
INDEX('CFT Specific Data'!$G$24:$L$39,MATCH(F106,'CFT Specific Data'!$F$24:$F$39,0),IF(SUM(COUNTIF(F105,F106),COUNTIF(F107:F110,F106))=5,6,IF(SUM(COUNTIF(F105,F106),COUNTIF(F108:F110,F106))=4,5,IF(SUM(COUNTIF(F105,F106),COUNTIF(F109:F110,F106))=3,4,IF(SUM(COUNTIF(F105,F106),COUNTIF(F110,F106))=2,3,IF(F105=F106,2,1)))))),
IF(COUNTIF(B101:B105,B106)=0,
INDEX('CFT Specific Data'!$G$24:$L$39,MATCH(F106,'CFT Specific Data'!$F$24:$F$39,0),IF(COUNTIF(F107:F111,F106)=5,6,IF(COUNTIF(F108:F111,F106)=4,5,IF(COUNTIF(F109:F111,F106)=3,4,IF(COUNTIF(F110:F111,F106)=2,3,IF(F111=F106,2,1)))))))))))),1)</f>
        <v>61.92</v>
      </c>
      <c r="I106" s="210" t="s">
        <v>348</v>
      </c>
      <c r="J106">
        <v>10</v>
      </c>
      <c r="K106" s="210" t="str">
        <f>VLOOKUP(F106,'CFT Specific Data'!$F$4:$G$19,2,FALSE)</f>
        <v>Winter wheat</v>
      </c>
      <c r="L106" t="str">
        <f t="shared" si="8"/>
        <v>Coarse</v>
      </c>
      <c r="M106">
        <f t="shared" si="9"/>
        <v>5.16</v>
      </c>
      <c r="N106" t="str">
        <f t="shared" si="10"/>
        <v>1.72 &lt; SOM &lt;= 5.16</v>
      </c>
      <c r="O106" t="s">
        <v>349</v>
      </c>
      <c r="P106" t="s">
        <v>350</v>
      </c>
      <c r="Q106">
        <v>7</v>
      </c>
      <c r="R106" t="str">
        <f t="shared" si="6"/>
        <v>5.5 &lt; pH &lt;= 7.3</v>
      </c>
      <c r="S106" t="s">
        <v>351</v>
      </c>
      <c r="T106" s="210">
        <f t="array" ref="T106">_xlfn.SINGLE(INDEX('Focus Data NFertiliser Rate'!$D$4:$P$19,MATCH(F106,'Focus Data NFertiliser Rate'!$C$4:$C$19,0),_xlfn.SINGLE(_xlfn.IFS(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220</v>
      </c>
      <c r="U106" t="str">
        <f t="shared" si="11"/>
        <v>Apply in solution</v>
      </c>
      <c r="V106" s="210">
        <f t="array" ref="V106">_xlfn.SINGLE(INDEX('№ Fertiliser sprayings'!$D$4:$P$19,MATCH(F106,'№ Fertiliser sprayings'!$C$4:$C$19,0),_xlfn.SINGLE(_xlfn.IFS(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3</v>
      </c>
      <c r="W106" s="264">
        <f t="array" ref="W106">_xlfn.SINGLE(INDEX('Focus Data CFT NSpraying'!$D$4:$P$19,MATCH(F106,'Focus Data CFT NSpraying'!$C$4:$C$19,0),_xlfn.SINGLE(_xlfn.IFS(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6.3887999999999998</v>
      </c>
      <c r="X106" t="s">
        <v>363</v>
      </c>
      <c r="Y106">
        <v>0</v>
      </c>
      <c r="Z106">
        <v>100</v>
      </c>
      <c r="AA106" t="s">
        <v>352</v>
      </c>
      <c r="AB106" s="226" t="str">
        <f>IF(B106=B105,_xlfn.IFS(
AND(AA106=Lists!$L$8,AA105=Lists!$L$8),Lists!$N$5,
AND(OR(AA106=Lists!$L$5,AA106=Lists!$L$7,AA106=Lists!$L$9,AA106=Lists!$L$10,AA106=Lists!$L$6),OR(AA105=Lists!$L$5,AA105=Lists!$L$7,AA105=Lists!$L$9,AA105=Lists!$L$10,AA105=Lists!$L$6)),Lists!$N$5,
AND(AA106=Lists!$L$8,OR(AA105=Lists!$L$5,AA105=Lists!$L$7,AA105=Lists!$L$9,AA105=Lists!$L$10,AA105=Lists!$L$6)),Lists!$N$6,
AND(OR(AA106=Lists!$L$5,AA106=Lists!$L$6,AA106=Lists!$L$7,AA106=Lists!$L$9,AA106=Lists!$L$10),AA105=Lists!$L$8),Lists!$N$7),
_xlfn.IFS(
AND(AA106=Lists!$L$8,AA111=Lists!$L$8),Lists!$N$5,
AND(OR(AA106=Lists!$L$5,AA106=Lists!$L$7,AA106=Lists!$L$9,AA106=Lists!$L$10,AA106=Lists!$L$6),OR(AA111=Lists!$L$5,AA111=Lists!$L$7,AA111=Lists!$L$9,AA111=Lists!$L$10,AA111=Lists!$L$6)),Lists!$N$5,
AND(AA106=Lists!$L$8,OR(AA111=Lists!$L$5,AA111=Lists!$L$7,AA111=Lists!$L$9,AA111=Lists!$L$10,AA111=Lists!$L$6)),Lists!$N$6,
AND(OR(AA106=Lists!$L$5,AA106=Lists!$L$7,AA106=Lists!$L$9,AA106=Lists!$L$10),AA111=Lists!$L$8),Lists!$N$7))</f>
        <v>no change</v>
      </c>
      <c r="AC106">
        <v>0</v>
      </c>
      <c r="AD106">
        <v>0</v>
      </c>
      <c r="AE106" s="102">
        <f t="array" ref="AE106">IF(OR(ISNUMBER(SEARCH("heavy",A106))=TRUE, ISNUMBER(SEARCH("medium",A106))=TRUE),
(LEN(_xlfn.SINGLE(
INDEX('Focus Data Tillage by farm'!$D$4:$P$9,MATCH(D106,'Focus Data Tillage by farm'!$C$4:$C$9,0),_xlfn.SINGLE(_xlfn.IFS(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-LEN(SUBSTITUTE(_xlfn.SINGLE(
INDEX('Focus Data Tillage by farm'!$D$4:$P$9,MATCH(D106,'Focus Data Tillage by farm'!$C$4:$C$9,0),_xlfn.SINGLE(_xlfn.IFS(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"disc","")))/LEN("disc"),
(LEN(_xlfn.SINGLE(
INDEX('Focus Data Tillage by farm'!$D$12:$P$17,MATCH(D106,'Focus Data Tillage by farm'!$C$12:$C$17,0),_xlfn.SINGLE(_xlfn.IFS(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-LEN(SUBSTITUTE(_xlfn.SINGLE(
INDEX('Focus Data Tillage by farm'!$D$12:$P$17,MATCH(D106,'Focus Data Tillage by farm'!$C$12:$C$17,0),_xlfn.SINGLE(_xlfn.IFS(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"disc","")))/LEN("disc"))</f>
        <v>2</v>
      </c>
      <c r="AF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"field cultivator","")))/LEN("field cultivator"),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"field cultivator","")))/LEN("field cultivator"))</f>
        <v>0</v>
      </c>
      <c r="AG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"grain drill","")))/LEN("grain drill"),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"grain drill","")))/LEN("grain drill"))</f>
        <v>0</v>
      </c>
      <c r="AH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"minimum tillage","")))/LEN("minimum tillage"),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"minimum tillage","")))/LEN("minimum tillage"))</f>
        <v>1</v>
      </c>
      <c r="AI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"row crop planter","")))/LEN("row crop planter"),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"row crop planter","")))/LEN("row crop planter"))</f>
        <v>0</v>
      </c>
      <c r="AJ106" s="102">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"plough","")))/LEN("plough"),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"plough","")))/LEN("plough"))</f>
        <v>0</v>
      </c>
      <c r="AK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harrow","")))/LEN("roller harrow"),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harrow","")))/LEN("roller harrow"))</f>
        <v>0</v>
      </c>
      <c r="AL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packer","")))/LEN("roller packer"),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"roller packer","")))/LEN("roller packer"))</f>
        <v>2</v>
      </c>
      <c r="AM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"rotary hoe","")))/LEN("rotary hoe"),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"rotary hoe","")))/LEN("rotary hoe"))</f>
        <v>0</v>
      </c>
      <c r="AN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"subsoil","")))/LEN("subsoil"),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"subsoil","")))/LEN("subsoil"))</f>
        <v>0</v>
      </c>
      <c r="AO106">
        <f>IF(OR(ISNUMBER(SEARCH("heavy",A106))=TRUE, ISNUMBER(SEARCH("medium",A106))=TRUE),
(LEN(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farm'!$D$4:$P$9,MATCH(D106,'Focus Data Tillage by farm'!$C$4:$C$9,0),_xlfn.IFS(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"tine harrow","")))/LEN("tine harrow"),
(LEN(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-LEN(SUBSTITUTE(
INDEX('Focus Data Tillage by farm'!$D$12:$P$17,MATCH(D106,'Focus Data Tillage by farm'!$C$12:$C$17,0),_xlfn.IFS(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
"tine harrow","")))/LEN("tine harrow"))</f>
        <v>0</v>
      </c>
      <c r="AP106" s="102">
        <f>INDEX('Focus Data NSpraying'!$D$4:$P$19,MATCH(F106,'Focus Data NSpraying'!$C$4:$C$19,0),_xlfn.IFS(
AND(ISNUMBER(SEARCH("H-Dsty.",A106))=TRUE,ISNUMBER(SEARCH("H-Res",A106))=TRUE,ISNUMBER(SEARCH("E.",A106))=TRUE),1,
AND(ISNUMBER(SEARCH("H-Dsty.",A106))=TRUE,ISNUMBER(SEARCH("H-Res",A106))=TRUE,OR(ISNUMBER(SEARCH("N.he",A106))=TRUE,ISNUMBER(SEARCH("N.me",A106))=TRUE,ISNUMBER(SEARCH("N.li",A106))=TRUE)),2,
AND(ISNUMBER(SEARCH("H-Dsty.",A106))=TRUE,ISNUMBER(SEARCH("H-Res",A106))=TRUE,ISNUMBER(SEARCH("C.",A106))=TRUE),3,
AND(ISNUMBER(SEARCH("L-Dsty.",A106))=TRUE,ISNUMBER(SEARCH("H-Res",A106))=TRUE,ISNUMBER(SEARCH("E.",A106))=TRUE),6,
AND(ISNUMBER(SEARCH("L-Dsty.",A106))=TRUE,ISNUMBER(SEARCH("H-Res",A106))=TRUE,OR(ISNUMBER(SEARCH("N.he",A106))=TRUE,ISNUMBER(SEARCH("N.me",A106))=TRUE,ISNUMBER(SEARCH("N.li",A106))=TRUE)),7,
AND(ISNUMBER(SEARCH("L-Dsty.",A106))=TRUE,ISNUMBER(SEARCH("H-Res",A106))=TRUE,ISNUMBER(SEARCH("C.",A106))=TRUE),8,
AND(ISNUMBER(SEARCH("L-Dsty.",A106))=TRUE,ISNUMBER(SEARCH("L-Res",A106))=TRUE,ISNUMBER(SEARCH("E.",A106))=TRUE),11,
AND(ISNUMBER(SEARCH("L-Dsty.",A106))=TRUE,ISNUMBER(SEARCH("L-Res",A106))=TRUE,OR(ISNUMBER(SEARCH("N.he",A106))=TRUE,ISNUMBER(SEARCH("N.me",A106))=TRUE,ISNUMBER(SEARCH("N.li",A106))=TRUE)),12,
AND(ISNUMBER(SEARCH("L-Dsty.",A106))=TRUE,ISNUMBER(SEARCH("L-Res",A106))=TRUE,ISNUMBER(SEARCH("C.",A106))=TRUE),13))</f>
        <v>4</v>
      </c>
    </row>
    <row r="107" spans="1:42" x14ac:dyDescent="0.2">
      <c r="A107" t="s">
        <v>510</v>
      </c>
      <c r="B107" s="210" t="str">
        <f t="array" ref="B107">INDEX(ECOMOD_input_estimate!$A$2:$A$55, MATCH(CFT_input!$A107, ECOMOD_input_estimate!$B:$B, 0))</f>
        <v>FF_18.2</v>
      </c>
      <c r="C107" s="210">
        <v>2020</v>
      </c>
      <c r="D107" s="395" t="s">
        <v>1695</v>
      </c>
      <c r="E107" s="210" t="str">
        <f t="shared" si="7"/>
        <v>E.light.L-Dsty.L-Res</v>
      </c>
      <c r="F107" s="210" t="str">
        <f t="array" ref="F107">_xlfn.SINGLE(IF(OR(ISNUMBER(SEARCH("heavy",A107))=TRUE,ISNUMBER(SEARCH("medium",A107))=TRUE),
INDEX('Focus Data Crop Rotations'!$D$4:$P$9,MATCH(D107,'Focus Data Crop Rotations'!$C$4:$C$9,0),_xlfn.SINGLE(_xlfn.IFS(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INDEX('Focus Data Crop Rotations'!$D$12:$P$17,MATCH(D107,'Focus Data Crop Rotations'!$C$12:$C$17,0),_xlfn.SINGLE(_xlfn.IFS(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winterwheat</v>
      </c>
      <c r="G107">
        <v>7.2</v>
      </c>
      <c r="H107" s="227">
        <f>VLOOKUP(F107,'CFT Specific Data'!$F$4:$H$19,3,FALSE)*G107*
IF(B107=B106,
IF(AND(ISNUMBER(SEARCH("wheat",F107))=TRUE,ISNUMBER(SEARCH("Barley",F106))=TRUE),0.89,
IF(AND(ISNUMBER(SEARCH("wheat",F107))=TRUE,F106="setaside"),0.94,
IF(AND(ISNUMBER(SEARCH("barley",F107))=TRUE,ISNUMBER(SEARCH("wheat",F106))=TRUE),0.89,
IF(AND(F107="winterbarley",F106="setaside"),0.94,
IF(AND(F107="sugarbeet",F106="warepotatoes"),0.95,
IF(AND((OR(ISNUMBER(SEARCH("beans",F107)),ISNUMBER(SEARCH("driedpeas",F107)),ISNUMBER(SEARCH("sugarbeet",F107)))=TRUE),ISNUMBER(SEARCH("osr",F106))=TRUE),0,
IF(AND((OR((ISNUMBER(SEARCH("wheat",F107))),ISNUMBER(SEARCH("linseed",F107)),ISNUMBER(SEARCH("driedpeas",F107)),ISNUMBER(SEARCH("osr",F107)))=TRUE),F106="sugarbeet"),0,
IF(AND((OR((ISNUMBER(SEARCH("osr",F107))),ISNUMBER(SEARCH("linseed",F107)))=TRUE),ISNUMBER(SEARCH("beans",F106))=TRUE),0,
IF(AND(F107="wosr",ISNUMBER(SEARCH("linseed",F106))=TRUE),0,
IF(AND(F107="sugarbeet",F106="warepotatoes"),0,
1)))))))))),
IF(AND(ISNUMBER(SEARCH("wheat",F107))=TRUE,ISNUMBER(SEARCH("Barley",F112))=TRUE),0.89,
IF(AND(ISNUMBER(SEARCH("wheat",F107))=TRUE,F112="setaside"),0.94,
IF(AND(ISNUMBER(SEARCH("barley",F107))=TRUE,ISNUMBER(SEARCH("wheat",F112))=TRUE),0.89,
IF(AND(F107="winterbarley",F112="setaside"),0.94,
IF(AND(F107="sugarbeet",F112="warepotatoes"),0.95,
IF(AND((OR(ISNUMBER(SEARCH("beans",F107)),ISNUMBER(SEARCH("driedpeas",F107)),ISNUMBER(SEARCH("sugarbeet",F107)))=TRUE),ISNUMBER(SEARCH("osr",F112))=TRUE),0,
IF(AND((OR((ISNUMBER(SEARCH("wheat",F107))),ISNUMBER(SEARCH("linseed",F107)),ISNUMBER(SEARCH("driedpeas",F107)),ISNUMBER(SEARCH("osr",F107)))=TRUE),F112="sugarbeet"),0,
IF(AND((OR((ISNUMBER(SEARCH("osr",F107))),ISNUMBER(SEARCH("linseed",F107)))=TRUE),ISNUMBER(SEARCH("beans",F112))=TRUE),0,
IF(AND(F107="wosr",ISNUMBER(SEARCH("linseed",F112))=TRUE),0,
IF(AND(F107="sugarbeet",F112="warepotatoes"),0,
1)))))))))))
*IF(OR(ISNUMBER(SEARCH("wheat",F107)),ISNUMBER(SEARCH("barley",F107)),ISNUMBER(SEARCH("driedpeas",F107)),ISNUMBER(SEARCH("warepotatoes",F107)),ISNUMBER(SEARCH("osr",F107)),ISNUMBER(SEARCH("linseed",F107)),ISNUMBER(SEARCH("sugarbeet",F107))),
IF(COUNTIF(B102:B106,B107)=5,
INDEX('CFT Specific Data'!$G$24:$L$39,MATCH(F107,'CFT Specific Data'!$F$24:$F$39,0),IF(COUNTIF(F102:F106,F107)=5,6,IF(COUNTIF(F103:F106,F107)=4,5,IF(COUNTIF(F104:F106,F107)=3,4,IF(COUNTIF(F105:F106,F107)=2,3,IF(F106=F107,2,1)))))),
IF(COUNTIF(B102:B106,B107)=4,
INDEX('CFT Specific Data'!$G$24:$L$39,MATCH(F107,'CFT Specific Data'!$F$24:$F$39,0),IF(SUM(COUNTIF(F103:F106,F107),COUNTIF(F108,F107))=5,6,IF(COUNTIF(F103:F106,F107)=4,5,IF(COUNTIF(F104:F106,F107)=3,4,IF(COUNTIF(F105:F106,F107)=2,3,IF(F106=F107,2,1)))))),
IF(COUNTIF(B102:B106,B107)=3,
INDEX('CFT Specific Data'!$G$24:$L$39,MATCH(F107,'CFT Specific Data'!$F$24:$F$39,0),IF(SUM(COUNTIF(F104:F106,F107),COUNTIF(F108:F109,F107))=5,6,IF(SUM(COUNTIF(F104:F106,F107),COUNTIF(F109,F107))=4,5,IF(COUNTIF(F104:F106,F107)=3,4,IF(COUNTIF(F105:F106,F107)=2,3,IF(F106=F107,2,1)))))),
IF(COUNTIF(B102:B106,B107)=2,
INDEX('CFT Specific Data'!$G$24:$L$39,MATCH(F107,'CFT Specific Data'!$F$24:$F$39,0),IF(SUM(COUNTIF(F105:F106,F107),COUNTIF(F108:F110,F107))=5,6,IF(SUM(COUNTIF(F105:F106,F107),COUNTIF(F109:F110,F107))=4,5,IF(SUM(COUNTIF(F105:F106,F107),COUNTIF(F110,F107))=3,4,IF(COUNTIF(F105:F106,F107)=2,3,IF(F106=F107,2,1)))))),
IF(COUNTIF(B102:B106,B107)=1,
INDEX('CFT Specific Data'!$G$24:$L$39,MATCH(F107,'CFT Specific Data'!$F$24:$F$39,0),IF(SUM(COUNTIF(F106,F107),COUNTIF(F108:F111,F107))=5,6,IF(SUM(COUNTIF(F106,F107),COUNTIF(F109:F111,F107))=4,5,IF(SUM(COUNTIF(F106,F107),COUNTIF(F110:F111,F107))=3,4,IF(SUM(COUNTIF(F106,F107),COUNTIF(F111,F107))=2,3,IF(F106=F107,2,1)))))),
IF(COUNTIF(B102:B106,B107)=0,
INDEX('CFT Specific Data'!$G$24:$L$39,MATCH(F107,'CFT Specific Data'!$F$24:$F$39,0),IF(COUNTIF(F108:F112,F107)=5,6,IF(COUNTIF(F109:F112,F107)=4,5,IF(COUNTIF(F110:F112,F107)=3,4,IF(COUNTIF(F111:F112,F107)=2,3,IF(F112=F107,2,1)))))))))))),1)</f>
        <v>55.728000000000002</v>
      </c>
      <c r="I107" s="210" t="s">
        <v>348</v>
      </c>
      <c r="J107">
        <v>10</v>
      </c>
      <c r="K107" s="210" t="str">
        <f>VLOOKUP(F107,'CFT Specific Data'!$F$4:$G$19,2,FALSE)</f>
        <v>Winter wheat</v>
      </c>
      <c r="L107" t="str">
        <f t="shared" si="8"/>
        <v>Coarse</v>
      </c>
      <c r="M107">
        <f t="shared" si="9"/>
        <v>5.16</v>
      </c>
      <c r="N107" t="str">
        <f t="shared" si="10"/>
        <v>1.72 &lt; SOM &lt;= 5.16</v>
      </c>
      <c r="O107" t="s">
        <v>349</v>
      </c>
      <c r="P107" t="s">
        <v>350</v>
      </c>
      <c r="Q107">
        <v>7</v>
      </c>
      <c r="R107" t="str">
        <f t="shared" si="6"/>
        <v>5.5 &lt; pH &lt;= 7.3</v>
      </c>
      <c r="S107" t="s">
        <v>351</v>
      </c>
      <c r="T107" s="210">
        <f t="array" ref="T107">_xlfn.SINGLE(INDEX('Focus Data NFertiliser Rate'!$D$4:$P$19,MATCH(F107,'Focus Data NFertiliser Rate'!$C$4:$C$19,0),_xlfn.SINGLE(_xlfn.IFS(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220</v>
      </c>
      <c r="U107" t="str">
        <f t="shared" si="11"/>
        <v>Apply in solution</v>
      </c>
      <c r="V107" s="210">
        <f t="array" ref="V107">_xlfn.SINGLE(INDEX('№ Fertiliser sprayings'!$D$4:$P$19,MATCH(F107,'№ Fertiliser sprayings'!$C$4:$C$19,0),_xlfn.SINGLE(_xlfn.IFS(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3</v>
      </c>
      <c r="W107" s="264">
        <f t="array" ref="W107">_xlfn.SINGLE(INDEX('Focus Data CFT NSpraying'!$D$4:$P$19,MATCH(F107,'Focus Data CFT NSpraying'!$C$4:$C$19,0),_xlfn.SINGLE(_xlfn.IFS(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6.3887999999999998</v>
      </c>
      <c r="X107" t="s">
        <v>363</v>
      </c>
      <c r="Y107">
        <v>0</v>
      </c>
      <c r="Z107">
        <v>100</v>
      </c>
      <c r="AA107" t="s">
        <v>352</v>
      </c>
      <c r="AB107" s="226" t="str">
        <f>IF(B107=B106,_xlfn.IFS(
AND(AA107=Lists!$L$8,AA106=Lists!$L$8),Lists!$N$5,
AND(OR(AA107=Lists!$L$5,AA107=Lists!$L$7,AA107=Lists!$L$9,AA107=Lists!$L$10,AA107=Lists!$L$6),OR(AA106=Lists!$L$5,AA106=Lists!$L$7,AA106=Lists!$L$9,AA106=Lists!$L$10,AA106=Lists!$L$6)),Lists!$N$5,
AND(AA107=Lists!$L$8,OR(AA106=Lists!$L$5,AA106=Lists!$L$7,AA106=Lists!$L$9,AA106=Lists!$L$10,AA106=Lists!$L$6)),Lists!$N$6,
AND(OR(AA107=Lists!$L$5,AA107=Lists!$L$6,AA107=Lists!$L$7,AA107=Lists!$L$9,AA107=Lists!$L$10),AA106=Lists!$L$8),Lists!$N$7),
_xlfn.IFS(
AND(AA107=Lists!$L$8,AA112=Lists!$L$8),Lists!$N$5,
AND(OR(AA107=Lists!$L$5,AA107=Lists!$L$7,AA107=Lists!$L$9,AA107=Lists!$L$10,AA107=Lists!$L$6),OR(AA112=Lists!$L$5,AA112=Lists!$L$7,AA112=Lists!$L$9,AA112=Lists!$L$10,AA112=Lists!$L$6)),Lists!$N$5,
AND(AA107=Lists!$L$8,OR(AA112=Lists!$L$5,AA112=Lists!$L$7,AA112=Lists!$L$9,AA112=Lists!$L$10,AA112=Lists!$L$6)),Lists!$N$6,
AND(OR(AA107=Lists!$L$5,AA107=Lists!$L$7,AA107=Lists!$L$9,AA107=Lists!$L$10),AA112=Lists!$L$8),Lists!$N$7))</f>
        <v>no change</v>
      </c>
      <c r="AC107">
        <v>0</v>
      </c>
      <c r="AD107">
        <v>0</v>
      </c>
      <c r="AE107" s="102">
        <f t="array" ref="AE107">IF(OR(ISNUMBER(SEARCH("heavy",A107))=TRUE, ISNUMBER(SEARCH("medium",A107))=TRUE),
(LEN(_xlfn.SINGLE(
INDEX('Focus Data Tillage by farm'!$D$4:$P$9,MATCH(D107,'Focus Data Tillage by farm'!$C$4:$C$9,0),_xlfn.SINGLE(_xlfn.IFS(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-LEN(SUBSTITUTE(_xlfn.SINGLE(
INDEX('Focus Data Tillage by farm'!$D$4:$P$9,MATCH(D107,'Focus Data Tillage by farm'!$C$4:$C$9,0),_xlfn.SINGLE(_xlfn.IFS(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"disc","")))/LEN("disc"),
(LEN(_xlfn.SINGLE(
INDEX('Focus Data Tillage by farm'!$D$12:$P$17,MATCH(D107,'Focus Data Tillage by farm'!$C$12:$C$17,0),_xlfn.SINGLE(_xlfn.IFS(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-LEN(SUBSTITUTE(_xlfn.SINGLE(
INDEX('Focus Data Tillage by farm'!$D$12:$P$17,MATCH(D107,'Focus Data Tillage by farm'!$C$12:$C$17,0),_xlfn.SINGLE(_xlfn.IFS(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"disc","")))/LEN("disc"))</f>
        <v>2</v>
      </c>
      <c r="AF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"field cultivator","")))/LEN("field cultivator"),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"field cultivator","")))/LEN("field cultivator"))</f>
        <v>0</v>
      </c>
      <c r="AG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"grain drill","")))/LEN("grain drill"),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"grain drill","")))/LEN("grain drill"))</f>
        <v>0</v>
      </c>
      <c r="AH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"minimum tillage","")))/LEN("minimum tillage"),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"minimum tillage","")))/LEN("minimum tillage"))</f>
        <v>1</v>
      </c>
      <c r="AI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"row crop planter","")))/LEN("row crop planter"),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"row crop planter","")))/LEN("row crop planter"))</f>
        <v>0</v>
      </c>
      <c r="AJ107" s="102">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"plough","")))/LEN("plough"),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"plough","")))/LEN("plough"))</f>
        <v>0</v>
      </c>
      <c r="AK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harrow","")))/LEN("roller harrow"),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harrow","")))/LEN("roller harrow"))</f>
        <v>0</v>
      </c>
      <c r="AL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packer","")))/LEN("roller packer"),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"roller packer","")))/LEN("roller packer"))</f>
        <v>2</v>
      </c>
      <c r="AM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"rotary hoe","")))/LEN("rotary hoe"),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"rotary hoe","")))/LEN("rotary hoe"))</f>
        <v>0</v>
      </c>
      <c r="AN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"subsoil","")))/LEN("subsoil"),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"subsoil","")))/LEN("subsoil"))</f>
        <v>0</v>
      </c>
      <c r="AO107">
        <f>IF(OR(ISNUMBER(SEARCH("heavy",A107))=TRUE, ISNUMBER(SEARCH("medium",A107))=TRUE),
(LEN(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farm'!$D$4:$P$9,MATCH(D107,'Focus Data Tillage by farm'!$C$4:$C$9,0),_xlfn.IFS(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"tine harrow","")))/LEN("tine harrow"),
(LEN(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-LEN(SUBSTITUTE(
INDEX('Focus Data Tillage by farm'!$D$12:$P$17,MATCH(D107,'Focus Data Tillage by farm'!$C$12:$C$17,0),_xlfn.IFS(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
"tine harrow","")))/LEN("tine harrow"))</f>
        <v>0</v>
      </c>
      <c r="AP107" s="102">
        <f>INDEX('Focus Data NSpraying'!$D$4:$P$19,MATCH(F107,'Focus Data NSpraying'!$C$4:$C$19,0),_xlfn.IFS(
AND(ISNUMBER(SEARCH("H-Dsty.",A107))=TRUE,ISNUMBER(SEARCH("H-Res",A107))=TRUE,ISNUMBER(SEARCH("E.",A107))=TRUE),1,
AND(ISNUMBER(SEARCH("H-Dsty.",A107))=TRUE,ISNUMBER(SEARCH("H-Res",A107))=TRUE,OR(ISNUMBER(SEARCH("N.he",A107))=TRUE,ISNUMBER(SEARCH("N.me",A107))=TRUE,ISNUMBER(SEARCH("N.li",A107))=TRUE)),2,
AND(ISNUMBER(SEARCH("H-Dsty.",A107))=TRUE,ISNUMBER(SEARCH("H-Res",A107))=TRUE,ISNUMBER(SEARCH("C.",A107))=TRUE),3,
AND(ISNUMBER(SEARCH("L-Dsty.",A107))=TRUE,ISNUMBER(SEARCH("H-Res",A107))=TRUE,ISNUMBER(SEARCH("E.",A107))=TRUE),6,
AND(ISNUMBER(SEARCH("L-Dsty.",A107))=TRUE,ISNUMBER(SEARCH("H-Res",A107))=TRUE,OR(ISNUMBER(SEARCH("N.he",A107))=TRUE,ISNUMBER(SEARCH("N.me",A107))=TRUE,ISNUMBER(SEARCH("N.li",A107))=TRUE)),7,
AND(ISNUMBER(SEARCH("L-Dsty.",A107))=TRUE,ISNUMBER(SEARCH("H-Res",A107))=TRUE,ISNUMBER(SEARCH("C.",A107))=TRUE),8,
AND(ISNUMBER(SEARCH("L-Dsty.",A107))=TRUE,ISNUMBER(SEARCH("L-Res",A107))=TRUE,ISNUMBER(SEARCH("E.",A107))=TRUE),11,
AND(ISNUMBER(SEARCH("L-Dsty.",A107))=TRUE,ISNUMBER(SEARCH("L-Res",A107))=TRUE,OR(ISNUMBER(SEARCH("N.he",A107))=TRUE,ISNUMBER(SEARCH("N.me",A107))=TRUE,ISNUMBER(SEARCH("N.li",A107))=TRUE)),12,
AND(ISNUMBER(SEARCH("L-Dsty.",A107))=TRUE,ISNUMBER(SEARCH("L-Res",A107))=TRUE,ISNUMBER(SEARCH("C.",A107))=TRUE),13))</f>
        <v>4</v>
      </c>
    </row>
    <row r="108" spans="1:42" x14ac:dyDescent="0.2">
      <c r="A108" t="s">
        <v>510</v>
      </c>
      <c r="B108" s="210" t="str">
        <f t="array" ref="B108">INDEX(ECOMOD_input_estimate!$A$2:$A$55, MATCH(CFT_input!$A108, ECOMOD_input_estimate!$B:$B, 0))</f>
        <v>FF_18.2</v>
      </c>
      <c r="C108" s="210">
        <v>2020</v>
      </c>
      <c r="D108" s="395" t="s">
        <v>1696</v>
      </c>
      <c r="E108" s="210" t="str">
        <f t="shared" si="7"/>
        <v>E.light.L-Dsty.L-Res</v>
      </c>
      <c r="F108" s="210" t="str">
        <f t="array" ref="F108">_xlfn.SINGLE(IF(OR(ISNUMBER(SEARCH("heavy",A108))=TRUE,ISNUMBER(SEARCH("medium",A108))=TRUE),
INDEX('Focus Data Crop Rotations'!$D$4:$P$9,MATCH(D108,'Focus Data Crop Rotations'!$C$4:$C$9,0),_xlfn.SINGLE(_xlfn.IFS(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INDEX('Focus Data Crop Rotations'!$D$12:$P$17,MATCH(D108,'Focus Data Crop Rotations'!$C$12:$C$17,0),_xlfn.SINGLE(_xlfn.IFS(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wosr</v>
      </c>
      <c r="G108">
        <v>7.2</v>
      </c>
      <c r="H108" s="227">
        <f>VLOOKUP(F108,'CFT Specific Data'!$F$4:$H$19,3,FALSE)*G108*
IF(B108=B107,
IF(AND(ISNUMBER(SEARCH("wheat",F108))=TRUE,ISNUMBER(SEARCH("Barley",F107))=TRUE),0.89,
IF(AND(ISNUMBER(SEARCH("wheat",F108))=TRUE,F107="setaside"),0.94,
IF(AND(ISNUMBER(SEARCH("barley",F108))=TRUE,ISNUMBER(SEARCH("wheat",F107))=TRUE),0.89,
IF(AND(F108="winterbarley",F107="setaside"),0.94,
IF(AND(F108="sugarbeet",F107="warepotatoes"),0.95,
IF(AND((OR(ISNUMBER(SEARCH("beans",F108)),ISNUMBER(SEARCH("driedpeas",F108)),ISNUMBER(SEARCH("sugarbeet",F108)))=TRUE),ISNUMBER(SEARCH("osr",F107))=TRUE),0,
IF(AND((OR((ISNUMBER(SEARCH("wheat",F108))),ISNUMBER(SEARCH("linseed",F108)),ISNUMBER(SEARCH("driedpeas",F108)),ISNUMBER(SEARCH("osr",F108)))=TRUE),F107="sugarbeet"),0,
IF(AND((OR((ISNUMBER(SEARCH("osr",F108))),ISNUMBER(SEARCH("linseed",F108)))=TRUE),ISNUMBER(SEARCH("beans",F107))=TRUE),0,
IF(AND(F108="wosr",ISNUMBER(SEARCH("linseed",F107))=TRUE),0,
IF(AND(F108="sugarbeet",F107="warepotatoes"),0,
1)))))))))),
IF(AND(ISNUMBER(SEARCH("wheat",F108))=TRUE,ISNUMBER(SEARCH("Barley",F113))=TRUE),0.89,
IF(AND(ISNUMBER(SEARCH("wheat",F108))=TRUE,F113="setaside"),0.94,
IF(AND(ISNUMBER(SEARCH("barley",F108))=TRUE,ISNUMBER(SEARCH("wheat",F113))=TRUE),0.89,
IF(AND(F108="winterbarley",F113="setaside"),0.94,
IF(AND(F108="sugarbeet",F113="warepotatoes"),0.95,
IF(AND((OR(ISNUMBER(SEARCH("beans",F108)),ISNUMBER(SEARCH("driedpeas",F108)),ISNUMBER(SEARCH("sugarbeet",F108)))=TRUE),ISNUMBER(SEARCH("osr",F113))=TRUE),0,
IF(AND((OR((ISNUMBER(SEARCH("wheat",F108))),ISNUMBER(SEARCH("linseed",F108)),ISNUMBER(SEARCH("driedpeas",F108)),ISNUMBER(SEARCH("osr",F108)))=TRUE),F113="sugarbeet"),0,
IF(AND((OR((ISNUMBER(SEARCH("osr",F108))),ISNUMBER(SEARCH("linseed",F108)))=TRUE),ISNUMBER(SEARCH("beans",F113))=TRUE),0,
IF(AND(F108="wosr",ISNUMBER(SEARCH("linseed",F113))=TRUE),0,
IF(AND(F108="sugarbeet",F113="warepotatoes"),0,
1)))))))))))
*IF(OR(ISNUMBER(SEARCH("wheat",F108)),ISNUMBER(SEARCH("barley",F108)),ISNUMBER(SEARCH("driedpeas",F108)),ISNUMBER(SEARCH("warepotatoes",F108)),ISNUMBER(SEARCH("osr",F108)),ISNUMBER(SEARCH("linseed",F108)),ISNUMBER(SEARCH("sugarbeet",F108))),
IF(COUNTIF(B103:B107,B108)=5,
INDEX('CFT Specific Data'!$G$24:$L$39,MATCH(F108,'CFT Specific Data'!$F$24:$F$39,0),IF(COUNTIF(F103:F107,F108)=5,6,IF(COUNTIF(F104:F107,F108)=4,5,IF(COUNTIF(F105:F107,F108)=3,4,IF(COUNTIF(F106:F107,F108)=2,3,IF(F107=F108,2,1)))))),
IF(COUNTIF(B103:B107,B108)=4,
INDEX('CFT Specific Data'!$G$24:$L$39,MATCH(F108,'CFT Specific Data'!$F$24:$F$39,0),IF(SUM(COUNTIF(F104:F107,F108),COUNTIF(F109,F108))=5,6,IF(COUNTIF(F104:F107,F108)=4,5,IF(COUNTIF(F105:F107,F108)=3,4,IF(COUNTIF(F106:F107,F108)=2,3,IF(F107=F108,2,1)))))),
IF(COUNTIF(B103:B107,B108)=3,
INDEX('CFT Specific Data'!$G$24:$L$39,MATCH(F108,'CFT Specific Data'!$F$24:$F$39,0),IF(SUM(COUNTIF(F105:F107,F108),COUNTIF(F109:F110,F108))=5,6,IF(SUM(COUNTIF(F105:F107,F108),COUNTIF(F110,F108))=4,5,IF(COUNTIF(F105:F107,F108)=3,4,IF(COUNTIF(F106:F107,F108)=2,3,IF(F107=F108,2,1)))))),
IF(COUNTIF(B103:B107,B108)=2,
INDEX('CFT Specific Data'!$G$24:$L$39,MATCH(F108,'CFT Specific Data'!$F$24:$F$39,0),IF(SUM(COUNTIF(F106:F107,F108),COUNTIF(F109:F111,F108))=5,6,IF(SUM(COUNTIF(F106:F107,F108),COUNTIF(F110:F111,F108))=4,5,IF(SUM(COUNTIF(F106:F107,F108),COUNTIF(F111,F108))=3,4,IF(COUNTIF(F106:F107,F108)=2,3,IF(F107=F108,2,1)))))),
IF(COUNTIF(B103:B107,B108)=1,
INDEX('CFT Specific Data'!$G$24:$L$39,MATCH(F108,'CFT Specific Data'!$F$24:$F$39,0),IF(SUM(COUNTIF(F107,F108),COUNTIF(F109:F112,F108))=5,6,IF(SUM(COUNTIF(F107,F108),COUNTIF(F110:F112,F108))=4,5,IF(SUM(COUNTIF(F107,F108),COUNTIF(F111:F112,F108))=3,4,IF(SUM(COUNTIF(F107,F108),COUNTIF(F112,F108))=2,3,IF(F107=F108,2,1)))))),
IF(COUNTIF(B103:B107,B108)=0,
INDEX('CFT Specific Data'!$G$24:$L$39,MATCH(F108,'CFT Specific Data'!$F$24:$F$39,0),IF(COUNTIF(F109:F113,F108)=5,6,IF(COUNTIF(F110:F113,F108)=4,5,IF(COUNTIF(F111:F113,F108)=3,4,IF(COUNTIF(F112:F113,F108)=2,3,IF(F113=F108,2,1)))))))))))),1)</f>
        <v>25.2</v>
      </c>
      <c r="I108" s="210" t="s">
        <v>348</v>
      </c>
      <c r="J108">
        <v>10</v>
      </c>
      <c r="K108" s="210" t="str">
        <f>VLOOKUP(F108,'CFT Specific Data'!$F$4:$G$19,2,FALSE)</f>
        <v>Other</v>
      </c>
      <c r="L108" t="str">
        <f t="shared" si="8"/>
        <v>Coarse</v>
      </c>
      <c r="M108">
        <f t="shared" si="9"/>
        <v>5.16</v>
      </c>
      <c r="N108" t="str">
        <f t="shared" si="10"/>
        <v>1.72 &lt; SOM &lt;= 5.16</v>
      </c>
      <c r="O108" t="s">
        <v>349</v>
      </c>
      <c r="P108" t="s">
        <v>350</v>
      </c>
      <c r="Q108">
        <v>7</v>
      </c>
      <c r="R108" t="str">
        <f t="shared" si="6"/>
        <v>5.5 &lt; pH &lt;= 7.3</v>
      </c>
      <c r="S108" t="s">
        <v>351</v>
      </c>
      <c r="T108" s="210">
        <f t="array" ref="T108">_xlfn.SINGLE(INDEX('Focus Data NFertiliser Rate'!$D$4:$P$19,MATCH(F108,'Focus Data NFertiliser Rate'!$C$4:$C$19,0),_xlfn.SINGLE(_xlfn.IFS(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180</v>
      </c>
      <c r="U108" t="str">
        <f t="shared" si="11"/>
        <v>Apply in solution</v>
      </c>
      <c r="V108" s="210">
        <f t="array" ref="V108">_xlfn.SINGLE(INDEX('№ Fertiliser sprayings'!$D$4:$P$19,MATCH(F108,'№ Fertiliser sprayings'!$C$4:$C$19,0),_xlfn.SINGLE(_xlfn.IFS(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3</v>
      </c>
      <c r="W108" s="264">
        <f t="array" ref="W108">_xlfn.SINGLE(INDEX('Focus Data CFT NSpraying'!$D$4:$P$19,MATCH(F108,'Focus Data CFT NSpraying'!$C$4:$C$19,0),_xlfn.SINGLE(_xlfn.IFS(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0</v>
      </c>
      <c r="X108" t="s">
        <v>363</v>
      </c>
      <c r="Y108">
        <v>0</v>
      </c>
      <c r="Z108">
        <v>100</v>
      </c>
      <c r="AA108" t="s">
        <v>352</v>
      </c>
      <c r="AB108" s="226" t="str">
        <f>IF(B108=B107,_xlfn.IFS(
AND(AA108=Lists!$L$8,AA107=Lists!$L$8),Lists!$N$5,
AND(OR(AA108=Lists!$L$5,AA108=Lists!$L$7,AA108=Lists!$L$9,AA108=Lists!$L$10,AA108=Lists!$L$6),OR(AA107=Lists!$L$5,AA107=Lists!$L$7,AA107=Lists!$L$9,AA107=Lists!$L$10,AA107=Lists!$L$6)),Lists!$N$5,
AND(AA108=Lists!$L$8,OR(AA107=Lists!$L$5,AA107=Lists!$L$7,AA107=Lists!$L$9,AA107=Lists!$L$10,AA107=Lists!$L$6)),Lists!$N$6,
AND(OR(AA108=Lists!$L$5,AA108=Lists!$L$6,AA108=Lists!$L$7,AA108=Lists!$L$9,AA108=Lists!$L$10),AA107=Lists!$L$8),Lists!$N$7),
_xlfn.IFS(
AND(AA108=Lists!$L$8,AA113=Lists!$L$8),Lists!$N$5,
AND(OR(AA108=Lists!$L$5,AA108=Lists!$L$7,AA108=Lists!$L$9,AA108=Lists!$L$10,AA108=Lists!$L$6),OR(AA113=Lists!$L$5,AA113=Lists!$L$7,AA113=Lists!$L$9,AA113=Lists!$L$10,AA113=Lists!$L$6)),Lists!$N$5,
AND(AA108=Lists!$L$8,OR(AA113=Lists!$L$5,AA113=Lists!$L$7,AA113=Lists!$L$9,AA113=Lists!$L$10,AA113=Lists!$L$6)),Lists!$N$6,
AND(OR(AA108=Lists!$L$5,AA108=Lists!$L$7,AA108=Lists!$L$9,AA108=Lists!$L$10),AA113=Lists!$L$8),Lists!$N$7))</f>
        <v>no change</v>
      </c>
      <c r="AC108">
        <v>0</v>
      </c>
      <c r="AD108">
        <v>0</v>
      </c>
      <c r="AE108" s="102">
        <f t="array" ref="AE108">IF(OR(ISNUMBER(SEARCH("heavy",A108))=TRUE, ISNUMBER(SEARCH("medium",A108))=TRUE),
(LEN(_xlfn.SINGLE(
INDEX('Focus Data Tillage by farm'!$D$4:$P$9,MATCH(D108,'Focus Data Tillage by farm'!$C$4:$C$9,0),_xlfn.SINGLE(_xlfn.IFS(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-LEN(SUBSTITUTE(_xlfn.SINGLE(
INDEX('Focus Data Tillage by farm'!$D$4:$P$9,MATCH(D108,'Focus Data Tillage by farm'!$C$4:$C$9,0),_xlfn.SINGLE(_xlfn.IFS(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"disc","")))/LEN("disc"),
(LEN(_xlfn.SINGLE(
INDEX('Focus Data Tillage by farm'!$D$12:$P$17,MATCH(D108,'Focus Data Tillage by farm'!$C$12:$C$17,0),_xlfn.SINGLE(_xlfn.IFS(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-LEN(SUBSTITUTE(_xlfn.SINGLE(
INDEX('Focus Data Tillage by farm'!$D$12:$P$17,MATCH(D108,'Focus Data Tillage by farm'!$C$12:$C$17,0),_xlfn.SINGLE(_xlfn.IFS(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"disc","")))/LEN("disc"))</f>
        <v>0</v>
      </c>
      <c r="AF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"field cultivator","")))/LEN("field cultivator"),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"field cultivator","")))/LEN("field cultivator"))</f>
        <v>0</v>
      </c>
      <c r="AG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"grain drill","")))/LEN("grain drill"),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"grain drill","")))/LEN("grain drill"))</f>
        <v>0</v>
      </c>
      <c r="AH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"minimum tillage","")))/LEN("minimum tillage"),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"minimum tillage","")))/LEN("minimum tillage"))</f>
        <v>0</v>
      </c>
      <c r="AI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"row crop planter","")))/LEN("row crop planter"),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"row crop planter","")))/LEN("row crop planter"))</f>
        <v>0</v>
      </c>
      <c r="AJ108" s="102">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"plough","")))/LEN("plough"),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"plough","")))/LEN("plough"))</f>
        <v>0</v>
      </c>
      <c r="AK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harrow","")))/LEN("roller harrow"),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harrow","")))/LEN("roller harrow"))</f>
        <v>0</v>
      </c>
      <c r="AL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packer","")))/LEN("roller packer"),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"roller packer","")))/LEN("roller packer"))</f>
        <v>1</v>
      </c>
      <c r="AM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"rotary hoe","")))/LEN("rotary hoe"),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"rotary hoe","")))/LEN("rotary hoe"))</f>
        <v>0</v>
      </c>
      <c r="AN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"subsoil","")))/LEN("subsoil"),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"subsoil","")))/LEN("subsoil"))</f>
        <v>1</v>
      </c>
      <c r="AO108">
        <f>IF(OR(ISNUMBER(SEARCH("heavy",A108))=TRUE, ISNUMBER(SEARCH("medium",A108))=TRUE),
(LEN(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farm'!$D$4:$P$9,MATCH(D108,'Focus Data Tillage by farm'!$C$4:$C$9,0),_xlfn.IFS(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"tine harrow","")))/LEN("tine harrow"),
(LEN(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-LEN(SUBSTITUTE(
INDEX('Focus Data Tillage by farm'!$D$12:$P$17,MATCH(D108,'Focus Data Tillage by farm'!$C$12:$C$17,0),_xlfn.IFS(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
"tine harrow","")))/LEN("tine harrow"))</f>
        <v>0</v>
      </c>
      <c r="AP108" s="102">
        <f>INDEX('Focus Data NSpraying'!$D$4:$P$19,MATCH(F108,'Focus Data NSpraying'!$C$4:$C$19,0),_xlfn.IFS(
AND(ISNUMBER(SEARCH("H-Dsty.",A108))=TRUE,ISNUMBER(SEARCH("H-Res",A108))=TRUE,ISNUMBER(SEARCH("E.",A108))=TRUE),1,
AND(ISNUMBER(SEARCH("H-Dsty.",A108))=TRUE,ISNUMBER(SEARCH("H-Res",A108))=TRUE,OR(ISNUMBER(SEARCH("N.he",A108))=TRUE,ISNUMBER(SEARCH("N.me",A108))=TRUE,ISNUMBER(SEARCH("N.li",A108))=TRUE)),2,
AND(ISNUMBER(SEARCH("H-Dsty.",A108))=TRUE,ISNUMBER(SEARCH("H-Res",A108))=TRUE,ISNUMBER(SEARCH("C.",A108))=TRUE),3,
AND(ISNUMBER(SEARCH("L-Dsty.",A108))=TRUE,ISNUMBER(SEARCH("H-Res",A108))=TRUE,ISNUMBER(SEARCH("E.",A108))=TRUE),6,
AND(ISNUMBER(SEARCH("L-Dsty.",A108))=TRUE,ISNUMBER(SEARCH("H-Res",A108))=TRUE,OR(ISNUMBER(SEARCH("N.he",A108))=TRUE,ISNUMBER(SEARCH("N.me",A108))=TRUE,ISNUMBER(SEARCH("N.li",A108))=TRUE)),7,
AND(ISNUMBER(SEARCH("L-Dsty.",A108))=TRUE,ISNUMBER(SEARCH("H-Res",A108))=TRUE,ISNUMBER(SEARCH("C.",A108))=TRUE),8,
AND(ISNUMBER(SEARCH("L-Dsty.",A108))=TRUE,ISNUMBER(SEARCH("L-Res",A108))=TRUE,ISNUMBER(SEARCH("E.",A108))=TRUE),11,
AND(ISNUMBER(SEARCH("L-Dsty.",A108))=TRUE,ISNUMBER(SEARCH("L-Res",A108))=TRUE,OR(ISNUMBER(SEARCH("N.he",A108))=TRUE,ISNUMBER(SEARCH("N.me",A108))=TRUE,ISNUMBER(SEARCH("N.li",A108))=TRUE)),12,
AND(ISNUMBER(SEARCH("L-Dsty.",A108))=TRUE,ISNUMBER(SEARCH("L-Res",A108))=TRUE,ISNUMBER(SEARCH("C.",A108))=TRUE),13))</f>
        <v>0</v>
      </c>
    </row>
    <row r="109" spans="1:42" x14ac:dyDescent="0.2">
      <c r="A109" t="s">
        <v>510</v>
      </c>
      <c r="B109" s="210" t="str">
        <f t="array" ref="B109">INDEX(ECOMOD_input_estimate!$A$2:$A$55, MATCH(CFT_input!$A109, ECOMOD_input_estimate!$B:$B, 0))</f>
        <v>FF_18.2</v>
      </c>
      <c r="C109" s="210">
        <v>2020</v>
      </c>
      <c r="D109" s="395" t="s">
        <v>735</v>
      </c>
      <c r="E109" s="210" t="str">
        <f t="shared" si="7"/>
        <v>E.light.L-Dsty.L-Res</v>
      </c>
      <c r="F109" s="210" t="str">
        <f t="array" ref="F109">_xlfn.SINGLE(IF(OR(ISNUMBER(SEARCH("heavy",A109))=TRUE,ISNUMBER(SEARCH("medium",A109))=TRUE),
INDEX('Focus Data Crop Rotations'!$D$4:$P$9,MATCH(D109,'Focus Data Crop Rotations'!$C$4:$C$9,0),_xlfn.SINGLE(_xlfn.IFS(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INDEX('Focus Data Crop Rotations'!$D$12:$P$17,MATCH(D109,'Focus Data Crop Rotations'!$C$12:$C$17,0),_xlfn.SINGLE(_xlfn.IFS(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winterwheat</v>
      </c>
      <c r="G109">
        <v>7.2</v>
      </c>
      <c r="H109" s="227">
        <f>VLOOKUP(F109,'CFT Specific Data'!$F$4:$H$19,3,FALSE)*G109*
IF(B109=B108,
IF(AND(ISNUMBER(SEARCH("wheat",F109))=TRUE,ISNUMBER(SEARCH("Barley",F108))=TRUE),0.89,
IF(AND(ISNUMBER(SEARCH("wheat",F109))=TRUE,F108="setaside"),0.94,
IF(AND(ISNUMBER(SEARCH("barley",F109))=TRUE,ISNUMBER(SEARCH("wheat",F108))=TRUE),0.89,
IF(AND(F109="winterbarley",F108="setaside"),0.94,
IF(AND(F109="sugarbeet",F108="warepotatoes"),0.95,
IF(AND((OR(ISNUMBER(SEARCH("beans",F109)),ISNUMBER(SEARCH("driedpeas",F109)),ISNUMBER(SEARCH("sugarbeet",F109)))=TRUE),ISNUMBER(SEARCH("osr",F108))=TRUE),0,
IF(AND((OR((ISNUMBER(SEARCH("wheat",F109))),ISNUMBER(SEARCH("linseed",F109)),ISNUMBER(SEARCH("driedpeas",F109)),ISNUMBER(SEARCH("osr",F109)))=TRUE),F108="sugarbeet"),0,
IF(AND((OR((ISNUMBER(SEARCH("osr",F109))),ISNUMBER(SEARCH("linseed",F109)))=TRUE),ISNUMBER(SEARCH("beans",F108))=TRUE),0,
IF(AND(F109="wosr",ISNUMBER(SEARCH("linseed",F108))=TRUE),0,
IF(AND(F109="sugarbeet",F108="warepotatoes"),0,
1)))))))))),
IF(AND(ISNUMBER(SEARCH("wheat",F109))=TRUE,ISNUMBER(SEARCH("Barley",F114))=TRUE),0.89,
IF(AND(ISNUMBER(SEARCH("wheat",F109))=TRUE,F114="setaside"),0.94,
IF(AND(ISNUMBER(SEARCH("barley",F109))=TRUE,ISNUMBER(SEARCH("wheat",F114))=TRUE),0.89,
IF(AND(F109="winterbarley",F114="setaside"),0.94,
IF(AND(F109="sugarbeet",F114="warepotatoes"),0.95,
IF(AND((OR(ISNUMBER(SEARCH("beans",F109)),ISNUMBER(SEARCH("driedpeas",F109)),ISNUMBER(SEARCH("sugarbeet",F109)))=TRUE),ISNUMBER(SEARCH("osr",F114))=TRUE),0,
IF(AND((OR((ISNUMBER(SEARCH("wheat",F109))),ISNUMBER(SEARCH("linseed",F109)),ISNUMBER(SEARCH("driedpeas",F109)),ISNUMBER(SEARCH("osr",F109)))=TRUE),F114="sugarbeet"),0,
IF(AND((OR((ISNUMBER(SEARCH("osr",F109))),ISNUMBER(SEARCH("linseed",F109)))=TRUE),ISNUMBER(SEARCH("beans",F114))=TRUE),0,
IF(AND(F109="wosr",ISNUMBER(SEARCH("linseed",F114))=TRUE),0,
IF(AND(F109="sugarbeet",F114="warepotatoes"),0,
1)))))))))))
*IF(OR(ISNUMBER(SEARCH("wheat",F109)),ISNUMBER(SEARCH("barley",F109)),ISNUMBER(SEARCH("driedpeas",F109)),ISNUMBER(SEARCH("warepotatoes",F109)),ISNUMBER(SEARCH("osr",F109)),ISNUMBER(SEARCH("linseed",F109)),ISNUMBER(SEARCH("sugarbeet",F109))),
IF(COUNTIF(B104:B108,B109)=5,
INDEX('CFT Specific Data'!$G$24:$L$39,MATCH(F109,'CFT Specific Data'!$F$24:$F$39,0),IF(COUNTIF(F104:F108,F109)=5,6,IF(COUNTIF(F105:F108,F109)=4,5,IF(COUNTIF(F106:F108,F109)=3,4,IF(COUNTIF(F107:F108,F109)=2,3,IF(F108=F109,2,1)))))),
IF(COUNTIF(B104:B108,B109)=4,
INDEX('CFT Specific Data'!$G$24:$L$39,MATCH(F109,'CFT Specific Data'!$F$24:$F$39,0),IF(SUM(COUNTIF(F105:F108,F109),COUNTIF(F110,F109))=5,6,IF(COUNTIF(F105:F108,F109)=4,5,IF(COUNTIF(F106:F108,F109)=3,4,IF(COUNTIF(F107:F108,F109)=2,3,IF(F108=F109,2,1)))))),
IF(COUNTIF(B104:B108,B109)=3,
INDEX('CFT Specific Data'!$G$24:$L$39,MATCH(F109,'CFT Specific Data'!$F$24:$F$39,0),IF(SUM(COUNTIF(F106:F108,F109),COUNTIF(F110:F111,F109))=5,6,IF(SUM(COUNTIF(F106:F108,F109),COUNTIF(F111,F109))=4,5,IF(COUNTIF(F106:F108,F109)=3,4,IF(COUNTIF(F107:F108,F109)=2,3,IF(F108=F109,2,1)))))),
IF(COUNTIF(B104:B108,B109)=2,
INDEX('CFT Specific Data'!$G$24:$L$39,MATCH(F109,'CFT Specific Data'!$F$24:$F$39,0),IF(SUM(COUNTIF(F107:F108,F109),COUNTIF(F110:F112,F109))=5,6,IF(SUM(COUNTIF(F107:F108,F109),COUNTIF(F111:F112,F109))=4,5,IF(SUM(COUNTIF(F107:F108,F109),COUNTIF(F112,F109))=3,4,IF(COUNTIF(F107:F108,F109)=2,3,IF(F108=F109,2,1)))))),
IF(COUNTIF(B104:B108,B109)=1,
INDEX('CFT Specific Data'!$G$24:$L$39,MATCH(F109,'CFT Specific Data'!$F$24:$F$39,0),IF(SUM(COUNTIF(F108,F109),COUNTIF(F110:F113,F109))=5,6,IF(SUM(COUNTIF(F108,F109),COUNTIF(F111:F113,F109))=4,5,IF(SUM(COUNTIF(F108,F109),COUNTIF(F112:F113,F109))=3,4,IF(SUM(COUNTIF(F108,F109),COUNTIF(F113,F109))=2,3,IF(F108=F109,2,1)))))),
IF(COUNTIF(B104:B108,B109)=0,
INDEX('CFT Specific Data'!$G$24:$L$39,MATCH(F109,'CFT Specific Data'!$F$24:$F$39,0),IF(COUNTIF(F110:F114,F109)=5,6,IF(COUNTIF(F111:F114,F109)=4,5,IF(COUNTIF(F112:F114,F109)=3,4,IF(COUNTIF(F113:F114,F109)=2,3,IF(F114=F109,2,1)))))))))))),1)</f>
        <v>61.92</v>
      </c>
      <c r="I109" s="210" t="s">
        <v>348</v>
      </c>
      <c r="J109">
        <v>10</v>
      </c>
      <c r="K109" s="210" t="str">
        <f>VLOOKUP(F109,'CFT Specific Data'!$F$4:$G$19,2,FALSE)</f>
        <v>Winter wheat</v>
      </c>
      <c r="L109" t="str">
        <f t="shared" si="8"/>
        <v>Coarse</v>
      </c>
      <c r="M109">
        <f t="shared" si="9"/>
        <v>5.16</v>
      </c>
      <c r="N109" t="str">
        <f t="shared" si="10"/>
        <v>1.72 &lt; SOM &lt;= 5.16</v>
      </c>
      <c r="O109" t="s">
        <v>349</v>
      </c>
      <c r="P109" t="s">
        <v>350</v>
      </c>
      <c r="Q109">
        <v>7</v>
      </c>
      <c r="R109" t="str">
        <f t="shared" si="6"/>
        <v>5.5 &lt; pH &lt;= 7.3</v>
      </c>
      <c r="S109" t="s">
        <v>351</v>
      </c>
      <c r="T109" s="210">
        <f t="array" ref="T109">_xlfn.SINGLE(INDEX('Focus Data NFertiliser Rate'!$D$4:$P$19,MATCH(F109,'Focus Data NFertiliser Rate'!$C$4:$C$19,0),_xlfn.SINGLE(_xlfn.IFS(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220</v>
      </c>
      <c r="U109" t="str">
        <f t="shared" si="11"/>
        <v>Apply in solution</v>
      </c>
      <c r="V109" s="210">
        <f t="array" ref="V109">_xlfn.SINGLE(INDEX('№ Fertiliser sprayings'!$D$4:$P$19,MATCH(F109,'№ Fertiliser sprayings'!$C$4:$C$19,0),_xlfn.SINGLE(_xlfn.IFS(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3</v>
      </c>
      <c r="W109" s="264">
        <f t="array" ref="W109">_xlfn.SINGLE(INDEX('Focus Data CFT NSpraying'!$D$4:$P$19,MATCH(F109,'Focus Data CFT NSpraying'!$C$4:$C$19,0),_xlfn.SINGLE(_xlfn.IFS(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6.3887999999999998</v>
      </c>
      <c r="X109" t="s">
        <v>363</v>
      </c>
      <c r="Y109">
        <v>0</v>
      </c>
      <c r="Z109">
        <v>100</v>
      </c>
      <c r="AA109" t="s">
        <v>352</v>
      </c>
      <c r="AB109" s="226" t="str">
        <f>IF(B109=B108,_xlfn.IFS(
AND(AA109=Lists!$L$8,AA108=Lists!$L$8),Lists!$N$5,
AND(OR(AA109=Lists!$L$5,AA109=Lists!$L$7,AA109=Lists!$L$9,AA109=Lists!$L$10,AA109=Lists!$L$6),OR(AA108=Lists!$L$5,AA108=Lists!$L$7,AA108=Lists!$L$9,AA108=Lists!$L$10,AA108=Lists!$L$6)),Lists!$N$5,
AND(AA109=Lists!$L$8,OR(AA108=Lists!$L$5,AA108=Lists!$L$7,AA108=Lists!$L$9,AA108=Lists!$L$10,AA108=Lists!$L$6)),Lists!$N$6,
AND(OR(AA109=Lists!$L$5,AA109=Lists!$L$6,AA109=Lists!$L$7,AA109=Lists!$L$9,AA109=Lists!$L$10),AA108=Lists!$L$8),Lists!$N$7),
_xlfn.IFS(
AND(AA109=Lists!$L$8,AA114=Lists!$L$8),Lists!$N$5,
AND(OR(AA109=Lists!$L$5,AA109=Lists!$L$7,AA109=Lists!$L$9,AA109=Lists!$L$10,AA109=Lists!$L$6),OR(AA114=Lists!$L$5,AA114=Lists!$L$7,AA114=Lists!$L$9,AA114=Lists!$L$10,AA114=Lists!$L$6)),Lists!$N$5,
AND(AA109=Lists!$L$8,OR(AA114=Lists!$L$5,AA114=Lists!$L$7,AA114=Lists!$L$9,AA114=Lists!$L$10,AA114=Lists!$L$6)),Lists!$N$6,
AND(OR(AA109=Lists!$L$5,AA109=Lists!$L$7,AA109=Lists!$L$9,AA109=Lists!$L$10),AA114=Lists!$L$8),Lists!$N$7))</f>
        <v>no change</v>
      </c>
      <c r="AC109">
        <v>0</v>
      </c>
      <c r="AD109">
        <v>0</v>
      </c>
      <c r="AE109" s="102">
        <f t="array" ref="AE109">IF(OR(ISNUMBER(SEARCH("heavy",A109))=TRUE, ISNUMBER(SEARCH("medium",A109))=TRUE),
(LEN(_xlfn.SINGLE(
INDEX('Focus Data Tillage by farm'!$D$4:$P$9,MATCH(D109,'Focus Data Tillage by farm'!$C$4:$C$9,0),_xlfn.SINGLE(_xlfn.IFS(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-LEN(SUBSTITUTE(_xlfn.SINGLE(
INDEX('Focus Data Tillage by farm'!$D$4:$P$9,MATCH(D109,'Focus Data Tillage by farm'!$C$4:$C$9,0),_xlfn.SINGLE(_xlfn.IFS(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"disc","")))/LEN("disc"),
(LEN(_xlfn.SINGLE(
INDEX('Focus Data Tillage by farm'!$D$12:$P$17,MATCH(D109,'Focus Data Tillage by farm'!$C$12:$C$17,0),_xlfn.SINGLE(_xlfn.IFS(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-LEN(SUBSTITUTE(_xlfn.SINGLE(
INDEX('Focus Data Tillage by farm'!$D$12:$P$17,MATCH(D109,'Focus Data Tillage by farm'!$C$12:$C$17,0),_xlfn.SINGLE(_xlfn.IFS(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"disc","")))/LEN("disc"))</f>
        <v>2</v>
      </c>
      <c r="AF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"field cultivator","")))/LEN("field cultivator"),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"field cultivator","")))/LEN("field cultivator"))</f>
        <v>0</v>
      </c>
      <c r="AG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"grain drill","")))/LEN("grain drill"),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"grain drill","")))/LEN("grain drill"))</f>
        <v>0</v>
      </c>
      <c r="AH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"minimum tillage","")))/LEN("minimum tillage"),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"minimum tillage","")))/LEN("minimum tillage"))</f>
        <v>1</v>
      </c>
      <c r="AI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"row crop planter","")))/LEN("row crop planter"),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"row crop planter","")))/LEN("row crop planter"))</f>
        <v>0</v>
      </c>
      <c r="AJ109" s="102">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"plough","")))/LEN("plough"),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"plough","")))/LEN("plough"))</f>
        <v>0</v>
      </c>
      <c r="AK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harrow","")))/LEN("roller harrow"),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harrow","")))/LEN("roller harrow"))</f>
        <v>0</v>
      </c>
      <c r="AL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packer","")))/LEN("roller packer"),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"roller packer","")))/LEN("roller packer"))</f>
        <v>2</v>
      </c>
      <c r="AM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"rotary hoe","")))/LEN("rotary hoe"),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"rotary hoe","")))/LEN("rotary hoe"))</f>
        <v>0</v>
      </c>
      <c r="AN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"subsoil","")))/LEN("subsoil"),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"subsoil","")))/LEN("subsoil"))</f>
        <v>0</v>
      </c>
      <c r="AO109">
        <f>IF(OR(ISNUMBER(SEARCH("heavy",A109))=TRUE, ISNUMBER(SEARCH("medium",A109))=TRUE),
(LEN(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farm'!$D$4:$P$9,MATCH(D109,'Focus Data Tillage by farm'!$C$4:$C$9,0),_xlfn.IFS(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"tine harrow","")))/LEN("tine harrow"),
(LEN(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-LEN(SUBSTITUTE(
INDEX('Focus Data Tillage by farm'!$D$12:$P$17,MATCH(D109,'Focus Data Tillage by farm'!$C$12:$C$17,0),_xlfn.IFS(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
"tine harrow","")))/LEN("tine harrow"))</f>
        <v>0</v>
      </c>
      <c r="AP109" s="102">
        <f>INDEX('Focus Data NSpraying'!$D$4:$P$19,MATCH(F109,'Focus Data NSpraying'!$C$4:$C$19,0),_xlfn.IFS(
AND(ISNUMBER(SEARCH("H-Dsty.",A109))=TRUE,ISNUMBER(SEARCH("H-Res",A109))=TRUE,ISNUMBER(SEARCH("E.",A109))=TRUE),1,
AND(ISNUMBER(SEARCH("H-Dsty.",A109))=TRUE,ISNUMBER(SEARCH("H-Res",A109))=TRUE,OR(ISNUMBER(SEARCH("N.he",A109))=TRUE,ISNUMBER(SEARCH("N.me",A109))=TRUE,ISNUMBER(SEARCH("N.li",A109))=TRUE)),2,
AND(ISNUMBER(SEARCH("H-Dsty.",A109))=TRUE,ISNUMBER(SEARCH("H-Res",A109))=TRUE,ISNUMBER(SEARCH("C.",A109))=TRUE),3,
AND(ISNUMBER(SEARCH("L-Dsty.",A109))=TRUE,ISNUMBER(SEARCH("H-Res",A109))=TRUE,ISNUMBER(SEARCH("E.",A109))=TRUE),6,
AND(ISNUMBER(SEARCH("L-Dsty.",A109))=TRUE,ISNUMBER(SEARCH("H-Res",A109))=TRUE,OR(ISNUMBER(SEARCH("N.he",A109))=TRUE,ISNUMBER(SEARCH("N.me",A109))=TRUE,ISNUMBER(SEARCH("N.li",A109))=TRUE)),7,
AND(ISNUMBER(SEARCH("L-Dsty.",A109))=TRUE,ISNUMBER(SEARCH("H-Res",A109))=TRUE,ISNUMBER(SEARCH("C.",A109))=TRUE),8,
AND(ISNUMBER(SEARCH("L-Dsty.",A109))=TRUE,ISNUMBER(SEARCH("L-Res",A109))=TRUE,ISNUMBER(SEARCH("E.",A109))=TRUE),11,
AND(ISNUMBER(SEARCH("L-Dsty.",A109))=TRUE,ISNUMBER(SEARCH("L-Res",A109))=TRUE,OR(ISNUMBER(SEARCH("N.he",A109))=TRUE,ISNUMBER(SEARCH("N.me",A109))=TRUE,ISNUMBER(SEARCH("N.li",A109))=TRUE)),12,
AND(ISNUMBER(SEARCH("L-Dsty.",A109))=TRUE,ISNUMBER(SEARCH("L-Res",A109))=TRUE,ISNUMBER(SEARCH("C.",A109))=TRUE),13))</f>
        <v>4</v>
      </c>
    </row>
    <row r="110" spans="1:42" x14ac:dyDescent="0.2">
      <c r="A110" t="s">
        <v>493</v>
      </c>
      <c r="B110" s="210" t="str">
        <f t="array" ref="B110">INDEX(ECOMOD_input_estimate!$A$2:$A$55, MATCH(CFT_input!$A110, ECOMOD_input_estimate!$B:$B, 0))</f>
        <v>FF_03.2</v>
      </c>
      <c r="C110" s="210">
        <v>2020</v>
      </c>
      <c r="D110" s="395" t="s">
        <v>731</v>
      </c>
      <c r="E110" s="210" t="str">
        <f t="shared" si="7"/>
        <v>C.heavy.H-Dsty.H-Res</v>
      </c>
      <c r="F110" s="210" t="str">
        <f t="array" ref="F110">_xlfn.SINGLE(IF(OR(ISNUMBER(SEARCH("heavy",A110))=TRUE,ISNUMBER(SEARCH("medium",A110))=TRUE),
INDEX('Focus Data Crop Rotations'!$D$4:$P$9,MATCH(D110,'Focus Data Crop Rotations'!$C$4:$C$9,0),_xlfn.SINGLE(_xlfn.IFS(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INDEX('Focus Data Crop Rotations'!$D$12:$P$17,MATCH(D110,'Focus Data Crop Rotations'!$C$12:$C$17,0),_xlfn.SINGLE(_xlfn.IFS(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winterwheat</v>
      </c>
      <c r="G110">
        <v>7.2</v>
      </c>
      <c r="H110" s="227">
        <f>VLOOKUP(F110,'CFT Specific Data'!$F$4:$H$19,3,FALSE)*G110*
IF(B110=B109,
IF(AND(ISNUMBER(SEARCH("wheat",F110))=TRUE,ISNUMBER(SEARCH("Barley",F109))=TRUE),0.89,
IF(AND(ISNUMBER(SEARCH("wheat",F110))=TRUE,F109="setaside"),0.94,
IF(AND(ISNUMBER(SEARCH("barley",F110))=TRUE,ISNUMBER(SEARCH("wheat",F109))=TRUE),0.89,
IF(AND(F110="winterbarley",F109="setaside"),0.94,
IF(AND(F110="sugarbeet",F109="warepotatoes"),0.95,
IF(AND((OR(ISNUMBER(SEARCH("beans",F110)),ISNUMBER(SEARCH("driedpeas",F110)),ISNUMBER(SEARCH("sugarbeet",F110)))=TRUE),ISNUMBER(SEARCH("osr",F109))=TRUE),0,
IF(AND((OR((ISNUMBER(SEARCH("wheat",F110))),ISNUMBER(SEARCH("linseed",F110)),ISNUMBER(SEARCH("driedpeas",F110)),ISNUMBER(SEARCH("osr",F110)))=TRUE),F109="sugarbeet"),0,
IF(AND((OR((ISNUMBER(SEARCH("osr",F110))),ISNUMBER(SEARCH("linseed",F110)))=TRUE),ISNUMBER(SEARCH("beans",F109))=TRUE),0,
IF(AND(F110="wosr",ISNUMBER(SEARCH("linseed",F109))=TRUE),0,
IF(AND(F110="sugarbeet",F109="warepotatoes"),0,
1)))))))))),
IF(AND(ISNUMBER(SEARCH("wheat",F110))=TRUE,ISNUMBER(SEARCH("Barley",F115))=TRUE),0.89,
IF(AND(ISNUMBER(SEARCH("wheat",F110))=TRUE,F115="setaside"),0.94,
IF(AND(ISNUMBER(SEARCH("barley",F110))=TRUE,ISNUMBER(SEARCH("wheat",F115))=TRUE),0.89,
IF(AND(F110="winterbarley",F115="setaside"),0.94,
IF(AND(F110="sugarbeet",F115="warepotatoes"),0.95,
IF(AND((OR(ISNUMBER(SEARCH("beans",F110)),ISNUMBER(SEARCH("driedpeas",F110)),ISNUMBER(SEARCH("sugarbeet",F110)))=TRUE),ISNUMBER(SEARCH("osr",F115))=TRUE),0,
IF(AND((OR((ISNUMBER(SEARCH("wheat",F110))),ISNUMBER(SEARCH("linseed",F110)),ISNUMBER(SEARCH("driedpeas",F110)),ISNUMBER(SEARCH("osr",F110)))=TRUE),F115="sugarbeet"),0,
IF(AND((OR((ISNUMBER(SEARCH("osr",F110))),ISNUMBER(SEARCH("linseed",F110)))=TRUE),ISNUMBER(SEARCH("beans",F115))=TRUE),0,
IF(AND(F110="wosr",ISNUMBER(SEARCH("linseed",F115))=TRUE),0,
IF(AND(F110="sugarbeet",F115="warepotatoes"),0,
1)))))))))))
*IF(OR(ISNUMBER(SEARCH("wheat",F110)),ISNUMBER(SEARCH("barley",F110)),ISNUMBER(SEARCH("driedpeas",F110)),ISNUMBER(SEARCH("warepotatoes",F110)),ISNUMBER(SEARCH("osr",F110)),ISNUMBER(SEARCH("linseed",F110)),ISNUMBER(SEARCH("sugarbeet",F110))),
IF(COUNTIF(B105:B109,B110)=5,
INDEX('CFT Specific Data'!$G$24:$L$39,MATCH(F110,'CFT Specific Data'!$F$24:$F$39,0),IF(COUNTIF(F105:F109,F110)=5,6,IF(COUNTIF(F106:F109,F110)=4,5,IF(COUNTIF(F107:F109,F110)=3,4,IF(COUNTIF(F108:F109,F110)=2,3,IF(F109=F110,2,1)))))),
IF(COUNTIF(B105:B109,B110)=4,
INDEX('CFT Specific Data'!$G$24:$L$39,MATCH(F110,'CFT Specific Data'!$F$24:$F$39,0),IF(SUM(COUNTIF(F106:F109,F110),COUNTIF(F111,F110))=5,6,IF(COUNTIF(F106:F109,F110)=4,5,IF(COUNTIF(F107:F109,F110)=3,4,IF(COUNTIF(F108:F109,F110)=2,3,IF(F109=F110,2,1)))))),
IF(COUNTIF(B105:B109,B110)=3,
INDEX('CFT Specific Data'!$G$24:$L$39,MATCH(F110,'CFT Specific Data'!$F$24:$F$39,0),IF(SUM(COUNTIF(F107:F109,F110),COUNTIF(F111:F112,F110))=5,6,IF(SUM(COUNTIF(F107:F109,F110),COUNTIF(F112,F110))=4,5,IF(COUNTIF(F107:F109,F110)=3,4,IF(COUNTIF(F108:F109,F110)=2,3,IF(F109=F110,2,1)))))),
IF(COUNTIF(B105:B109,B110)=2,
INDEX('CFT Specific Data'!$G$24:$L$39,MATCH(F110,'CFT Specific Data'!$F$24:$F$39,0),IF(SUM(COUNTIF(F108:F109,F110),COUNTIF(F111:F113,F110))=5,6,IF(SUM(COUNTIF(F108:F109,F110),COUNTIF(F112:F113,F110))=4,5,IF(SUM(COUNTIF(F108:F109,F110),COUNTIF(F113,F110))=3,4,IF(COUNTIF(F108:F109,F110)=2,3,IF(F109=F110,2,1)))))),
IF(COUNTIF(B105:B109,B110)=1,
INDEX('CFT Specific Data'!$G$24:$L$39,MATCH(F110,'CFT Specific Data'!$F$24:$F$39,0),IF(SUM(COUNTIF(F109,F110),COUNTIF(F111:F114,F110))=5,6,IF(SUM(COUNTIF(F109,F110),COUNTIF(F112:F114,F110))=4,5,IF(SUM(COUNTIF(F109,F110),COUNTIF(F113:F114,F110))=3,4,IF(SUM(COUNTIF(F109,F110),COUNTIF(F114,F110))=2,3,IF(F109=F110,2,1)))))),
IF(COUNTIF(B105:B109,B110)=0,
INDEX('CFT Specific Data'!$G$24:$L$39,MATCH(F110,'CFT Specific Data'!$F$24:$F$39,0),IF(COUNTIF(F111:F115,F110)=5,6,IF(COUNTIF(F112:F115,F110)=4,5,IF(COUNTIF(F113:F115,F110)=3,4,IF(COUNTIF(F114:F115,F110)=2,3,IF(F115=F110,2,1)))))))))))),1)</f>
        <v>61.92</v>
      </c>
      <c r="I110" s="210" t="s">
        <v>348</v>
      </c>
      <c r="J110">
        <v>10</v>
      </c>
      <c r="K110" s="210" t="str">
        <f>VLOOKUP(F110,'CFT Specific Data'!$F$4:$G$19,2,FALSE)</f>
        <v>Winter wheat</v>
      </c>
      <c r="L110" t="str">
        <f t="shared" si="8"/>
        <v>Fine</v>
      </c>
      <c r="M110">
        <f t="shared" si="9"/>
        <v>5.8479999999999999</v>
      </c>
      <c r="N110" t="str">
        <f t="shared" si="10"/>
        <v>5.16 &lt; SOM &lt;= 10.32</v>
      </c>
      <c r="O110" t="s">
        <v>349</v>
      </c>
      <c r="P110" t="s">
        <v>350</v>
      </c>
      <c r="Q110">
        <v>7</v>
      </c>
      <c r="R110" t="str">
        <f t="shared" si="6"/>
        <v>5.5 &lt; pH &lt;= 7.3</v>
      </c>
      <c r="S110" t="s">
        <v>351</v>
      </c>
      <c r="T110" s="210">
        <f t="array" ref="T110">_xlfn.SINGLE(INDEX('Focus Data NFertiliser Rate'!$D$4:$P$19,MATCH(F110,'Focus Data NFertiliser Rate'!$C$4:$C$19,0),_xlfn.SINGLE(_xlfn.IFS(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250</v>
      </c>
      <c r="U110" t="str">
        <f t="shared" si="11"/>
        <v>Apply in solution</v>
      </c>
      <c r="V110" s="210">
        <f t="array" ref="V110">_xlfn.SINGLE(INDEX('№ Fertiliser sprayings'!$D$4:$P$19,MATCH(F110,'№ Fertiliser sprayings'!$C$4:$C$19,0),_xlfn.SINGLE(_xlfn.IFS(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3</v>
      </c>
      <c r="W110" s="264">
        <f t="array" ref="W110">_xlfn.SINGLE(INDEX('Focus Data CFT NSpraying'!$D$4:$P$19,MATCH(F110,'Focus Data CFT NSpraying'!$C$4:$C$19,0),_xlfn.SINGLE(_xlfn.IFS(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18.175999999999998</v>
      </c>
      <c r="X110" t="s">
        <v>363</v>
      </c>
      <c r="Y110">
        <v>0</v>
      </c>
      <c r="Z110">
        <v>100</v>
      </c>
      <c r="AA110" t="s">
        <v>352</v>
      </c>
      <c r="AB110" s="226" t="str">
        <f>IF(B110=B109,_xlfn.IFS(
AND(AA110=Lists!$L$8,AA109=Lists!$L$8),Lists!$N$5,
AND(OR(AA110=Lists!$L$5,AA110=Lists!$L$7,AA110=Lists!$L$9,AA110=Lists!$L$10,AA110=Lists!$L$6),OR(AA109=Lists!$L$5,AA109=Lists!$L$7,AA109=Lists!$L$9,AA109=Lists!$L$10,AA109=Lists!$L$6)),Lists!$N$5,
AND(AA110=Lists!$L$8,OR(AA109=Lists!$L$5,AA109=Lists!$L$7,AA109=Lists!$L$9,AA109=Lists!$L$10,AA109=Lists!$L$6)),Lists!$N$6,
AND(OR(AA110=Lists!$L$5,AA110=Lists!$L$6,AA110=Lists!$L$7,AA110=Lists!$L$9,AA110=Lists!$L$10),AA109=Lists!$L$8),Lists!$N$7),
_xlfn.IFS(
AND(AA110=Lists!$L$8,AA115=Lists!$L$8),Lists!$N$5,
AND(OR(AA110=Lists!$L$5,AA110=Lists!$L$7,AA110=Lists!$L$9,AA110=Lists!$L$10,AA110=Lists!$L$6),OR(AA115=Lists!$L$5,AA115=Lists!$L$7,AA115=Lists!$L$9,AA115=Lists!$L$10,AA115=Lists!$L$6)),Lists!$N$5,
AND(AA110=Lists!$L$8,OR(AA115=Lists!$L$5,AA115=Lists!$L$7,AA115=Lists!$L$9,AA115=Lists!$L$10,AA115=Lists!$L$6)),Lists!$N$6,
AND(OR(AA110=Lists!$L$5,AA110=Lists!$L$7,AA110=Lists!$L$9,AA110=Lists!$L$10),AA115=Lists!$L$8),Lists!$N$7))</f>
        <v>no change</v>
      </c>
      <c r="AC110">
        <v>0</v>
      </c>
      <c r="AD110">
        <v>0</v>
      </c>
      <c r="AE110" s="102">
        <f t="array" ref="AE110">IF(OR(ISNUMBER(SEARCH("heavy",A110))=TRUE, ISNUMBER(SEARCH("medium",A110))=TRUE),
(LEN(_xlfn.SINGLE(
INDEX('Focus Data Tillage by farm'!$D$4:$P$9,MATCH(D110,'Focus Data Tillage by farm'!$C$4:$C$9,0),_xlfn.SINGLE(_xlfn.IFS(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-LEN(SUBSTITUTE(_xlfn.SINGLE(
INDEX('Focus Data Tillage by farm'!$D$4:$P$9,MATCH(D110,'Focus Data Tillage by farm'!$C$4:$C$9,0),_xlfn.SINGLE(_xlfn.IFS(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"disc","")))/LEN("disc"),
(LEN(_xlfn.SINGLE(
INDEX('Focus Data Tillage by farm'!$D$12:$P$17,MATCH(D110,'Focus Data Tillage by farm'!$C$12:$C$17,0),_xlfn.SINGLE(_xlfn.IFS(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-LEN(SUBSTITUTE(_xlfn.SINGLE(
INDEX('Focus Data Tillage by farm'!$D$12:$P$17,MATCH(D110,'Focus Data Tillage by farm'!$C$12:$C$17,0),_xlfn.SINGLE(_xlfn.IFS(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"disc","")))/LEN("disc"))</f>
        <v>3</v>
      </c>
      <c r="AF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"field cultivator","")))/LEN("field cultivator"),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"field cultivator","")))/LEN("field cultivator"))</f>
        <v>0</v>
      </c>
      <c r="AG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"grain drill","")))/LEN("grain drill"),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"grain drill","")))/LEN("grain drill"))</f>
        <v>1</v>
      </c>
      <c r="AH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"minimum tillage","")))/LEN("minimum tillage"),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"minimum tillage","")))/LEN("minimum tillage"))</f>
        <v>0</v>
      </c>
      <c r="AI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"row crop planter","")))/LEN("row crop planter"),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"row crop planter","")))/LEN("row crop planter"))</f>
        <v>0</v>
      </c>
      <c r="AJ110" s="102">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"plough","")))/LEN("plough"),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"plough","")))/LEN("plough"))</f>
        <v>0</v>
      </c>
      <c r="AK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harrow","")))/LEN("roller harrow"),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harrow","")))/LEN("roller harrow"))</f>
        <v>0</v>
      </c>
      <c r="AL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packer","")))/LEN("roller packer"),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"roller packer","")))/LEN("roller packer"))</f>
        <v>2</v>
      </c>
      <c r="AM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"rotary hoe","")))/LEN("rotary hoe"),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"rotary hoe","")))/LEN("rotary hoe"))</f>
        <v>0</v>
      </c>
      <c r="AN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"subsoil","")))/LEN("subsoil"),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"subsoil","")))/LEN("subsoil"))</f>
        <v>0</v>
      </c>
      <c r="AO110">
        <f>IF(OR(ISNUMBER(SEARCH("heavy",A110))=TRUE, ISNUMBER(SEARCH("medium",A110))=TRUE),
(LEN(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farm'!$D$4:$P$9,MATCH(D110,'Focus Data Tillage by farm'!$C$4:$C$9,0),_xlfn.IFS(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"tine harrow","")))/LEN("tine harrow"),
(LEN(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-LEN(SUBSTITUTE(
INDEX('Focus Data Tillage by farm'!$D$12:$P$17,MATCH(D110,'Focus Data Tillage by farm'!$C$12:$C$17,0),_xlfn.IFS(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
"tine harrow","")))/LEN("tine harrow"))</f>
        <v>0</v>
      </c>
      <c r="AP110" s="102">
        <f>INDEX('Focus Data NSpraying'!$D$4:$P$19,MATCH(F110,'Focus Data NSpraying'!$C$4:$C$19,0),_xlfn.IFS(
AND(ISNUMBER(SEARCH("H-Dsty.",A110))=TRUE,ISNUMBER(SEARCH("H-Res",A110))=TRUE,ISNUMBER(SEARCH("E.",A110))=TRUE),1,
AND(ISNUMBER(SEARCH("H-Dsty.",A110))=TRUE,ISNUMBER(SEARCH("H-Res",A110))=TRUE,OR(ISNUMBER(SEARCH("N.he",A110))=TRUE,ISNUMBER(SEARCH("N.me",A110))=TRUE,ISNUMBER(SEARCH("N.li",A110))=TRUE)),2,
AND(ISNUMBER(SEARCH("H-Dsty.",A110))=TRUE,ISNUMBER(SEARCH("H-Res",A110))=TRUE,ISNUMBER(SEARCH("C.",A110))=TRUE),3,
AND(ISNUMBER(SEARCH("L-Dsty.",A110))=TRUE,ISNUMBER(SEARCH("H-Res",A110))=TRUE,ISNUMBER(SEARCH("E.",A110))=TRUE),6,
AND(ISNUMBER(SEARCH("L-Dsty.",A110))=TRUE,ISNUMBER(SEARCH("H-Res",A110))=TRUE,OR(ISNUMBER(SEARCH("N.he",A110))=TRUE,ISNUMBER(SEARCH("N.me",A110))=TRUE,ISNUMBER(SEARCH("N.li",A110))=TRUE)),7,
AND(ISNUMBER(SEARCH("L-Dsty.",A110))=TRUE,ISNUMBER(SEARCH("H-Res",A110))=TRUE,ISNUMBER(SEARCH("C.",A110))=TRUE),8,
AND(ISNUMBER(SEARCH("L-Dsty.",A110))=TRUE,ISNUMBER(SEARCH("L-Res",A110))=TRUE,ISNUMBER(SEARCH("E.",A110))=TRUE),11,
AND(ISNUMBER(SEARCH("L-Dsty.",A110))=TRUE,ISNUMBER(SEARCH("L-Res",A110))=TRUE,OR(ISNUMBER(SEARCH("N.he",A110))=TRUE,ISNUMBER(SEARCH("N.me",A110))=TRUE,ISNUMBER(SEARCH("N.li",A110))=TRUE)),12,
AND(ISNUMBER(SEARCH("L-Dsty.",A110))=TRUE,ISNUMBER(SEARCH("L-Res",A110))=TRUE,ISNUMBER(SEARCH("C.",A110))=TRUE),13))</f>
        <v>7</v>
      </c>
    </row>
    <row r="111" spans="1:42" x14ac:dyDescent="0.2">
      <c r="A111" t="s">
        <v>493</v>
      </c>
      <c r="B111" s="210" t="str">
        <f t="array" ref="B111">INDEX(ECOMOD_input_estimate!$A$2:$A$55, MATCH(CFT_input!$A111, ECOMOD_input_estimate!$B:$B, 0))</f>
        <v>FF_03.2</v>
      </c>
      <c r="C111" s="210">
        <v>2020</v>
      </c>
      <c r="D111" s="395" t="s">
        <v>730</v>
      </c>
      <c r="E111" s="210" t="str">
        <f t="shared" si="7"/>
        <v>C.heavy.H-Dsty.H-Res</v>
      </c>
      <c r="F111" s="210" t="str">
        <f t="array" ref="F111">_xlfn.SINGLE(IF(OR(ISNUMBER(SEARCH("heavy",A111))=TRUE,ISNUMBER(SEARCH("medium",A111))=TRUE),
INDEX('Focus Data Crop Rotations'!$D$4:$P$9,MATCH(D111,'Focus Data Crop Rotations'!$C$4:$C$9,0),_xlfn.SINGLE(_xlfn.IFS(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INDEX('Focus Data Crop Rotations'!$D$12:$P$17,MATCH(D111,'Focus Data Crop Rotations'!$C$12:$C$17,0),_xlfn.SINGLE(_xlfn.IFS(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springbarley</v>
      </c>
      <c r="G111">
        <v>7.2</v>
      </c>
      <c r="H111" s="227">
        <f>VLOOKUP(F111,'CFT Specific Data'!$F$4:$H$19,3,FALSE)*G111*
IF(B111=B110,
IF(AND(ISNUMBER(SEARCH("wheat",F111))=TRUE,ISNUMBER(SEARCH("Barley",F110))=TRUE),0.89,
IF(AND(ISNUMBER(SEARCH("wheat",F111))=TRUE,F110="setaside"),0.94,
IF(AND(ISNUMBER(SEARCH("barley",F111))=TRUE,ISNUMBER(SEARCH("wheat",F110))=TRUE),0.89,
IF(AND(F111="winterbarley",F110="setaside"),0.94,
IF(AND(F111="sugarbeet",F110="warepotatoes"),0.95,
IF(AND((OR(ISNUMBER(SEARCH("beans",F111)),ISNUMBER(SEARCH("driedpeas",F111)),ISNUMBER(SEARCH("sugarbeet",F111)))=TRUE),ISNUMBER(SEARCH("osr",F110))=TRUE),0,
IF(AND((OR((ISNUMBER(SEARCH("wheat",F111))),ISNUMBER(SEARCH("linseed",F111)),ISNUMBER(SEARCH("driedpeas",F111)),ISNUMBER(SEARCH("osr",F111)))=TRUE),F110="sugarbeet"),0,
IF(AND((OR((ISNUMBER(SEARCH("osr",F111))),ISNUMBER(SEARCH("linseed",F111)))=TRUE),ISNUMBER(SEARCH("beans",F110))=TRUE),0,
IF(AND(F111="wosr",ISNUMBER(SEARCH("linseed",F110))=TRUE),0,
IF(AND(F111="sugarbeet",F110="warepotatoes"),0,
1)))))))))),
IF(AND(ISNUMBER(SEARCH("wheat",F111))=TRUE,ISNUMBER(SEARCH("Barley",F116))=TRUE),0.89,
IF(AND(ISNUMBER(SEARCH("wheat",F111))=TRUE,F116="setaside"),0.94,
IF(AND(ISNUMBER(SEARCH("barley",F111))=TRUE,ISNUMBER(SEARCH("wheat",F116))=TRUE),0.89,
IF(AND(F111="winterbarley",F116="setaside"),0.94,
IF(AND(F111="sugarbeet",F116="warepotatoes"),0.95,
IF(AND((OR(ISNUMBER(SEARCH("beans",F111)),ISNUMBER(SEARCH("driedpeas",F111)),ISNUMBER(SEARCH("sugarbeet",F111)))=TRUE),ISNUMBER(SEARCH("osr",F116))=TRUE),0,
IF(AND((OR((ISNUMBER(SEARCH("wheat",F111))),ISNUMBER(SEARCH("linseed",F111)),ISNUMBER(SEARCH("driedpeas",F111)),ISNUMBER(SEARCH("osr",F111)))=TRUE),F116="sugarbeet"),0,
IF(AND((OR((ISNUMBER(SEARCH("osr",F111))),ISNUMBER(SEARCH("linseed",F111)))=TRUE),ISNUMBER(SEARCH("beans",F116))=TRUE),0,
IF(AND(F111="wosr",ISNUMBER(SEARCH("linseed",F116))=TRUE),0,
IF(AND(F111="sugarbeet",F116="warepotatoes"),0,
1)))))))))))
*IF(OR(ISNUMBER(SEARCH("wheat",F111)),ISNUMBER(SEARCH("barley",F111)),ISNUMBER(SEARCH("driedpeas",F111)),ISNUMBER(SEARCH("warepotatoes",F111)),ISNUMBER(SEARCH("osr",F111)),ISNUMBER(SEARCH("linseed",F111)),ISNUMBER(SEARCH("sugarbeet",F111))),
IF(COUNTIF(B106:B110,B111)=5,
INDEX('CFT Specific Data'!$G$24:$L$39,MATCH(F111,'CFT Specific Data'!$F$24:$F$39,0),IF(COUNTIF(F106:F110,F111)=5,6,IF(COUNTIF(F107:F110,F111)=4,5,IF(COUNTIF(F108:F110,F111)=3,4,IF(COUNTIF(F109:F110,F111)=2,3,IF(F110=F111,2,1)))))),
IF(COUNTIF(B106:B110,B111)=4,
INDEX('CFT Specific Data'!$G$24:$L$39,MATCH(F111,'CFT Specific Data'!$F$24:$F$39,0),IF(SUM(COUNTIF(F107:F110,F111),COUNTIF(F112,F111))=5,6,IF(COUNTIF(F107:F110,F111)=4,5,IF(COUNTIF(F108:F110,F111)=3,4,IF(COUNTIF(F109:F110,F111)=2,3,IF(F110=F111,2,1)))))),
IF(COUNTIF(B106:B110,B111)=3,
INDEX('CFT Specific Data'!$G$24:$L$39,MATCH(F111,'CFT Specific Data'!$F$24:$F$39,0),IF(SUM(COUNTIF(F108:F110,F111),COUNTIF(F112:F113,F111))=5,6,IF(SUM(COUNTIF(F108:F110,F111),COUNTIF(F113,F111))=4,5,IF(COUNTIF(F108:F110,F111)=3,4,IF(COUNTIF(F109:F110,F111)=2,3,IF(F110=F111,2,1)))))),
IF(COUNTIF(B106:B110,B111)=2,
INDEX('CFT Specific Data'!$G$24:$L$39,MATCH(F111,'CFT Specific Data'!$F$24:$F$39,0),IF(SUM(COUNTIF(F109:F110,F111),COUNTIF(F112:F114,F111))=5,6,IF(SUM(COUNTIF(F109:F110,F111),COUNTIF(F113:F114,F111))=4,5,IF(SUM(COUNTIF(F109:F110,F111),COUNTIF(F114,F111))=3,4,IF(COUNTIF(F109:F110,F111)=2,3,IF(F110=F111,2,1)))))),
IF(COUNTIF(B106:B110,B111)=1,
INDEX('CFT Specific Data'!$G$24:$L$39,MATCH(F111,'CFT Specific Data'!$F$24:$F$39,0),IF(SUM(COUNTIF(F110,F111),COUNTIF(F112:F115,F111))=5,6,IF(SUM(COUNTIF(F110,F111),COUNTIF(F113:F115,F111))=4,5,IF(SUM(COUNTIF(F110,F111),COUNTIF(F114:F115,F111))=3,4,IF(SUM(COUNTIF(F110,F111),COUNTIF(F115,F111))=2,3,IF(F110=F111,2,1)))))),
IF(COUNTIF(B106:B110,B111)=0,
INDEX('CFT Specific Data'!$G$24:$L$39,MATCH(F111,'CFT Specific Data'!$F$24:$F$39,0),IF(COUNTIF(F112:F116,F111)=5,6,IF(COUNTIF(F113:F116,F111)=4,5,IF(COUNTIF(F114:F116,F111)=3,4,IF(COUNTIF(F115:F116,F111)=2,3,IF(F116=F111,2,1)))))))))))),1)</f>
        <v>36.525599999999997</v>
      </c>
      <c r="I111" s="210" t="s">
        <v>348</v>
      </c>
      <c r="J111">
        <v>10</v>
      </c>
      <c r="K111" s="210" t="str">
        <f>VLOOKUP(F111,'CFT Specific Data'!$F$4:$G$19,2,FALSE)</f>
        <v>Barley</v>
      </c>
      <c r="L111" t="str">
        <f t="shared" si="8"/>
        <v>Fine</v>
      </c>
      <c r="M111">
        <f t="shared" si="9"/>
        <v>5.8479999999999999</v>
      </c>
      <c r="N111" t="str">
        <f t="shared" si="10"/>
        <v>5.16 &lt; SOM &lt;= 10.32</v>
      </c>
      <c r="O111" t="s">
        <v>349</v>
      </c>
      <c r="P111" t="s">
        <v>350</v>
      </c>
      <c r="Q111">
        <v>7</v>
      </c>
      <c r="R111" t="str">
        <f t="shared" si="6"/>
        <v>5.5 &lt; pH &lt;= 7.3</v>
      </c>
      <c r="S111" t="s">
        <v>351</v>
      </c>
      <c r="T111" s="210">
        <f t="array" ref="T111">_xlfn.SINGLE(INDEX('Focus Data NFertiliser Rate'!$D$4:$P$19,MATCH(F111,'Focus Data NFertiliser Rate'!$C$4:$C$19,0),_xlfn.SINGLE(_xlfn.IFS(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150</v>
      </c>
      <c r="U111" t="str">
        <f t="shared" si="11"/>
        <v>Apply in solution</v>
      </c>
      <c r="V111" s="210">
        <f t="array" ref="V111">_xlfn.SINGLE(INDEX('№ Fertiliser sprayings'!$D$4:$P$19,MATCH(F111,'№ Fertiliser sprayings'!$C$4:$C$19,0),_xlfn.SINGLE(_xlfn.IFS(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1</v>
      </c>
      <c r="W111" s="264">
        <f t="array" ref="W111">_xlfn.SINGLE(INDEX('Focus Data CFT NSpraying'!$D$4:$P$19,MATCH(F111,'Focus Data CFT NSpraying'!$C$4:$C$19,0),_xlfn.SINGLE(_xlfn.IFS(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9.2560000000000002</v>
      </c>
      <c r="X111" t="s">
        <v>363</v>
      </c>
      <c r="Y111">
        <v>0</v>
      </c>
      <c r="Z111">
        <v>100</v>
      </c>
      <c r="AA111" t="s">
        <v>352</v>
      </c>
      <c r="AB111" s="226" t="str">
        <f>IF(B111=B110,_xlfn.IFS(
AND(AA111=Lists!$L$8,AA110=Lists!$L$8),Lists!$N$5,
AND(OR(AA111=Lists!$L$5,AA111=Lists!$L$7,AA111=Lists!$L$9,AA111=Lists!$L$10,AA111=Lists!$L$6),OR(AA110=Lists!$L$5,AA110=Lists!$L$7,AA110=Lists!$L$9,AA110=Lists!$L$10,AA110=Lists!$L$6)),Lists!$N$5,
AND(AA111=Lists!$L$8,OR(AA110=Lists!$L$5,AA110=Lists!$L$7,AA110=Lists!$L$9,AA110=Lists!$L$10,AA110=Lists!$L$6)),Lists!$N$6,
AND(OR(AA111=Lists!$L$5,AA111=Lists!$L$6,AA111=Lists!$L$7,AA111=Lists!$L$9,AA111=Lists!$L$10),AA110=Lists!$L$8),Lists!$N$7),
_xlfn.IFS(
AND(AA111=Lists!$L$8,AA116=Lists!$L$8),Lists!$N$5,
AND(OR(AA111=Lists!$L$5,AA111=Lists!$L$7,AA111=Lists!$L$9,AA111=Lists!$L$10,AA111=Lists!$L$6),OR(AA116=Lists!$L$5,AA116=Lists!$L$7,AA116=Lists!$L$9,AA116=Lists!$L$10,AA116=Lists!$L$6)),Lists!$N$5,
AND(AA111=Lists!$L$8,OR(AA116=Lists!$L$5,AA116=Lists!$L$7,AA116=Lists!$L$9,AA116=Lists!$L$10,AA116=Lists!$L$6)),Lists!$N$6,
AND(OR(AA111=Lists!$L$5,AA111=Lists!$L$7,AA111=Lists!$L$9,AA111=Lists!$L$10),AA116=Lists!$L$8),Lists!$N$7))</f>
        <v>no change</v>
      </c>
      <c r="AC111">
        <v>0</v>
      </c>
      <c r="AD111">
        <v>0</v>
      </c>
      <c r="AE111" s="102">
        <f t="array" ref="AE111">IF(OR(ISNUMBER(SEARCH("heavy",A111))=TRUE, ISNUMBER(SEARCH("medium",A111))=TRUE),
(LEN(_xlfn.SINGLE(
INDEX('Focus Data Tillage by farm'!$D$4:$P$9,MATCH(D111,'Focus Data Tillage by farm'!$C$4:$C$9,0),_xlfn.SINGLE(_xlfn.IFS(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-LEN(SUBSTITUTE(_xlfn.SINGLE(
INDEX('Focus Data Tillage by farm'!$D$4:$P$9,MATCH(D111,'Focus Data Tillage by farm'!$C$4:$C$9,0),_xlfn.SINGLE(_xlfn.IFS(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"disc","")))/LEN("disc"),
(LEN(_xlfn.SINGLE(
INDEX('Focus Data Tillage by farm'!$D$12:$P$17,MATCH(D111,'Focus Data Tillage by farm'!$C$12:$C$17,0),_xlfn.SINGLE(_xlfn.IFS(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-LEN(SUBSTITUTE(_xlfn.SINGLE(
INDEX('Focus Data Tillage by farm'!$D$12:$P$17,MATCH(D111,'Focus Data Tillage by farm'!$C$12:$C$17,0),_xlfn.SINGLE(_xlfn.IFS(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"disc","")))/LEN("disc"))</f>
        <v>4</v>
      </c>
      <c r="AF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"field cultivator","")))/LEN("field cultivator"),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"field cultivator","")))/LEN("field cultivator"))</f>
        <v>0</v>
      </c>
      <c r="AG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"grain drill","")))/LEN("grain drill"),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"grain drill","")))/LEN("grain drill"))</f>
        <v>1</v>
      </c>
      <c r="AH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"minimum tillage","")))/LEN("minimum tillage"),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"minimum tillage","")))/LEN("minimum tillage"))</f>
        <v>0</v>
      </c>
      <c r="AI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"row crop planter","")))/LEN("row crop planter"),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"row crop planter","")))/LEN("row crop planter"))</f>
        <v>0</v>
      </c>
      <c r="AJ111" s="102">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"plough","")))/LEN("plough"),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"plough","")))/LEN("plough"))</f>
        <v>0</v>
      </c>
      <c r="AK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harrow","")))/LEN("roller harrow"),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harrow","")))/LEN("roller harrow"))</f>
        <v>0</v>
      </c>
      <c r="AL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packer","")))/LEN("roller packer"),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"roller packer","")))/LEN("roller packer"))</f>
        <v>2</v>
      </c>
      <c r="AM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"rotary hoe","")))/LEN("rotary hoe"),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"rotary hoe","")))/LEN("rotary hoe"))</f>
        <v>0</v>
      </c>
      <c r="AN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"subsoil","")))/LEN("subsoil"),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"subsoil","")))/LEN("subsoil"))</f>
        <v>0</v>
      </c>
      <c r="AO111">
        <f>IF(OR(ISNUMBER(SEARCH("heavy",A111))=TRUE, ISNUMBER(SEARCH("medium",A111))=TRUE),
(LEN(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farm'!$D$4:$P$9,MATCH(D111,'Focus Data Tillage by farm'!$C$4:$C$9,0),_xlfn.IFS(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"tine harrow","")))/LEN("tine harrow"),
(LEN(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-LEN(SUBSTITUTE(
INDEX('Focus Data Tillage by farm'!$D$12:$P$17,MATCH(D111,'Focus Data Tillage by farm'!$C$12:$C$17,0),_xlfn.IFS(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
"tine harrow","")))/LEN("tine harrow"))</f>
        <v>0</v>
      </c>
      <c r="AP111" s="102">
        <f>INDEX('Focus Data NSpraying'!$D$4:$P$19,MATCH(F111,'Focus Data NSpraying'!$C$4:$C$19,0),_xlfn.IFS(
AND(ISNUMBER(SEARCH("H-Dsty.",A111))=TRUE,ISNUMBER(SEARCH("H-Res",A111))=TRUE,ISNUMBER(SEARCH("E.",A111))=TRUE),1,
AND(ISNUMBER(SEARCH("H-Dsty.",A111))=TRUE,ISNUMBER(SEARCH("H-Res",A111))=TRUE,OR(ISNUMBER(SEARCH("N.he",A111))=TRUE,ISNUMBER(SEARCH("N.me",A111))=TRUE,ISNUMBER(SEARCH("N.li",A111))=TRUE)),2,
AND(ISNUMBER(SEARCH("H-Dsty.",A111))=TRUE,ISNUMBER(SEARCH("H-Res",A111))=TRUE,ISNUMBER(SEARCH("C.",A111))=TRUE),3,
AND(ISNUMBER(SEARCH("L-Dsty.",A111))=TRUE,ISNUMBER(SEARCH("H-Res",A111))=TRUE,ISNUMBER(SEARCH("E.",A111))=TRUE),6,
AND(ISNUMBER(SEARCH("L-Dsty.",A111))=TRUE,ISNUMBER(SEARCH("H-Res",A111))=TRUE,OR(ISNUMBER(SEARCH("N.he",A111))=TRUE,ISNUMBER(SEARCH("N.me",A111))=TRUE,ISNUMBER(SEARCH("N.li",A111))=TRUE)),7,
AND(ISNUMBER(SEARCH("L-Dsty.",A111))=TRUE,ISNUMBER(SEARCH("H-Res",A111))=TRUE,ISNUMBER(SEARCH("C.",A111))=TRUE),8,
AND(ISNUMBER(SEARCH("L-Dsty.",A111))=TRUE,ISNUMBER(SEARCH("L-Res",A111))=TRUE,ISNUMBER(SEARCH("E.",A111))=TRUE),11,
AND(ISNUMBER(SEARCH("L-Dsty.",A111))=TRUE,ISNUMBER(SEARCH("L-Res",A111))=TRUE,OR(ISNUMBER(SEARCH("N.he",A111))=TRUE,ISNUMBER(SEARCH("N.me",A111))=TRUE,ISNUMBER(SEARCH("N.li",A111))=TRUE)),12,
AND(ISNUMBER(SEARCH("L-Dsty.",A111))=TRUE,ISNUMBER(SEARCH("L-Res",A111))=TRUE,ISNUMBER(SEARCH("C.",A111))=TRUE),13))</f>
        <v>6</v>
      </c>
    </row>
    <row r="112" spans="1:42" x14ac:dyDescent="0.2">
      <c r="A112" t="s">
        <v>493</v>
      </c>
      <c r="B112" s="210" t="str">
        <f t="array" ref="B112">INDEX(ECOMOD_input_estimate!$A$2:$A$55, MATCH(CFT_input!$A112, ECOMOD_input_estimate!$B:$B, 0))</f>
        <v>FF_03.2</v>
      </c>
      <c r="C112" s="210">
        <v>2020</v>
      </c>
      <c r="D112" s="395" t="s">
        <v>1694</v>
      </c>
      <c r="E112" s="210" t="str">
        <f t="shared" si="7"/>
        <v>C.heavy.H-Dsty.H-Res</v>
      </c>
      <c r="F112" s="210" t="str">
        <f t="array" ref="F112">_xlfn.SINGLE(IF(OR(ISNUMBER(SEARCH("heavy",A112))=TRUE,ISNUMBER(SEARCH("medium",A112))=TRUE),
INDEX('Focus Data Crop Rotations'!$D$4:$P$9,MATCH(D112,'Focus Data Crop Rotations'!$C$4:$C$9,0),_xlfn.SINGLE(_xlfn.IFS(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INDEX('Focus Data Crop Rotations'!$D$12:$P$17,MATCH(D112,'Focus Data Crop Rotations'!$C$12:$C$17,0),_xlfn.SINGLE(_xlfn.IFS(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springbeans</v>
      </c>
      <c r="G112">
        <v>7.2</v>
      </c>
      <c r="H112" s="227">
        <f>VLOOKUP(F112,'CFT Specific Data'!$F$4:$H$19,3,FALSE)*G112*
IF(B112=B111,
IF(AND(ISNUMBER(SEARCH("wheat",F112))=TRUE,ISNUMBER(SEARCH("Barley",F111))=TRUE),0.89,
IF(AND(ISNUMBER(SEARCH("wheat",F112))=TRUE,F111="setaside"),0.94,
IF(AND(ISNUMBER(SEARCH("barley",F112))=TRUE,ISNUMBER(SEARCH("wheat",F111))=TRUE),0.89,
IF(AND(F112="winterbarley",F111="setaside"),0.94,
IF(AND(F112="sugarbeet",F111="warepotatoes"),0.95,
IF(AND((OR(ISNUMBER(SEARCH("beans",F112)),ISNUMBER(SEARCH("driedpeas",F112)),ISNUMBER(SEARCH("sugarbeet",F112)))=TRUE),ISNUMBER(SEARCH("osr",F111))=TRUE),0,
IF(AND((OR((ISNUMBER(SEARCH("wheat",F112))),ISNUMBER(SEARCH("linseed",F112)),ISNUMBER(SEARCH("driedpeas",F112)),ISNUMBER(SEARCH("osr",F112)))=TRUE),F111="sugarbeet"),0,
IF(AND((OR((ISNUMBER(SEARCH("osr",F112))),ISNUMBER(SEARCH("linseed",F112)))=TRUE),ISNUMBER(SEARCH("beans",F111))=TRUE),0,
IF(AND(F112="wosr",ISNUMBER(SEARCH("linseed",F111))=TRUE),0,
IF(AND(F112="sugarbeet",F111="warepotatoes"),0,
1)))))))))),
IF(AND(ISNUMBER(SEARCH("wheat",F112))=TRUE,ISNUMBER(SEARCH("Barley",F117))=TRUE),0.89,
IF(AND(ISNUMBER(SEARCH("wheat",F112))=TRUE,F117="setaside"),0.94,
IF(AND(ISNUMBER(SEARCH("barley",F112))=TRUE,ISNUMBER(SEARCH("wheat",F117))=TRUE),0.89,
IF(AND(F112="winterbarley",F117="setaside"),0.94,
IF(AND(F112="sugarbeet",F117="warepotatoes"),0.95,
IF(AND((OR(ISNUMBER(SEARCH("beans",F112)),ISNUMBER(SEARCH("driedpeas",F112)),ISNUMBER(SEARCH("sugarbeet",F112)))=TRUE),ISNUMBER(SEARCH("osr",F117))=TRUE),0,
IF(AND((OR((ISNUMBER(SEARCH("wheat",F112))),ISNUMBER(SEARCH("linseed",F112)),ISNUMBER(SEARCH("driedpeas",F112)),ISNUMBER(SEARCH("osr",F112)))=TRUE),F117="sugarbeet"),0,
IF(AND((OR((ISNUMBER(SEARCH("osr",F112))),ISNUMBER(SEARCH("linseed",F112)))=TRUE),ISNUMBER(SEARCH("beans",F117))=TRUE),0,
IF(AND(F112="wosr",ISNUMBER(SEARCH("linseed",F117))=TRUE),0,
IF(AND(F112="sugarbeet",F117="warepotatoes"),0,
1)))))))))))
*IF(OR(ISNUMBER(SEARCH("wheat",F112)),ISNUMBER(SEARCH("barley",F112)),ISNUMBER(SEARCH("driedpeas",F112)),ISNUMBER(SEARCH("warepotatoes",F112)),ISNUMBER(SEARCH("osr",F112)),ISNUMBER(SEARCH("linseed",F112)),ISNUMBER(SEARCH("sugarbeet",F112))),
IF(COUNTIF(B107:B111,B112)=5,
INDEX('CFT Specific Data'!$G$24:$L$39,MATCH(F112,'CFT Specific Data'!$F$24:$F$39,0),IF(COUNTIF(F107:F111,F112)=5,6,IF(COUNTIF(F108:F111,F112)=4,5,IF(COUNTIF(F109:F111,F112)=3,4,IF(COUNTIF(F110:F111,F112)=2,3,IF(F111=F112,2,1)))))),
IF(COUNTIF(B107:B111,B112)=4,
INDEX('CFT Specific Data'!$G$24:$L$39,MATCH(F112,'CFT Specific Data'!$F$24:$F$39,0),IF(SUM(COUNTIF(F108:F111,F112),COUNTIF(F113,F112))=5,6,IF(COUNTIF(F108:F111,F112)=4,5,IF(COUNTIF(F109:F111,F112)=3,4,IF(COUNTIF(F110:F111,F112)=2,3,IF(F111=F112,2,1)))))),
IF(COUNTIF(B107:B111,B112)=3,
INDEX('CFT Specific Data'!$G$24:$L$39,MATCH(F112,'CFT Specific Data'!$F$24:$F$39,0),IF(SUM(COUNTIF(F109:F111,F112),COUNTIF(F113:F114,F112))=5,6,IF(SUM(COUNTIF(F109:F111,F112),COUNTIF(F114,F112))=4,5,IF(COUNTIF(F109:F111,F112)=3,4,IF(COUNTIF(F110:F111,F112)=2,3,IF(F111=F112,2,1)))))),
IF(COUNTIF(B107:B111,B112)=2,
INDEX('CFT Specific Data'!$G$24:$L$39,MATCH(F112,'CFT Specific Data'!$F$24:$F$39,0),IF(SUM(COUNTIF(F110:F111,F112),COUNTIF(F113:F115,F112))=5,6,IF(SUM(COUNTIF(F110:F111,F112),COUNTIF(F114:F115,F112))=4,5,IF(SUM(COUNTIF(F110:F111,F112),COUNTIF(F115,F112))=3,4,IF(COUNTIF(F110:F111,F112)=2,3,IF(F111=F112,2,1)))))),
IF(COUNTIF(B107:B111,B112)=1,
INDEX('CFT Specific Data'!$G$24:$L$39,MATCH(F112,'CFT Specific Data'!$F$24:$F$39,0),IF(SUM(COUNTIF(F111,F112),COUNTIF(F113:F116,F112))=5,6,IF(SUM(COUNTIF(F111,F112),COUNTIF(F114:F116,F112))=4,5,IF(SUM(COUNTIF(F111,F112),COUNTIF(F115:F116,F112))=3,4,IF(SUM(COUNTIF(F111,F112),COUNTIF(F116,F112))=2,3,IF(F111=F112,2,1)))))),
IF(COUNTIF(B107:B111,B112)=0,
INDEX('CFT Specific Data'!$G$24:$L$39,MATCH(F112,'CFT Specific Data'!$F$24:$F$39,0),IF(COUNTIF(F113:F117,F112)=5,6,IF(COUNTIF(F114:F117,F112)=4,5,IF(COUNTIF(F115:F117,F112)=3,4,IF(COUNTIF(F116:F117,F112)=2,3,IF(F117=F112,2,1)))))))))))),1)</f>
        <v>28.08</v>
      </c>
      <c r="I112" s="210" t="s">
        <v>348</v>
      </c>
      <c r="J112">
        <v>10</v>
      </c>
      <c r="K112" s="210" t="str">
        <f>VLOOKUP(F112,'CFT Specific Data'!$F$4:$G$19,2,FALSE)</f>
        <v>Other legume</v>
      </c>
      <c r="L112" t="str">
        <f t="shared" si="8"/>
        <v>Fine</v>
      </c>
      <c r="M112">
        <f t="shared" si="9"/>
        <v>5.8479999999999999</v>
      </c>
      <c r="N112" t="str">
        <f t="shared" si="10"/>
        <v>5.16 &lt; SOM &lt;= 10.32</v>
      </c>
      <c r="O112" t="s">
        <v>349</v>
      </c>
      <c r="P112" t="s">
        <v>350</v>
      </c>
      <c r="Q112">
        <v>7</v>
      </c>
      <c r="R112" t="str">
        <f t="shared" si="6"/>
        <v>5.5 &lt; pH &lt;= 7.3</v>
      </c>
      <c r="S112" t="s">
        <v>351</v>
      </c>
      <c r="T112" s="210">
        <f t="array" ref="T112">_xlfn.SINGLE(INDEX('Focus Data NFertiliser Rate'!$D$4:$P$19,MATCH(F112,'Focus Data NFertiliser Rate'!$C$4:$C$19,0),_xlfn.SINGLE(_xlfn.IFS(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0</v>
      </c>
      <c r="U112">
        <f t="shared" si="11"/>
        <v>0</v>
      </c>
      <c r="V112" s="210">
        <f t="array" ref="V112">_xlfn.SINGLE(INDEX('№ Fertiliser sprayings'!$D$4:$P$19,MATCH(F112,'№ Fertiliser sprayings'!$C$4:$C$19,0),_xlfn.SINGLE(_xlfn.IFS(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0</v>
      </c>
      <c r="W112" s="264">
        <f t="array" ref="W112">_xlfn.SINGLE(INDEX('Focus Data CFT NSpraying'!$D$4:$P$19,MATCH(F112,'Focus Data CFT NSpraying'!$C$4:$C$19,0),_xlfn.SINGLE(_xlfn.IFS(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10.989600000000001</v>
      </c>
      <c r="X112" t="s">
        <v>363</v>
      </c>
      <c r="Y112">
        <v>0</v>
      </c>
      <c r="Z112">
        <v>100</v>
      </c>
      <c r="AA112" t="s">
        <v>352</v>
      </c>
      <c r="AB112" s="226" t="str">
        <f>IF(B112=B111,_xlfn.IFS(
AND(AA112=Lists!$L$8,AA111=Lists!$L$8),Lists!$N$5,
AND(OR(AA112=Lists!$L$5,AA112=Lists!$L$7,AA112=Lists!$L$9,AA112=Lists!$L$10,AA112=Lists!$L$6),OR(AA111=Lists!$L$5,AA111=Lists!$L$7,AA111=Lists!$L$9,AA111=Lists!$L$10,AA111=Lists!$L$6)),Lists!$N$5,
AND(AA112=Lists!$L$8,OR(AA111=Lists!$L$5,AA111=Lists!$L$7,AA111=Lists!$L$9,AA111=Lists!$L$10,AA111=Lists!$L$6)),Lists!$N$6,
AND(OR(AA112=Lists!$L$5,AA112=Lists!$L$6,AA112=Lists!$L$7,AA112=Lists!$L$9,AA112=Lists!$L$10),AA111=Lists!$L$8),Lists!$N$7),
_xlfn.IFS(
AND(AA112=Lists!$L$8,AA117=Lists!$L$8),Lists!$N$5,
AND(OR(AA112=Lists!$L$5,AA112=Lists!$L$7,AA112=Lists!$L$9,AA112=Lists!$L$10,AA112=Lists!$L$6),OR(AA117=Lists!$L$5,AA117=Lists!$L$7,AA117=Lists!$L$9,AA117=Lists!$L$10,AA117=Lists!$L$6)),Lists!$N$5,
AND(AA112=Lists!$L$8,OR(AA117=Lists!$L$5,AA117=Lists!$L$7,AA117=Lists!$L$9,AA117=Lists!$L$10,AA117=Lists!$L$6)),Lists!$N$6,
AND(OR(AA112=Lists!$L$5,AA112=Lists!$L$7,AA112=Lists!$L$9,AA112=Lists!$L$10),AA117=Lists!$L$8),Lists!$N$7))</f>
        <v>no change</v>
      </c>
      <c r="AC112">
        <v>0</v>
      </c>
      <c r="AD112">
        <v>0</v>
      </c>
      <c r="AE112" s="102">
        <f t="array" ref="AE112">IF(OR(ISNUMBER(SEARCH("heavy",A112))=TRUE, ISNUMBER(SEARCH("medium",A112))=TRUE),
(LEN(_xlfn.SINGLE(
INDEX('Focus Data Tillage by farm'!$D$4:$P$9,MATCH(D112,'Focus Data Tillage by farm'!$C$4:$C$9,0),_xlfn.SINGLE(_xlfn.IFS(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-LEN(SUBSTITUTE(_xlfn.SINGLE(
INDEX('Focus Data Tillage by farm'!$D$4:$P$9,MATCH(D112,'Focus Data Tillage by farm'!$C$4:$C$9,0),_xlfn.SINGLE(_xlfn.IFS(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"disc","")))/LEN("disc"),
(LEN(_xlfn.SINGLE(
INDEX('Focus Data Tillage by farm'!$D$12:$P$17,MATCH(D112,'Focus Data Tillage by farm'!$C$12:$C$17,0),_xlfn.SINGLE(_xlfn.IFS(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-LEN(SUBSTITUTE(_xlfn.SINGLE(
INDEX('Focus Data Tillage by farm'!$D$12:$P$17,MATCH(D112,'Focus Data Tillage by farm'!$C$12:$C$17,0),_xlfn.SINGLE(_xlfn.IFS(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"disc","")))/LEN("disc"))</f>
        <v>4</v>
      </c>
      <c r="AF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"field cultivator","")))/LEN("field cultivator"),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"field cultivator","")))/LEN("field cultivator"))</f>
        <v>0</v>
      </c>
      <c r="AG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"grain drill","")))/LEN("grain drill"),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"grain drill","")))/LEN("grain drill"))</f>
        <v>1</v>
      </c>
      <c r="AH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"minimum tillage","")))/LEN("minimum tillage"),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"minimum tillage","")))/LEN("minimum tillage"))</f>
        <v>0</v>
      </c>
      <c r="AI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"row crop planter","")))/LEN("row crop planter"),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"row crop planter","")))/LEN("row crop planter"))</f>
        <v>0</v>
      </c>
      <c r="AJ112" s="10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"plough","")))/LEN("plough"),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"plough","")))/LEN("plough"))</f>
        <v>1</v>
      </c>
      <c r="AK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harrow","")))/LEN("roller harrow"),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harrow","")))/LEN("roller harrow"))</f>
        <v>1</v>
      </c>
      <c r="AL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packer","")))/LEN("roller packer"),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"roller packer","")))/LEN("roller packer"))</f>
        <v>2</v>
      </c>
      <c r="AM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"rotary hoe","")))/LEN("rotary hoe"),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"rotary hoe","")))/LEN("rotary hoe"))</f>
        <v>0</v>
      </c>
      <c r="AN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"subsoil","")))/LEN("subsoil"),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"subsoil","")))/LEN("subsoil"))</f>
        <v>0</v>
      </c>
      <c r="AO112">
        <f>IF(OR(ISNUMBER(SEARCH("heavy",A112))=TRUE, ISNUMBER(SEARCH("medium",A112))=TRUE),
(LEN(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farm'!$D$4:$P$9,MATCH(D112,'Focus Data Tillage by farm'!$C$4:$C$9,0),_xlfn.IFS(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"tine harrow","")))/LEN("tine harrow"),
(LEN(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-LEN(SUBSTITUTE(
INDEX('Focus Data Tillage by farm'!$D$12:$P$17,MATCH(D112,'Focus Data Tillage by farm'!$C$12:$C$17,0),_xlfn.IFS(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
"tine harrow","")))/LEN("tine harrow"))</f>
        <v>0</v>
      </c>
      <c r="AP112" s="102">
        <f>INDEX('Focus Data NSpraying'!$D$4:$P$19,MATCH(F112,'Focus Data NSpraying'!$C$4:$C$19,0),_xlfn.IFS(
AND(ISNUMBER(SEARCH("H-Dsty.",A112))=TRUE,ISNUMBER(SEARCH("H-Res",A112))=TRUE,ISNUMBER(SEARCH("E.",A112))=TRUE),1,
AND(ISNUMBER(SEARCH("H-Dsty.",A112))=TRUE,ISNUMBER(SEARCH("H-Res",A112))=TRUE,OR(ISNUMBER(SEARCH("N.he",A112))=TRUE,ISNUMBER(SEARCH("N.me",A112))=TRUE,ISNUMBER(SEARCH("N.li",A112))=TRUE)),2,
AND(ISNUMBER(SEARCH("H-Dsty.",A112))=TRUE,ISNUMBER(SEARCH("H-Res",A112))=TRUE,ISNUMBER(SEARCH("C.",A112))=TRUE),3,
AND(ISNUMBER(SEARCH("L-Dsty.",A112))=TRUE,ISNUMBER(SEARCH("H-Res",A112))=TRUE,ISNUMBER(SEARCH("E.",A112))=TRUE),6,
AND(ISNUMBER(SEARCH("L-Dsty.",A112))=TRUE,ISNUMBER(SEARCH("H-Res",A112))=TRUE,OR(ISNUMBER(SEARCH("N.he",A112))=TRUE,ISNUMBER(SEARCH("N.me",A112))=TRUE,ISNUMBER(SEARCH("N.li",A112))=TRUE)),7,
AND(ISNUMBER(SEARCH("L-Dsty.",A112))=TRUE,ISNUMBER(SEARCH("H-Res",A112))=TRUE,ISNUMBER(SEARCH("C.",A112))=TRUE),8,
AND(ISNUMBER(SEARCH("L-Dsty.",A112))=TRUE,ISNUMBER(SEARCH("L-Res",A112))=TRUE,ISNUMBER(SEARCH("E.",A112))=TRUE),11,
AND(ISNUMBER(SEARCH("L-Dsty.",A112))=TRUE,ISNUMBER(SEARCH("L-Res",A112))=TRUE,OR(ISNUMBER(SEARCH("N.he",A112))=TRUE,ISNUMBER(SEARCH("N.me",A112))=TRUE,ISNUMBER(SEARCH("N.li",A112))=TRUE)),12,
AND(ISNUMBER(SEARCH("L-Dsty.",A112))=TRUE,ISNUMBER(SEARCH("L-Res",A112))=TRUE,ISNUMBER(SEARCH("C.",A112))=TRUE),13))</f>
        <v>6</v>
      </c>
    </row>
    <row r="113" spans="1:42" x14ac:dyDescent="0.2">
      <c r="A113" t="s">
        <v>493</v>
      </c>
      <c r="B113" s="210" t="str">
        <f t="array" ref="B113">INDEX(ECOMOD_input_estimate!$A$2:$A$55, MATCH(CFT_input!$A113, ECOMOD_input_estimate!$B:$B, 0))</f>
        <v>FF_03.2</v>
      </c>
      <c r="C113" s="210">
        <v>2020</v>
      </c>
      <c r="D113" s="395" t="s">
        <v>1695</v>
      </c>
      <c r="E113" s="210" t="str">
        <f t="shared" si="7"/>
        <v>C.heavy.H-Dsty.H-Res</v>
      </c>
      <c r="F113" s="210" t="str">
        <f t="array" ref="F113">_xlfn.SINGLE(IF(OR(ISNUMBER(SEARCH("heavy",A113))=TRUE,ISNUMBER(SEARCH("medium",A113))=TRUE),
INDEX('Focus Data Crop Rotations'!$D$4:$P$9,MATCH(D113,'Focus Data Crop Rotations'!$C$4:$C$9,0),_xlfn.SINGLE(_xlfn.IFS(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INDEX('Focus Data Crop Rotations'!$D$12:$P$17,MATCH(D113,'Focus Data Crop Rotations'!$C$12:$C$17,0),_xlfn.SINGLE(_xlfn.IFS(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winterwheat</v>
      </c>
      <c r="G113">
        <v>7.2</v>
      </c>
      <c r="H113" s="227">
        <f>VLOOKUP(F113,'CFT Specific Data'!$F$4:$H$19,3,FALSE)*G113*
IF(B113=B112,
IF(AND(ISNUMBER(SEARCH("wheat",F113))=TRUE,ISNUMBER(SEARCH("Barley",F112))=TRUE),0.89,
IF(AND(ISNUMBER(SEARCH("wheat",F113))=TRUE,F112="setaside"),0.94,
IF(AND(ISNUMBER(SEARCH("barley",F113))=TRUE,ISNUMBER(SEARCH("wheat",F112))=TRUE),0.89,
IF(AND(F113="winterbarley",F112="setaside"),0.94,
IF(AND(F113="sugarbeet",F112="warepotatoes"),0.95,
IF(AND((OR(ISNUMBER(SEARCH("beans",F113)),ISNUMBER(SEARCH("driedpeas",F113)),ISNUMBER(SEARCH("sugarbeet",F113)))=TRUE),ISNUMBER(SEARCH("osr",F112))=TRUE),0,
IF(AND((OR((ISNUMBER(SEARCH("wheat",F113))),ISNUMBER(SEARCH("linseed",F113)),ISNUMBER(SEARCH("driedpeas",F113)),ISNUMBER(SEARCH("osr",F113)))=TRUE),F112="sugarbeet"),0,
IF(AND((OR((ISNUMBER(SEARCH("osr",F113))),ISNUMBER(SEARCH("linseed",F113)))=TRUE),ISNUMBER(SEARCH("beans",F112))=TRUE),0,
IF(AND(F113="wosr",ISNUMBER(SEARCH("linseed",F112))=TRUE),0,
IF(AND(F113="sugarbeet",F112="warepotatoes"),0,
1)))))))))),
IF(AND(ISNUMBER(SEARCH("wheat",F113))=TRUE,ISNUMBER(SEARCH("Barley",F118))=TRUE),0.89,
IF(AND(ISNUMBER(SEARCH("wheat",F113))=TRUE,F118="setaside"),0.94,
IF(AND(ISNUMBER(SEARCH("barley",F113))=TRUE,ISNUMBER(SEARCH("wheat",F118))=TRUE),0.89,
IF(AND(F113="winterbarley",F118="setaside"),0.94,
IF(AND(F113="sugarbeet",F118="warepotatoes"),0.95,
IF(AND((OR(ISNUMBER(SEARCH("beans",F113)),ISNUMBER(SEARCH("driedpeas",F113)),ISNUMBER(SEARCH("sugarbeet",F113)))=TRUE),ISNUMBER(SEARCH("osr",F118))=TRUE),0,
IF(AND((OR((ISNUMBER(SEARCH("wheat",F113))),ISNUMBER(SEARCH("linseed",F113)),ISNUMBER(SEARCH("driedpeas",F113)),ISNUMBER(SEARCH("osr",F113)))=TRUE),F118="sugarbeet"),0,
IF(AND((OR((ISNUMBER(SEARCH("osr",F113))),ISNUMBER(SEARCH("linseed",F113)))=TRUE),ISNUMBER(SEARCH("beans",F118))=TRUE),0,
IF(AND(F113="wosr",ISNUMBER(SEARCH("linseed",F118))=TRUE),0,
IF(AND(F113="sugarbeet",F118="warepotatoes"),0,
1)))))))))))
*IF(OR(ISNUMBER(SEARCH("wheat",F113)),ISNUMBER(SEARCH("barley",F113)),ISNUMBER(SEARCH("driedpeas",F113)),ISNUMBER(SEARCH("warepotatoes",F113)),ISNUMBER(SEARCH("osr",F113)),ISNUMBER(SEARCH("linseed",F113)),ISNUMBER(SEARCH("sugarbeet",F113))),
IF(COUNTIF(B108:B112,B113)=5,
INDEX('CFT Specific Data'!$G$24:$L$39,MATCH(F113,'CFT Specific Data'!$F$24:$F$39,0),IF(COUNTIF(F108:F112,F113)=5,6,IF(COUNTIF(F109:F112,F113)=4,5,IF(COUNTIF(F110:F112,F113)=3,4,IF(COUNTIF(F111:F112,F113)=2,3,IF(F112=F113,2,1)))))),
IF(COUNTIF(B108:B112,B113)=4,
INDEX('CFT Specific Data'!$G$24:$L$39,MATCH(F113,'CFT Specific Data'!$F$24:$F$39,0),IF(SUM(COUNTIF(F109:F112,F113),COUNTIF(F114,F113))=5,6,IF(COUNTIF(F109:F112,F113)=4,5,IF(COUNTIF(F110:F112,F113)=3,4,IF(COUNTIF(F111:F112,F113)=2,3,IF(F112=F113,2,1)))))),
IF(COUNTIF(B108:B112,B113)=3,
INDEX('CFT Specific Data'!$G$24:$L$39,MATCH(F113,'CFT Specific Data'!$F$24:$F$39,0),IF(SUM(COUNTIF(F110:F112,F113),COUNTIF(F114:F115,F113))=5,6,IF(SUM(COUNTIF(F110:F112,F113),COUNTIF(F115,F113))=4,5,IF(COUNTIF(F110:F112,F113)=3,4,IF(COUNTIF(F111:F112,F113)=2,3,IF(F112=F113,2,1)))))),
IF(COUNTIF(B108:B112,B113)=2,
INDEX('CFT Specific Data'!$G$24:$L$39,MATCH(F113,'CFT Specific Data'!$F$24:$F$39,0),IF(SUM(COUNTIF(F111:F112,F113),COUNTIF(F114:F116,F113))=5,6,IF(SUM(COUNTIF(F111:F112,F113),COUNTIF(F115:F116,F113))=4,5,IF(SUM(COUNTIF(F111:F112,F113),COUNTIF(F116,F113))=3,4,IF(COUNTIF(F111:F112,F113)=2,3,IF(F112=F113,2,1)))))),
IF(COUNTIF(B108:B112,B113)=1,
INDEX('CFT Specific Data'!$G$24:$L$39,MATCH(F113,'CFT Specific Data'!$F$24:$F$39,0),IF(SUM(COUNTIF(F112,F113),COUNTIF(F114:F117,F113))=5,6,IF(SUM(COUNTIF(F112,F113),COUNTIF(F115:F117,F113))=4,5,IF(SUM(COUNTIF(F112,F113),COUNTIF(F116:F117,F113))=3,4,IF(SUM(COUNTIF(F112,F113),COUNTIF(F117,F113))=2,3,IF(F112=F113,2,1)))))),
IF(COUNTIF(B108:B112,B113)=0,
INDEX('CFT Specific Data'!$G$24:$L$39,MATCH(F113,'CFT Specific Data'!$F$24:$F$39,0),IF(COUNTIF(F114:F118,F113)=5,6,IF(COUNTIF(F115:F118,F113)=4,5,IF(COUNTIF(F116:F118,F113)=3,4,IF(COUNTIF(F117:F118,F113)=2,3,IF(F118=F113,2,1)))))))))))),1)</f>
        <v>61.92</v>
      </c>
      <c r="I113" s="210" t="s">
        <v>348</v>
      </c>
      <c r="J113">
        <v>10</v>
      </c>
      <c r="K113" s="210" t="str">
        <f>VLOOKUP(F113,'CFT Specific Data'!$F$4:$G$19,2,FALSE)</f>
        <v>Winter wheat</v>
      </c>
      <c r="L113" t="str">
        <f t="shared" si="8"/>
        <v>Fine</v>
      </c>
      <c r="M113">
        <f t="shared" si="9"/>
        <v>5.8479999999999999</v>
      </c>
      <c r="N113" t="str">
        <f t="shared" si="10"/>
        <v>5.16 &lt; SOM &lt;= 10.32</v>
      </c>
      <c r="O113" t="s">
        <v>349</v>
      </c>
      <c r="P113" t="s">
        <v>350</v>
      </c>
      <c r="Q113">
        <v>7</v>
      </c>
      <c r="R113" t="str">
        <f t="shared" si="6"/>
        <v>5.5 &lt; pH &lt;= 7.3</v>
      </c>
      <c r="S113" t="s">
        <v>351</v>
      </c>
      <c r="T113" s="210">
        <f t="array" ref="T113">_xlfn.SINGLE(INDEX('Focus Data NFertiliser Rate'!$D$4:$P$19,MATCH(F113,'Focus Data NFertiliser Rate'!$C$4:$C$19,0),_xlfn.SINGLE(_xlfn.IFS(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250</v>
      </c>
      <c r="U113" t="str">
        <f t="shared" si="11"/>
        <v>Apply in solution</v>
      </c>
      <c r="V113" s="210">
        <f t="array" ref="V113">_xlfn.SINGLE(INDEX('№ Fertiliser sprayings'!$D$4:$P$19,MATCH(F113,'№ Fertiliser sprayings'!$C$4:$C$19,0),_xlfn.SINGLE(_xlfn.IFS(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3</v>
      </c>
      <c r="W113" s="264">
        <f t="array" ref="W113">_xlfn.SINGLE(INDEX('Focus Data CFT NSpraying'!$D$4:$P$19,MATCH(F113,'Focus Data CFT NSpraying'!$C$4:$C$19,0),_xlfn.SINGLE(_xlfn.IFS(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f>
        <v>18.175999999999998</v>
      </c>
      <c r="X113" t="s">
        <v>363</v>
      </c>
      <c r="Y113">
        <v>0</v>
      </c>
      <c r="Z113">
        <v>100</v>
      </c>
      <c r="AA113" t="s">
        <v>352</v>
      </c>
      <c r="AB113" s="226" t="str">
        <f>IF(B113=B112,_xlfn.IFS(
AND(AA113=Lists!$L$8,AA112=Lists!$L$8),Lists!$N$5,
AND(OR(AA113=Lists!$L$5,AA113=Lists!$L$7,AA113=Lists!$L$9,AA113=Lists!$L$10,AA113=Lists!$L$6),OR(AA112=Lists!$L$5,AA112=Lists!$L$7,AA112=Lists!$L$9,AA112=Lists!$L$10,AA112=Lists!$L$6)),Lists!$N$5,
AND(AA113=Lists!$L$8,OR(AA112=Lists!$L$5,AA112=Lists!$L$7,AA112=Lists!$L$9,AA112=Lists!$L$10,AA112=Lists!$L$6)),Lists!$N$6,
AND(OR(AA113=Lists!$L$5,AA113=Lists!$L$6,AA113=Lists!$L$7,AA113=Lists!$L$9,AA113=Lists!$L$10),AA112=Lists!$L$8),Lists!$N$7),
_xlfn.IFS(
AND(AA113=Lists!$L$8,AA118=Lists!$L$8),Lists!$N$5,
AND(OR(AA113=Lists!$L$5,AA113=Lists!$L$7,AA113=Lists!$L$9,AA113=Lists!$L$10,AA113=Lists!$L$6),OR(AA118=Lists!$L$5,AA118=Lists!$L$7,AA118=Lists!$L$9,AA118=Lists!$L$10,AA118=Lists!$L$6)),Lists!$N$5,
AND(AA113=Lists!$L$8,OR(AA118=Lists!$L$5,AA118=Lists!$L$7,AA118=Lists!$L$9,AA118=Lists!$L$10,AA118=Lists!$L$6)),Lists!$N$6,
AND(OR(AA113=Lists!$L$5,AA113=Lists!$L$7,AA113=Lists!$L$9,AA113=Lists!$L$10),AA118=Lists!$L$8),Lists!$N$7))</f>
        <v>no change</v>
      </c>
      <c r="AC113">
        <v>0</v>
      </c>
      <c r="AD113">
        <v>0</v>
      </c>
      <c r="AE113" s="102">
        <f t="array" ref="AE113">IF(OR(ISNUMBER(SEARCH("heavy",A113))=TRUE, ISNUMBER(SEARCH("medium",A113))=TRUE),
(LEN(_xlfn.SINGLE(
INDEX('Focus Data Tillage by farm'!$D$4:$P$9,MATCH(D113,'Focus Data Tillage by farm'!$C$4:$C$9,0),_xlfn.SINGLE(_xlfn.IFS(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-LEN(SUBSTITUTE(_xlfn.SINGLE(
INDEX('Focus Data Tillage by farm'!$D$4:$P$9,MATCH(D113,'Focus Data Tillage by farm'!$C$4:$C$9,0),_xlfn.SINGLE(_xlfn.IFS(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"disc","")))/LEN("disc"),
(LEN(_xlfn.SINGLE(
INDEX('Focus Data Tillage by farm'!$D$12:$P$17,MATCH(D113,'Focus Data Tillage by farm'!$C$12:$C$17,0),_xlfn.SINGLE(_xlfn.IFS(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-LEN(SUBSTITUTE(_xlfn.SINGLE(
INDEX('Focus Data Tillage by farm'!$D$12:$P$17,MATCH(D113,'Focus Data Tillage by farm'!$C$12:$C$17,0),_xlfn.SINGLE(_xlfn.IFS(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"disc","")))/LEN("disc"))</f>
        <v>1</v>
      </c>
      <c r="AF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"field cultivator","")))/LEN("field cultivator"),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"field cultivator","")))/LEN("field cultivator"))</f>
        <v>0</v>
      </c>
      <c r="AG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"grain drill","")))/LEN("grain drill"),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"grain drill","")))/LEN("grain drill"))</f>
        <v>1</v>
      </c>
      <c r="AH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"minimum tillage","")))/LEN("minimum tillage"),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"minimum tillage","")))/LEN("minimum tillage"))</f>
        <v>0</v>
      </c>
      <c r="AI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"row crop planter","")))/LEN("row crop planter"),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"row crop planter","")))/LEN("row crop planter"))</f>
        <v>0</v>
      </c>
      <c r="AJ113" s="102">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"plough","")))/LEN("plough"),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"plough","")))/LEN("plough"))</f>
        <v>0</v>
      </c>
      <c r="AK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harrow","")))/LEN("roller harrow"),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harrow","")))/LEN("roller harrow"))</f>
        <v>0</v>
      </c>
      <c r="AL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packer","")))/LEN("roller packer"),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"roller packer","")))/LEN("roller packer"))</f>
        <v>2</v>
      </c>
      <c r="AM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"rotary hoe","")))/LEN("rotary hoe"),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"rotary hoe","")))/LEN("rotary hoe"))</f>
        <v>0</v>
      </c>
      <c r="AN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"subsoil","")))/LEN("subsoil"),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"subsoil","")))/LEN("subsoil"))</f>
        <v>0</v>
      </c>
      <c r="AO113">
        <f>IF(OR(ISNUMBER(SEARCH("heavy",A113))=TRUE, ISNUMBER(SEARCH("medium",A113))=TRUE),
(LEN(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farm'!$D$4:$P$9,MATCH(D113,'Focus Data Tillage by farm'!$C$4:$C$9,0),_xlfn.IFS(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"tine harrow","")))/LEN("tine harrow"),
(LEN(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-LEN(SUBSTITUTE(
INDEX('Focus Data Tillage by farm'!$D$12:$P$17,MATCH(D113,'Focus Data Tillage by farm'!$C$12:$C$17,0),_xlfn.IFS(
AND(ISNUMBER(SEARCH("H-Dsty.",A113))=TRUE,ISNUMBER(SEARCH("H-Res",A113))=TRUE,ISNUMBER(SEARCH("E.",A113))=TRUE),1,
AND(ISNUMBER(SEARCH("H-Dsty.",A113))=TRUE,ISNUMBER(SEARCH("H-Res",A113))=TRUE,OR(ISNUMBER(SEARCH("N.he",A113))=TRUE,ISNUMBER(SEARCH("N.me",A113))=TRUE,ISNUMBER(SEARCH("N.li",A113))=TRUE)),2,
AND(ISNUMBER(SEARCH("H-Dsty.",A113))=TRUE,ISNUMBER(SEARCH("H-Res",A113))=TRUE,ISNUMBER(SEARCH("C.",A113))=TRUE),3,
AND(ISNUMBER(SEARCH("L-Dsty.",A113))=TRUE,ISNUMBER(SEARCH("H-Res",A113))=TRUE,ISNUMBER(SEARCH("E.",A113))=TRUE),6,
AND(ISNUMBER(SEARCH("L-Dsty.",A113))=TRUE,ISNUMBER(SEARCH("H-Res",A113))=TRUE,OR(ISNUMBER(SEARCH("N.he",A113))=TRUE,ISNUMBER(SEARCH("N.me",A113))=TRUE,ISNUMBER(SEARCH("N.li",A113))=TRUE)),7,
AND(ISNUMBER(SEARCH("L-Dsty.",A113))=TRUE,ISNUMBER(SEARCH("H-Res",A113))=TRUE,ISNUMBER(SEARCH("C.",A113))=TRUE),8,
AND(ISNUMBER(SEARCH("L-Dsty.",A113))=TRUE,ISNUMBER(SEARCH("L-Res",A113))=TRUE,ISNUMBER(SEARCH("E.",A113))=TRUE),11,
AND(ISNUMBER(SEARCH("L-Dsty.",A113))=TRUE,ISNUMBER(SEARCH("L-Res",A113))=TRUE,OR(ISNUMBER(SEARCH("N.he",A113))=TRUE,ISNUMBER(SEARCH("N.me",A113))=TRUE,ISNUMBER(SEARCH("N.li",A113))=TRUE)),12,
AND(ISNUMBER(SEARCH("L-Dsty.",A113))=TRUE,ISNUMBER(SEARCH("L-Res",A113))=TRUE,ISNUMBER(SEARCH("C.",A113))=TRUE),13)),
"tine harrow","")))/LEN("tine harrow"))</f>
        <v>0</v>
      </c>
      <c r="AP113" s="102">
        <v>5</v>
      </c>
    </row>
    <row r="114" spans="1:42" x14ac:dyDescent="0.2">
      <c r="A114" t="s">
        <v>493</v>
      </c>
      <c r="B114" s="210" t="str">
        <f t="array" ref="B114">INDEX(ECOMOD_input_estimate!$A$2:$A$55, MATCH(CFT_input!$A114, ECOMOD_input_estimate!$B:$B, 0))</f>
        <v>FF_03.2</v>
      </c>
      <c r="C114" s="210">
        <v>2020</v>
      </c>
      <c r="D114" s="395" t="s">
        <v>1696</v>
      </c>
      <c r="E114" s="210" t="str">
        <f t="shared" si="7"/>
        <v>C.heavy.H-Dsty.H-Res</v>
      </c>
      <c r="F114" s="210" t="str">
        <f t="array" ref="F114">_xlfn.SINGLE(IF(OR(ISNUMBER(SEARCH("heavy",A114))=TRUE,ISNUMBER(SEARCH("medium",A114))=TRUE),
INDEX('Focus Data Crop Rotations'!$D$4:$P$9,MATCH(D114,'Focus Data Crop Rotations'!$C$4:$C$9,0),_xlfn.SINGLE(_xlfn.IFS(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INDEX('Focus Data Crop Rotations'!$D$12:$P$17,MATCH(D114,'Focus Data Crop Rotations'!$C$12:$C$17,0),_xlfn.SINGLE(_xlfn.IFS(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springbarley</v>
      </c>
      <c r="G114">
        <v>7.2</v>
      </c>
      <c r="H114" s="227">
        <f>VLOOKUP(F114,'CFT Specific Data'!$F$4:$H$19,3,FALSE)*G114*
IF(B114=B113,
IF(AND(ISNUMBER(SEARCH("wheat",F114))=TRUE,ISNUMBER(SEARCH("Barley",F113))=TRUE),0.89,
IF(AND(ISNUMBER(SEARCH("wheat",F114))=TRUE,F113="setaside"),0.94,
IF(AND(ISNUMBER(SEARCH("barley",F114))=TRUE,ISNUMBER(SEARCH("wheat",F113))=TRUE),0.89,
IF(AND(F114="winterbarley",F113="setaside"),0.94,
IF(AND(F114="sugarbeet",F113="warepotatoes"),0.95,
IF(AND((OR(ISNUMBER(SEARCH("beans",F114)),ISNUMBER(SEARCH("driedpeas",F114)),ISNUMBER(SEARCH("sugarbeet",F114)))=TRUE),ISNUMBER(SEARCH("osr",F113))=TRUE),0,
IF(AND((OR((ISNUMBER(SEARCH("wheat",F114))),ISNUMBER(SEARCH("linseed",F114)),ISNUMBER(SEARCH("driedpeas",F114)),ISNUMBER(SEARCH("osr",F114)))=TRUE),F113="sugarbeet"),0,
IF(AND((OR((ISNUMBER(SEARCH("osr",F114))),ISNUMBER(SEARCH("linseed",F114)))=TRUE),ISNUMBER(SEARCH("beans",F113))=TRUE),0,
IF(AND(F114="wosr",ISNUMBER(SEARCH("linseed",F113))=TRUE),0,
IF(AND(F114="sugarbeet",F113="warepotatoes"),0,
1)))))))))),
IF(AND(ISNUMBER(SEARCH("wheat",F114))=TRUE,ISNUMBER(SEARCH("Barley",F119))=TRUE),0.89,
IF(AND(ISNUMBER(SEARCH("wheat",F114))=TRUE,F119="setaside"),0.94,
IF(AND(ISNUMBER(SEARCH("barley",F114))=TRUE,ISNUMBER(SEARCH("wheat",F119))=TRUE),0.89,
IF(AND(F114="winterbarley",F119="setaside"),0.94,
IF(AND(F114="sugarbeet",F119="warepotatoes"),0.95,
IF(AND((OR(ISNUMBER(SEARCH("beans",F114)),ISNUMBER(SEARCH("driedpeas",F114)),ISNUMBER(SEARCH("sugarbeet",F114)))=TRUE),ISNUMBER(SEARCH("osr",F119))=TRUE),0,
IF(AND((OR((ISNUMBER(SEARCH("wheat",F114))),ISNUMBER(SEARCH("linseed",F114)),ISNUMBER(SEARCH("driedpeas",F114)),ISNUMBER(SEARCH("osr",F114)))=TRUE),F119="sugarbeet"),0,
IF(AND((OR((ISNUMBER(SEARCH("osr",F114))),ISNUMBER(SEARCH("linseed",F114)))=TRUE),ISNUMBER(SEARCH("beans",F119))=TRUE),0,
IF(AND(F114="wosr",ISNUMBER(SEARCH("linseed",F119))=TRUE),0,
IF(AND(F114="sugarbeet",F119="warepotatoes"),0,
1)))))))))))
*IF(OR(ISNUMBER(SEARCH("wheat",F114)),ISNUMBER(SEARCH("barley",F114)),ISNUMBER(SEARCH("driedpeas",F114)),ISNUMBER(SEARCH("warepotatoes",F114)),ISNUMBER(SEARCH("osr",F114)),ISNUMBER(SEARCH("linseed",F114)),ISNUMBER(SEARCH("sugarbeet",F114))),
IF(COUNTIF(B109:B113,B114)=5,
INDEX('CFT Specific Data'!$G$24:$L$39,MATCH(F114,'CFT Specific Data'!$F$24:$F$39,0),IF(COUNTIF(F109:F113,F114)=5,6,IF(COUNTIF(F110:F113,F114)=4,5,IF(COUNTIF(F111:F113,F114)=3,4,IF(COUNTIF(F112:F113,F114)=2,3,IF(F113=F114,2,1)))))),
IF(COUNTIF(B109:B113,B114)=4,
INDEX('CFT Specific Data'!$G$24:$L$39,MATCH(F114,'CFT Specific Data'!$F$24:$F$39,0),IF(SUM(COUNTIF(F110:F113,F114),COUNTIF(F115,F114))=5,6,IF(COUNTIF(F110:F113,F114)=4,5,IF(COUNTIF(F111:F113,F114)=3,4,IF(COUNTIF(F112:F113,F114)=2,3,IF(F113=F114,2,1)))))),
IF(COUNTIF(B109:B113,B114)=3,
INDEX('CFT Specific Data'!$G$24:$L$39,MATCH(F114,'CFT Specific Data'!$F$24:$F$39,0),IF(SUM(COUNTIF(F111:F113,F114),COUNTIF(F115:F116,F114))=5,6,IF(SUM(COUNTIF(F111:F113,F114),COUNTIF(F116,F114))=4,5,IF(COUNTIF(F111:F113,F114)=3,4,IF(COUNTIF(F112:F113,F114)=2,3,IF(F113=F114,2,1)))))),
IF(COUNTIF(B109:B113,B114)=2,
INDEX('CFT Specific Data'!$G$24:$L$39,MATCH(F114,'CFT Specific Data'!$F$24:$F$39,0),IF(SUM(COUNTIF(F112:F113,F114),COUNTIF(F115:F117,F114))=5,6,IF(SUM(COUNTIF(F112:F113,F114),COUNTIF(F116:F117,F114))=4,5,IF(SUM(COUNTIF(F112:F113,F114),COUNTIF(F117,F114))=3,4,IF(COUNTIF(F112:F113,F114)=2,3,IF(F113=F114,2,1)))))),
IF(COUNTIF(B109:B113,B114)=1,
INDEX('CFT Specific Data'!$G$24:$L$39,MATCH(F114,'CFT Specific Data'!$F$24:$F$39,0),IF(SUM(COUNTIF(F113,F114),COUNTIF(F115:F118,F114))=5,6,IF(SUM(COUNTIF(F113,F114),COUNTIF(F116:F118,F114))=4,5,IF(SUM(COUNTIF(F113,F114),COUNTIF(F117:F118,F114))=3,4,IF(SUM(COUNTIF(F113,F114),COUNTIF(F118,F114))=2,3,IF(F113=F114,2,1)))))),
IF(COUNTIF(B109:B113,B114)=0,
INDEX('CFT Specific Data'!$G$24:$L$39,MATCH(F114,'CFT Specific Data'!$F$24:$F$39,0),IF(COUNTIF(F115:F119,F114)=5,6,IF(COUNTIF(F116:F119,F114)=4,5,IF(COUNTIF(F117:F119,F114)=3,4,IF(COUNTIF(F118:F119,F114)=2,3,IF(F119=F114,2,1)))))))))))),1)</f>
        <v>36.525599999999997</v>
      </c>
      <c r="I114" s="210" t="s">
        <v>348</v>
      </c>
      <c r="J114">
        <v>10</v>
      </c>
      <c r="K114" s="210" t="str">
        <f>VLOOKUP(F114,'CFT Specific Data'!$F$4:$G$19,2,FALSE)</f>
        <v>Barley</v>
      </c>
      <c r="L114" t="str">
        <f t="shared" si="8"/>
        <v>Fine</v>
      </c>
      <c r="M114">
        <f t="shared" si="9"/>
        <v>5.8479999999999999</v>
      </c>
      <c r="N114" t="str">
        <f t="shared" si="10"/>
        <v>5.16 &lt; SOM &lt;= 10.32</v>
      </c>
      <c r="O114" t="s">
        <v>349</v>
      </c>
      <c r="P114" t="s">
        <v>350</v>
      </c>
      <c r="Q114">
        <v>7</v>
      </c>
      <c r="R114" t="str">
        <f t="shared" si="6"/>
        <v>5.5 &lt; pH &lt;= 7.3</v>
      </c>
      <c r="S114" t="s">
        <v>351</v>
      </c>
      <c r="T114" s="210">
        <f t="array" ref="T114">_xlfn.SINGLE(INDEX('Focus Data NFertiliser Rate'!$D$4:$P$19,MATCH(F114,'Focus Data NFertiliser Rate'!$C$4:$C$19,0),_xlfn.SINGLE(_xlfn.IFS(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150</v>
      </c>
      <c r="U114" t="str">
        <f t="shared" si="11"/>
        <v>Apply in solution</v>
      </c>
      <c r="V114" s="210">
        <f t="array" ref="V114">_xlfn.SINGLE(INDEX('№ Fertiliser sprayings'!$D$4:$P$19,MATCH(F114,'№ Fertiliser sprayings'!$C$4:$C$19,0),_xlfn.SINGLE(_xlfn.IFS(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1</v>
      </c>
      <c r="W114" s="264">
        <f t="array" ref="W114">_xlfn.SINGLE(INDEX('Focus Data CFT NSpraying'!$D$4:$P$19,MATCH(F114,'Focus Data CFT NSpraying'!$C$4:$C$19,0),_xlfn.SINGLE(_xlfn.IFS(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9.2560000000000002</v>
      </c>
      <c r="X114" t="s">
        <v>363</v>
      </c>
      <c r="Y114">
        <v>0</v>
      </c>
      <c r="Z114">
        <v>100</v>
      </c>
      <c r="AA114" t="s">
        <v>352</v>
      </c>
      <c r="AB114" s="226" t="str">
        <f>IF(B114=B113,_xlfn.IFS(
AND(AA114=Lists!$L$8,AA113=Lists!$L$8),Lists!$N$5,
AND(OR(AA114=Lists!$L$5,AA114=Lists!$L$7,AA114=Lists!$L$9,AA114=Lists!$L$10,AA114=Lists!$L$6),OR(AA113=Lists!$L$5,AA113=Lists!$L$7,AA113=Lists!$L$9,AA113=Lists!$L$10,AA113=Lists!$L$6)),Lists!$N$5,
AND(AA114=Lists!$L$8,OR(AA113=Lists!$L$5,AA113=Lists!$L$7,AA113=Lists!$L$9,AA113=Lists!$L$10,AA113=Lists!$L$6)),Lists!$N$6,
AND(OR(AA114=Lists!$L$5,AA114=Lists!$L$6,AA114=Lists!$L$7,AA114=Lists!$L$9,AA114=Lists!$L$10),AA113=Lists!$L$8),Lists!$N$7),
_xlfn.IFS(
AND(AA114=Lists!$L$8,AA119=Lists!$L$8),Lists!$N$5,
AND(OR(AA114=Lists!$L$5,AA114=Lists!$L$7,AA114=Lists!$L$9,AA114=Lists!$L$10,AA114=Lists!$L$6),OR(AA119=Lists!$L$5,AA119=Lists!$L$7,AA119=Lists!$L$9,AA119=Lists!$L$10,AA119=Lists!$L$6)),Lists!$N$5,
AND(AA114=Lists!$L$8,OR(AA119=Lists!$L$5,AA119=Lists!$L$7,AA119=Lists!$L$9,AA119=Lists!$L$10,AA119=Lists!$L$6)),Lists!$N$6,
AND(OR(AA114=Lists!$L$5,AA114=Lists!$L$7,AA114=Lists!$L$9,AA114=Lists!$L$10),AA119=Lists!$L$8),Lists!$N$7))</f>
        <v>no change</v>
      </c>
      <c r="AC114">
        <v>0</v>
      </c>
      <c r="AD114">
        <v>0</v>
      </c>
      <c r="AE114" s="102">
        <f t="array" ref="AE114">IF(OR(ISNUMBER(SEARCH("heavy",A114))=TRUE, ISNUMBER(SEARCH("medium",A114))=TRUE),
(LEN(_xlfn.SINGLE(
INDEX('Focus Data Tillage by farm'!$D$4:$P$9,MATCH(D114,'Focus Data Tillage by farm'!$C$4:$C$9,0),_xlfn.SINGLE(_xlfn.IFS(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-LEN(SUBSTITUTE(_xlfn.SINGLE(
INDEX('Focus Data Tillage by farm'!$D$4:$P$9,MATCH(D114,'Focus Data Tillage by farm'!$C$4:$C$9,0),_xlfn.SINGLE(_xlfn.IFS(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"disc","")))/LEN("disc"),
(LEN(_xlfn.SINGLE(
INDEX('Focus Data Tillage by farm'!$D$12:$P$17,MATCH(D114,'Focus Data Tillage by farm'!$C$12:$C$17,0),_xlfn.SINGLE(_xlfn.IFS(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-LEN(SUBSTITUTE(_xlfn.SINGLE(
INDEX('Focus Data Tillage by farm'!$D$12:$P$17,MATCH(D114,'Focus Data Tillage by farm'!$C$12:$C$17,0),_xlfn.SINGLE(_xlfn.IFS(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"disc","")))/LEN("disc"))</f>
        <v>4</v>
      </c>
      <c r="AF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"field cultivator","")))/LEN("field cultivator"),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"field cultivator","")))/LEN("field cultivator"))</f>
        <v>0</v>
      </c>
      <c r="AG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"grain drill","")))/LEN("grain drill"),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"grain drill","")))/LEN("grain drill"))</f>
        <v>1</v>
      </c>
      <c r="AH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"minimum tillage","")))/LEN("minimum tillage"),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"minimum tillage","")))/LEN("minimum tillage"))</f>
        <v>0</v>
      </c>
      <c r="AI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"row crop planter","")))/LEN("row crop planter"),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"row crop planter","")))/LEN("row crop planter"))</f>
        <v>0</v>
      </c>
      <c r="AJ114" s="102">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"plough","")))/LEN("plough"),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"plough","")))/LEN("plough"))</f>
        <v>0</v>
      </c>
      <c r="AK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harrow","")))/LEN("roller harrow"),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harrow","")))/LEN("roller harrow"))</f>
        <v>0</v>
      </c>
      <c r="AL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packer","")))/LEN("roller packer"),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"roller packer","")))/LEN("roller packer"))</f>
        <v>2</v>
      </c>
      <c r="AM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"rotary hoe","")))/LEN("rotary hoe"),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"rotary hoe","")))/LEN("rotary hoe"))</f>
        <v>0</v>
      </c>
      <c r="AN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"subsoil","")))/LEN("subsoil"),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"subsoil","")))/LEN("subsoil"))</f>
        <v>0</v>
      </c>
      <c r="AO114">
        <f>IF(OR(ISNUMBER(SEARCH("heavy",A114))=TRUE, ISNUMBER(SEARCH("medium",A114))=TRUE),
(LEN(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farm'!$D$4:$P$9,MATCH(D114,'Focus Data Tillage by farm'!$C$4:$C$9,0),_xlfn.IFS(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"tine harrow","")))/LEN("tine harrow"),
(LEN(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-LEN(SUBSTITUTE(
INDEX('Focus Data Tillage by farm'!$D$12:$P$17,MATCH(D114,'Focus Data Tillage by farm'!$C$12:$C$17,0),_xlfn.IFS(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
"tine harrow","")))/LEN("tine harrow"))</f>
        <v>0</v>
      </c>
      <c r="AP114" s="102">
        <f>INDEX('Focus Data NSpraying'!$D$4:$P$19,MATCH(F114,'Focus Data NSpraying'!$C$4:$C$19,0),_xlfn.IFS(
AND(ISNUMBER(SEARCH("H-Dsty.",A114))=TRUE,ISNUMBER(SEARCH("H-Res",A114))=TRUE,ISNUMBER(SEARCH("E.",A114))=TRUE),1,
AND(ISNUMBER(SEARCH("H-Dsty.",A114))=TRUE,ISNUMBER(SEARCH("H-Res",A114))=TRUE,OR(ISNUMBER(SEARCH("N.he",A114))=TRUE,ISNUMBER(SEARCH("N.me",A114))=TRUE,ISNUMBER(SEARCH("N.li",A114))=TRUE)),2,
AND(ISNUMBER(SEARCH("H-Dsty.",A114))=TRUE,ISNUMBER(SEARCH("H-Res",A114))=TRUE,ISNUMBER(SEARCH("C.",A114))=TRUE),3,
AND(ISNUMBER(SEARCH("L-Dsty.",A114))=TRUE,ISNUMBER(SEARCH("H-Res",A114))=TRUE,ISNUMBER(SEARCH("E.",A114))=TRUE),6,
AND(ISNUMBER(SEARCH("L-Dsty.",A114))=TRUE,ISNUMBER(SEARCH("H-Res",A114))=TRUE,OR(ISNUMBER(SEARCH("N.he",A114))=TRUE,ISNUMBER(SEARCH("N.me",A114))=TRUE,ISNUMBER(SEARCH("N.li",A114))=TRUE)),7,
AND(ISNUMBER(SEARCH("L-Dsty.",A114))=TRUE,ISNUMBER(SEARCH("H-Res",A114))=TRUE,ISNUMBER(SEARCH("C.",A114))=TRUE),8,
AND(ISNUMBER(SEARCH("L-Dsty.",A114))=TRUE,ISNUMBER(SEARCH("L-Res",A114))=TRUE,ISNUMBER(SEARCH("E.",A114))=TRUE),11,
AND(ISNUMBER(SEARCH("L-Dsty.",A114))=TRUE,ISNUMBER(SEARCH("L-Res",A114))=TRUE,OR(ISNUMBER(SEARCH("N.he",A114))=TRUE,ISNUMBER(SEARCH("N.me",A114))=TRUE,ISNUMBER(SEARCH("N.li",A114))=TRUE)),12,
AND(ISNUMBER(SEARCH("L-Dsty.",A114))=TRUE,ISNUMBER(SEARCH("L-Res",A114))=TRUE,ISNUMBER(SEARCH("C.",A114))=TRUE),13))</f>
        <v>6</v>
      </c>
    </row>
    <row r="115" spans="1:42" x14ac:dyDescent="0.2">
      <c r="A115" t="s">
        <v>493</v>
      </c>
      <c r="B115" s="210" t="str">
        <f t="array" ref="B115">INDEX(ECOMOD_input_estimate!$A$2:$A$55, MATCH(CFT_input!$A115, ECOMOD_input_estimate!$B:$B, 0))</f>
        <v>FF_03.2</v>
      </c>
      <c r="C115" s="210">
        <v>2020</v>
      </c>
      <c r="D115" s="395" t="s">
        <v>735</v>
      </c>
      <c r="E115" s="210" t="str">
        <f t="shared" si="7"/>
        <v>C.heavy.H-Dsty.H-Res</v>
      </c>
      <c r="F115" s="210" t="str">
        <f t="array" ref="F115">_xlfn.SINGLE(IF(OR(ISNUMBER(SEARCH("heavy",A115))=TRUE,ISNUMBER(SEARCH("medium",A115))=TRUE),
INDEX('Focus Data Crop Rotations'!$D$4:$P$9,MATCH(D115,'Focus Data Crop Rotations'!$C$4:$C$9,0),_xlfn.SINGLE(_xlfn.IFS(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INDEX('Focus Data Crop Rotations'!$D$12:$P$17,MATCH(D115,'Focus Data Crop Rotations'!$C$12:$C$17,0),_xlfn.SINGLE(_xlfn.IFS(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wosr</v>
      </c>
      <c r="G115">
        <v>7.2</v>
      </c>
      <c r="H115" s="227">
        <f>VLOOKUP(F115,'CFT Specific Data'!$F$4:$H$19,3,FALSE)*G115*
IF(B115=B114,
IF(AND(ISNUMBER(SEARCH("wheat",F115))=TRUE,ISNUMBER(SEARCH("Barley",F114))=TRUE),0.89,
IF(AND(ISNUMBER(SEARCH("wheat",F115))=TRUE,F114="setaside"),0.94,
IF(AND(ISNUMBER(SEARCH("barley",F115))=TRUE,ISNUMBER(SEARCH("wheat",F114))=TRUE),0.89,
IF(AND(F115="winterbarley",F114="setaside"),0.94,
IF(AND(F115="sugarbeet",F114="warepotatoes"),0.95,
IF(AND((OR(ISNUMBER(SEARCH("beans",F115)),ISNUMBER(SEARCH("driedpeas",F115)),ISNUMBER(SEARCH("sugarbeet",F115)))=TRUE),ISNUMBER(SEARCH("osr",F114))=TRUE),0,
IF(AND((OR((ISNUMBER(SEARCH("wheat",F115))),ISNUMBER(SEARCH("linseed",F115)),ISNUMBER(SEARCH("driedpeas",F115)),ISNUMBER(SEARCH("osr",F115)))=TRUE),F114="sugarbeet"),0,
IF(AND((OR((ISNUMBER(SEARCH("osr",F115))),ISNUMBER(SEARCH("linseed",F115)))=TRUE),ISNUMBER(SEARCH("beans",F114))=TRUE),0,
IF(AND(F115="wosr",ISNUMBER(SEARCH("linseed",F114))=TRUE),0,
IF(AND(F115="sugarbeet",F114="warepotatoes"),0,
1)))))))))),
IF(AND(ISNUMBER(SEARCH("wheat",F115))=TRUE,ISNUMBER(SEARCH("Barley",F120))=TRUE),0.89,
IF(AND(ISNUMBER(SEARCH("wheat",F115))=TRUE,F120="setaside"),0.94,
IF(AND(ISNUMBER(SEARCH("barley",F115))=TRUE,ISNUMBER(SEARCH("wheat",F120))=TRUE),0.89,
IF(AND(F115="winterbarley",F120="setaside"),0.94,
IF(AND(F115="sugarbeet",F120="warepotatoes"),0.95,
IF(AND((OR(ISNUMBER(SEARCH("beans",F115)),ISNUMBER(SEARCH("driedpeas",F115)),ISNUMBER(SEARCH("sugarbeet",F115)))=TRUE),ISNUMBER(SEARCH("osr",F120))=TRUE),0,
IF(AND((OR((ISNUMBER(SEARCH("wheat",F115))),ISNUMBER(SEARCH("linseed",F115)),ISNUMBER(SEARCH("driedpeas",F115)),ISNUMBER(SEARCH("osr",F115)))=TRUE),F120="sugarbeet"),0,
IF(AND((OR((ISNUMBER(SEARCH("osr",F115))),ISNUMBER(SEARCH("linseed",F115)))=TRUE),ISNUMBER(SEARCH("beans",F120))=TRUE),0,
IF(AND(F115="wosr",ISNUMBER(SEARCH("linseed",F120))=TRUE),0,
IF(AND(F115="sugarbeet",F120="warepotatoes"),0,
1)))))))))))
*IF(OR(ISNUMBER(SEARCH("wheat",F115)),ISNUMBER(SEARCH("barley",F115)),ISNUMBER(SEARCH("driedpeas",F115)),ISNUMBER(SEARCH("warepotatoes",F115)),ISNUMBER(SEARCH("osr",F115)),ISNUMBER(SEARCH("linseed",F115)),ISNUMBER(SEARCH("sugarbeet",F115))),
IF(COUNTIF(B110:B114,B115)=5,
INDEX('CFT Specific Data'!$G$24:$L$39,MATCH(F115,'CFT Specific Data'!$F$24:$F$39,0),IF(COUNTIF(F110:F114,F115)=5,6,IF(COUNTIF(F111:F114,F115)=4,5,IF(COUNTIF(F112:F114,F115)=3,4,IF(COUNTIF(F113:F114,F115)=2,3,IF(F114=F115,2,1)))))),
IF(COUNTIF(B110:B114,B115)=4,
INDEX('CFT Specific Data'!$G$24:$L$39,MATCH(F115,'CFT Specific Data'!$F$24:$F$39,0),IF(SUM(COUNTIF(F111:F114,F115),COUNTIF(F116,F115))=5,6,IF(COUNTIF(F111:F114,F115)=4,5,IF(COUNTIF(F112:F114,F115)=3,4,IF(COUNTIF(F113:F114,F115)=2,3,IF(F114=F115,2,1)))))),
IF(COUNTIF(B110:B114,B115)=3,
INDEX('CFT Specific Data'!$G$24:$L$39,MATCH(F115,'CFT Specific Data'!$F$24:$F$39,0),IF(SUM(COUNTIF(F112:F114,F115),COUNTIF(F116:F117,F115))=5,6,IF(SUM(COUNTIF(F112:F114,F115),COUNTIF(F117,F115))=4,5,IF(COUNTIF(F112:F114,F115)=3,4,IF(COUNTIF(F113:F114,F115)=2,3,IF(F114=F115,2,1)))))),
IF(COUNTIF(B110:B114,B115)=2,
INDEX('CFT Specific Data'!$G$24:$L$39,MATCH(F115,'CFT Specific Data'!$F$24:$F$39,0),IF(SUM(COUNTIF(F113:F114,F115),COUNTIF(F116:F118,F115))=5,6,IF(SUM(COUNTIF(F113:F114,F115),COUNTIF(F117:F118,F115))=4,5,IF(SUM(COUNTIF(F113:F114,F115),COUNTIF(F118,F115))=3,4,IF(COUNTIF(F113:F114,F115)=2,3,IF(F114=F115,2,1)))))),
IF(COUNTIF(B110:B114,B115)=1,
INDEX('CFT Specific Data'!$G$24:$L$39,MATCH(F115,'CFT Specific Data'!$F$24:$F$39,0),IF(SUM(COUNTIF(F114,F115),COUNTIF(F116:F119,F115))=5,6,IF(SUM(COUNTIF(F114,F115),COUNTIF(F117:F119,F115))=4,5,IF(SUM(COUNTIF(F114,F115),COUNTIF(F118:F119,F115))=3,4,IF(SUM(COUNTIF(F114,F115),COUNTIF(F119,F115))=2,3,IF(F114=F115,2,1)))))),
IF(COUNTIF(B110:B114,B115)=0,
INDEX('CFT Specific Data'!$G$24:$L$39,MATCH(F115,'CFT Specific Data'!$F$24:$F$39,0),IF(COUNTIF(F116:F120,F115)=5,6,IF(COUNTIF(F117:F120,F115)=4,5,IF(COUNTIF(F118:F120,F115)=3,4,IF(COUNTIF(F119:F120,F115)=2,3,IF(F120=F115,2,1)))))))))))),1)</f>
        <v>25.2</v>
      </c>
      <c r="I115" s="210" t="s">
        <v>348</v>
      </c>
      <c r="J115">
        <v>10</v>
      </c>
      <c r="K115" s="210" t="str">
        <f>VLOOKUP(F115,'CFT Specific Data'!$F$4:$G$19,2,FALSE)</f>
        <v>Other</v>
      </c>
      <c r="L115" t="str">
        <f t="shared" si="8"/>
        <v>Fine</v>
      </c>
      <c r="M115">
        <f t="shared" si="9"/>
        <v>5.8479999999999999</v>
      </c>
      <c r="N115" t="str">
        <f t="shared" si="10"/>
        <v>5.16 &lt; SOM &lt;= 10.32</v>
      </c>
      <c r="O115" t="s">
        <v>349</v>
      </c>
      <c r="P115" t="s">
        <v>350</v>
      </c>
      <c r="Q115">
        <v>7</v>
      </c>
      <c r="R115" t="str">
        <f t="shared" si="6"/>
        <v>5.5 &lt; pH &lt;= 7.3</v>
      </c>
      <c r="S115" t="s">
        <v>351</v>
      </c>
      <c r="T115" s="210">
        <f t="array" ref="T115">_xlfn.SINGLE(INDEX('Focus Data NFertiliser Rate'!$D$4:$P$19,MATCH(F115,'Focus Data NFertiliser Rate'!$C$4:$C$19,0),_xlfn.SINGLE(_xlfn.IFS(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180</v>
      </c>
      <c r="U115" t="str">
        <f t="shared" si="11"/>
        <v>Apply in solution</v>
      </c>
      <c r="V115" s="210">
        <f t="array" ref="V115">_xlfn.SINGLE(INDEX('№ Fertiliser sprayings'!$D$4:$P$19,MATCH(F115,'№ Fertiliser sprayings'!$C$4:$C$19,0),_xlfn.SINGLE(_xlfn.IFS(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3</v>
      </c>
      <c r="W115" s="264">
        <f t="array" ref="W115">_xlfn.SINGLE(INDEX('Focus Data CFT NSpraying'!$D$4:$P$19,MATCH(F115,'Focus Data CFT NSpraying'!$C$4:$C$19,0),_xlfn.SINGLE(_xlfn.IFS(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3.1</v>
      </c>
      <c r="X115" t="s">
        <v>363</v>
      </c>
      <c r="Y115">
        <v>0</v>
      </c>
      <c r="Z115">
        <v>100</v>
      </c>
      <c r="AA115" t="s">
        <v>352</v>
      </c>
      <c r="AB115" s="226" t="str">
        <f>IF(B115=B114,_xlfn.IFS(
AND(AA115=Lists!$L$8,AA114=Lists!$L$8),Lists!$N$5,
AND(OR(AA115=Lists!$L$5,AA115=Lists!$L$7,AA115=Lists!$L$9,AA115=Lists!$L$10,AA115=Lists!$L$6),OR(AA114=Lists!$L$5,AA114=Lists!$L$7,AA114=Lists!$L$9,AA114=Lists!$L$10,AA114=Lists!$L$6)),Lists!$N$5,
AND(AA115=Lists!$L$8,OR(AA114=Lists!$L$5,AA114=Lists!$L$7,AA114=Lists!$L$9,AA114=Lists!$L$10,AA114=Lists!$L$6)),Lists!$N$6,
AND(OR(AA115=Lists!$L$5,AA115=Lists!$L$6,AA115=Lists!$L$7,AA115=Lists!$L$9,AA115=Lists!$L$10),AA114=Lists!$L$8),Lists!$N$7),
_xlfn.IFS(
AND(AA115=Lists!$L$8,AA120=Lists!$L$8),Lists!$N$5,
AND(OR(AA115=Lists!$L$5,AA115=Lists!$L$7,AA115=Lists!$L$9,AA115=Lists!$L$10,AA115=Lists!$L$6),OR(AA120=Lists!$L$5,AA120=Lists!$L$7,AA120=Lists!$L$9,AA120=Lists!$L$10,AA120=Lists!$L$6)),Lists!$N$5,
AND(AA115=Lists!$L$8,OR(AA120=Lists!$L$5,AA120=Lists!$L$7,AA120=Lists!$L$9,AA120=Lists!$L$10,AA120=Lists!$L$6)),Lists!$N$6,
AND(OR(AA115=Lists!$L$5,AA115=Lists!$L$7,AA115=Lists!$L$9,AA115=Lists!$L$10),AA120=Lists!$L$8),Lists!$N$7))</f>
        <v>no change</v>
      </c>
      <c r="AC115">
        <v>0</v>
      </c>
      <c r="AD115">
        <v>0</v>
      </c>
      <c r="AE115" s="102">
        <f t="array" ref="AE115">IF(OR(ISNUMBER(SEARCH("heavy",A115))=TRUE, ISNUMBER(SEARCH("medium",A115))=TRUE),
(LEN(_xlfn.SINGLE(
INDEX('Focus Data Tillage by farm'!$D$4:$P$9,MATCH(D115,'Focus Data Tillage by farm'!$C$4:$C$9,0),_xlfn.SINGLE(_xlfn.IFS(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-LEN(SUBSTITUTE(_xlfn.SINGLE(
INDEX('Focus Data Tillage by farm'!$D$4:$P$9,MATCH(D115,'Focus Data Tillage by farm'!$C$4:$C$9,0),_xlfn.SINGLE(_xlfn.IFS(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"disc","")))/LEN("disc"),
(LEN(_xlfn.SINGLE(
INDEX('Focus Data Tillage by farm'!$D$12:$P$17,MATCH(D115,'Focus Data Tillage by farm'!$C$12:$C$17,0),_xlfn.SINGLE(_xlfn.IFS(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-LEN(SUBSTITUTE(_xlfn.SINGLE(
INDEX('Focus Data Tillage by farm'!$D$12:$P$17,MATCH(D115,'Focus Data Tillage by farm'!$C$12:$C$17,0),_xlfn.SINGLE(_xlfn.IFS(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"disc","")))/LEN("disc"))</f>
        <v>0</v>
      </c>
      <c r="AF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"field cultivator","")))/LEN("field cultivator"),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"field cultivator","")))/LEN("field cultivator"))</f>
        <v>0</v>
      </c>
      <c r="AG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"grain drill","")))/LEN("grain drill"),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"grain drill","")))/LEN("grain drill"))</f>
        <v>0</v>
      </c>
      <c r="AH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"minimum tillage","")))/LEN("minimum tillage"),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"minimum tillage","")))/LEN("minimum tillage"))</f>
        <v>1</v>
      </c>
      <c r="AI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"row crop planter","")))/LEN("row crop planter"),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"row crop planter","")))/LEN("row crop planter"))</f>
        <v>0</v>
      </c>
      <c r="AJ115" s="102">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"plough","")))/LEN("plough"),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"plough","")))/LEN("plough"))</f>
        <v>0</v>
      </c>
      <c r="AK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harrow","")))/LEN("roller harrow"),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harrow","")))/LEN("roller harrow"))</f>
        <v>0</v>
      </c>
      <c r="AL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packer","")))/LEN("roller packer"),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"roller packer","")))/LEN("roller packer"))</f>
        <v>1</v>
      </c>
      <c r="AM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"rotary hoe","")))/LEN("rotary hoe"),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"rotary hoe","")))/LEN("rotary hoe"))</f>
        <v>0</v>
      </c>
      <c r="AN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"subsoil","")))/LEN("subsoil"),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"subsoil","")))/LEN("subsoil"))</f>
        <v>0</v>
      </c>
      <c r="AO115">
        <f>IF(OR(ISNUMBER(SEARCH("heavy",A115))=TRUE, ISNUMBER(SEARCH("medium",A115))=TRUE),
(LEN(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farm'!$D$4:$P$9,MATCH(D115,'Focus Data Tillage by farm'!$C$4:$C$9,0),_xlfn.IFS(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"tine harrow","")))/LEN("tine harrow"),
(LEN(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-LEN(SUBSTITUTE(
INDEX('Focus Data Tillage by farm'!$D$12:$P$17,MATCH(D115,'Focus Data Tillage by farm'!$C$12:$C$17,0),_xlfn.IFS(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
"tine harrow","")))/LEN("tine harrow"))</f>
        <v>0</v>
      </c>
      <c r="AP115" s="102">
        <f>INDEX('Focus Data NSpraying'!$D$4:$P$19,MATCH(F115,'Focus Data NSpraying'!$C$4:$C$19,0),_xlfn.IFS(
AND(ISNUMBER(SEARCH("H-Dsty.",A115))=TRUE,ISNUMBER(SEARCH("H-Res",A115))=TRUE,ISNUMBER(SEARCH("E.",A115))=TRUE),1,
AND(ISNUMBER(SEARCH("H-Dsty.",A115))=TRUE,ISNUMBER(SEARCH("H-Res",A115))=TRUE,OR(ISNUMBER(SEARCH("N.he",A115))=TRUE,ISNUMBER(SEARCH("N.me",A115))=TRUE,ISNUMBER(SEARCH("N.li",A115))=TRUE)),2,
AND(ISNUMBER(SEARCH("H-Dsty.",A115))=TRUE,ISNUMBER(SEARCH("H-Res",A115))=TRUE,ISNUMBER(SEARCH("C.",A115))=TRUE),3,
AND(ISNUMBER(SEARCH("L-Dsty.",A115))=TRUE,ISNUMBER(SEARCH("H-Res",A115))=TRUE,ISNUMBER(SEARCH("E.",A115))=TRUE),6,
AND(ISNUMBER(SEARCH("L-Dsty.",A115))=TRUE,ISNUMBER(SEARCH("H-Res",A115))=TRUE,OR(ISNUMBER(SEARCH("N.he",A115))=TRUE,ISNUMBER(SEARCH("N.me",A115))=TRUE,ISNUMBER(SEARCH("N.li",A115))=TRUE)),7,
AND(ISNUMBER(SEARCH("L-Dsty.",A115))=TRUE,ISNUMBER(SEARCH("H-Res",A115))=TRUE,ISNUMBER(SEARCH("C.",A115))=TRUE),8,
AND(ISNUMBER(SEARCH("L-Dsty.",A115))=TRUE,ISNUMBER(SEARCH("L-Res",A115))=TRUE,ISNUMBER(SEARCH("E.",A115))=TRUE),11,
AND(ISNUMBER(SEARCH("L-Dsty.",A115))=TRUE,ISNUMBER(SEARCH("L-Res",A115))=TRUE,OR(ISNUMBER(SEARCH("N.he",A115))=TRUE,ISNUMBER(SEARCH("N.me",A115))=TRUE,ISNUMBER(SEARCH("N.li",A115))=TRUE)),12,
AND(ISNUMBER(SEARCH("L-Dsty.",A115))=TRUE,ISNUMBER(SEARCH("L-Res",A115))=TRUE,ISNUMBER(SEARCH("C.",A115))=TRUE),13))</f>
        <v>4</v>
      </c>
    </row>
    <row r="116" spans="1:42" x14ac:dyDescent="0.2">
      <c r="A116" t="s">
        <v>494</v>
      </c>
      <c r="B116" s="210" t="str">
        <f t="array" ref="B116">INDEX(ECOMOD_input_estimate!$A$2:$A$55, MATCH(CFT_input!$A116, ECOMOD_input_estimate!$B:$B, 0))</f>
        <v>FF_09.2</v>
      </c>
      <c r="C116" s="210">
        <v>2020</v>
      </c>
      <c r="D116" s="395" t="s">
        <v>731</v>
      </c>
      <c r="E116" s="210" t="str">
        <f t="shared" si="7"/>
        <v>C.heavy.L-Dsty.H-Res</v>
      </c>
      <c r="F116" s="210" t="str">
        <f t="array" ref="F116">_xlfn.SINGLE(IF(OR(ISNUMBER(SEARCH("heavy",A116))=TRUE,ISNUMBER(SEARCH("medium",A116))=TRUE),
INDEX('Focus Data Crop Rotations'!$D$4:$P$9,MATCH(D116,'Focus Data Crop Rotations'!$C$4:$C$9,0),_xlfn.SINGLE(_xlfn.IFS(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INDEX('Focus Data Crop Rotations'!$D$12:$P$17,MATCH(D116,'Focus Data Crop Rotations'!$C$12:$C$17,0),_xlfn.SINGLE(_xlfn.IFS(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winterwheat</v>
      </c>
      <c r="G116">
        <v>7.2</v>
      </c>
      <c r="H116" s="227">
        <f>VLOOKUP(F116,'CFT Specific Data'!$F$4:$H$19,3,FALSE)*G116*
IF(B116=B115,
IF(AND(ISNUMBER(SEARCH("wheat",F116))=TRUE,ISNUMBER(SEARCH("Barley",F115))=TRUE),0.89,
IF(AND(ISNUMBER(SEARCH("wheat",F116))=TRUE,F115="setaside"),0.94,
IF(AND(ISNUMBER(SEARCH("barley",F116))=TRUE,ISNUMBER(SEARCH("wheat",F115))=TRUE),0.89,
IF(AND(F116="winterbarley",F115="setaside"),0.94,
IF(AND(F116="sugarbeet",F115="warepotatoes"),0.95,
IF(AND((OR(ISNUMBER(SEARCH("beans",F116)),ISNUMBER(SEARCH("driedpeas",F116)),ISNUMBER(SEARCH("sugarbeet",F116)))=TRUE),ISNUMBER(SEARCH("osr",F115))=TRUE),0,
IF(AND((OR((ISNUMBER(SEARCH("wheat",F116))),ISNUMBER(SEARCH("linseed",F116)),ISNUMBER(SEARCH("driedpeas",F116)),ISNUMBER(SEARCH("osr",F116)))=TRUE),F115="sugarbeet"),0,
IF(AND((OR((ISNUMBER(SEARCH("osr",F116))),ISNUMBER(SEARCH("linseed",F116)))=TRUE),ISNUMBER(SEARCH("beans",F115))=TRUE),0,
IF(AND(F116="wosr",ISNUMBER(SEARCH("linseed",F115))=TRUE),0,
IF(AND(F116="sugarbeet",F115="warepotatoes"),0,
1)))))))))),
IF(AND(ISNUMBER(SEARCH("wheat",F116))=TRUE,ISNUMBER(SEARCH("Barley",F121))=TRUE),0.89,
IF(AND(ISNUMBER(SEARCH("wheat",F116))=TRUE,F121="setaside"),0.94,
IF(AND(ISNUMBER(SEARCH("barley",F116))=TRUE,ISNUMBER(SEARCH("wheat",F121))=TRUE),0.89,
IF(AND(F116="winterbarley",F121="setaside"),0.94,
IF(AND(F116="sugarbeet",F121="warepotatoes"),0.95,
IF(AND((OR(ISNUMBER(SEARCH("beans",F116)),ISNUMBER(SEARCH("driedpeas",F116)),ISNUMBER(SEARCH("sugarbeet",F116)))=TRUE),ISNUMBER(SEARCH("osr",F121))=TRUE),0,
IF(AND((OR((ISNUMBER(SEARCH("wheat",F116))),ISNUMBER(SEARCH("linseed",F116)),ISNUMBER(SEARCH("driedpeas",F116)),ISNUMBER(SEARCH("osr",F116)))=TRUE),F121="sugarbeet"),0,
IF(AND((OR((ISNUMBER(SEARCH("osr",F116))),ISNUMBER(SEARCH("linseed",F116)))=TRUE),ISNUMBER(SEARCH("beans",F121))=TRUE),0,
IF(AND(F116="wosr",ISNUMBER(SEARCH("linseed",F121))=TRUE),0,
IF(AND(F116="sugarbeet",F121="warepotatoes"),0,
1)))))))))))
*IF(OR(ISNUMBER(SEARCH("wheat",F116)),ISNUMBER(SEARCH("barley",F116)),ISNUMBER(SEARCH("driedpeas",F116)),ISNUMBER(SEARCH("warepotatoes",F116)),ISNUMBER(SEARCH("osr",F116)),ISNUMBER(SEARCH("linseed",F116)),ISNUMBER(SEARCH("sugarbeet",F116))),
IF(COUNTIF(B111:B115,B116)=5,
INDEX('CFT Specific Data'!$G$24:$L$39,MATCH(F116,'CFT Specific Data'!$F$24:$F$39,0),IF(COUNTIF(F111:F115,F116)=5,6,IF(COUNTIF(F112:F115,F116)=4,5,IF(COUNTIF(F113:F115,F116)=3,4,IF(COUNTIF(F114:F115,F116)=2,3,IF(F115=F116,2,1)))))),
IF(COUNTIF(B111:B115,B116)=4,
INDEX('CFT Specific Data'!$G$24:$L$39,MATCH(F116,'CFT Specific Data'!$F$24:$F$39,0),IF(SUM(COUNTIF(F112:F115,F116),COUNTIF(F117,F116))=5,6,IF(COUNTIF(F112:F115,F116)=4,5,IF(COUNTIF(F113:F115,F116)=3,4,IF(COUNTIF(F114:F115,F116)=2,3,IF(F115=F116,2,1)))))),
IF(COUNTIF(B111:B115,B116)=3,
INDEX('CFT Specific Data'!$G$24:$L$39,MATCH(F116,'CFT Specific Data'!$F$24:$F$39,0),IF(SUM(COUNTIF(F113:F115,F116),COUNTIF(F117:F118,F116))=5,6,IF(SUM(COUNTIF(F113:F115,F116),COUNTIF(F118,F116))=4,5,IF(COUNTIF(F113:F115,F116)=3,4,IF(COUNTIF(F114:F115,F116)=2,3,IF(F115=F116,2,1)))))),
IF(COUNTIF(B111:B115,B116)=2,
INDEX('CFT Specific Data'!$G$24:$L$39,MATCH(F116,'CFT Specific Data'!$F$24:$F$39,0),IF(SUM(COUNTIF(F114:F115,F116),COUNTIF(F117:F119,F116))=5,6,IF(SUM(COUNTIF(F114:F115,F116),COUNTIF(F118:F119,F116))=4,5,IF(SUM(COUNTIF(F114:F115,F116),COUNTIF(F119,F116))=3,4,IF(COUNTIF(F114:F115,F116)=2,3,IF(F115=F116,2,1)))))),
IF(COUNTIF(B111:B115,B116)=1,
INDEX('CFT Specific Data'!$G$24:$L$39,MATCH(F116,'CFT Specific Data'!$F$24:$F$39,0),IF(SUM(COUNTIF(F115,F116),COUNTIF(F117:F120,F116))=5,6,IF(SUM(COUNTIF(F115,F116),COUNTIF(F118:F120,F116))=4,5,IF(SUM(COUNTIF(F115,F116),COUNTIF(F119:F120,F116))=3,4,IF(SUM(COUNTIF(F115,F116),COUNTIF(F120,F116))=2,3,IF(F115=F116,2,1)))))),
IF(COUNTIF(B111:B115,B116)=0,
INDEX('CFT Specific Data'!$G$24:$L$39,MATCH(F116,'CFT Specific Data'!$F$24:$F$39,0),IF(COUNTIF(F117:F121,F116)=5,6,IF(COUNTIF(F118:F121,F116)=4,5,IF(COUNTIF(F119:F121,F116)=3,4,IF(COUNTIF(F120:F121,F116)=2,3,IF(F121=F116,2,1)))))))))))),1)</f>
        <v>61.92</v>
      </c>
      <c r="I116" s="210" t="s">
        <v>348</v>
      </c>
      <c r="J116">
        <v>10</v>
      </c>
      <c r="K116" s="210" t="str">
        <f>VLOOKUP(F116,'CFT Specific Data'!$F$4:$G$19,2,FALSE)</f>
        <v>Winter wheat</v>
      </c>
      <c r="L116" t="str">
        <f t="shared" si="8"/>
        <v>Fine</v>
      </c>
      <c r="M116">
        <f t="shared" si="9"/>
        <v>5.8479999999999999</v>
      </c>
      <c r="N116" t="str">
        <f t="shared" si="10"/>
        <v>5.16 &lt; SOM &lt;= 10.32</v>
      </c>
      <c r="O116" t="s">
        <v>349</v>
      </c>
      <c r="P116" t="s">
        <v>350</v>
      </c>
      <c r="Q116">
        <v>7</v>
      </c>
      <c r="R116" t="str">
        <f t="shared" si="6"/>
        <v>5.5 &lt; pH &lt;= 7.3</v>
      </c>
      <c r="S116" t="s">
        <v>351</v>
      </c>
      <c r="T116" s="210">
        <f t="array" ref="T116">_xlfn.SINGLE(INDEX('Focus Data NFertiliser Rate'!$D$4:$P$19,MATCH(F116,'Focus Data NFertiliser Rate'!$C$4:$C$19,0),_xlfn.SINGLE(_xlfn.IFS(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220</v>
      </c>
      <c r="U116" t="str">
        <f t="shared" si="11"/>
        <v>Apply in solution</v>
      </c>
      <c r="V116" s="210">
        <f t="array" ref="V116">_xlfn.SINGLE(INDEX('№ Fertiliser sprayings'!$D$4:$P$19,MATCH(F116,'№ Fertiliser sprayings'!$C$4:$C$19,0),_xlfn.SINGLE(_xlfn.IFS(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3</v>
      </c>
      <c r="W116" s="264">
        <f t="array" ref="W116">_xlfn.SINGLE(INDEX('Focus Data CFT NSpraying'!$D$4:$P$19,MATCH(F116,'Focus Data CFT NSpraying'!$C$4:$C$19,0),_xlfn.SINGLE(_xlfn.IFS(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5.7560000000000002</v>
      </c>
      <c r="X116" t="s">
        <v>363</v>
      </c>
      <c r="Y116">
        <v>0</v>
      </c>
      <c r="Z116">
        <v>100</v>
      </c>
      <c r="AA116" t="s">
        <v>352</v>
      </c>
      <c r="AB116" s="226" t="str">
        <f>IF(B116=B115,_xlfn.IFS(
AND(AA116=Lists!$L$8,AA115=Lists!$L$8),Lists!$N$5,
AND(OR(AA116=Lists!$L$5,AA116=Lists!$L$7,AA116=Lists!$L$9,AA116=Lists!$L$10,AA116=Lists!$L$6),OR(AA115=Lists!$L$5,AA115=Lists!$L$7,AA115=Lists!$L$9,AA115=Lists!$L$10,AA115=Lists!$L$6)),Lists!$N$5,
AND(AA116=Lists!$L$8,OR(AA115=Lists!$L$5,AA115=Lists!$L$7,AA115=Lists!$L$9,AA115=Lists!$L$10,AA115=Lists!$L$6)),Lists!$N$6,
AND(OR(AA116=Lists!$L$5,AA116=Lists!$L$6,AA116=Lists!$L$7,AA116=Lists!$L$9,AA116=Lists!$L$10),AA115=Lists!$L$8),Lists!$N$7),
_xlfn.IFS(
AND(AA116=Lists!$L$8,AA121=Lists!$L$8),Lists!$N$5,
AND(OR(AA116=Lists!$L$5,AA116=Lists!$L$7,AA116=Lists!$L$9,AA116=Lists!$L$10,AA116=Lists!$L$6),OR(AA121=Lists!$L$5,AA121=Lists!$L$7,AA121=Lists!$L$9,AA121=Lists!$L$10,AA121=Lists!$L$6)),Lists!$N$5,
AND(AA116=Lists!$L$8,OR(AA121=Lists!$L$5,AA121=Lists!$L$7,AA121=Lists!$L$9,AA121=Lists!$L$10,AA121=Lists!$L$6)),Lists!$N$6,
AND(OR(AA116=Lists!$L$5,AA116=Lists!$L$7,AA116=Lists!$L$9,AA116=Lists!$L$10),AA121=Lists!$L$8),Lists!$N$7))</f>
        <v>no change</v>
      </c>
      <c r="AC116">
        <v>0</v>
      </c>
      <c r="AD116">
        <v>0</v>
      </c>
      <c r="AE116" s="102">
        <f t="array" ref="AE116">IF(OR(ISNUMBER(SEARCH("heavy",A116))=TRUE, ISNUMBER(SEARCH("medium",A116))=TRUE),
(LEN(_xlfn.SINGLE(
INDEX('Focus Data Tillage by farm'!$D$4:$P$9,MATCH(D116,'Focus Data Tillage by farm'!$C$4:$C$9,0),_xlfn.SINGLE(_xlfn.IFS(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-LEN(SUBSTITUTE(_xlfn.SINGLE(
INDEX('Focus Data Tillage by farm'!$D$4:$P$9,MATCH(D116,'Focus Data Tillage by farm'!$C$4:$C$9,0),_xlfn.SINGLE(_xlfn.IFS(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"disc","")))/LEN("disc"),
(LEN(_xlfn.SINGLE(
INDEX('Focus Data Tillage by farm'!$D$12:$P$17,MATCH(D116,'Focus Data Tillage by farm'!$C$12:$C$17,0),_xlfn.SINGLE(_xlfn.IFS(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-LEN(SUBSTITUTE(_xlfn.SINGLE(
INDEX('Focus Data Tillage by farm'!$D$12:$P$17,MATCH(D116,'Focus Data Tillage by farm'!$C$12:$C$17,0),_xlfn.SINGLE(_xlfn.IFS(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"disc","")))/LEN("disc"))</f>
        <v>2</v>
      </c>
      <c r="AF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"field cultivator","")))/LEN("field cultivator"),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"field cultivator","")))/LEN("field cultivator"))</f>
        <v>0</v>
      </c>
      <c r="AG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"grain drill","")))/LEN("grain drill"),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"grain drill","")))/LEN("grain drill"))</f>
        <v>1</v>
      </c>
      <c r="AH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"minimum tillage","")))/LEN("minimum tillage"),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"minimum tillage","")))/LEN("minimum tillage"))</f>
        <v>0</v>
      </c>
      <c r="AI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"row crop planter","")))/LEN("row crop planter"),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"row crop planter","")))/LEN("row crop planter"))</f>
        <v>0</v>
      </c>
      <c r="AJ116" s="102">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"plough","")))/LEN("plough"),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"plough","")))/LEN("plough"))</f>
        <v>1</v>
      </c>
      <c r="AK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harrow","")))/LEN("roller harrow"),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harrow","")))/LEN("roller harrow"))</f>
        <v>1</v>
      </c>
      <c r="AL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packer","")))/LEN("roller packer"),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"roller packer","")))/LEN("roller packer"))</f>
        <v>2</v>
      </c>
      <c r="AM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"rotary hoe","")))/LEN("rotary hoe"),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"rotary hoe","")))/LEN("rotary hoe"))</f>
        <v>0</v>
      </c>
      <c r="AN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"subsoil","")))/LEN("subsoil"),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"subsoil","")))/LEN("subsoil"))</f>
        <v>0</v>
      </c>
      <c r="AO116">
        <f>IF(OR(ISNUMBER(SEARCH("heavy",A116))=TRUE, ISNUMBER(SEARCH("medium",A116))=TRUE),
(LEN(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farm'!$D$4:$P$9,MATCH(D116,'Focus Data Tillage by farm'!$C$4:$C$9,0),_xlfn.IFS(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"tine harrow","")))/LEN("tine harrow"),
(LEN(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-LEN(SUBSTITUTE(
INDEX('Focus Data Tillage by farm'!$D$12:$P$17,MATCH(D116,'Focus Data Tillage by farm'!$C$12:$C$17,0),_xlfn.IFS(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
"tine harrow","")))/LEN("tine harrow"))</f>
        <v>0</v>
      </c>
      <c r="AP116" s="102">
        <f>INDEX('Focus Data NSpraying'!$D$4:$P$19,MATCH(F116,'Focus Data NSpraying'!$C$4:$C$19,0),_xlfn.IFS(
AND(ISNUMBER(SEARCH("H-Dsty.",A116))=TRUE,ISNUMBER(SEARCH("H-Res",A116))=TRUE,ISNUMBER(SEARCH("E.",A116))=TRUE),1,
AND(ISNUMBER(SEARCH("H-Dsty.",A116))=TRUE,ISNUMBER(SEARCH("H-Res",A116))=TRUE,OR(ISNUMBER(SEARCH("N.he",A116))=TRUE,ISNUMBER(SEARCH("N.me",A116))=TRUE,ISNUMBER(SEARCH("N.li",A116))=TRUE)),2,
AND(ISNUMBER(SEARCH("H-Dsty.",A116))=TRUE,ISNUMBER(SEARCH("H-Res",A116))=TRUE,ISNUMBER(SEARCH("C.",A116))=TRUE),3,
AND(ISNUMBER(SEARCH("L-Dsty.",A116))=TRUE,ISNUMBER(SEARCH("H-Res",A116))=TRUE,ISNUMBER(SEARCH("E.",A116))=TRUE),6,
AND(ISNUMBER(SEARCH("L-Dsty.",A116))=TRUE,ISNUMBER(SEARCH("H-Res",A116))=TRUE,OR(ISNUMBER(SEARCH("N.he",A116))=TRUE,ISNUMBER(SEARCH("N.me",A116))=TRUE,ISNUMBER(SEARCH("N.li",A116))=TRUE)),7,
AND(ISNUMBER(SEARCH("L-Dsty.",A116))=TRUE,ISNUMBER(SEARCH("H-Res",A116))=TRUE,ISNUMBER(SEARCH("C.",A116))=TRUE),8,
AND(ISNUMBER(SEARCH("L-Dsty.",A116))=TRUE,ISNUMBER(SEARCH("L-Res",A116))=TRUE,ISNUMBER(SEARCH("E.",A116))=TRUE),11,
AND(ISNUMBER(SEARCH("L-Dsty.",A116))=TRUE,ISNUMBER(SEARCH("L-Res",A116))=TRUE,OR(ISNUMBER(SEARCH("N.he",A116))=TRUE,ISNUMBER(SEARCH("N.me",A116))=TRUE,ISNUMBER(SEARCH("N.li",A116))=TRUE)),12,
AND(ISNUMBER(SEARCH("L-Dsty.",A116))=TRUE,ISNUMBER(SEARCH("L-Res",A116))=TRUE,ISNUMBER(SEARCH("C.",A116))=TRUE),13))</f>
        <v>5</v>
      </c>
    </row>
    <row r="117" spans="1:42" x14ac:dyDescent="0.2">
      <c r="A117" t="s">
        <v>494</v>
      </c>
      <c r="B117" s="210" t="str">
        <f t="array" ref="B117">INDEX(ECOMOD_input_estimate!$A$2:$A$55, MATCH(CFT_input!$A117, ECOMOD_input_estimate!$B:$B, 0))</f>
        <v>FF_09.2</v>
      </c>
      <c r="C117" s="210">
        <v>2020</v>
      </c>
      <c r="D117" s="395" t="s">
        <v>730</v>
      </c>
      <c r="E117" s="210" t="str">
        <f t="shared" si="7"/>
        <v>C.heavy.L-Dsty.H-Res</v>
      </c>
      <c r="F117" s="210" t="str">
        <f t="array" ref="F117">_xlfn.SINGLE(IF(OR(ISNUMBER(SEARCH("heavy",A117))=TRUE,ISNUMBER(SEARCH("medium",A117))=TRUE),
INDEX('Focus Data Crop Rotations'!$D$4:$P$9,MATCH(D117,'Focus Data Crop Rotations'!$C$4:$C$9,0),_xlfn.SINGLE(_xlfn.IFS(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INDEX('Focus Data Crop Rotations'!$D$12:$P$17,MATCH(D117,'Focus Data Crop Rotations'!$C$12:$C$17,0),_xlfn.SINGLE(_xlfn.IFS(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springbarley</v>
      </c>
      <c r="G117">
        <v>7.2</v>
      </c>
      <c r="H117" s="227">
        <f>VLOOKUP(F117,'CFT Specific Data'!$F$4:$H$19,3,FALSE)*G117*
IF(B117=B116,
IF(AND(ISNUMBER(SEARCH("wheat",F117))=TRUE,ISNUMBER(SEARCH("Barley",F116))=TRUE),0.89,
IF(AND(ISNUMBER(SEARCH("wheat",F117))=TRUE,F116="setaside"),0.94,
IF(AND(ISNUMBER(SEARCH("barley",F117))=TRUE,ISNUMBER(SEARCH("wheat",F116))=TRUE),0.89,
IF(AND(F117="winterbarley",F116="setaside"),0.94,
IF(AND(F117="sugarbeet",F116="warepotatoes"),0.95,
IF(AND((OR(ISNUMBER(SEARCH("beans",F117)),ISNUMBER(SEARCH("driedpeas",F117)),ISNUMBER(SEARCH("sugarbeet",F117)))=TRUE),ISNUMBER(SEARCH("osr",F116))=TRUE),0,
IF(AND((OR((ISNUMBER(SEARCH("wheat",F117))),ISNUMBER(SEARCH("linseed",F117)),ISNUMBER(SEARCH("driedpeas",F117)),ISNUMBER(SEARCH("osr",F117)))=TRUE),F116="sugarbeet"),0,
IF(AND((OR((ISNUMBER(SEARCH("osr",F117))),ISNUMBER(SEARCH("linseed",F117)))=TRUE),ISNUMBER(SEARCH("beans",F116))=TRUE),0,
IF(AND(F117="wosr",ISNUMBER(SEARCH("linseed",F116))=TRUE),0,
IF(AND(F117="sugarbeet",F116="warepotatoes"),0,
1)))))))))),
IF(AND(ISNUMBER(SEARCH("wheat",F117))=TRUE,ISNUMBER(SEARCH("Barley",F122))=TRUE),0.89,
IF(AND(ISNUMBER(SEARCH("wheat",F117))=TRUE,F122="setaside"),0.94,
IF(AND(ISNUMBER(SEARCH("barley",F117))=TRUE,ISNUMBER(SEARCH("wheat",F122))=TRUE),0.89,
IF(AND(F117="winterbarley",F122="setaside"),0.94,
IF(AND(F117="sugarbeet",F122="warepotatoes"),0.95,
IF(AND((OR(ISNUMBER(SEARCH("beans",F117)),ISNUMBER(SEARCH("driedpeas",F117)),ISNUMBER(SEARCH("sugarbeet",F117)))=TRUE),ISNUMBER(SEARCH("osr",F122))=TRUE),0,
IF(AND((OR((ISNUMBER(SEARCH("wheat",F117))),ISNUMBER(SEARCH("linseed",F117)),ISNUMBER(SEARCH("driedpeas",F117)),ISNUMBER(SEARCH("osr",F117)))=TRUE),F122="sugarbeet"),0,
IF(AND((OR((ISNUMBER(SEARCH("osr",F117))),ISNUMBER(SEARCH("linseed",F117)))=TRUE),ISNUMBER(SEARCH("beans",F122))=TRUE),0,
IF(AND(F117="wosr",ISNUMBER(SEARCH("linseed",F122))=TRUE),0,
IF(AND(F117="sugarbeet",F122="warepotatoes"),0,
1)))))))))))
*IF(OR(ISNUMBER(SEARCH("wheat",F117)),ISNUMBER(SEARCH("barley",F117)),ISNUMBER(SEARCH("driedpeas",F117)),ISNUMBER(SEARCH("warepotatoes",F117)),ISNUMBER(SEARCH("osr",F117)),ISNUMBER(SEARCH("linseed",F117)),ISNUMBER(SEARCH("sugarbeet",F117))),
IF(COUNTIF(B112:B116,B117)=5,
INDEX('CFT Specific Data'!$G$24:$L$39,MATCH(F117,'CFT Specific Data'!$F$24:$F$39,0),IF(COUNTIF(F112:F116,F117)=5,6,IF(COUNTIF(F113:F116,F117)=4,5,IF(COUNTIF(F114:F116,F117)=3,4,IF(COUNTIF(F115:F116,F117)=2,3,IF(F116=F117,2,1)))))),
IF(COUNTIF(B112:B116,B117)=4,
INDEX('CFT Specific Data'!$G$24:$L$39,MATCH(F117,'CFT Specific Data'!$F$24:$F$39,0),IF(SUM(COUNTIF(F113:F116,F117),COUNTIF(F118,F117))=5,6,IF(COUNTIF(F113:F116,F117)=4,5,IF(COUNTIF(F114:F116,F117)=3,4,IF(COUNTIF(F115:F116,F117)=2,3,IF(F116=F117,2,1)))))),
IF(COUNTIF(B112:B116,B117)=3,
INDEX('CFT Specific Data'!$G$24:$L$39,MATCH(F117,'CFT Specific Data'!$F$24:$F$39,0),IF(SUM(COUNTIF(F114:F116,F117),COUNTIF(F118:F119,F117))=5,6,IF(SUM(COUNTIF(F114:F116,F117),COUNTIF(F119,F117))=4,5,IF(COUNTIF(F114:F116,F117)=3,4,IF(COUNTIF(F115:F116,F117)=2,3,IF(F116=F117,2,1)))))),
IF(COUNTIF(B112:B116,B117)=2,
INDEX('CFT Specific Data'!$G$24:$L$39,MATCH(F117,'CFT Specific Data'!$F$24:$F$39,0),IF(SUM(COUNTIF(F115:F116,F117),COUNTIF(F118:F120,F117))=5,6,IF(SUM(COUNTIF(F115:F116,F117),COUNTIF(F119:F120,F117))=4,5,IF(SUM(COUNTIF(F115:F116,F117),COUNTIF(F120,F117))=3,4,IF(COUNTIF(F115:F116,F117)=2,3,IF(F116=F117,2,1)))))),
IF(COUNTIF(B112:B116,B117)=1,
INDEX('CFT Specific Data'!$G$24:$L$39,MATCH(F117,'CFT Specific Data'!$F$24:$F$39,0),IF(SUM(COUNTIF(F116,F117),COUNTIF(F118:F121,F117))=5,6,IF(SUM(COUNTIF(F116,F117),COUNTIF(F119:F121,F117))=4,5,IF(SUM(COUNTIF(F116,F117),COUNTIF(F120:F121,F117))=3,4,IF(SUM(COUNTIF(F116,F117),COUNTIF(F121,F117))=2,3,IF(F116=F117,2,1)))))),
IF(COUNTIF(B112:B116,B117)=0,
INDEX('CFT Specific Data'!$G$24:$L$39,MATCH(F117,'CFT Specific Data'!$F$24:$F$39,0),IF(COUNTIF(F118:F122,F117)=5,6,IF(COUNTIF(F119:F122,F117)=4,5,IF(COUNTIF(F120:F122,F117)=3,4,IF(COUNTIF(F121:F122,F117)=2,3,IF(F122=F117,2,1)))))))))))),1)</f>
        <v>36.525599999999997</v>
      </c>
      <c r="I117" s="210" t="s">
        <v>348</v>
      </c>
      <c r="J117">
        <v>10</v>
      </c>
      <c r="K117" s="210" t="str">
        <f>VLOOKUP(F117,'CFT Specific Data'!$F$4:$G$19,2,FALSE)</f>
        <v>Barley</v>
      </c>
      <c r="L117" t="str">
        <f t="shared" si="8"/>
        <v>Fine</v>
      </c>
      <c r="M117">
        <f t="shared" si="9"/>
        <v>5.8479999999999999</v>
      </c>
      <c r="N117" t="str">
        <f t="shared" si="10"/>
        <v>5.16 &lt; SOM &lt;= 10.32</v>
      </c>
      <c r="O117" t="s">
        <v>349</v>
      </c>
      <c r="P117" t="s">
        <v>350</v>
      </c>
      <c r="Q117">
        <v>7</v>
      </c>
      <c r="R117" t="str">
        <f t="shared" si="6"/>
        <v>5.5 &lt; pH &lt;= 7.3</v>
      </c>
      <c r="S117" t="s">
        <v>351</v>
      </c>
      <c r="T117" s="210">
        <f t="array" ref="T117">_xlfn.SINGLE(INDEX('Focus Data NFertiliser Rate'!$D$4:$P$19,MATCH(F117,'Focus Data NFertiliser Rate'!$C$4:$C$19,0),_xlfn.SINGLE(_xlfn.IFS(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110</v>
      </c>
      <c r="U117" t="str">
        <f t="shared" si="11"/>
        <v>Apply in solution</v>
      </c>
      <c r="V117" s="210">
        <f t="array" ref="V117">_xlfn.SINGLE(INDEX('№ Fertiliser sprayings'!$D$4:$P$19,MATCH(F117,'№ Fertiliser sprayings'!$C$4:$C$19,0),_xlfn.SINGLE(_xlfn.IFS(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1</v>
      </c>
      <c r="W117" s="264">
        <f t="array" ref="W117">_xlfn.SINGLE(INDEX('Focus Data CFT NSpraying'!$D$4:$P$19,MATCH(F117,'Focus Data CFT NSpraying'!$C$4:$C$19,0),_xlfn.SINGLE(_xlfn.IFS(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6.16</v>
      </c>
      <c r="X117" t="s">
        <v>363</v>
      </c>
      <c r="Y117">
        <v>0</v>
      </c>
      <c r="Z117">
        <v>100</v>
      </c>
      <c r="AA117" t="s">
        <v>352</v>
      </c>
      <c r="AB117" s="226" t="str">
        <f>IF(B117=B116,_xlfn.IFS(
AND(AA117=Lists!$L$8,AA116=Lists!$L$8),Lists!$N$5,
AND(OR(AA117=Lists!$L$5,AA117=Lists!$L$7,AA117=Lists!$L$9,AA117=Lists!$L$10,AA117=Lists!$L$6),OR(AA116=Lists!$L$5,AA116=Lists!$L$7,AA116=Lists!$L$9,AA116=Lists!$L$10,AA116=Lists!$L$6)),Lists!$N$5,
AND(AA117=Lists!$L$8,OR(AA116=Lists!$L$5,AA116=Lists!$L$7,AA116=Lists!$L$9,AA116=Lists!$L$10,AA116=Lists!$L$6)),Lists!$N$6,
AND(OR(AA117=Lists!$L$5,AA117=Lists!$L$6,AA117=Lists!$L$7,AA117=Lists!$L$9,AA117=Lists!$L$10),AA116=Lists!$L$8),Lists!$N$7),
_xlfn.IFS(
AND(AA117=Lists!$L$8,AA122=Lists!$L$8),Lists!$N$5,
AND(OR(AA117=Lists!$L$5,AA117=Lists!$L$7,AA117=Lists!$L$9,AA117=Lists!$L$10,AA117=Lists!$L$6),OR(AA122=Lists!$L$5,AA122=Lists!$L$7,AA122=Lists!$L$9,AA122=Lists!$L$10,AA122=Lists!$L$6)),Lists!$N$5,
AND(AA117=Lists!$L$8,OR(AA122=Lists!$L$5,AA122=Lists!$L$7,AA122=Lists!$L$9,AA122=Lists!$L$10,AA122=Lists!$L$6)),Lists!$N$6,
AND(OR(AA117=Lists!$L$5,AA117=Lists!$L$7,AA117=Lists!$L$9,AA117=Lists!$L$10),AA122=Lists!$L$8),Lists!$N$7))</f>
        <v>no change</v>
      </c>
      <c r="AC117">
        <v>0</v>
      </c>
      <c r="AD117">
        <v>0</v>
      </c>
      <c r="AE117" s="102">
        <f t="array" ref="AE117">IF(OR(ISNUMBER(SEARCH("heavy",A117))=TRUE, ISNUMBER(SEARCH("medium",A117))=TRUE),
(LEN(_xlfn.SINGLE(
INDEX('Focus Data Tillage by farm'!$D$4:$P$9,MATCH(D117,'Focus Data Tillage by farm'!$C$4:$C$9,0),_xlfn.SINGLE(_xlfn.IFS(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-LEN(SUBSTITUTE(_xlfn.SINGLE(
INDEX('Focus Data Tillage by farm'!$D$4:$P$9,MATCH(D117,'Focus Data Tillage by farm'!$C$4:$C$9,0),_xlfn.SINGLE(_xlfn.IFS(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"disc","")))/LEN("disc"),
(LEN(_xlfn.SINGLE(
INDEX('Focus Data Tillage by farm'!$D$12:$P$17,MATCH(D117,'Focus Data Tillage by farm'!$C$12:$C$17,0),_xlfn.SINGLE(_xlfn.IFS(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-LEN(SUBSTITUTE(_xlfn.SINGLE(
INDEX('Focus Data Tillage by farm'!$D$12:$P$17,MATCH(D117,'Focus Data Tillage by farm'!$C$12:$C$17,0),_xlfn.SINGLE(_xlfn.IFS(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"disc","")))/LEN("disc"))</f>
        <v>4</v>
      </c>
      <c r="AF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"field cultivator","")))/LEN("field cultivator"),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"field cultivator","")))/LEN("field cultivator"))</f>
        <v>0</v>
      </c>
      <c r="AG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"grain drill","")))/LEN("grain drill"),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"grain drill","")))/LEN("grain drill"))</f>
        <v>0</v>
      </c>
      <c r="AH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"minimum tillage","")))/LEN("minimum tillage"),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"minimum tillage","")))/LEN("minimum tillage"))</f>
        <v>1</v>
      </c>
      <c r="AI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"row crop planter","")))/LEN("row crop planter"),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"row crop planter","")))/LEN("row crop planter"))</f>
        <v>0</v>
      </c>
      <c r="AJ117" s="102">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"plough","")))/LEN("plough"),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"plough","")))/LEN("plough"))</f>
        <v>0</v>
      </c>
      <c r="AK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harrow","")))/LEN("roller harrow"),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harrow","")))/LEN("roller harrow"))</f>
        <v>0</v>
      </c>
      <c r="AL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packer","")))/LEN("roller packer"),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"roller packer","")))/LEN("roller packer"))</f>
        <v>2</v>
      </c>
      <c r="AM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"rotary hoe","")))/LEN("rotary hoe"),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"rotary hoe","")))/LEN("rotary hoe"))</f>
        <v>0</v>
      </c>
      <c r="AN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"subsoil","")))/LEN("subsoil"),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"subsoil","")))/LEN("subsoil"))</f>
        <v>0</v>
      </c>
      <c r="AO117">
        <f>IF(OR(ISNUMBER(SEARCH("heavy",A117))=TRUE, ISNUMBER(SEARCH("medium",A117))=TRUE),
(LEN(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farm'!$D$4:$P$9,MATCH(D117,'Focus Data Tillage by farm'!$C$4:$C$9,0),_xlfn.IFS(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"tine harrow","")))/LEN("tine harrow"),
(LEN(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-LEN(SUBSTITUTE(
INDEX('Focus Data Tillage by farm'!$D$12:$P$17,MATCH(D117,'Focus Data Tillage by farm'!$C$12:$C$17,0),_xlfn.IFS(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
"tine harrow","")))/LEN("tine harrow"))</f>
        <v>0</v>
      </c>
      <c r="AP117" s="102">
        <f>INDEX('Focus Data NSpraying'!$D$4:$P$19,MATCH(F117,'Focus Data NSpraying'!$C$4:$C$19,0),_xlfn.IFS(
AND(ISNUMBER(SEARCH("H-Dsty.",A117))=TRUE,ISNUMBER(SEARCH("H-Res",A117))=TRUE,ISNUMBER(SEARCH("E.",A117))=TRUE),1,
AND(ISNUMBER(SEARCH("H-Dsty.",A117))=TRUE,ISNUMBER(SEARCH("H-Res",A117))=TRUE,OR(ISNUMBER(SEARCH("N.he",A117))=TRUE,ISNUMBER(SEARCH("N.me",A117))=TRUE,ISNUMBER(SEARCH("N.li",A117))=TRUE)),2,
AND(ISNUMBER(SEARCH("H-Dsty.",A117))=TRUE,ISNUMBER(SEARCH("H-Res",A117))=TRUE,ISNUMBER(SEARCH("C.",A117))=TRUE),3,
AND(ISNUMBER(SEARCH("L-Dsty.",A117))=TRUE,ISNUMBER(SEARCH("H-Res",A117))=TRUE,ISNUMBER(SEARCH("E.",A117))=TRUE),6,
AND(ISNUMBER(SEARCH("L-Dsty.",A117))=TRUE,ISNUMBER(SEARCH("H-Res",A117))=TRUE,OR(ISNUMBER(SEARCH("N.he",A117))=TRUE,ISNUMBER(SEARCH("N.me",A117))=TRUE,ISNUMBER(SEARCH("N.li",A117))=TRUE)),7,
AND(ISNUMBER(SEARCH("L-Dsty.",A117))=TRUE,ISNUMBER(SEARCH("H-Res",A117))=TRUE,ISNUMBER(SEARCH("C.",A117))=TRUE),8,
AND(ISNUMBER(SEARCH("L-Dsty.",A117))=TRUE,ISNUMBER(SEARCH("L-Res",A117))=TRUE,ISNUMBER(SEARCH("E.",A117))=TRUE),11,
AND(ISNUMBER(SEARCH("L-Dsty.",A117))=TRUE,ISNUMBER(SEARCH("L-Res",A117))=TRUE,OR(ISNUMBER(SEARCH("N.he",A117))=TRUE,ISNUMBER(SEARCH("N.me",A117))=TRUE,ISNUMBER(SEARCH("N.li",A117))=TRUE)),12,
AND(ISNUMBER(SEARCH("L-Dsty.",A117))=TRUE,ISNUMBER(SEARCH("L-Res",A117))=TRUE,ISNUMBER(SEARCH("C.",A117))=TRUE),13))</f>
        <v>5</v>
      </c>
    </row>
    <row r="118" spans="1:42" x14ac:dyDescent="0.2">
      <c r="A118" t="s">
        <v>494</v>
      </c>
      <c r="B118" s="210" t="str">
        <f t="array" ref="B118">INDEX(ECOMOD_input_estimate!$A$2:$A$55, MATCH(CFT_input!$A118, ECOMOD_input_estimate!$B:$B, 0))</f>
        <v>FF_09.2</v>
      </c>
      <c r="C118" s="210">
        <v>2020</v>
      </c>
      <c r="D118" s="395" t="s">
        <v>1694</v>
      </c>
      <c r="E118" s="210" t="str">
        <f t="shared" si="7"/>
        <v>C.heavy.L-Dsty.H-Res</v>
      </c>
      <c r="F118" s="210" t="str">
        <f t="array" ref="F118">_xlfn.SINGLE(IF(OR(ISNUMBER(SEARCH("heavy",A118))=TRUE,ISNUMBER(SEARCH("medium",A118))=TRUE),
INDEX('Focus Data Crop Rotations'!$D$4:$P$9,MATCH(D118,'Focus Data Crop Rotations'!$C$4:$C$9,0),_xlfn.SINGLE(_xlfn.IFS(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INDEX('Focus Data Crop Rotations'!$D$12:$P$17,MATCH(D118,'Focus Data Crop Rotations'!$C$12:$C$17,0),_xlfn.SINGLE(_xlfn.IFS(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wosr</v>
      </c>
      <c r="G118">
        <v>7.2</v>
      </c>
      <c r="H118" s="227">
        <f>VLOOKUP(F118,'CFT Specific Data'!$F$4:$H$19,3,FALSE)*G118*
IF(B118=B117,
IF(AND(ISNUMBER(SEARCH("wheat",F118))=TRUE,ISNUMBER(SEARCH("Barley",F117))=TRUE),0.89,
IF(AND(ISNUMBER(SEARCH("wheat",F118))=TRUE,F117="setaside"),0.94,
IF(AND(ISNUMBER(SEARCH("barley",F118))=TRUE,ISNUMBER(SEARCH("wheat",F117))=TRUE),0.89,
IF(AND(F118="winterbarley",F117="setaside"),0.94,
IF(AND(F118="sugarbeet",F117="warepotatoes"),0.95,
IF(AND((OR(ISNUMBER(SEARCH("beans",F118)),ISNUMBER(SEARCH("driedpeas",F118)),ISNUMBER(SEARCH("sugarbeet",F118)))=TRUE),ISNUMBER(SEARCH("osr",F117))=TRUE),0,
IF(AND((OR((ISNUMBER(SEARCH("wheat",F118))),ISNUMBER(SEARCH("linseed",F118)),ISNUMBER(SEARCH("driedpeas",F118)),ISNUMBER(SEARCH("osr",F118)))=TRUE),F117="sugarbeet"),0,
IF(AND((OR((ISNUMBER(SEARCH("osr",F118))),ISNUMBER(SEARCH("linseed",F118)))=TRUE),ISNUMBER(SEARCH("beans",F117))=TRUE),0,
IF(AND(F118="wosr",ISNUMBER(SEARCH("linseed",F117))=TRUE),0,
IF(AND(F118="sugarbeet",F117="warepotatoes"),0,
1)))))))))),
IF(AND(ISNUMBER(SEARCH("wheat",F118))=TRUE,ISNUMBER(SEARCH("Barley",F123))=TRUE),0.89,
IF(AND(ISNUMBER(SEARCH("wheat",F118))=TRUE,F123="setaside"),0.94,
IF(AND(ISNUMBER(SEARCH("barley",F118))=TRUE,ISNUMBER(SEARCH("wheat",F123))=TRUE),0.89,
IF(AND(F118="winterbarley",F123="setaside"),0.94,
IF(AND(F118="sugarbeet",F123="warepotatoes"),0.95,
IF(AND((OR(ISNUMBER(SEARCH("beans",F118)),ISNUMBER(SEARCH("driedpeas",F118)),ISNUMBER(SEARCH("sugarbeet",F118)))=TRUE),ISNUMBER(SEARCH("osr",F123))=TRUE),0,
IF(AND((OR((ISNUMBER(SEARCH("wheat",F118))),ISNUMBER(SEARCH("linseed",F118)),ISNUMBER(SEARCH("driedpeas",F118)),ISNUMBER(SEARCH("osr",F118)))=TRUE),F123="sugarbeet"),0,
IF(AND((OR((ISNUMBER(SEARCH("osr",F118))),ISNUMBER(SEARCH("linseed",F118)))=TRUE),ISNUMBER(SEARCH("beans",F123))=TRUE),0,
IF(AND(F118="wosr",ISNUMBER(SEARCH("linseed",F123))=TRUE),0,
IF(AND(F118="sugarbeet",F123="warepotatoes"),0,
1)))))))))))
*IF(OR(ISNUMBER(SEARCH("wheat",F118)),ISNUMBER(SEARCH("barley",F118)),ISNUMBER(SEARCH("driedpeas",F118)),ISNUMBER(SEARCH("warepotatoes",F118)),ISNUMBER(SEARCH("osr",F118)),ISNUMBER(SEARCH("linseed",F118)),ISNUMBER(SEARCH("sugarbeet",F118))),
IF(COUNTIF(B113:B117,B118)=5,
INDEX('CFT Specific Data'!$G$24:$L$39,MATCH(F118,'CFT Specific Data'!$F$24:$F$39,0),IF(COUNTIF(F113:F117,F118)=5,6,IF(COUNTIF(F114:F117,F118)=4,5,IF(COUNTIF(F115:F117,F118)=3,4,IF(COUNTIF(F116:F117,F118)=2,3,IF(F117=F118,2,1)))))),
IF(COUNTIF(B113:B117,B118)=4,
INDEX('CFT Specific Data'!$G$24:$L$39,MATCH(F118,'CFT Specific Data'!$F$24:$F$39,0),IF(SUM(COUNTIF(F114:F117,F118),COUNTIF(F119,F118))=5,6,IF(COUNTIF(F114:F117,F118)=4,5,IF(COUNTIF(F115:F117,F118)=3,4,IF(COUNTIF(F116:F117,F118)=2,3,IF(F117=F118,2,1)))))),
IF(COUNTIF(B113:B117,B118)=3,
INDEX('CFT Specific Data'!$G$24:$L$39,MATCH(F118,'CFT Specific Data'!$F$24:$F$39,0),IF(SUM(COUNTIF(F115:F117,F118),COUNTIF(F119:F120,F118))=5,6,IF(SUM(COUNTIF(F115:F117,F118),COUNTIF(F120,F118))=4,5,IF(COUNTIF(F115:F117,F118)=3,4,IF(COUNTIF(F116:F117,F118)=2,3,IF(F117=F118,2,1)))))),
IF(COUNTIF(B113:B117,B118)=2,
INDEX('CFT Specific Data'!$G$24:$L$39,MATCH(F118,'CFT Specific Data'!$F$24:$F$39,0),IF(SUM(COUNTIF(F116:F117,F118),COUNTIF(F119:F121,F118))=5,6,IF(SUM(COUNTIF(F116:F117,F118),COUNTIF(F120:F121,F118))=4,5,IF(SUM(COUNTIF(F116:F117,F118),COUNTIF(F121,F118))=3,4,IF(COUNTIF(F116:F117,F118)=2,3,IF(F117=F118,2,1)))))),
IF(COUNTIF(B113:B117,B118)=1,
INDEX('CFT Specific Data'!$G$24:$L$39,MATCH(F118,'CFT Specific Data'!$F$24:$F$39,0),IF(SUM(COUNTIF(F117,F118),COUNTIF(F119:F122,F118))=5,6,IF(SUM(COUNTIF(F117,F118),COUNTIF(F120:F122,F118))=4,5,IF(SUM(COUNTIF(F117,F118),COUNTIF(F121:F122,F118))=3,4,IF(SUM(COUNTIF(F117,F118),COUNTIF(F122,F118))=2,3,IF(F117=F118,2,1)))))),
IF(COUNTIF(B113:B117,B118)=0,
INDEX('CFT Specific Data'!$G$24:$L$39,MATCH(F118,'CFT Specific Data'!$F$24:$F$39,0),IF(COUNTIF(F119:F123,F118)=5,6,IF(COUNTIF(F120:F123,F118)=4,5,IF(COUNTIF(F121:F123,F118)=3,4,IF(COUNTIF(F122:F123,F118)=2,3,IF(F123=F118,2,1)))))))))))),1)</f>
        <v>25.2</v>
      </c>
      <c r="I118" s="210" t="s">
        <v>348</v>
      </c>
      <c r="J118">
        <v>10</v>
      </c>
      <c r="K118" s="210" t="str">
        <f>VLOOKUP(F118,'CFT Specific Data'!$F$4:$G$19,2,FALSE)</f>
        <v>Other</v>
      </c>
      <c r="L118" t="str">
        <f t="shared" si="8"/>
        <v>Fine</v>
      </c>
      <c r="M118">
        <f t="shared" si="9"/>
        <v>5.8479999999999999</v>
      </c>
      <c r="N118" t="str">
        <f t="shared" si="10"/>
        <v>5.16 &lt; SOM &lt;= 10.32</v>
      </c>
      <c r="O118" t="s">
        <v>349</v>
      </c>
      <c r="P118" t="s">
        <v>350</v>
      </c>
      <c r="Q118">
        <v>7</v>
      </c>
      <c r="R118" t="str">
        <f t="shared" si="6"/>
        <v>5.5 &lt; pH &lt;= 7.3</v>
      </c>
      <c r="S118" t="s">
        <v>351</v>
      </c>
      <c r="T118" s="210">
        <f t="array" ref="T118">_xlfn.SINGLE(INDEX('Focus Data NFertiliser Rate'!$D$4:$P$19,MATCH(F118,'Focus Data NFertiliser Rate'!$C$4:$C$19,0),_xlfn.SINGLE(_xlfn.IFS(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180</v>
      </c>
      <c r="U118" t="str">
        <f t="shared" si="11"/>
        <v>Apply in solution</v>
      </c>
      <c r="V118" s="210">
        <f t="array" ref="V118">_xlfn.SINGLE(INDEX('№ Fertiliser sprayings'!$D$4:$P$19,MATCH(F118,'№ Fertiliser sprayings'!$C$4:$C$19,0),_xlfn.SINGLE(_xlfn.IFS(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3</v>
      </c>
      <c r="W118" s="264">
        <f t="array" ref="W118">_xlfn.SINGLE(INDEX('Focus Data CFT NSpraying'!$D$4:$P$19,MATCH(F118,'Focus Data CFT NSpraying'!$C$4:$C$19,0),_xlfn.SINGLE(_xlfn.IFS(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6.94</v>
      </c>
      <c r="X118" t="s">
        <v>363</v>
      </c>
      <c r="Y118">
        <v>0</v>
      </c>
      <c r="Z118">
        <v>100</v>
      </c>
      <c r="AA118" t="s">
        <v>352</v>
      </c>
      <c r="AB118" s="226" t="str">
        <f>IF(B118=B117,_xlfn.IFS(
AND(AA118=Lists!$L$8,AA117=Lists!$L$8),Lists!$N$5,
AND(OR(AA118=Lists!$L$5,AA118=Lists!$L$7,AA118=Lists!$L$9,AA118=Lists!$L$10,AA118=Lists!$L$6),OR(AA117=Lists!$L$5,AA117=Lists!$L$7,AA117=Lists!$L$9,AA117=Lists!$L$10,AA117=Lists!$L$6)),Lists!$N$5,
AND(AA118=Lists!$L$8,OR(AA117=Lists!$L$5,AA117=Lists!$L$7,AA117=Lists!$L$9,AA117=Lists!$L$10,AA117=Lists!$L$6)),Lists!$N$6,
AND(OR(AA118=Lists!$L$5,AA118=Lists!$L$6,AA118=Lists!$L$7,AA118=Lists!$L$9,AA118=Lists!$L$10),AA117=Lists!$L$8),Lists!$N$7),
_xlfn.IFS(
AND(AA118=Lists!$L$8,AA123=Lists!$L$8),Lists!$N$5,
AND(OR(AA118=Lists!$L$5,AA118=Lists!$L$7,AA118=Lists!$L$9,AA118=Lists!$L$10,AA118=Lists!$L$6),OR(AA123=Lists!$L$5,AA123=Lists!$L$7,AA123=Lists!$L$9,AA123=Lists!$L$10,AA123=Lists!$L$6)),Lists!$N$5,
AND(AA118=Lists!$L$8,OR(AA123=Lists!$L$5,AA123=Lists!$L$7,AA123=Lists!$L$9,AA123=Lists!$L$10,AA123=Lists!$L$6)),Lists!$N$6,
AND(OR(AA118=Lists!$L$5,AA118=Lists!$L$7,AA118=Lists!$L$9,AA118=Lists!$L$10),AA123=Lists!$L$8),Lists!$N$7))</f>
        <v>no change</v>
      </c>
      <c r="AC118">
        <v>0</v>
      </c>
      <c r="AD118">
        <v>0</v>
      </c>
      <c r="AE118" s="102">
        <f t="array" ref="AE118">IF(OR(ISNUMBER(SEARCH("heavy",A118))=TRUE, ISNUMBER(SEARCH("medium",A118))=TRUE),
(LEN(_xlfn.SINGLE(
INDEX('Focus Data Tillage by farm'!$D$4:$P$9,MATCH(D118,'Focus Data Tillage by farm'!$C$4:$C$9,0),_xlfn.SINGLE(_xlfn.IFS(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-LEN(SUBSTITUTE(_xlfn.SINGLE(
INDEX('Focus Data Tillage by farm'!$D$4:$P$9,MATCH(D118,'Focus Data Tillage by farm'!$C$4:$C$9,0),_xlfn.SINGLE(_xlfn.IFS(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"disc","")))/LEN("disc"),
(LEN(_xlfn.SINGLE(
INDEX('Focus Data Tillage by farm'!$D$12:$P$17,MATCH(D118,'Focus Data Tillage by farm'!$C$12:$C$17,0),_xlfn.SINGLE(_xlfn.IFS(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-LEN(SUBSTITUTE(_xlfn.SINGLE(
INDEX('Focus Data Tillage by farm'!$D$12:$P$17,MATCH(D118,'Focus Data Tillage by farm'!$C$12:$C$17,0),_xlfn.SINGLE(_xlfn.IFS(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"disc","")))/LEN("disc"))</f>
        <v>0</v>
      </c>
      <c r="AF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"field cultivator","")))/LEN("field cultivator"),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"field cultivator","")))/LEN("field cultivator"))</f>
        <v>0</v>
      </c>
      <c r="AG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"grain drill","")))/LEN("grain drill"),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"grain drill","")))/LEN("grain drill"))</f>
        <v>0</v>
      </c>
      <c r="AH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"minimum tillage","")))/LEN("minimum tillage"),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"minimum tillage","")))/LEN("minimum tillage"))</f>
        <v>1</v>
      </c>
      <c r="AI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"row crop planter","")))/LEN("row crop planter"),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"row crop planter","")))/LEN("row crop planter"))</f>
        <v>0</v>
      </c>
      <c r="AJ118" s="102">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"plough","")))/LEN("plough"),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"plough","")))/LEN("plough"))</f>
        <v>0</v>
      </c>
      <c r="AK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harrow","")))/LEN("roller harrow"),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harrow","")))/LEN("roller harrow"))</f>
        <v>0</v>
      </c>
      <c r="AL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packer","")))/LEN("roller packer"),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"roller packer","")))/LEN("roller packer"))</f>
        <v>1</v>
      </c>
      <c r="AM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"rotary hoe","")))/LEN("rotary hoe"),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"rotary hoe","")))/LEN("rotary hoe"))</f>
        <v>0</v>
      </c>
      <c r="AN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"subsoil","")))/LEN("subsoil"),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"subsoil","")))/LEN("subsoil"))</f>
        <v>0</v>
      </c>
      <c r="AO118">
        <f>IF(OR(ISNUMBER(SEARCH("heavy",A118))=TRUE, ISNUMBER(SEARCH("medium",A118))=TRUE),
(LEN(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farm'!$D$4:$P$9,MATCH(D118,'Focus Data Tillage by farm'!$C$4:$C$9,0),_xlfn.IFS(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"tine harrow","")))/LEN("tine harrow"),
(LEN(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-LEN(SUBSTITUTE(
INDEX('Focus Data Tillage by farm'!$D$12:$P$17,MATCH(D118,'Focus Data Tillage by farm'!$C$12:$C$17,0),_xlfn.IFS(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
"tine harrow","")))/LEN("tine harrow"))</f>
        <v>0</v>
      </c>
      <c r="AP118" s="102">
        <f>INDEX('Focus Data NSpraying'!$D$4:$P$19,MATCH(F118,'Focus Data NSpraying'!$C$4:$C$19,0),_xlfn.IFS(
AND(ISNUMBER(SEARCH("H-Dsty.",A118))=TRUE,ISNUMBER(SEARCH("H-Res",A118))=TRUE,ISNUMBER(SEARCH("E.",A118))=TRUE),1,
AND(ISNUMBER(SEARCH("H-Dsty.",A118))=TRUE,ISNUMBER(SEARCH("H-Res",A118))=TRUE,OR(ISNUMBER(SEARCH("N.he",A118))=TRUE,ISNUMBER(SEARCH("N.me",A118))=TRUE,ISNUMBER(SEARCH("N.li",A118))=TRUE)),2,
AND(ISNUMBER(SEARCH("H-Dsty.",A118))=TRUE,ISNUMBER(SEARCH("H-Res",A118))=TRUE,ISNUMBER(SEARCH("C.",A118))=TRUE),3,
AND(ISNUMBER(SEARCH("L-Dsty.",A118))=TRUE,ISNUMBER(SEARCH("H-Res",A118))=TRUE,ISNUMBER(SEARCH("E.",A118))=TRUE),6,
AND(ISNUMBER(SEARCH("L-Dsty.",A118))=TRUE,ISNUMBER(SEARCH("H-Res",A118))=TRUE,OR(ISNUMBER(SEARCH("N.he",A118))=TRUE,ISNUMBER(SEARCH("N.me",A118))=TRUE,ISNUMBER(SEARCH("N.li",A118))=TRUE)),7,
AND(ISNUMBER(SEARCH("L-Dsty.",A118))=TRUE,ISNUMBER(SEARCH("H-Res",A118))=TRUE,ISNUMBER(SEARCH("C.",A118))=TRUE),8,
AND(ISNUMBER(SEARCH("L-Dsty.",A118))=TRUE,ISNUMBER(SEARCH("L-Res",A118))=TRUE,ISNUMBER(SEARCH("E.",A118))=TRUE),11,
AND(ISNUMBER(SEARCH("L-Dsty.",A118))=TRUE,ISNUMBER(SEARCH("L-Res",A118))=TRUE,OR(ISNUMBER(SEARCH("N.he",A118))=TRUE,ISNUMBER(SEARCH("N.me",A118))=TRUE,ISNUMBER(SEARCH("N.li",A118))=TRUE)),12,
AND(ISNUMBER(SEARCH("L-Dsty.",A118))=TRUE,ISNUMBER(SEARCH("L-Res",A118))=TRUE,ISNUMBER(SEARCH("C.",A118))=TRUE),13))</f>
        <v>4</v>
      </c>
    </row>
    <row r="119" spans="1:42" x14ac:dyDescent="0.2">
      <c r="A119" t="s">
        <v>494</v>
      </c>
      <c r="B119" s="210" t="str">
        <f t="array" ref="B119">INDEX(ECOMOD_input_estimate!$A$2:$A$55, MATCH(CFT_input!$A119, ECOMOD_input_estimate!$B:$B, 0))</f>
        <v>FF_09.2</v>
      </c>
      <c r="C119" s="210">
        <v>2020</v>
      </c>
      <c r="D119" s="395" t="s">
        <v>1695</v>
      </c>
      <c r="E119" s="210" t="str">
        <f t="shared" si="7"/>
        <v>C.heavy.L-Dsty.H-Res</v>
      </c>
      <c r="F119" s="210" t="str">
        <f t="array" ref="F119">_xlfn.SINGLE(IF(OR(ISNUMBER(SEARCH("heavy",A119))=TRUE,ISNUMBER(SEARCH("medium",A119))=TRUE),
INDEX('Focus Data Crop Rotations'!$D$4:$P$9,MATCH(D119,'Focus Data Crop Rotations'!$C$4:$C$9,0),_xlfn.SINGLE(_xlfn.IFS(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INDEX('Focus Data Crop Rotations'!$D$12:$P$17,MATCH(D119,'Focus Data Crop Rotations'!$C$12:$C$17,0),_xlfn.SINGLE(_xlfn.IFS(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winterwheat</v>
      </c>
      <c r="G119">
        <v>7.2</v>
      </c>
      <c r="H119" s="227">
        <f>VLOOKUP(F119,'CFT Specific Data'!$F$4:$H$19,3,FALSE)*G119*
IF(B119=B118,
IF(AND(ISNUMBER(SEARCH("wheat",F119))=TRUE,ISNUMBER(SEARCH("Barley",F118))=TRUE),0.89,
IF(AND(ISNUMBER(SEARCH("wheat",F119))=TRUE,F118="setaside"),0.94,
IF(AND(ISNUMBER(SEARCH("barley",F119))=TRUE,ISNUMBER(SEARCH("wheat",F118))=TRUE),0.89,
IF(AND(F119="winterbarley",F118="setaside"),0.94,
IF(AND(F119="sugarbeet",F118="warepotatoes"),0.95,
IF(AND((OR(ISNUMBER(SEARCH("beans",F119)),ISNUMBER(SEARCH("driedpeas",F119)),ISNUMBER(SEARCH("sugarbeet",F119)))=TRUE),ISNUMBER(SEARCH("osr",F118))=TRUE),0,
IF(AND((OR((ISNUMBER(SEARCH("wheat",F119))),ISNUMBER(SEARCH("linseed",F119)),ISNUMBER(SEARCH("driedpeas",F119)),ISNUMBER(SEARCH("osr",F119)))=TRUE),F118="sugarbeet"),0,
IF(AND((OR((ISNUMBER(SEARCH("osr",F119))),ISNUMBER(SEARCH("linseed",F119)))=TRUE),ISNUMBER(SEARCH("beans",F118))=TRUE),0,
IF(AND(F119="wosr",ISNUMBER(SEARCH("linseed",F118))=TRUE),0,
IF(AND(F119="sugarbeet",F118="warepotatoes"),0,
1)))))))))),
IF(AND(ISNUMBER(SEARCH("wheat",F119))=TRUE,ISNUMBER(SEARCH("Barley",F124))=TRUE),0.89,
IF(AND(ISNUMBER(SEARCH("wheat",F119))=TRUE,F124="setaside"),0.94,
IF(AND(ISNUMBER(SEARCH("barley",F119))=TRUE,ISNUMBER(SEARCH("wheat",F124))=TRUE),0.89,
IF(AND(F119="winterbarley",F124="setaside"),0.94,
IF(AND(F119="sugarbeet",F124="warepotatoes"),0.95,
IF(AND((OR(ISNUMBER(SEARCH("beans",F119)),ISNUMBER(SEARCH("driedpeas",F119)),ISNUMBER(SEARCH("sugarbeet",F119)))=TRUE),ISNUMBER(SEARCH("osr",F124))=TRUE),0,
IF(AND((OR((ISNUMBER(SEARCH("wheat",F119))),ISNUMBER(SEARCH("linseed",F119)),ISNUMBER(SEARCH("driedpeas",F119)),ISNUMBER(SEARCH("osr",F119)))=TRUE),F124="sugarbeet"),0,
IF(AND((OR((ISNUMBER(SEARCH("osr",F119))),ISNUMBER(SEARCH("linseed",F119)))=TRUE),ISNUMBER(SEARCH("beans",F124))=TRUE),0,
IF(AND(F119="wosr",ISNUMBER(SEARCH("linseed",F124))=TRUE),0,
IF(AND(F119="sugarbeet",F124="warepotatoes"),0,
1)))))))))))
*IF(OR(ISNUMBER(SEARCH("wheat",F119)),ISNUMBER(SEARCH("barley",F119)),ISNUMBER(SEARCH("driedpeas",F119)),ISNUMBER(SEARCH("warepotatoes",F119)),ISNUMBER(SEARCH("osr",F119)),ISNUMBER(SEARCH("linseed",F119)),ISNUMBER(SEARCH("sugarbeet",F119))),
IF(COUNTIF(B114:B118,B119)=5,
INDEX('CFT Specific Data'!$G$24:$L$39,MATCH(F119,'CFT Specific Data'!$F$24:$F$39,0),IF(COUNTIF(F114:F118,F119)=5,6,IF(COUNTIF(F115:F118,F119)=4,5,IF(COUNTIF(F116:F118,F119)=3,4,IF(COUNTIF(F117:F118,F119)=2,3,IF(F118=F119,2,1)))))),
IF(COUNTIF(B114:B118,B119)=4,
INDEX('CFT Specific Data'!$G$24:$L$39,MATCH(F119,'CFT Specific Data'!$F$24:$F$39,0),IF(SUM(COUNTIF(F115:F118,F119),COUNTIF(F120,F119))=5,6,IF(COUNTIF(F115:F118,F119)=4,5,IF(COUNTIF(F116:F118,F119)=3,4,IF(COUNTIF(F117:F118,F119)=2,3,IF(F118=F119,2,1)))))),
IF(COUNTIF(B114:B118,B119)=3,
INDEX('CFT Specific Data'!$G$24:$L$39,MATCH(F119,'CFT Specific Data'!$F$24:$F$39,0),IF(SUM(COUNTIF(F116:F118,F119),COUNTIF(F120:F121,F119))=5,6,IF(SUM(COUNTIF(F116:F118,F119),COUNTIF(F121,F119))=4,5,IF(COUNTIF(F116:F118,F119)=3,4,IF(COUNTIF(F117:F118,F119)=2,3,IF(F118=F119,2,1)))))),
IF(COUNTIF(B114:B118,B119)=2,
INDEX('CFT Specific Data'!$G$24:$L$39,MATCH(F119,'CFT Specific Data'!$F$24:$F$39,0),IF(SUM(COUNTIF(F117:F118,F119),COUNTIF(F120:F122,F119))=5,6,IF(SUM(COUNTIF(F117:F118,F119),COUNTIF(F121:F122,F119))=4,5,IF(SUM(COUNTIF(F117:F118,F119),COUNTIF(F122,F119))=3,4,IF(COUNTIF(F117:F118,F119)=2,3,IF(F118=F119,2,1)))))),
IF(COUNTIF(B114:B118,B119)=1,
INDEX('CFT Specific Data'!$G$24:$L$39,MATCH(F119,'CFT Specific Data'!$F$24:$F$39,0),IF(SUM(COUNTIF(F118,F119),COUNTIF(F120:F123,F119))=5,6,IF(SUM(COUNTIF(F118,F119),COUNTIF(F121:F123,F119))=4,5,IF(SUM(COUNTIF(F118,F119),COUNTIF(F122:F123,F119))=3,4,IF(SUM(COUNTIF(F118,F119),COUNTIF(F123,F119))=2,3,IF(F118=F119,2,1)))))),
IF(COUNTIF(B114:B118,B119)=0,
INDEX('CFT Specific Data'!$G$24:$L$39,MATCH(F119,'CFT Specific Data'!$F$24:$F$39,0),IF(COUNTIF(F120:F124,F119)=5,6,IF(COUNTIF(F121:F124,F119)=4,5,IF(COUNTIF(F122:F124,F119)=3,4,IF(COUNTIF(F123:F124,F119)=2,3,IF(F124=F119,2,1)))))))))))),1)</f>
        <v>61.92</v>
      </c>
      <c r="I119" s="210" t="s">
        <v>348</v>
      </c>
      <c r="J119">
        <v>10</v>
      </c>
      <c r="K119" s="210" t="str">
        <f>VLOOKUP(F119,'CFT Specific Data'!$F$4:$G$19,2,FALSE)</f>
        <v>Winter wheat</v>
      </c>
      <c r="L119" t="str">
        <f t="shared" si="8"/>
        <v>Fine</v>
      </c>
      <c r="M119">
        <f t="shared" si="9"/>
        <v>5.8479999999999999</v>
      </c>
      <c r="N119" t="str">
        <f t="shared" si="10"/>
        <v>5.16 &lt; SOM &lt;= 10.32</v>
      </c>
      <c r="O119" t="s">
        <v>349</v>
      </c>
      <c r="P119" t="s">
        <v>350</v>
      </c>
      <c r="Q119">
        <v>7</v>
      </c>
      <c r="R119" t="str">
        <f t="shared" si="6"/>
        <v>5.5 &lt; pH &lt;= 7.3</v>
      </c>
      <c r="S119" t="s">
        <v>351</v>
      </c>
      <c r="T119" s="210">
        <f t="array" ref="T119">_xlfn.SINGLE(INDEX('Focus Data NFertiliser Rate'!$D$4:$P$19,MATCH(F119,'Focus Data NFertiliser Rate'!$C$4:$C$19,0),_xlfn.SINGLE(_xlfn.IFS(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220</v>
      </c>
      <c r="U119" t="str">
        <f t="shared" si="11"/>
        <v>Apply in solution</v>
      </c>
      <c r="V119" s="210">
        <f t="array" ref="V119">_xlfn.SINGLE(INDEX('№ Fertiliser sprayings'!$D$4:$P$19,MATCH(F119,'№ Fertiliser sprayings'!$C$4:$C$19,0),_xlfn.SINGLE(_xlfn.IFS(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3</v>
      </c>
      <c r="W119" s="264">
        <f t="array" ref="W119">_xlfn.SINGLE(INDEX('Focus Data CFT NSpraying'!$D$4:$P$19,MATCH(F119,'Focus Data CFT NSpraying'!$C$4:$C$19,0),_xlfn.SINGLE(_xlfn.IFS(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5.7560000000000002</v>
      </c>
      <c r="X119" t="s">
        <v>363</v>
      </c>
      <c r="Y119">
        <v>0</v>
      </c>
      <c r="Z119">
        <v>100</v>
      </c>
      <c r="AA119" t="s">
        <v>352</v>
      </c>
      <c r="AB119" s="226" t="str">
        <f>IF(B119=B118,_xlfn.IFS(
AND(AA119=Lists!$L$8,AA118=Lists!$L$8),Lists!$N$5,
AND(OR(AA119=Lists!$L$5,AA119=Lists!$L$7,AA119=Lists!$L$9,AA119=Lists!$L$10,AA119=Lists!$L$6),OR(AA118=Lists!$L$5,AA118=Lists!$L$7,AA118=Lists!$L$9,AA118=Lists!$L$10,AA118=Lists!$L$6)),Lists!$N$5,
AND(AA119=Lists!$L$8,OR(AA118=Lists!$L$5,AA118=Lists!$L$7,AA118=Lists!$L$9,AA118=Lists!$L$10,AA118=Lists!$L$6)),Lists!$N$6,
AND(OR(AA119=Lists!$L$5,AA119=Lists!$L$6,AA119=Lists!$L$7,AA119=Lists!$L$9,AA119=Lists!$L$10),AA118=Lists!$L$8),Lists!$N$7),
_xlfn.IFS(
AND(AA119=Lists!$L$8,AA124=Lists!$L$8),Lists!$N$5,
AND(OR(AA119=Lists!$L$5,AA119=Lists!$L$7,AA119=Lists!$L$9,AA119=Lists!$L$10,AA119=Lists!$L$6),OR(AA124=Lists!$L$5,AA124=Lists!$L$7,AA124=Lists!$L$9,AA124=Lists!$L$10,AA124=Lists!$L$6)),Lists!$N$5,
AND(AA119=Lists!$L$8,OR(AA124=Lists!$L$5,AA124=Lists!$L$7,AA124=Lists!$L$9,AA124=Lists!$L$10,AA124=Lists!$L$6)),Lists!$N$6,
AND(OR(AA119=Lists!$L$5,AA119=Lists!$L$7,AA119=Lists!$L$9,AA119=Lists!$L$10),AA124=Lists!$L$8),Lists!$N$7))</f>
        <v>no change</v>
      </c>
      <c r="AC119">
        <v>0</v>
      </c>
      <c r="AD119">
        <v>0</v>
      </c>
      <c r="AE119" s="102">
        <f t="array" ref="AE119">IF(OR(ISNUMBER(SEARCH("heavy",A119))=TRUE, ISNUMBER(SEARCH("medium",A119))=TRUE),
(LEN(_xlfn.SINGLE(
INDEX('Focus Data Tillage by farm'!$D$4:$P$9,MATCH(D119,'Focus Data Tillage by farm'!$C$4:$C$9,0),_xlfn.SINGLE(_xlfn.IFS(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-LEN(SUBSTITUTE(_xlfn.SINGLE(
INDEX('Focus Data Tillage by farm'!$D$4:$P$9,MATCH(D119,'Focus Data Tillage by farm'!$C$4:$C$9,0),_xlfn.SINGLE(_xlfn.IFS(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"disc","")))/LEN("disc"),
(LEN(_xlfn.SINGLE(
INDEX('Focus Data Tillage by farm'!$D$12:$P$17,MATCH(D119,'Focus Data Tillage by farm'!$C$12:$C$17,0),_xlfn.SINGLE(_xlfn.IFS(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-LEN(SUBSTITUTE(_xlfn.SINGLE(
INDEX('Focus Data Tillage by farm'!$D$12:$P$17,MATCH(D119,'Focus Data Tillage by farm'!$C$12:$C$17,0),_xlfn.SINGLE(_xlfn.IFS(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"disc","")))/LEN("disc"))</f>
        <v>2</v>
      </c>
      <c r="AF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"field cultivator","")))/LEN("field cultivator"),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"field cultivator","")))/LEN("field cultivator"))</f>
        <v>0</v>
      </c>
      <c r="AG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"grain drill","")))/LEN("grain drill"),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"grain drill","")))/LEN("grain drill"))</f>
        <v>1</v>
      </c>
      <c r="AH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"minimum tillage","")))/LEN("minimum tillage"),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"minimum tillage","")))/LEN("minimum tillage"))</f>
        <v>0</v>
      </c>
      <c r="AI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"row crop planter","")))/LEN("row crop planter"),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"row crop planter","")))/LEN("row crop planter"))</f>
        <v>0</v>
      </c>
      <c r="AJ119" s="102">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"plough","")))/LEN("plough"),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"plough","")))/LEN("plough"))</f>
        <v>0</v>
      </c>
      <c r="AK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harrow","")))/LEN("roller harrow"),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harrow","")))/LEN("roller harrow"))</f>
        <v>0</v>
      </c>
      <c r="AL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packer","")))/LEN("roller packer"),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"roller packer","")))/LEN("roller packer"))</f>
        <v>2</v>
      </c>
      <c r="AM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"rotary hoe","")))/LEN("rotary hoe"),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"rotary hoe","")))/LEN("rotary hoe"))</f>
        <v>0</v>
      </c>
      <c r="AN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"subsoil","")))/LEN("subsoil"),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"subsoil","")))/LEN("subsoil"))</f>
        <v>0</v>
      </c>
      <c r="AO119">
        <f>IF(OR(ISNUMBER(SEARCH("heavy",A119))=TRUE, ISNUMBER(SEARCH("medium",A119))=TRUE),
(LEN(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farm'!$D$4:$P$9,MATCH(D119,'Focus Data Tillage by farm'!$C$4:$C$9,0),_xlfn.IFS(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"tine harrow","")))/LEN("tine harrow"),
(LEN(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-LEN(SUBSTITUTE(
INDEX('Focus Data Tillage by farm'!$D$12:$P$17,MATCH(D119,'Focus Data Tillage by farm'!$C$12:$C$17,0),_xlfn.IFS(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
"tine harrow","")))/LEN("tine harrow"))</f>
        <v>0</v>
      </c>
      <c r="AP119" s="102">
        <f>INDEX('Focus Data NSpraying'!$D$4:$P$19,MATCH(F119,'Focus Data NSpraying'!$C$4:$C$19,0),_xlfn.IFS(
AND(ISNUMBER(SEARCH("H-Dsty.",A119))=TRUE,ISNUMBER(SEARCH("H-Res",A119))=TRUE,ISNUMBER(SEARCH("E.",A119))=TRUE),1,
AND(ISNUMBER(SEARCH("H-Dsty.",A119))=TRUE,ISNUMBER(SEARCH("H-Res",A119))=TRUE,OR(ISNUMBER(SEARCH("N.he",A119))=TRUE,ISNUMBER(SEARCH("N.me",A119))=TRUE,ISNUMBER(SEARCH("N.li",A119))=TRUE)),2,
AND(ISNUMBER(SEARCH("H-Dsty.",A119))=TRUE,ISNUMBER(SEARCH("H-Res",A119))=TRUE,ISNUMBER(SEARCH("C.",A119))=TRUE),3,
AND(ISNUMBER(SEARCH("L-Dsty.",A119))=TRUE,ISNUMBER(SEARCH("H-Res",A119))=TRUE,ISNUMBER(SEARCH("E.",A119))=TRUE),6,
AND(ISNUMBER(SEARCH("L-Dsty.",A119))=TRUE,ISNUMBER(SEARCH("H-Res",A119))=TRUE,OR(ISNUMBER(SEARCH("N.he",A119))=TRUE,ISNUMBER(SEARCH("N.me",A119))=TRUE,ISNUMBER(SEARCH("N.li",A119))=TRUE)),7,
AND(ISNUMBER(SEARCH("L-Dsty.",A119))=TRUE,ISNUMBER(SEARCH("H-Res",A119))=TRUE,ISNUMBER(SEARCH("C.",A119))=TRUE),8,
AND(ISNUMBER(SEARCH("L-Dsty.",A119))=TRUE,ISNUMBER(SEARCH("L-Res",A119))=TRUE,ISNUMBER(SEARCH("E.",A119))=TRUE),11,
AND(ISNUMBER(SEARCH("L-Dsty.",A119))=TRUE,ISNUMBER(SEARCH("L-Res",A119))=TRUE,OR(ISNUMBER(SEARCH("N.he",A119))=TRUE,ISNUMBER(SEARCH("N.me",A119))=TRUE,ISNUMBER(SEARCH("N.li",A119))=TRUE)),12,
AND(ISNUMBER(SEARCH("L-Dsty.",A119))=TRUE,ISNUMBER(SEARCH("L-Res",A119))=TRUE,ISNUMBER(SEARCH("C.",A119))=TRUE),13))</f>
        <v>5</v>
      </c>
    </row>
    <row r="120" spans="1:42" x14ac:dyDescent="0.2">
      <c r="A120" t="s">
        <v>494</v>
      </c>
      <c r="B120" s="210" t="str">
        <f t="array" ref="B120">INDEX(ECOMOD_input_estimate!$A$2:$A$55, MATCH(CFT_input!$A120, ECOMOD_input_estimate!$B:$B, 0))</f>
        <v>FF_09.2</v>
      </c>
      <c r="C120" s="210">
        <v>2020</v>
      </c>
      <c r="D120" s="395" t="s">
        <v>1696</v>
      </c>
      <c r="E120" s="210" t="str">
        <f t="shared" si="7"/>
        <v>C.heavy.L-Dsty.H-Res</v>
      </c>
      <c r="F120" s="210" t="str">
        <f t="array" ref="F120">_xlfn.SINGLE(IF(OR(ISNUMBER(SEARCH("heavy",A120))=TRUE,ISNUMBER(SEARCH("medium",A120))=TRUE),
INDEX('Focus Data Crop Rotations'!$D$4:$P$9,MATCH(D120,'Focus Data Crop Rotations'!$C$4:$C$9,0),_xlfn.SINGLE(_xlfn.IFS(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INDEX('Focus Data Crop Rotations'!$D$12:$P$17,MATCH(D120,'Focus Data Crop Rotations'!$C$12:$C$17,0),_xlfn.SINGLE(_xlfn.IFS(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springbarley</v>
      </c>
      <c r="G120">
        <v>7.2</v>
      </c>
      <c r="H120" s="227">
        <f>VLOOKUP(F120,'CFT Specific Data'!$F$4:$H$19,3,FALSE)*G120*
IF(B120=B119,
IF(AND(ISNUMBER(SEARCH("wheat",F120))=TRUE,ISNUMBER(SEARCH("Barley",F119))=TRUE),0.89,
IF(AND(ISNUMBER(SEARCH("wheat",F120))=TRUE,F119="setaside"),0.94,
IF(AND(ISNUMBER(SEARCH("barley",F120))=TRUE,ISNUMBER(SEARCH("wheat",F119))=TRUE),0.89,
IF(AND(F120="winterbarley",F119="setaside"),0.94,
IF(AND(F120="sugarbeet",F119="warepotatoes"),0.95,
IF(AND((OR(ISNUMBER(SEARCH("beans",F120)),ISNUMBER(SEARCH("driedpeas",F120)),ISNUMBER(SEARCH("sugarbeet",F120)))=TRUE),ISNUMBER(SEARCH("osr",F119))=TRUE),0,
IF(AND((OR((ISNUMBER(SEARCH("wheat",F120))),ISNUMBER(SEARCH("linseed",F120)),ISNUMBER(SEARCH("driedpeas",F120)),ISNUMBER(SEARCH("osr",F120)))=TRUE),F119="sugarbeet"),0,
IF(AND((OR((ISNUMBER(SEARCH("osr",F120))),ISNUMBER(SEARCH("linseed",F120)))=TRUE),ISNUMBER(SEARCH("beans",F119))=TRUE),0,
IF(AND(F120="wosr",ISNUMBER(SEARCH("linseed",F119))=TRUE),0,
IF(AND(F120="sugarbeet",F119="warepotatoes"),0,
1)))))))))),
IF(AND(ISNUMBER(SEARCH("wheat",F120))=TRUE,ISNUMBER(SEARCH("Barley",F125))=TRUE),0.89,
IF(AND(ISNUMBER(SEARCH("wheat",F120))=TRUE,F125="setaside"),0.94,
IF(AND(ISNUMBER(SEARCH("barley",F120))=TRUE,ISNUMBER(SEARCH("wheat",F125))=TRUE),0.89,
IF(AND(F120="winterbarley",F125="setaside"),0.94,
IF(AND(F120="sugarbeet",F125="warepotatoes"),0.95,
IF(AND((OR(ISNUMBER(SEARCH("beans",F120)),ISNUMBER(SEARCH("driedpeas",F120)),ISNUMBER(SEARCH("sugarbeet",F120)))=TRUE),ISNUMBER(SEARCH("osr",F125))=TRUE),0,
IF(AND((OR((ISNUMBER(SEARCH("wheat",F120))),ISNUMBER(SEARCH("linseed",F120)),ISNUMBER(SEARCH("driedpeas",F120)),ISNUMBER(SEARCH("osr",F120)))=TRUE),F125="sugarbeet"),0,
IF(AND((OR((ISNUMBER(SEARCH("osr",F120))),ISNUMBER(SEARCH("linseed",F120)))=TRUE),ISNUMBER(SEARCH("beans",F125))=TRUE),0,
IF(AND(F120="wosr",ISNUMBER(SEARCH("linseed",F125))=TRUE),0,
IF(AND(F120="sugarbeet",F125="warepotatoes"),0,
1)))))))))))
*IF(OR(ISNUMBER(SEARCH("wheat",F120)),ISNUMBER(SEARCH("barley",F120)),ISNUMBER(SEARCH("driedpeas",F120)),ISNUMBER(SEARCH("warepotatoes",F120)),ISNUMBER(SEARCH("osr",F120)),ISNUMBER(SEARCH("linseed",F120)),ISNUMBER(SEARCH("sugarbeet",F120))),
IF(COUNTIF(B115:B119,B120)=5,
INDEX('CFT Specific Data'!$G$24:$L$39,MATCH(F120,'CFT Specific Data'!$F$24:$F$39,0),IF(COUNTIF(F115:F119,F120)=5,6,IF(COUNTIF(F116:F119,F120)=4,5,IF(COUNTIF(F117:F119,F120)=3,4,IF(COUNTIF(F118:F119,F120)=2,3,IF(F119=F120,2,1)))))),
IF(COUNTIF(B115:B119,B120)=4,
INDEX('CFT Specific Data'!$G$24:$L$39,MATCH(F120,'CFT Specific Data'!$F$24:$F$39,0),IF(SUM(COUNTIF(F116:F119,F120),COUNTIF(F121,F120))=5,6,IF(COUNTIF(F116:F119,F120)=4,5,IF(COUNTIF(F117:F119,F120)=3,4,IF(COUNTIF(F118:F119,F120)=2,3,IF(F119=F120,2,1)))))),
IF(COUNTIF(B115:B119,B120)=3,
INDEX('CFT Specific Data'!$G$24:$L$39,MATCH(F120,'CFT Specific Data'!$F$24:$F$39,0),IF(SUM(COUNTIF(F117:F119,F120),COUNTIF(F121:F122,F120))=5,6,IF(SUM(COUNTIF(F117:F119,F120),COUNTIF(F122,F120))=4,5,IF(COUNTIF(F117:F119,F120)=3,4,IF(COUNTIF(F118:F119,F120)=2,3,IF(F119=F120,2,1)))))),
IF(COUNTIF(B115:B119,B120)=2,
INDEX('CFT Specific Data'!$G$24:$L$39,MATCH(F120,'CFT Specific Data'!$F$24:$F$39,0),IF(SUM(COUNTIF(F118:F119,F120),COUNTIF(F121:F123,F120))=5,6,IF(SUM(COUNTIF(F118:F119,F120),COUNTIF(F122:F123,F120))=4,5,IF(SUM(COUNTIF(F118:F119,F120),COUNTIF(F123,F120))=3,4,IF(COUNTIF(F118:F119,F120)=2,3,IF(F119=F120,2,1)))))),
IF(COUNTIF(B115:B119,B120)=1,
INDEX('CFT Specific Data'!$G$24:$L$39,MATCH(F120,'CFT Specific Data'!$F$24:$F$39,0),IF(SUM(COUNTIF(F119,F120),COUNTIF(F121:F124,F120))=5,6,IF(SUM(COUNTIF(F119,F120),COUNTIF(F122:F124,F120))=4,5,IF(SUM(COUNTIF(F119,F120),COUNTIF(F123:F124,F120))=3,4,IF(SUM(COUNTIF(F119,F120),COUNTIF(F124,F120))=2,3,IF(F119=F120,2,1)))))),
IF(COUNTIF(B115:B119,B120)=0,
INDEX('CFT Specific Data'!$G$24:$L$39,MATCH(F120,'CFT Specific Data'!$F$24:$F$39,0),IF(COUNTIF(F121:F125,F120)=5,6,IF(COUNTIF(F122:F125,F120)=4,5,IF(COUNTIF(F123:F125,F120)=3,4,IF(COUNTIF(F124:F125,F120)=2,3,IF(F125=F120,2,1)))))))))))),1)</f>
        <v>36.525599999999997</v>
      </c>
      <c r="I120" s="210" t="s">
        <v>348</v>
      </c>
      <c r="J120">
        <v>10</v>
      </c>
      <c r="K120" s="210" t="str">
        <f>VLOOKUP(F120,'CFT Specific Data'!$F$4:$G$19,2,FALSE)</f>
        <v>Barley</v>
      </c>
      <c r="L120" t="str">
        <f t="shared" si="8"/>
        <v>Fine</v>
      </c>
      <c r="M120">
        <f t="shared" si="9"/>
        <v>5.8479999999999999</v>
      </c>
      <c r="N120" t="str">
        <f t="shared" si="10"/>
        <v>5.16 &lt; SOM &lt;= 10.32</v>
      </c>
      <c r="O120" t="s">
        <v>349</v>
      </c>
      <c r="P120" t="s">
        <v>350</v>
      </c>
      <c r="Q120">
        <v>7</v>
      </c>
      <c r="R120" t="str">
        <f t="shared" si="6"/>
        <v>5.5 &lt; pH &lt;= 7.3</v>
      </c>
      <c r="S120" t="s">
        <v>351</v>
      </c>
      <c r="T120" s="210">
        <f t="array" ref="T120">_xlfn.SINGLE(INDEX('Focus Data NFertiliser Rate'!$D$4:$P$19,MATCH(F120,'Focus Data NFertiliser Rate'!$C$4:$C$19,0),_xlfn.SINGLE(_xlfn.IFS(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110</v>
      </c>
      <c r="U120" t="str">
        <f t="shared" si="11"/>
        <v>Apply in solution</v>
      </c>
      <c r="V120" s="210">
        <f t="array" ref="V120">_xlfn.SINGLE(INDEX('№ Fertiliser sprayings'!$D$4:$P$19,MATCH(F120,'№ Fertiliser sprayings'!$C$4:$C$19,0),_xlfn.SINGLE(_xlfn.IFS(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1</v>
      </c>
      <c r="W120" s="264">
        <f t="array" ref="W120">_xlfn.SINGLE(INDEX('Focus Data CFT NSpraying'!$D$4:$P$19,MATCH(F120,'Focus Data CFT NSpraying'!$C$4:$C$19,0),_xlfn.SINGLE(_xlfn.IFS(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6.16</v>
      </c>
      <c r="X120" t="s">
        <v>363</v>
      </c>
      <c r="Y120">
        <v>0</v>
      </c>
      <c r="Z120">
        <v>100</v>
      </c>
      <c r="AA120" t="s">
        <v>352</v>
      </c>
      <c r="AB120" s="226" t="str">
        <f>IF(B120=B119,_xlfn.IFS(
AND(AA120=Lists!$L$8,AA119=Lists!$L$8),Lists!$N$5,
AND(OR(AA120=Lists!$L$5,AA120=Lists!$L$7,AA120=Lists!$L$9,AA120=Lists!$L$10,AA120=Lists!$L$6),OR(AA119=Lists!$L$5,AA119=Lists!$L$7,AA119=Lists!$L$9,AA119=Lists!$L$10,AA119=Lists!$L$6)),Lists!$N$5,
AND(AA120=Lists!$L$8,OR(AA119=Lists!$L$5,AA119=Lists!$L$7,AA119=Lists!$L$9,AA119=Lists!$L$10,AA119=Lists!$L$6)),Lists!$N$6,
AND(OR(AA120=Lists!$L$5,AA120=Lists!$L$6,AA120=Lists!$L$7,AA120=Lists!$L$9,AA120=Lists!$L$10),AA119=Lists!$L$8),Lists!$N$7),
_xlfn.IFS(
AND(AA120=Lists!$L$8,AA125=Lists!$L$8),Lists!$N$5,
AND(OR(AA120=Lists!$L$5,AA120=Lists!$L$7,AA120=Lists!$L$9,AA120=Lists!$L$10,AA120=Lists!$L$6),OR(AA125=Lists!$L$5,AA125=Lists!$L$7,AA125=Lists!$L$9,AA125=Lists!$L$10,AA125=Lists!$L$6)),Lists!$N$5,
AND(AA120=Lists!$L$8,OR(AA125=Lists!$L$5,AA125=Lists!$L$7,AA125=Lists!$L$9,AA125=Lists!$L$10,AA125=Lists!$L$6)),Lists!$N$6,
AND(OR(AA120=Lists!$L$5,AA120=Lists!$L$7,AA120=Lists!$L$9,AA120=Lists!$L$10),AA125=Lists!$L$8),Lists!$N$7))</f>
        <v>no change</v>
      </c>
      <c r="AC120">
        <v>0</v>
      </c>
      <c r="AD120">
        <v>0</v>
      </c>
      <c r="AE120" s="102">
        <f t="array" ref="AE120">IF(OR(ISNUMBER(SEARCH("heavy",A120))=TRUE, ISNUMBER(SEARCH("medium",A120))=TRUE),
(LEN(_xlfn.SINGLE(
INDEX('Focus Data Tillage by farm'!$D$4:$P$9,MATCH(D120,'Focus Data Tillage by farm'!$C$4:$C$9,0),_xlfn.SINGLE(_xlfn.IFS(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-LEN(SUBSTITUTE(_xlfn.SINGLE(
INDEX('Focus Data Tillage by farm'!$D$4:$P$9,MATCH(D120,'Focus Data Tillage by farm'!$C$4:$C$9,0),_xlfn.SINGLE(_xlfn.IFS(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"disc","")))/LEN("disc"),
(LEN(_xlfn.SINGLE(
INDEX('Focus Data Tillage by farm'!$D$12:$P$17,MATCH(D120,'Focus Data Tillage by farm'!$C$12:$C$17,0),_xlfn.SINGLE(_xlfn.IFS(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-LEN(SUBSTITUTE(_xlfn.SINGLE(
INDEX('Focus Data Tillage by farm'!$D$12:$P$17,MATCH(D120,'Focus Data Tillage by farm'!$C$12:$C$17,0),_xlfn.SINGLE(_xlfn.IFS(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"disc","")))/LEN("disc"))</f>
        <v>4</v>
      </c>
      <c r="AF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"field cultivator","")))/LEN("field cultivator"),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"field cultivator","")))/LEN("field cultivator"))</f>
        <v>0</v>
      </c>
      <c r="AG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"grain drill","")))/LEN("grain drill"),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"grain drill","")))/LEN("grain drill"))</f>
        <v>0</v>
      </c>
      <c r="AH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"minimum tillage","")))/LEN("minimum tillage"),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"minimum tillage","")))/LEN("minimum tillage"))</f>
        <v>1</v>
      </c>
      <c r="AI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"row crop planter","")))/LEN("row crop planter"),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"row crop planter","")))/LEN("row crop planter"))</f>
        <v>0</v>
      </c>
      <c r="AJ120" s="102">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"plough","")))/LEN("plough"),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"plough","")))/LEN("plough"))</f>
        <v>0</v>
      </c>
      <c r="AK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harrow","")))/LEN("roller harrow"),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harrow","")))/LEN("roller harrow"))</f>
        <v>0</v>
      </c>
      <c r="AL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packer","")))/LEN("roller packer"),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"roller packer","")))/LEN("roller packer"))</f>
        <v>2</v>
      </c>
      <c r="AM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"rotary hoe","")))/LEN("rotary hoe"),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"rotary hoe","")))/LEN("rotary hoe"))</f>
        <v>0</v>
      </c>
      <c r="AN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"subsoil","")))/LEN("subsoil"),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"subsoil","")))/LEN("subsoil"))</f>
        <v>0</v>
      </c>
      <c r="AO120">
        <f>IF(OR(ISNUMBER(SEARCH("heavy",A120))=TRUE, ISNUMBER(SEARCH("medium",A120))=TRUE),
(LEN(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farm'!$D$4:$P$9,MATCH(D120,'Focus Data Tillage by farm'!$C$4:$C$9,0),_xlfn.IFS(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"tine harrow","")))/LEN("tine harrow"),
(LEN(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-LEN(SUBSTITUTE(
INDEX('Focus Data Tillage by farm'!$D$12:$P$17,MATCH(D120,'Focus Data Tillage by farm'!$C$12:$C$17,0),_xlfn.IFS(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
"tine harrow","")))/LEN("tine harrow"))</f>
        <v>0</v>
      </c>
      <c r="AP120" s="102">
        <f>INDEX('Focus Data NSpraying'!$D$4:$P$19,MATCH(F120,'Focus Data NSpraying'!$C$4:$C$19,0),_xlfn.IFS(
AND(ISNUMBER(SEARCH("H-Dsty.",A120))=TRUE,ISNUMBER(SEARCH("H-Res",A120))=TRUE,ISNUMBER(SEARCH("E.",A120))=TRUE),1,
AND(ISNUMBER(SEARCH("H-Dsty.",A120))=TRUE,ISNUMBER(SEARCH("H-Res",A120))=TRUE,OR(ISNUMBER(SEARCH("N.he",A120))=TRUE,ISNUMBER(SEARCH("N.me",A120))=TRUE,ISNUMBER(SEARCH("N.li",A120))=TRUE)),2,
AND(ISNUMBER(SEARCH("H-Dsty.",A120))=TRUE,ISNUMBER(SEARCH("H-Res",A120))=TRUE,ISNUMBER(SEARCH("C.",A120))=TRUE),3,
AND(ISNUMBER(SEARCH("L-Dsty.",A120))=TRUE,ISNUMBER(SEARCH("H-Res",A120))=TRUE,ISNUMBER(SEARCH("E.",A120))=TRUE),6,
AND(ISNUMBER(SEARCH("L-Dsty.",A120))=TRUE,ISNUMBER(SEARCH("H-Res",A120))=TRUE,OR(ISNUMBER(SEARCH("N.he",A120))=TRUE,ISNUMBER(SEARCH("N.me",A120))=TRUE,ISNUMBER(SEARCH("N.li",A120))=TRUE)),7,
AND(ISNUMBER(SEARCH("L-Dsty.",A120))=TRUE,ISNUMBER(SEARCH("H-Res",A120))=TRUE,ISNUMBER(SEARCH("C.",A120))=TRUE),8,
AND(ISNUMBER(SEARCH("L-Dsty.",A120))=TRUE,ISNUMBER(SEARCH("L-Res",A120))=TRUE,ISNUMBER(SEARCH("E.",A120))=TRUE),11,
AND(ISNUMBER(SEARCH("L-Dsty.",A120))=TRUE,ISNUMBER(SEARCH("L-Res",A120))=TRUE,OR(ISNUMBER(SEARCH("N.he",A120))=TRUE,ISNUMBER(SEARCH("N.me",A120))=TRUE,ISNUMBER(SEARCH("N.li",A120))=TRUE)),12,
AND(ISNUMBER(SEARCH("L-Dsty.",A120))=TRUE,ISNUMBER(SEARCH("L-Res",A120))=TRUE,ISNUMBER(SEARCH("C.",A120))=TRUE),13))</f>
        <v>5</v>
      </c>
    </row>
    <row r="121" spans="1:42" x14ac:dyDescent="0.2">
      <c r="A121" t="s">
        <v>494</v>
      </c>
      <c r="B121" s="210" t="str">
        <f t="array" ref="B121">INDEX(ECOMOD_input_estimate!$A$2:$A$55, MATCH(CFT_input!$A121, ECOMOD_input_estimate!$B:$B, 0))</f>
        <v>FF_09.2</v>
      </c>
      <c r="C121" s="210">
        <v>2020</v>
      </c>
      <c r="D121" s="395" t="s">
        <v>735</v>
      </c>
      <c r="E121" s="210" t="str">
        <f t="shared" si="7"/>
        <v>C.heavy.L-Dsty.H-Res</v>
      </c>
      <c r="F121" s="210" t="str">
        <f t="array" ref="F121">_xlfn.SINGLE(IF(OR(ISNUMBER(SEARCH("heavy",A121))=TRUE,ISNUMBER(SEARCH("medium",A121))=TRUE),
INDEX('Focus Data Crop Rotations'!$D$4:$P$9,MATCH(D121,'Focus Data Crop Rotations'!$C$4:$C$9,0),_xlfn.SINGLE(_xlfn.IFS(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INDEX('Focus Data Crop Rotations'!$D$12:$P$17,MATCH(D121,'Focus Data Crop Rotations'!$C$12:$C$17,0),_xlfn.SINGLE(_xlfn.IFS(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wosr</v>
      </c>
      <c r="G121">
        <v>7.2</v>
      </c>
      <c r="H121" s="227">
        <f>VLOOKUP(F121,'CFT Specific Data'!$F$4:$H$19,3,FALSE)*G121*
IF(B121=B120,
IF(AND(ISNUMBER(SEARCH("wheat",F121))=TRUE,ISNUMBER(SEARCH("Barley",F120))=TRUE),0.89,
IF(AND(ISNUMBER(SEARCH("wheat",F121))=TRUE,F120="setaside"),0.94,
IF(AND(ISNUMBER(SEARCH("barley",F121))=TRUE,ISNUMBER(SEARCH("wheat",F120))=TRUE),0.89,
IF(AND(F121="winterbarley",F120="setaside"),0.94,
IF(AND(F121="sugarbeet",F120="warepotatoes"),0.95,
IF(AND((OR(ISNUMBER(SEARCH("beans",F121)),ISNUMBER(SEARCH("driedpeas",F121)),ISNUMBER(SEARCH("sugarbeet",F121)))=TRUE),ISNUMBER(SEARCH("osr",F120))=TRUE),0,
IF(AND((OR((ISNUMBER(SEARCH("wheat",F121))),ISNUMBER(SEARCH("linseed",F121)),ISNUMBER(SEARCH("driedpeas",F121)),ISNUMBER(SEARCH("osr",F121)))=TRUE),F120="sugarbeet"),0,
IF(AND((OR((ISNUMBER(SEARCH("osr",F121))),ISNUMBER(SEARCH("linseed",F121)))=TRUE),ISNUMBER(SEARCH("beans",F120))=TRUE),0,
IF(AND(F121="wosr",ISNUMBER(SEARCH("linseed",F120))=TRUE),0,
IF(AND(F121="sugarbeet",F120="warepotatoes"),0,
1)))))))))),
IF(AND(ISNUMBER(SEARCH("wheat",F121))=TRUE,ISNUMBER(SEARCH("Barley",F126))=TRUE),0.89,
IF(AND(ISNUMBER(SEARCH("wheat",F121))=TRUE,F126="setaside"),0.94,
IF(AND(ISNUMBER(SEARCH("barley",F121))=TRUE,ISNUMBER(SEARCH("wheat",F126))=TRUE),0.89,
IF(AND(F121="winterbarley",F126="setaside"),0.94,
IF(AND(F121="sugarbeet",F126="warepotatoes"),0.95,
IF(AND((OR(ISNUMBER(SEARCH("beans",F121)),ISNUMBER(SEARCH("driedpeas",F121)),ISNUMBER(SEARCH("sugarbeet",F121)))=TRUE),ISNUMBER(SEARCH("osr",F126))=TRUE),0,
IF(AND((OR((ISNUMBER(SEARCH("wheat",F121))),ISNUMBER(SEARCH("linseed",F121)),ISNUMBER(SEARCH("driedpeas",F121)),ISNUMBER(SEARCH("osr",F121)))=TRUE),F126="sugarbeet"),0,
IF(AND((OR((ISNUMBER(SEARCH("osr",F121))),ISNUMBER(SEARCH("linseed",F121)))=TRUE),ISNUMBER(SEARCH("beans",F126))=TRUE),0,
IF(AND(F121="wosr",ISNUMBER(SEARCH("linseed",F126))=TRUE),0,
IF(AND(F121="sugarbeet",F126="warepotatoes"),0,
1)))))))))))
*IF(OR(ISNUMBER(SEARCH("wheat",F121)),ISNUMBER(SEARCH("barley",F121)),ISNUMBER(SEARCH("driedpeas",F121)),ISNUMBER(SEARCH("warepotatoes",F121)),ISNUMBER(SEARCH("osr",F121)),ISNUMBER(SEARCH("linseed",F121)),ISNUMBER(SEARCH("sugarbeet",F121))),
IF(COUNTIF(B116:B120,B121)=5,
INDEX('CFT Specific Data'!$G$24:$L$39,MATCH(F121,'CFT Specific Data'!$F$24:$F$39,0),IF(COUNTIF(F116:F120,F121)=5,6,IF(COUNTIF(F117:F120,F121)=4,5,IF(COUNTIF(F118:F120,F121)=3,4,IF(COUNTIF(F119:F120,F121)=2,3,IF(F120=F121,2,1)))))),
IF(COUNTIF(B116:B120,B121)=4,
INDEX('CFT Specific Data'!$G$24:$L$39,MATCH(F121,'CFT Specific Data'!$F$24:$F$39,0),IF(SUM(COUNTIF(F117:F120,F121),COUNTIF(F122,F121))=5,6,IF(COUNTIF(F117:F120,F121)=4,5,IF(COUNTIF(F118:F120,F121)=3,4,IF(COUNTIF(F119:F120,F121)=2,3,IF(F120=F121,2,1)))))),
IF(COUNTIF(B116:B120,B121)=3,
INDEX('CFT Specific Data'!$G$24:$L$39,MATCH(F121,'CFT Specific Data'!$F$24:$F$39,0),IF(SUM(COUNTIF(F118:F120,F121),COUNTIF(F122:F123,F121))=5,6,IF(SUM(COUNTIF(F118:F120,F121),COUNTIF(F123,F121))=4,5,IF(COUNTIF(F118:F120,F121)=3,4,IF(COUNTIF(F119:F120,F121)=2,3,IF(F120=F121,2,1)))))),
IF(COUNTIF(B116:B120,B121)=2,
INDEX('CFT Specific Data'!$G$24:$L$39,MATCH(F121,'CFT Specific Data'!$F$24:$F$39,0),IF(SUM(COUNTIF(F119:F120,F121),COUNTIF(F122:F124,F121))=5,6,IF(SUM(COUNTIF(F119:F120,F121),COUNTIF(F123:F124,F121))=4,5,IF(SUM(COUNTIF(F119:F120,F121),COUNTIF(F124,F121))=3,4,IF(COUNTIF(F119:F120,F121)=2,3,IF(F120=F121,2,1)))))),
IF(COUNTIF(B116:B120,B121)=1,
INDEX('CFT Specific Data'!$G$24:$L$39,MATCH(F121,'CFT Specific Data'!$F$24:$F$39,0),IF(SUM(COUNTIF(F120,F121),COUNTIF(F122:F125,F121))=5,6,IF(SUM(COUNTIF(F120,F121),COUNTIF(F123:F125,F121))=4,5,IF(SUM(COUNTIF(F120,F121),COUNTIF(F124:F125,F121))=3,4,IF(SUM(COUNTIF(F120,F121),COUNTIF(F125,F121))=2,3,IF(F120=F121,2,1)))))),
IF(COUNTIF(B116:B120,B121)=0,
INDEX('CFT Specific Data'!$G$24:$L$39,MATCH(F121,'CFT Specific Data'!$F$24:$F$39,0),IF(COUNTIF(F122:F126,F121)=5,6,IF(COUNTIF(F123:F126,F121)=4,5,IF(COUNTIF(F124:F126,F121)=3,4,IF(COUNTIF(F125:F126,F121)=2,3,IF(F126=F121,2,1)))))))))))),1)</f>
        <v>25.2</v>
      </c>
      <c r="I121" s="210" t="s">
        <v>348</v>
      </c>
      <c r="J121">
        <v>10</v>
      </c>
      <c r="K121" s="210" t="str">
        <f>VLOOKUP(F121,'CFT Specific Data'!$F$4:$G$19,2,FALSE)</f>
        <v>Other</v>
      </c>
      <c r="L121" t="str">
        <f t="shared" si="8"/>
        <v>Fine</v>
      </c>
      <c r="M121">
        <f t="shared" si="9"/>
        <v>5.8479999999999999</v>
      </c>
      <c r="N121" t="str">
        <f t="shared" si="10"/>
        <v>5.16 &lt; SOM &lt;= 10.32</v>
      </c>
      <c r="O121" t="s">
        <v>349</v>
      </c>
      <c r="P121" t="s">
        <v>350</v>
      </c>
      <c r="Q121">
        <v>7</v>
      </c>
      <c r="R121" t="str">
        <f t="shared" si="6"/>
        <v>5.5 &lt; pH &lt;= 7.3</v>
      </c>
      <c r="S121" t="s">
        <v>351</v>
      </c>
      <c r="T121" s="210">
        <f t="array" ref="T121">_xlfn.SINGLE(INDEX('Focus Data NFertiliser Rate'!$D$4:$P$19,MATCH(F121,'Focus Data NFertiliser Rate'!$C$4:$C$19,0),_xlfn.SINGLE(_xlfn.IFS(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180</v>
      </c>
      <c r="U121" t="str">
        <f t="shared" si="11"/>
        <v>Apply in solution</v>
      </c>
      <c r="V121" s="210">
        <f t="array" ref="V121">_xlfn.SINGLE(INDEX('№ Fertiliser sprayings'!$D$4:$P$19,MATCH(F121,'№ Fertiliser sprayings'!$C$4:$C$19,0),_xlfn.SINGLE(_xlfn.IFS(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3</v>
      </c>
      <c r="W121" s="264">
        <f t="array" ref="W121">_xlfn.SINGLE(INDEX('Focus Data CFT NSpraying'!$D$4:$P$19,MATCH(F121,'Focus Data CFT NSpraying'!$C$4:$C$19,0),_xlfn.SINGLE(_xlfn.IFS(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6.94</v>
      </c>
      <c r="X121" t="s">
        <v>363</v>
      </c>
      <c r="Y121">
        <v>0</v>
      </c>
      <c r="Z121">
        <v>100</v>
      </c>
      <c r="AA121" t="s">
        <v>352</v>
      </c>
      <c r="AB121" s="226" t="str">
        <f>IF(B121=B120,_xlfn.IFS(
AND(AA121=Lists!$L$8,AA120=Lists!$L$8),Lists!$N$5,
AND(OR(AA121=Lists!$L$5,AA121=Lists!$L$7,AA121=Lists!$L$9,AA121=Lists!$L$10,AA121=Lists!$L$6),OR(AA120=Lists!$L$5,AA120=Lists!$L$7,AA120=Lists!$L$9,AA120=Lists!$L$10,AA120=Lists!$L$6)),Lists!$N$5,
AND(AA121=Lists!$L$8,OR(AA120=Lists!$L$5,AA120=Lists!$L$7,AA120=Lists!$L$9,AA120=Lists!$L$10,AA120=Lists!$L$6)),Lists!$N$6,
AND(OR(AA121=Lists!$L$5,AA121=Lists!$L$6,AA121=Lists!$L$7,AA121=Lists!$L$9,AA121=Lists!$L$10),AA120=Lists!$L$8),Lists!$N$7),
_xlfn.IFS(
AND(AA121=Lists!$L$8,AA126=Lists!$L$8),Lists!$N$5,
AND(OR(AA121=Lists!$L$5,AA121=Lists!$L$7,AA121=Lists!$L$9,AA121=Lists!$L$10,AA121=Lists!$L$6),OR(AA126=Lists!$L$5,AA126=Lists!$L$7,AA126=Lists!$L$9,AA126=Lists!$L$10,AA126=Lists!$L$6)),Lists!$N$5,
AND(AA121=Lists!$L$8,OR(AA126=Lists!$L$5,AA126=Lists!$L$7,AA126=Lists!$L$9,AA126=Lists!$L$10,AA126=Lists!$L$6)),Lists!$N$6,
AND(OR(AA121=Lists!$L$5,AA121=Lists!$L$7,AA121=Lists!$L$9,AA121=Lists!$L$10),AA126=Lists!$L$8),Lists!$N$7))</f>
        <v>no change</v>
      </c>
      <c r="AC121">
        <v>0</v>
      </c>
      <c r="AD121">
        <v>0</v>
      </c>
      <c r="AE121" s="102">
        <f t="array" ref="AE121">IF(OR(ISNUMBER(SEARCH("heavy",A121))=TRUE, ISNUMBER(SEARCH("medium",A121))=TRUE),
(LEN(_xlfn.SINGLE(
INDEX('Focus Data Tillage by farm'!$D$4:$P$9,MATCH(D121,'Focus Data Tillage by farm'!$C$4:$C$9,0),_xlfn.SINGLE(_xlfn.IFS(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-LEN(SUBSTITUTE(_xlfn.SINGLE(
INDEX('Focus Data Tillage by farm'!$D$4:$P$9,MATCH(D121,'Focus Data Tillage by farm'!$C$4:$C$9,0),_xlfn.SINGLE(_xlfn.IFS(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"disc","")))/LEN("disc"),
(LEN(_xlfn.SINGLE(
INDEX('Focus Data Tillage by farm'!$D$12:$P$17,MATCH(D121,'Focus Data Tillage by farm'!$C$12:$C$17,0),_xlfn.SINGLE(_xlfn.IFS(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-LEN(SUBSTITUTE(_xlfn.SINGLE(
INDEX('Focus Data Tillage by farm'!$D$12:$P$17,MATCH(D121,'Focus Data Tillage by farm'!$C$12:$C$17,0),_xlfn.SINGLE(_xlfn.IFS(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"disc","")))/LEN("disc"))</f>
        <v>0</v>
      </c>
      <c r="AF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"field cultivator","")))/LEN("field cultivator"),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"field cultivator","")))/LEN("field cultivator"))</f>
        <v>0</v>
      </c>
      <c r="AG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"grain drill","")))/LEN("grain drill"),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"grain drill","")))/LEN("grain drill"))</f>
        <v>0</v>
      </c>
      <c r="AH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"minimum tillage","")))/LEN("minimum tillage"),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"minimum tillage","")))/LEN("minimum tillage"))</f>
        <v>1</v>
      </c>
      <c r="AI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"row crop planter","")))/LEN("row crop planter"),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"row crop planter","")))/LEN("row crop planter"))</f>
        <v>0</v>
      </c>
      <c r="AJ121" s="102">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"plough","")))/LEN("plough"),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"plough","")))/LEN("plough"))</f>
        <v>0</v>
      </c>
      <c r="AK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harrow","")))/LEN("roller harrow"),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harrow","")))/LEN("roller harrow"))</f>
        <v>0</v>
      </c>
      <c r="AL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packer","")))/LEN("roller packer"),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"roller packer","")))/LEN("roller packer"))</f>
        <v>1</v>
      </c>
      <c r="AM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"rotary hoe","")))/LEN("rotary hoe"),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"rotary hoe","")))/LEN("rotary hoe"))</f>
        <v>0</v>
      </c>
      <c r="AN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"subsoil","")))/LEN("subsoil"),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"subsoil","")))/LEN("subsoil"))</f>
        <v>0</v>
      </c>
      <c r="AO121">
        <f>IF(OR(ISNUMBER(SEARCH("heavy",A121))=TRUE, ISNUMBER(SEARCH("medium",A121))=TRUE),
(LEN(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farm'!$D$4:$P$9,MATCH(D121,'Focus Data Tillage by farm'!$C$4:$C$9,0),_xlfn.IFS(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"tine harrow","")))/LEN("tine harrow"),
(LEN(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-LEN(SUBSTITUTE(
INDEX('Focus Data Tillage by farm'!$D$12:$P$17,MATCH(D121,'Focus Data Tillage by farm'!$C$12:$C$17,0),_xlfn.IFS(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
"tine harrow","")))/LEN("tine harrow"))</f>
        <v>0</v>
      </c>
      <c r="AP121" s="102">
        <f>INDEX('Focus Data NSpraying'!$D$4:$P$19,MATCH(F121,'Focus Data NSpraying'!$C$4:$C$19,0),_xlfn.IFS(
AND(ISNUMBER(SEARCH("H-Dsty.",A121))=TRUE,ISNUMBER(SEARCH("H-Res",A121))=TRUE,ISNUMBER(SEARCH("E.",A121))=TRUE),1,
AND(ISNUMBER(SEARCH("H-Dsty.",A121))=TRUE,ISNUMBER(SEARCH("H-Res",A121))=TRUE,OR(ISNUMBER(SEARCH("N.he",A121))=TRUE,ISNUMBER(SEARCH("N.me",A121))=TRUE,ISNUMBER(SEARCH("N.li",A121))=TRUE)),2,
AND(ISNUMBER(SEARCH("H-Dsty.",A121))=TRUE,ISNUMBER(SEARCH("H-Res",A121))=TRUE,ISNUMBER(SEARCH("C.",A121))=TRUE),3,
AND(ISNUMBER(SEARCH("L-Dsty.",A121))=TRUE,ISNUMBER(SEARCH("H-Res",A121))=TRUE,ISNUMBER(SEARCH("E.",A121))=TRUE),6,
AND(ISNUMBER(SEARCH("L-Dsty.",A121))=TRUE,ISNUMBER(SEARCH("H-Res",A121))=TRUE,OR(ISNUMBER(SEARCH("N.he",A121))=TRUE,ISNUMBER(SEARCH("N.me",A121))=TRUE,ISNUMBER(SEARCH("N.li",A121))=TRUE)),7,
AND(ISNUMBER(SEARCH("L-Dsty.",A121))=TRUE,ISNUMBER(SEARCH("H-Res",A121))=TRUE,ISNUMBER(SEARCH("C.",A121))=TRUE),8,
AND(ISNUMBER(SEARCH("L-Dsty.",A121))=TRUE,ISNUMBER(SEARCH("L-Res",A121))=TRUE,ISNUMBER(SEARCH("E.",A121))=TRUE),11,
AND(ISNUMBER(SEARCH("L-Dsty.",A121))=TRUE,ISNUMBER(SEARCH("L-Res",A121))=TRUE,OR(ISNUMBER(SEARCH("N.he",A121))=TRUE,ISNUMBER(SEARCH("N.me",A121))=TRUE,ISNUMBER(SEARCH("N.li",A121))=TRUE)),12,
AND(ISNUMBER(SEARCH("L-Dsty.",A121))=TRUE,ISNUMBER(SEARCH("L-Res",A121))=TRUE,ISNUMBER(SEARCH("C.",A121))=TRUE),13))</f>
        <v>4</v>
      </c>
    </row>
    <row r="122" spans="1:42" x14ac:dyDescent="0.2">
      <c r="A122" t="s">
        <v>495</v>
      </c>
      <c r="B122" s="210" t="str">
        <f t="array" ref="B122">INDEX(ECOMOD_input_estimate!$A$2:$A$55, MATCH(CFT_input!$A122, ECOMOD_input_estimate!$B:$B, 0))</f>
        <v>FF_15.2</v>
      </c>
      <c r="C122" s="210">
        <v>2020</v>
      </c>
      <c r="D122" s="395" t="s">
        <v>731</v>
      </c>
      <c r="E122" s="210" t="str">
        <f t="shared" si="7"/>
        <v>C.heavy.L-Dsty.L-Res</v>
      </c>
      <c r="F122" s="210" t="str">
        <f t="array" ref="F122">_xlfn.SINGLE(IF(OR(ISNUMBER(SEARCH("heavy",A122))=TRUE,ISNUMBER(SEARCH("medium",A122))=TRUE),
INDEX('Focus Data Crop Rotations'!$D$4:$P$9,MATCH(D122,'Focus Data Crop Rotations'!$C$4:$C$9,0),_xlfn.SINGLE(_xlfn.IFS(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INDEX('Focus Data Crop Rotations'!$D$12:$P$17,MATCH(D122,'Focus Data Crop Rotations'!$C$12:$C$17,0),_xlfn.SINGLE(_xlfn.IFS(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winterwheat</v>
      </c>
      <c r="G122">
        <v>7.2</v>
      </c>
      <c r="H122" s="227">
        <f>VLOOKUP(F122,'CFT Specific Data'!$F$4:$H$19,3,FALSE)*G122*
IF(B122=B121,
IF(AND(ISNUMBER(SEARCH("wheat",F122))=TRUE,ISNUMBER(SEARCH("Barley",F121))=TRUE),0.89,
IF(AND(ISNUMBER(SEARCH("wheat",F122))=TRUE,F121="setaside"),0.94,
IF(AND(ISNUMBER(SEARCH("barley",F122))=TRUE,ISNUMBER(SEARCH("wheat",F121))=TRUE),0.89,
IF(AND(F122="winterbarley",F121="setaside"),0.94,
IF(AND(F122="sugarbeet",F121="warepotatoes"),0.95,
IF(AND((OR(ISNUMBER(SEARCH("beans",F122)),ISNUMBER(SEARCH("driedpeas",F122)),ISNUMBER(SEARCH("sugarbeet",F122)))=TRUE),ISNUMBER(SEARCH("osr",F121))=TRUE),0,
IF(AND((OR((ISNUMBER(SEARCH("wheat",F122))),ISNUMBER(SEARCH("linseed",F122)),ISNUMBER(SEARCH("driedpeas",F122)),ISNUMBER(SEARCH("osr",F122)))=TRUE),F121="sugarbeet"),0,
IF(AND((OR((ISNUMBER(SEARCH("osr",F122))),ISNUMBER(SEARCH("linseed",F122)))=TRUE),ISNUMBER(SEARCH("beans",F121))=TRUE),0,
IF(AND(F122="wosr",ISNUMBER(SEARCH("linseed",F121))=TRUE),0,
IF(AND(F122="sugarbeet",F121="warepotatoes"),0,
1)))))))))),
IF(AND(ISNUMBER(SEARCH("wheat",F122))=TRUE,ISNUMBER(SEARCH("Barley",F127))=TRUE),0.89,
IF(AND(ISNUMBER(SEARCH("wheat",F122))=TRUE,F127="setaside"),0.94,
IF(AND(ISNUMBER(SEARCH("barley",F122))=TRUE,ISNUMBER(SEARCH("wheat",F127))=TRUE),0.89,
IF(AND(F122="winterbarley",F127="setaside"),0.94,
IF(AND(F122="sugarbeet",F127="warepotatoes"),0.95,
IF(AND((OR(ISNUMBER(SEARCH("beans",F122)),ISNUMBER(SEARCH("driedpeas",F122)),ISNUMBER(SEARCH("sugarbeet",F122)))=TRUE),ISNUMBER(SEARCH("osr",F127))=TRUE),0,
IF(AND((OR((ISNUMBER(SEARCH("wheat",F122))),ISNUMBER(SEARCH("linseed",F122)),ISNUMBER(SEARCH("driedpeas",F122)),ISNUMBER(SEARCH("osr",F122)))=TRUE),F127="sugarbeet"),0,
IF(AND((OR((ISNUMBER(SEARCH("osr",F122))),ISNUMBER(SEARCH("linseed",F122)))=TRUE),ISNUMBER(SEARCH("beans",F127))=TRUE),0,
IF(AND(F122="wosr",ISNUMBER(SEARCH("linseed",F127))=TRUE),0,
IF(AND(F122="sugarbeet",F127="warepotatoes"),0,
1)))))))))))
*IF(OR(ISNUMBER(SEARCH("wheat",F122)),ISNUMBER(SEARCH("barley",F122)),ISNUMBER(SEARCH("driedpeas",F122)),ISNUMBER(SEARCH("warepotatoes",F122)),ISNUMBER(SEARCH("osr",F122)),ISNUMBER(SEARCH("linseed",F122)),ISNUMBER(SEARCH("sugarbeet",F122))),
IF(COUNTIF(B117:B121,B122)=5,
INDEX('CFT Specific Data'!$G$24:$L$39,MATCH(F122,'CFT Specific Data'!$F$24:$F$39,0),IF(COUNTIF(F117:F121,F122)=5,6,IF(COUNTIF(F118:F121,F122)=4,5,IF(COUNTIF(F119:F121,F122)=3,4,IF(COUNTIF(F120:F121,F122)=2,3,IF(F121=F122,2,1)))))),
IF(COUNTIF(B117:B121,B122)=4,
INDEX('CFT Specific Data'!$G$24:$L$39,MATCH(F122,'CFT Specific Data'!$F$24:$F$39,0),IF(SUM(COUNTIF(F118:F121,F122),COUNTIF(F123,F122))=5,6,IF(COUNTIF(F118:F121,F122)=4,5,IF(COUNTIF(F119:F121,F122)=3,4,IF(COUNTIF(F120:F121,F122)=2,3,IF(F121=F122,2,1)))))),
IF(COUNTIF(B117:B121,B122)=3,
INDEX('CFT Specific Data'!$G$24:$L$39,MATCH(F122,'CFT Specific Data'!$F$24:$F$39,0),IF(SUM(COUNTIF(F119:F121,F122),COUNTIF(F123:F124,F122))=5,6,IF(SUM(COUNTIF(F119:F121,F122),COUNTIF(F124,F122))=4,5,IF(COUNTIF(F119:F121,F122)=3,4,IF(COUNTIF(F120:F121,F122)=2,3,IF(F121=F122,2,1)))))),
IF(COUNTIF(B117:B121,B122)=2,
INDEX('CFT Specific Data'!$G$24:$L$39,MATCH(F122,'CFT Specific Data'!$F$24:$F$39,0),IF(SUM(COUNTIF(F120:F121,F122),COUNTIF(F123:F125,F122))=5,6,IF(SUM(COUNTIF(F120:F121,F122),COUNTIF(F124:F125,F122))=4,5,IF(SUM(COUNTIF(F120:F121,F122),COUNTIF(F125,F122))=3,4,IF(COUNTIF(F120:F121,F122)=2,3,IF(F121=F122,2,1)))))),
IF(COUNTIF(B117:B121,B122)=1,
INDEX('CFT Specific Data'!$G$24:$L$39,MATCH(F122,'CFT Specific Data'!$F$24:$F$39,0),IF(SUM(COUNTIF(F121,F122),COUNTIF(F123:F126,F122))=5,6,IF(SUM(COUNTIF(F121,F122),COUNTIF(F124:F126,F122))=4,5,IF(SUM(COUNTIF(F121,F122),COUNTIF(F125:F126,F122))=3,4,IF(SUM(COUNTIF(F121,F122),COUNTIF(F126,F122))=2,3,IF(F121=F122,2,1)))))),
IF(COUNTIF(B117:B121,B122)=0,
INDEX('CFT Specific Data'!$G$24:$L$39,MATCH(F122,'CFT Specific Data'!$F$24:$F$39,0),IF(COUNTIF(F123:F127,F122)=5,6,IF(COUNTIF(F124:F127,F122)=4,5,IF(COUNTIF(F125:F127,F122)=3,4,IF(COUNTIF(F126:F127,F122)=2,3,IF(F127=F122,2,1)))))))))))),1)</f>
        <v>55.728000000000002</v>
      </c>
      <c r="I122" s="210" t="s">
        <v>348</v>
      </c>
      <c r="J122">
        <v>10</v>
      </c>
      <c r="K122" s="210" t="str">
        <f>VLOOKUP(F122,'CFT Specific Data'!$F$4:$G$19,2,FALSE)</f>
        <v>Winter wheat</v>
      </c>
      <c r="L122" t="str">
        <f t="shared" si="8"/>
        <v>Fine</v>
      </c>
      <c r="M122">
        <f t="shared" si="9"/>
        <v>5.8479999999999999</v>
      </c>
      <c r="N122" t="str">
        <f t="shared" si="10"/>
        <v>5.16 &lt; SOM &lt;= 10.32</v>
      </c>
      <c r="O122" t="s">
        <v>349</v>
      </c>
      <c r="P122" t="s">
        <v>350</v>
      </c>
      <c r="Q122">
        <v>7</v>
      </c>
      <c r="R122" t="str">
        <f t="shared" ref="R122:R155" si="12">IF(AND(Q122&gt;5.4,Q122&lt;=7.3),"5.5 &lt; pH &lt;= 7.3",
IF(AND(Q122&gt;7.3,Q122&lt;=8.5),"7.3 &lt; pH &lt;= 8.5"))</f>
        <v>5.5 &lt; pH &lt;= 7.3</v>
      </c>
      <c r="S122" t="s">
        <v>351</v>
      </c>
      <c r="T122" s="210">
        <f t="array" ref="T122">_xlfn.SINGLE(INDEX('Focus Data NFertiliser Rate'!$D$4:$P$19,MATCH(F122,'Focus Data NFertiliser Rate'!$C$4:$C$19,0),_xlfn.SINGLE(_xlfn.IFS(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220</v>
      </c>
      <c r="U122" t="str">
        <f t="shared" si="11"/>
        <v>Apply in solution</v>
      </c>
      <c r="V122" s="210">
        <f t="array" ref="V122">_xlfn.SINGLE(INDEX('№ Fertiliser sprayings'!$D$4:$P$19,MATCH(F122,'№ Fertiliser sprayings'!$C$4:$C$19,0),_xlfn.SINGLE(_xlfn.IFS(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3</v>
      </c>
      <c r="W122" s="264">
        <f t="array" ref="W122">_xlfn.SINGLE(INDEX('Focus Data CFT NSpraying'!$D$4:$P$19,MATCH(F122,'Focus Data CFT NSpraying'!$C$4:$C$19,0),_xlfn.SINGLE(_xlfn.IFS(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2.7888000000000002</v>
      </c>
      <c r="X122" t="s">
        <v>363</v>
      </c>
      <c r="Y122">
        <v>0</v>
      </c>
      <c r="Z122">
        <v>100</v>
      </c>
      <c r="AA122" t="s">
        <v>352</v>
      </c>
      <c r="AB122" s="226" t="str">
        <f>IF(B122=B121,_xlfn.IFS(
AND(AA122=Lists!$L$8,AA121=Lists!$L$8),Lists!$N$5,
AND(OR(AA122=Lists!$L$5,AA122=Lists!$L$7,AA122=Lists!$L$9,AA122=Lists!$L$10,AA122=Lists!$L$6),OR(AA121=Lists!$L$5,AA121=Lists!$L$7,AA121=Lists!$L$9,AA121=Lists!$L$10,AA121=Lists!$L$6)),Lists!$N$5,
AND(AA122=Lists!$L$8,OR(AA121=Lists!$L$5,AA121=Lists!$L$7,AA121=Lists!$L$9,AA121=Lists!$L$10,AA121=Lists!$L$6)),Lists!$N$6,
AND(OR(AA122=Lists!$L$5,AA122=Lists!$L$6,AA122=Lists!$L$7,AA122=Lists!$L$9,AA122=Lists!$L$10),AA121=Lists!$L$8),Lists!$N$7),
_xlfn.IFS(
AND(AA122=Lists!$L$8,AA127=Lists!$L$8),Lists!$N$5,
AND(OR(AA122=Lists!$L$5,AA122=Lists!$L$7,AA122=Lists!$L$9,AA122=Lists!$L$10,AA122=Lists!$L$6),OR(AA127=Lists!$L$5,AA127=Lists!$L$7,AA127=Lists!$L$9,AA127=Lists!$L$10,AA127=Lists!$L$6)),Lists!$N$5,
AND(AA122=Lists!$L$8,OR(AA127=Lists!$L$5,AA127=Lists!$L$7,AA127=Lists!$L$9,AA127=Lists!$L$10,AA127=Lists!$L$6)),Lists!$N$6,
AND(OR(AA122=Lists!$L$5,AA122=Lists!$L$7,AA122=Lists!$L$9,AA122=Lists!$L$10),AA127=Lists!$L$8),Lists!$N$7))</f>
        <v>no change</v>
      </c>
      <c r="AC122">
        <v>0</v>
      </c>
      <c r="AD122">
        <v>0</v>
      </c>
      <c r="AE122" s="102">
        <f t="array" ref="AE122">IF(OR(ISNUMBER(SEARCH("heavy",A122))=TRUE, ISNUMBER(SEARCH("medium",A122))=TRUE),
(LEN(_xlfn.SINGLE(
INDEX('Focus Data Tillage by farm'!$D$4:$P$9,MATCH(D122,'Focus Data Tillage by farm'!$C$4:$C$9,0),_xlfn.SINGLE(_xlfn.IFS(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-LEN(SUBSTITUTE(_xlfn.SINGLE(
INDEX('Focus Data Tillage by farm'!$D$4:$P$9,MATCH(D122,'Focus Data Tillage by farm'!$C$4:$C$9,0),_xlfn.SINGLE(_xlfn.IFS(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"disc","")))/LEN("disc"),
(LEN(_xlfn.SINGLE(
INDEX('Focus Data Tillage by farm'!$D$12:$P$17,MATCH(D122,'Focus Data Tillage by farm'!$C$12:$C$17,0),_xlfn.SINGLE(_xlfn.IFS(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-LEN(SUBSTITUTE(_xlfn.SINGLE(
INDEX('Focus Data Tillage by farm'!$D$12:$P$17,MATCH(D122,'Focus Data Tillage by farm'!$C$12:$C$17,0),_xlfn.SINGLE(_xlfn.IFS(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"disc","")))/LEN("disc"))</f>
        <v>1</v>
      </c>
      <c r="AF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"field cultivator","")))/LEN("field cultivator"),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"field cultivator","")))/LEN("field cultivator"))</f>
        <v>0</v>
      </c>
      <c r="AG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"grain drill","")))/LEN("grain drill"),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"grain drill","")))/LEN("grain drill"))</f>
        <v>1</v>
      </c>
      <c r="AH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"minimum tillage","")))/LEN("minimum tillage"),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"minimum tillage","")))/LEN("minimum tillage"))</f>
        <v>0</v>
      </c>
      <c r="AI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"row crop planter","")))/LEN("row crop planter"),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"row crop planter","")))/LEN("row crop planter"))</f>
        <v>0</v>
      </c>
      <c r="AJ122" s="10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"plough","")))/LEN("plough"),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"plough","")))/LEN("plough"))</f>
        <v>0</v>
      </c>
      <c r="AK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harrow","")))/LEN("roller harrow"),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harrow","")))/LEN("roller harrow"))</f>
        <v>0</v>
      </c>
      <c r="AL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packer","")))/LEN("roller packer"),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"roller packer","")))/LEN("roller packer"))</f>
        <v>2</v>
      </c>
      <c r="AM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"rotary hoe","")))/LEN("rotary hoe"),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"rotary hoe","")))/LEN("rotary hoe"))</f>
        <v>0</v>
      </c>
      <c r="AN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"subsoil","")))/LEN("subsoil"),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"subsoil","")))/LEN("subsoil"))</f>
        <v>0</v>
      </c>
      <c r="AO122">
        <f>IF(OR(ISNUMBER(SEARCH("heavy",A122))=TRUE, ISNUMBER(SEARCH("medium",A122))=TRUE),
(LEN(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farm'!$D$4:$P$9,MATCH(D122,'Focus Data Tillage by farm'!$C$4:$C$9,0),_xlfn.IFS(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"tine harrow","")))/LEN("tine harrow"),
(LEN(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-LEN(SUBSTITUTE(
INDEX('Focus Data Tillage by farm'!$D$12:$P$17,MATCH(D122,'Focus Data Tillage by farm'!$C$12:$C$17,0),_xlfn.IFS(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
"tine harrow","")))/LEN("tine harrow"))</f>
        <v>0</v>
      </c>
      <c r="AP122" s="102">
        <f>INDEX('Focus Data NSpraying'!$D$4:$P$19,MATCH(F122,'Focus Data NSpraying'!$C$4:$C$19,0),_xlfn.IFS(
AND(ISNUMBER(SEARCH("H-Dsty.",A122))=TRUE,ISNUMBER(SEARCH("H-Res",A122))=TRUE,ISNUMBER(SEARCH("E.",A122))=TRUE),1,
AND(ISNUMBER(SEARCH("H-Dsty.",A122))=TRUE,ISNUMBER(SEARCH("H-Res",A122))=TRUE,OR(ISNUMBER(SEARCH("N.he",A122))=TRUE,ISNUMBER(SEARCH("N.me",A122))=TRUE,ISNUMBER(SEARCH("N.li",A122))=TRUE)),2,
AND(ISNUMBER(SEARCH("H-Dsty.",A122))=TRUE,ISNUMBER(SEARCH("H-Res",A122))=TRUE,ISNUMBER(SEARCH("C.",A122))=TRUE),3,
AND(ISNUMBER(SEARCH("L-Dsty.",A122))=TRUE,ISNUMBER(SEARCH("H-Res",A122))=TRUE,ISNUMBER(SEARCH("E.",A122))=TRUE),6,
AND(ISNUMBER(SEARCH("L-Dsty.",A122))=TRUE,ISNUMBER(SEARCH("H-Res",A122))=TRUE,OR(ISNUMBER(SEARCH("N.he",A122))=TRUE,ISNUMBER(SEARCH("N.me",A122))=TRUE,ISNUMBER(SEARCH("N.li",A122))=TRUE)),7,
AND(ISNUMBER(SEARCH("L-Dsty.",A122))=TRUE,ISNUMBER(SEARCH("H-Res",A122))=TRUE,ISNUMBER(SEARCH("C.",A122))=TRUE),8,
AND(ISNUMBER(SEARCH("L-Dsty.",A122))=TRUE,ISNUMBER(SEARCH("L-Res",A122))=TRUE,ISNUMBER(SEARCH("E.",A122))=TRUE),11,
AND(ISNUMBER(SEARCH("L-Dsty.",A122))=TRUE,ISNUMBER(SEARCH("L-Res",A122))=TRUE,OR(ISNUMBER(SEARCH("N.he",A122))=TRUE,ISNUMBER(SEARCH("N.me",A122))=TRUE,ISNUMBER(SEARCH("N.li",A122))=TRUE)),12,
AND(ISNUMBER(SEARCH("L-Dsty.",A122))=TRUE,ISNUMBER(SEARCH("L-Res",A122))=TRUE,ISNUMBER(SEARCH("C.",A122))=TRUE),13))</f>
        <v>3</v>
      </c>
    </row>
    <row r="123" spans="1:42" x14ac:dyDescent="0.2">
      <c r="A123" t="s">
        <v>495</v>
      </c>
      <c r="B123" s="210" t="str">
        <f t="array" ref="B123">INDEX(ECOMOD_input_estimate!$A$2:$A$55, MATCH(CFT_input!$A123, ECOMOD_input_estimate!$B:$B, 0))</f>
        <v>FF_15.2</v>
      </c>
      <c r="C123" s="210">
        <v>2020</v>
      </c>
      <c r="D123" s="395" t="s">
        <v>730</v>
      </c>
      <c r="E123" s="210" t="str">
        <f t="shared" si="7"/>
        <v>C.heavy.L-Dsty.L-Res</v>
      </c>
      <c r="F123" s="210" t="str">
        <f t="array" ref="F123">_xlfn.SINGLE(IF(OR(ISNUMBER(SEARCH("heavy",A123))=TRUE,ISNUMBER(SEARCH("medium",A123))=TRUE),
INDEX('Focus Data Crop Rotations'!$D$4:$P$9,MATCH(D123,'Focus Data Crop Rotations'!$C$4:$C$9,0),_xlfn.SINGLE(_xlfn.IFS(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INDEX('Focus Data Crop Rotations'!$D$12:$P$17,MATCH(D123,'Focus Data Crop Rotations'!$C$12:$C$17,0),_xlfn.SINGLE(_xlfn.IFS(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winterbarley</v>
      </c>
      <c r="G123">
        <v>7.2</v>
      </c>
      <c r="H123" s="227">
        <f>VLOOKUP(F123,'CFT Specific Data'!$F$4:$H$19,3,FALSE)*G123*
IF(B123=B122,
IF(AND(ISNUMBER(SEARCH("wheat",F123))=TRUE,ISNUMBER(SEARCH("Barley",F122))=TRUE),0.89,
IF(AND(ISNUMBER(SEARCH("wheat",F123))=TRUE,F122="setaside"),0.94,
IF(AND(ISNUMBER(SEARCH("barley",F123))=TRUE,ISNUMBER(SEARCH("wheat",F122))=TRUE),0.89,
IF(AND(F123="winterbarley",F122="setaside"),0.94,
IF(AND(F123="sugarbeet",F122="warepotatoes"),0.95,
IF(AND((OR(ISNUMBER(SEARCH("beans",F123)),ISNUMBER(SEARCH("driedpeas",F123)),ISNUMBER(SEARCH("sugarbeet",F123)))=TRUE),ISNUMBER(SEARCH("osr",F122))=TRUE),0,
IF(AND((OR((ISNUMBER(SEARCH("wheat",F123))),ISNUMBER(SEARCH("linseed",F123)),ISNUMBER(SEARCH("driedpeas",F123)),ISNUMBER(SEARCH("osr",F123)))=TRUE),F122="sugarbeet"),0,
IF(AND((OR((ISNUMBER(SEARCH("osr",F123))),ISNUMBER(SEARCH("linseed",F123)))=TRUE),ISNUMBER(SEARCH("beans",F122))=TRUE),0,
IF(AND(F123="wosr",ISNUMBER(SEARCH("linseed",F122))=TRUE),0,
IF(AND(F123="sugarbeet",F122="warepotatoes"),0,
1)))))))))),
IF(AND(ISNUMBER(SEARCH("wheat",F123))=TRUE,ISNUMBER(SEARCH("Barley",F128))=TRUE),0.89,
IF(AND(ISNUMBER(SEARCH("wheat",F123))=TRUE,F128="setaside"),0.94,
IF(AND(ISNUMBER(SEARCH("barley",F123))=TRUE,ISNUMBER(SEARCH("wheat",F128))=TRUE),0.89,
IF(AND(F123="winterbarley",F128="setaside"),0.94,
IF(AND(F123="sugarbeet",F128="warepotatoes"),0.95,
IF(AND((OR(ISNUMBER(SEARCH("beans",F123)),ISNUMBER(SEARCH("driedpeas",F123)),ISNUMBER(SEARCH("sugarbeet",F123)))=TRUE),ISNUMBER(SEARCH("osr",F128))=TRUE),0,
IF(AND((OR((ISNUMBER(SEARCH("wheat",F123))),ISNUMBER(SEARCH("linseed",F123)),ISNUMBER(SEARCH("driedpeas",F123)),ISNUMBER(SEARCH("osr",F123)))=TRUE),F128="sugarbeet"),0,
IF(AND((OR((ISNUMBER(SEARCH("osr",F123))),ISNUMBER(SEARCH("linseed",F123)))=TRUE),ISNUMBER(SEARCH("beans",F128))=TRUE),0,
IF(AND(F123="wosr",ISNUMBER(SEARCH("linseed",F128))=TRUE),0,
IF(AND(F123="sugarbeet",F128="warepotatoes"),0,
1)))))))))))
*IF(OR(ISNUMBER(SEARCH("wheat",F123)),ISNUMBER(SEARCH("barley",F123)),ISNUMBER(SEARCH("driedpeas",F123)),ISNUMBER(SEARCH("warepotatoes",F123)),ISNUMBER(SEARCH("osr",F123)),ISNUMBER(SEARCH("linseed",F123)),ISNUMBER(SEARCH("sugarbeet",F123))),
IF(COUNTIF(B118:B122,B123)=5,
INDEX('CFT Specific Data'!$G$24:$L$39,MATCH(F123,'CFT Specific Data'!$F$24:$F$39,0),IF(COUNTIF(F118:F122,F123)=5,6,IF(COUNTIF(F119:F122,F123)=4,5,IF(COUNTIF(F120:F122,F123)=3,4,IF(COUNTIF(F121:F122,F123)=2,3,IF(F122=F123,2,1)))))),
IF(COUNTIF(B118:B122,B123)=4,
INDEX('CFT Specific Data'!$G$24:$L$39,MATCH(F123,'CFT Specific Data'!$F$24:$F$39,0),IF(SUM(COUNTIF(F119:F122,F123),COUNTIF(F124,F123))=5,6,IF(COUNTIF(F119:F122,F123)=4,5,IF(COUNTIF(F120:F122,F123)=3,4,IF(COUNTIF(F121:F122,F123)=2,3,IF(F122=F123,2,1)))))),
IF(COUNTIF(B118:B122,B123)=3,
INDEX('CFT Specific Data'!$G$24:$L$39,MATCH(F123,'CFT Specific Data'!$F$24:$F$39,0),IF(SUM(COUNTIF(F120:F122,F123),COUNTIF(F124:F125,F123))=5,6,IF(SUM(COUNTIF(F120:F122,F123),COUNTIF(F125,F123))=4,5,IF(COUNTIF(F120:F122,F123)=3,4,IF(COUNTIF(F121:F122,F123)=2,3,IF(F122=F123,2,1)))))),
IF(COUNTIF(B118:B122,B123)=2,
INDEX('CFT Specific Data'!$G$24:$L$39,MATCH(F123,'CFT Specific Data'!$F$24:$F$39,0),IF(SUM(COUNTIF(F121:F122,F123),COUNTIF(F124:F126,F123))=5,6,IF(SUM(COUNTIF(F121:F122,F123),COUNTIF(F125:F126,F123))=4,5,IF(SUM(COUNTIF(F121:F122,F123),COUNTIF(F126,F123))=3,4,IF(COUNTIF(F121:F122,F123)=2,3,IF(F122=F123,2,1)))))),
IF(COUNTIF(B118:B122,B123)=1,
INDEX('CFT Specific Data'!$G$24:$L$39,MATCH(F123,'CFT Specific Data'!$F$24:$F$39,0),IF(SUM(COUNTIF(F122,F123),COUNTIF(F124:F127,F123))=5,6,IF(SUM(COUNTIF(F122,F123),COUNTIF(F125:F127,F123))=4,5,IF(SUM(COUNTIF(F122,F123),COUNTIF(F126:F127,F123))=3,4,IF(SUM(COUNTIF(F122,F123),COUNTIF(F127,F123))=2,3,IF(F122=F123,2,1)))))),
IF(COUNTIF(B118:B122,B123)=0,
INDEX('CFT Specific Data'!$G$24:$L$39,MATCH(F123,'CFT Specific Data'!$F$24:$F$39,0),IF(COUNTIF(F124:F128,F123)=5,6,IF(COUNTIF(F125:F128,F123)=4,5,IF(COUNTIF(F126:F128,F123)=3,4,IF(COUNTIF(F127:F128,F123)=2,3,IF(F128=F123,2,1)))))))))))),1)</f>
        <v>47.419200000000004</v>
      </c>
      <c r="I123" s="210" t="s">
        <v>348</v>
      </c>
      <c r="J123">
        <v>10</v>
      </c>
      <c r="K123" s="210" t="str">
        <f>VLOOKUP(F123,'CFT Specific Data'!$F$4:$G$19,2,FALSE)</f>
        <v>Barley</v>
      </c>
      <c r="L123" t="str">
        <f t="shared" si="8"/>
        <v>Fine</v>
      </c>
      <c r="M123">
        <f t="shared" si="9"/>
        <v>5.8479999999999999</v>
      </c>
      <c r="N123" t="str">
        <f t="shared" si="10"/>
        <v>5.16 &lt; SOM &lt;= 10.32</v>
      </c>
      <c r="O123" t="s">
        <v>349</v>
      </c>
      <c r="P123" t="s">
        <v>350</v>
      </c>
      <c r="Q123">
        <v>7</v>
      </c>
      <c r="R123" t="str">
        <f t="shared" si="12"/>
        <v>5.5 &lt; pH &lt;= 7.3</v>
      </c>
      <c r="S123" t="s">
        <v>351</v>
      </c>
      <c r="T123" s="210">
        <f t="array" ref="T123">_xlfn.SINGLE(INDEX('Focus Data NFertiliser Rate'!$D$4:$P$19,MATCH(F123,'Focus Data NFertiliser Rate'!$C$4:$C$19,0),_xlfn.SINGLE(_xlfn.IFS(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190</v>
      </c>
      <c r="U123" t="str">
        <f t="shared" si="11"/>
        <v>Apply in solution</v>
      </c>
      <c r="V123" s="210">
        <f t="array" ref="V123">_xlfn.SINGLE(INDEX('№ Fertiliser sprayings'!$D$4:$P$19,MATCH(F123,'№ Fertiliser sprayings'!$C$4:$C$19,0),_xlfn.SINGLE(_xlfn.IFS(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3</v>
      </c>
      <c r="W123" s="264">
        <f t="array" ref="W123">_xlfn.SINGLE(INDEX('Focus Data CFT NSpraying'!$D$4:$P$19,MATCH(F123,'Focus Data CFT NSpraying'!$C$4:$C$19,0),_xlfn.SINGLE(_xlfn.IFS(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2.56</v>
      </c>
      <c r="X123" t="s">
        <v>363</v>
      </c>
      <c r="Y123">
        <v>0</v>
      </c>
      <c r="Z123">
        <v>100</v>
      </c>
      <c r="AA123" t="s">
        <v>352</v>
      </c>
      <c r="AB123" s="226" t="str">
        <f>IF(B123=B122,_xlfn.IFS(
AND(AA123=Lists!$L$8,AA122=Lists!$L$8),Lists!$N$5,
AND(OR(AA123=Lists!$L$5,AA123=Lists!$L$7,AA123=Lists!$L$9,AA123=Lists!$L$10,AA123=Lists!$L$6),OR(AA122=Lists!$L$5,AA122=Lists!$L$7,AA122=Lists!$L$9,AA122=Lists!$L$10,AA122=Lists!$L$6)),Lists!$N$5,
AND(AA123=Lists!$L$8,OR(AA122=Lists!$L$5,AA122=Lists!$L$7,AA122=Lists!$L$9,AA122=Lists!$L$10,AA122=Lists!$L$6)),Lists!$N$6,
AND(OR(AA123=Lists!$L$5,AA123=Lists!$L$6,AA123=Lists!$L$7,AA123=Lists!$L$9,AA123=Lists!$L$10),AA122=Lists!$L$8),Lists!$N$7),
_xlfn.IFS(
AND(AA123=Lists!$L$8,AA128=Lists!$L$8),Lists!$N$5,
AND(OR(AA123=Lists!$L$5,AA123=Lists!$L$7,AA123=Lists!$L$9,AA123=Lists!$L$10,AA123=Lists!$L$6),OR(AA128=Lists!$L$5,AA128=Lists!$L$7,AA128=Lists!$L$9,AA128=Lists!$L$10,AA128=Lists!$L$6)),Lists!$N$5,
AND(AA123=Lists!$L$8,OR(AA128=Lists!$L$5,AA128=Lists!$L$7,AA128=Lists!$L$9,AA128=Lists!$L$10,AA128=Lists!$L$6)),Lists!$N$6,
AND(OR(AA123=Lists!$L$5,AA123=Lists!$L$7,AA123=Lists!$L$9,AA123=Lists!$L$10),AA128=Lists!$L$8),Lists!$N$7))</f>
        <v>no change</v>
      </c>
      <c r="AC123">
        <v>0</v>
      </c>
      <c r="AD123">
        <v>0</v>
      </c>
      <c r="AE123" s="102">
        <f t="array" ref="AE123">IF(OR(ISNUMBER(SEARCH("heavy",A123))=TRUE, ISNUMBER(SEARCH("medium",A123))=TRUE),
(LEN(_xlfn.SINGLE(
INDEX('Focus Data Tillage by farm'!$D$4:$P$9,MATCH(D123,'Focus Data Tillage by farm'!$C$4:$C$9,0),_xlfn.SINGLE(_xlfn.IFS(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-LEN(SUBSTITUTE(_xlfn.SINGLE(
INDEX('Focus Data Tillage by farm'!$D$4:$P$9,MATCH(D123,'Focus Data Tillage by farm'!$C$4:$C$9,0),_xlfn.SINGLE(_xlfn.IFS(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"disc","")))/LEN("disc"),
(LEN(_xlfn.SINGLE(
INDEX('Focus Data Tillage by farm'!$D$12:$P$17,MATCH(D123,'Focus Data Tillage by farm'!$C$12:$C$17,0),_xlfn.SINGLE(_xlfn.IFS(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-LEN(SUBSTITUTE(_xlfn.SINGLE(
INDEX('Focus Data Tillage by farm'!$D$12:$P$17,MATCH(D123,'Focus Data Tillage by farm'!$C$12:$C$17,0),_xlfn.SINGLE(_xlfn.IFS(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"disc","")))/LEN("disc"))</f>
        <v>1</v>
      </c>
      <c r="AF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"field cultivator","")))/LEN("field cultivator"),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"field cultivator","")))/LEN("field cultivator"))</f>
        <v>0</v>
      </c>
      <c r="AG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"grain drill","")))/LEN("grain drill"),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"grain drill","")))/LEN("grain drill"))</f>
        <v>1</v>
      </c>
      <c r="AH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"minimum tillage","")))/LEN("minimum tillage"),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"minimum tillage","")))/LEN("minimum tillage"))</f>
        <v>0</v>
      </c>
      <c r="AI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"row crop planter","")))/LEN("row crop planter"),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"row crop planter","")))/LEN("row crop planter"))</f>
        <v>0</v>
      </c>
      <c r="AJ123" s="102">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"plough","")))/LEN("plough"),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"plough","")))/LEN("plough"))</f>
        <v>0</v>
      </c>
      <c r="AK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harrow","")))/LEN("roller harrow"),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harrow","")))/LEN("roller harrow"))</f>
        <v>0</v>
      </c>
      <c r="AL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packer","")))/LEN("roller packer"),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"roller packer","")))/LEN("roller packer"))</f>
        <v>2</v>
      </c>
      <c r="AM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"rotary hoe","")))/LEN("rotary hoe"),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"rotary hoe","")))/LEN("rotary hoe"))</f>
        <v>0</v>
      </c>
      <c r="AN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"subsoil","")))/LEN("subsoil"),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"subsoil","")))/LEN("subsoil"))</f>
        <v>0</v>
      </c>
      <c r="AO123">
        <f>IF(OR(ISNUMBER(SEARCH("heavy",A123))=TRUE, ISNUMBER(SEARCH("medium",A123))=TRUE),
(LEN(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farm'!$D$4:$P$9,MATCH(D123,'Focus Data Tillage by farm'!$C$4:$C$9,0),_xlfn.IFS(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"tine harrow","")))/LEN("tine harrow"),
(LEN(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-LEN(SUBSTITUTE(
INDEX('Focus Data Tillage by farm'!$D$12:$P$17,MATCH(D123,'Focus Data Tillage by farm'!$C$12:$C$17,0),_xlfn.IFS(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
"tine harrow","")))/LEN("tine harrow"))</f>
        <v>0</v>
      </c>
      <c r="AP123" s="102">
        <f>INDEX('Focus Data NSpraying'!$D$4:$P$19,MATCH(F123,'Focus Data NSpraying'!$C$4:$C$19,0),_xlfn.IFS(
AND(ISNUMBER(SEARCH("H-Dsty.",A123))=TRUE,ISNUMBER(SEARCH("H-Res",A123))=TRUE,ISNUMBER(SEARCH("E.",A123))=TRUE),1,
AND(ISNUMBER(SEARCH("H-Dsty.",A123))=TRUE,ISNUMBER(SEARCH("H-Res",A123))=TRUE,OR(ISNUMBER(SEARCH("N.he",A123))=TRUE,ISNUMBER(SEARCH("N.me",A123))=TRUE,ISNUMBER(SEARCH("N.li",A123))=TRUE)),2,
AND(ISNUMBER(SEARCH("H-Dsty.",A123))=TRUE,ISNUMBER(SEARCH("H-Res",A123))=TRUE,ISNUMBER(SEARCH("C.",A123))=TRUE),3,
AND(ISNUMBER(SEARCH("L-Dsty.",A123))=TRUE,ISNUMBER(SEARCH("H-Res",A123))=TRUE,ISNUMBER(SEARCH("E.",A123))=TRUE),6,
AND(ISNUMBER(SEARCH("L-Dsty.",A123))=TRUE,ISNUMBER(SEARCH("H-Res",A123))=TRUE,OR(ISNUMBER(SEARCH("N.he",A123))=TRUE,ISNUMBER(SEARCH("N.me",A123))=TRUE,ISNUMBER(SEARCH("N.li",A123))=TRUE)),7,
AND(ISNUMBER(SEARCH("L-Dsty.",A123))=TRUE,ISNUMBER(SEARCH("H-Res",A123))=TRUE,ISNUMBER(SEARCH("C.",A123))=TRUE),8,
AND(ISNUMBER(SEARCH("L-Dsty.",A123))=TRUE,ISNUMBER(SEARCH("L-Res",A123))=TRUE,ISNUMBER(SEARCH("E.",A123))=TRUE),11,
AND(ISNUMBER(SEARCH("L-Dsty.",A123))=TRUE,ISNUMBER(SEARCH("L-Res",A123))=TRUE,OR(ISNUMBER(SEARCH("N.he",A123))=TRUE,ISNUMBER(SEARCH("N.me",A123))=TRUE,ISNUMBER(SEARCH("N.li",A123))=TRUE)),12,
AND(ISNUMBER(SEARCH("L-Dsty.",A123))=TRUE,ISNUMBER(SEARCH("L-Res",A123))=TRUE,ISNUMBER(SEARCH("C.",A123))=TRUE),13))</f>
        <v>2</v>
      </c>
    </row>
    <row r="124" spans="1:42" x14ac:dyDescent="0.2">
      <c r="A124" t="s">
        <v>495</v>
      </c>
      <c r="B124" s="210" t="str">
        <f t="array" ref="B124">INDEX(ECOMOD_input_estimate!$A$2:$A$55, MATCH(CFT_input!$A124, ECOMOD_input_estimate!$B:$B, 0))</f>
        <v>FF_15.2</v>
      </c>
      <c r="C124" s="210">
        <v>2020</v>
      </c>
      <c r="D124" s="395" t="s">
        <v>1694</v>
      </c>
      <c r="E124" s="210" t="str">
        <f t="shared" si="7"/>
        <v>C.heavy.L-Dsty.L-Res</v>
      </c>
      <c r="F124" s="210" t="str">
        <f t="array" ref="F124">_xlfn.SINGLE(IF(OR(ISNUMBER(SEARCH("heavy",A124))=TRUE,ISNUMBER(SEARCH("medium",A124))=TRUE),
INDEX('Focus Data Crop Rotations'!$D$4:$P$9,MATCH(D124,'Focus Data Crop Rotations'!$C$4:$C$9,0),_xlfn.SINGLE(_xlfn.IFS(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INDEX('Focus Data Crop Rotations'!$D$12:$P$17,MATCH(D124,'Focus Data Crop Rotations'!$C$12:$C$17,0),_xlfn.SINGLE(_xlfn.IFS(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wosr</v>
      </c>
      <c r="G124">
        <v>7.2</v>
      </c>
      <c r="H124" s="227">
        <f>VLOOKUP(F124,'CFT Specific Data'!$F$4:$H$19,3,FALSE)*G124*
IF(B124=B123,
IF(AND(ISNUMBER(SEARCH("wheat",F124))=TRUE,ISNUMBER(SEARCH("Barley",F123))=TRUE),0.89,
IF(AND(ISNUMBER(SEARCH("wheat",F124))=TRUE,F123="setaside"),0.94,
IF(AND(ISNUMBER(SEARCH("barley",F124))=TRUE,ISNUMBER(SEARCH("wheat",F123))=TRUE),0.89,
IF(AND(F124="winterbarley",F123="setaside"),0.94,
IF(AND(F124="sugarbeet",F123="warepotatoes"),0.95,
IF(AND((OR(ISNUMBER(SEARCH("beans",F124)),ISNUMBER(SEARCH("driedpeas",F124)),ISNUMBER(SEARCH("sugarbeet",F124)))=TRUE),ISNUMBER(SEARCH("osr",F123))=TRUE),0,
IF(AND((OR((ISNUMBER(SEARCH("wheat",F124))),ISNUMBER(SEARCH("linseed",F124)),ISNUMBER(SEARCH("driedpeas",F124)),ISNUMBER(SEARCH("osr",F124)))=TRUE),F123="sugarbeet"),0,
IF(AND((OR((ISNUMBER(SEARCH("osr",F124))),ISNUMBER(SEARCH("linseed",F124)))=TRUE),ISNUMBER(SEARCH("beans",F123))=TRUE),0,
IF(AND(F124="wosr",ISNUMBER(SEARCH("linseed",F123))=TRUE),0,
IF(AND(F124="sugarbeet",F123="warepotatoes"),0,
1)))))))))),
IF(AND(ISNUMBER(SEARCH("wheat",F124))=TRUE,ISNUMBER(SEARCH("Barley",F129))=TRUE),0.89,
IF(AND(ISNUMBER(SEARCH("wheat",F124))=TRUE,F129="setaside"),0.94,
IF(AND(ISNUMBER(SEARCH("barley",F124))=TRUE,ISNUMBER(SEARCH("wheat",F129))=TRUE),0.89,
IF(AND(F124="winterbarley",F129="setaside"),0.94,
IF(AND(F124="sugarbeet",F129="warepotatoes"),0.95,
IF(AND((OR(ISNUMBER(SEARCH("beans",F124)),ISNUMBER(SEARCH("driedpeas",F124)),ISNUMBER(SEARCH("sugarbeet",F124)))=TRUE),ISNUMBER(SEARCH("osr",F129))=TRUE),0,
IF(AND((OR((ISNUMBER(SEARCH("wheat",F124))),ISNUMBER(SEARCH("linseed",F124)),ISNUMBER(SEARCH("driedpeas",F124)),ISNUMBER(SEARCH("osr",F124)))=TRUE),F129="sugarbeet"),0,
IF(AND((OR((ISNUMBER(SEARCH("osr",F124))),ISNUMBER(SEARCH("linseed",F124)))=TRUE),ISNUMBER(SEARCH("beans",F129))=TRUE),0,
IF(AND(F124="wosr",ISNUMBER(SEARCH("linseed",F129))=TRUE),0,
IF(AND(F124="sugarbeet",F129="warepotatoes"),0,
1)))))))))))
*IF(OR(ISNUMBER(SEARCH("wheat",F124)),ISNUMBER(SEARCH("barley",F124)),ISNUMBER(SEARCH("driedpeas",F124)),ISNUMBER(SEARCH("warepotatoes",F124)),ISNUMBER(SEARCH("osr",F124)),ISNUMBER(SEARCH("linseed",F124)),ISNUMBER(SEARCH("sugarbeet",F124))),
IF(COUNTIF(B119:B123,B124)=5,
INDEX('CFT Specific Data'!$G$24:$L$39,MATCH(F124,'CFT Specific Data'!$F$24:$F$39,0),IF(COUNTIF(F119:F123,F124)=5,6,IF(COUNTIF(F120:F123,F124)=4,5,IF(COUNTIF(F121:F123,F124)=3,4,IF(COUNTIF(F122:F123,F124)=2,3,IF(F123=F124,2,1)))))),
IF(COUNTIF(B119:B123,B124)=4,
INDEX('CFT Specific Data'!$G$24:$L$39,MATCH(F124,'CFT Specific Data'!$F$24:$F$39,0),IF(SUM(COUNTIF(F120:F123,F124),COUNTIF(F125,F124))=5,6,IF(COUNTIF(F120:F123,F124)=4,5,IF(COUNTIF(F121:F123,F124)=3,4,IF(COUNTIF(F122:F123,F124)=2,3,IF(F123=F124,2,1)))))),
IF(COUNTIF(B119:B123,B124)=3,
INDEX('CFT Specific Data'!$G$24:$L$39,MATCH(F124,'CFT Specific Data'!$F$24:$F$39,0),IF(SUM(COUNTIF(F121:F123,F124),COUNTIF(F125:F126,F124))=5,6,IF(SUM(COUNTIF(F121:F123,F124),COUNTIF(F126,F124))=4,5,IF(COUNTIF(F121:F123,F124)=3,4,IF(COUNTIF(F122:F123,F124)=2,3,IF(F123=F124,2,1)))))),
IF(COUNTIF(B119:B123,B124)=2,
INDEX('CFT Specific Data'!$G$24:$L$39,MATCH(F124,'CFT Specific Data'!$F$24:$F$39,0),IF(SUM(COUNTIF(F122:F123,F124),COUNTIF(F125:F127,F124))=5,6,IF(SUM(COUNTIF(F122:F123,F124),COUNTIF(F126:F127,F124))=4,5,IF(SUM(COUNTIF(F122:F123,F124),COUNTIF(F127,F124))=3,4,IF(COUNTIF(F122:F123,F124)=2,3,IF(F123=F124,2,1)))))),
IF(COUNTIF(B119:B123,B124)=1,
INDEX('CFT Specific Data'!$G$24:$L$39,MATCH(F124,'CFT Specific Data'!$F$24:$F$39,0),IF(SUM(COUNTIF(F123,F124),COUNTIF(F125:F128,F124))=5,6,IF(SUM(COUNTIF(F123,F124),COUNTIF(F126:F128,F124))=4,5,IF(SUM(COUNTIF(F123,F124),COUNTIF(F127:F128,F124))=3,4,IF(SUM(COUNTIF(F123,F124),COUNTIF(F128,F124))=2,3,IF(F123=F124,2,1)))))),
IF(COUNTIF(B119:B123,B124)=0,
INDEX('CFT Specific Data'!$G$24:$L$39,MATCH(F124,'CFT Specific Data'!$F$24:$F$39,0),IF(COUNTIF(F125:F129,F124)=5,6,IF(COUNTIF(F126:F129,F124)=4,5,IF(COUNTIF(F127:F129,F124)=3,4,IF(COUNTIF(F128:F129,F124)=2,3,IF(F129=F124,2,1)))))))))))),1)</f>
        <v>25.2</v>
      </c>
      <c r="I124" s="210" t="s">
        <v>348</v>
      </c>
      <c r="J124">
        <v>10</v>
      </c>
      <c r="K124" s="210" t="str">
        <f>VLOOKUP(F124,'CFT Specific Data'!$F$4:$G$19,2,FALSE)</f>
        <v>Other</v>
      </c>
      <c r="L124" t="str">
        <f t="shared" si="8"/>
        <v>Fine</v>
      </c>
      <c r="M124">
        <f t="shared" si="9"/>
        <v>5.8479999999999999</v>
      </c>
      <c r="N124" t="str">
        <f t="shared" si="10"/>
        <v>5.16 &lt; SOM &lt;= 10.32</v>
      </c>
      <c r="O124" t="s">
        <v>349</v>
      </c>
      <c r="P124" t="s">
        <v>350</v>
      </c>
      <c r="Q124">
        <v>7</v>
      </c>
      <c r="R124" t="str">
        <f t="shared" si="12"/>
        <v>5.5 &lt; pH &lt;= 7.3</v>
      </c>
      <c r="S124" t="s">
        <v>351</v>
      </c>
      <c r="T124" s="210">
        <f t="array" ref="T124">_xlfn.SINGLE(INDEX('Focus Data NFertiliser Rate'!$D$4:$P$19,MATCH(F124,'Focus Data NFertiliser Rate'!$C$4:$C$19,0),_xlfn.SINGLE(_xlfn.IFS(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180</v>
      </c>
      <c r="U124" t="str">
        <f t="shared" si="11"/>
        <v>Apply in solution</v>
      </c>
      <c r="V124" s="210">
        <f t="array" ref="V124">_xlfn.SINGLE(INDEX('№ Fertiliser sprayings'!$D$4:$P$19,MATCH(F124,'№ Fertiliser sprayings'!$C$4:$C$19,0),_xlfn.SINGLE(_xlfn.IFS(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3</v>
      </c>
      <c r="W124" s="264">
        <f t="array" ref="W124">_xlfn.SINGLE(INDEX('Focus Data CFT NSpraying'!$D$4:$P$19,MATCH(F124,'Focus Data CFT NSpraying'!$C$4:$C$19,0),_xlfn.SINGLE(_xlfn.IFS(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1.4</v>
      </c>
      <c r="X124" t="s">
        <v>363</v>
      </c>
      <c r="Y124">
        <v>0</v>
      </c>
      <c r="Z124">
        <v>100</v>
      </c>
      <c r="AA124" t="s">
        <v>352</v>
      </c>
      <c r="AB124" s="226" t="str">
        <f>IF(B124=B123,_xlfn.IFS(
AND(AA124=Lists!$L$8,AA123=Lists!$L$8),Lists!$N$5,
AND(OR(AA124=Lists!$L$5,AA124=Lists!$L$7,AA124=Lists!$L$9,AA124=Lists!$L$10,AA124=Lists!$L$6),OR(AA123=Lists!$L$5,AA123=Lists!$L$7,AA123=Lists!$L$9,AA123=Lists!$L$10,AA123=Lists!$L$6)),Lists!$N$5,
AND(AA124=Lists!$L$8,OR(AA123=Lists!$L$5,AA123=Lists!$L$7,AA123=Lists!$L$9,AA123=Lists!$L$10,AA123=Lists!$L$6)),Lists!$N$6,
AND(OR(AA124=Lists!$L$5,AA124=Lists!$L$6,AA124=Lists!$L$7,AA124=Lists!$L$9,AA124=Lists!$L$10),AA123=Lists!$L$8),Lists!$N$7),
_xlfn.IFS(
AND(AA124=Lists!$L$8,AA129=Lists!$L$8),Lists!$N$5,
AND(OR(AA124=Lists!$L$5,AA124=Lists!$L$7,AA124=Lists!$L$9,AA124=Lists!$L$10,AA124=Lists!$L$6),OR(AA129=Lists!$L$5,AA129=Lists!$L$7,AA129=Lists!$L$9,AA129=Lists!$L$10,AA129=Lists!$L$6)),Lists!$N$5,
AND(AA124=Lists!$L$8,OR(AA129=Lists!$L$5,AA129=Lists!$L$7,AA129=Lists!$L$9,AA129=Lists!$L$10,AA129=Lists!$L$6)),Lists!$N$6,
AND(OR(AA124=Lists!$L$5,AA124=Lists!$L$7,AA124=Lists!$L$9,AA124=Lists!$L$10),AA129=Lists!$L$8),Lists!$N$7))</f>
        <v>no change</v>
      </c>
      <c r="AC124">
        <v>0</v>
      </c>
      <c r="AD124">
        <v>0</v>
      </c>
      <c r="AE124" s="102">
        <f t="array" ref="AE124">IF(OR(ISNUMBER(SEARCH("heavy",A124))=TRUE, ISNUMBER(SEARCH("medium",A124))=TRUE),
(LEN(_xlfn.SINGLE(
INDEX('Focus Data Tillage by farm'!$D$4:$P$9,MATCH(D124,'Focus Data Tillage by farm'!$C$4:$C$9,0),_xlfn.SINGLE(_xlfn.IFS(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-LEN(SUBSTITUTE(_xlfn.SINGLE(
INDEX('Focus Data Tillage by farm'!$D$4:$P$9,MATCH(D124,'Focus Data Tillage by farm'!$C$4:$C$9,0),_xlfn.SINGLE(_xlfn.IFS(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"disc","")))/LEN("disc"),
(LEN(_xlfn.SINGLE(
INDEX('Focus Data Tillage by farm'!$D$12:$P$17,MATCH(D124,'Focus Data Tillage by farm'!$C$12:$C$17,0),_xlfn.SINGLE(_xlfn.IFS(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-LEN(SUBSTITUTE(_xlfn.SINGLE(
INDEX('Focus Data Tillage by farm'!$D$12:$P$17,MATCH(D124,'Focus Data Tillage by farm'!$C$12:$C$17,0),_xlfn.SINGLE(_xlfn.IFS(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"disc","")))/LEN("disc"))</f>
        <v>0</v>
      </c>
      <c r="AF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"field cultivator","")))/LEN("field cultivator"),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"field cultivator","")))/LEN("field cultivator"))</f>
        <v>0</v>
      </c>
      <c r="AG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"grain drill","")))/LEN("grain drill"),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"grain drill","")))/LEN("grain drill"))</f>
        <v>0</v>
      </c>
      <c r="AH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"minimum tillage","")))/LEN("minimum tillage"),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"minimum tillage","")))/LEN("minimum tillage"))</f>
        <v>0</v>
      </c>
      <c r="AI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"row crop planter","")))/LEN("row crop planter"),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"row crop planter","")))/LEN("row crop planter"))</f>
        <v>0</v>
      </c>
      <c r="AJ124" s="102">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"plough","")))/LEN("plough"),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"plough","")))/LEN("plough"))</f>
        <v>0</v>
      </c>
      <c r="AK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harrow","")))/LEN("roller harrow"),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harrow","")))/LEN("roller harrow"))</f>
        <v>0</v>
      </c>
      <c r="AL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packer","")))/LEN("roller packer"),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"roller packer","")))/LEN("roller packer"))</f>
        <v>1</v>
      </c>
      <c r="AM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"rotary hoe","")))/LEN("rotary hoe"),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"rotary hoe","")))/LEN("rotary hoe"))</f>
        <v>0</v>
      </c>
      <c r="AN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"subsoil","")))/LEN("subsoil"),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"subsoil","")))/LEN("subsoil"))</f>
        <v>1</v>
      </c>
      <c r="AO124">
        <f>IF(OR(ISNUMBER(SEARCH("heavy",A124))=TRUE, ISNUMBER(SEARCH("medium",A124))=TRUE),
(LEN(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farm'!$D$4:$P$9,MATCH(D124,'Focus Data Tillage by farm'!$C$4:$C$9,0),_xlfn.IFS(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"tine harrow","")))/LEN("tine harrow"),
(LEN(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-LEN(SUBSTITUTE(
INDEX('Focus Data Tillage by farm'!$D$12:$P$17,MATCH(D124,'Focus Data Tillage by farm'!$C$12:$C$17,0),_xlfn.IFS(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
"tine harrow","")))/LEN("tine harrow"))</f>
        <v>0</v>
      </c>
      <c r="AP124" s="102">
        <f>INDEX('Focus Data NSpraying'!$D$4:$P$19,MATCH(F124,'Focus Data NSpraying'!$C$4:$C$19,0),_xlfn.IFS(
AND(ISNUMBER(SEARCH("H-Dsty.",A124))=TRUE,ISNUMBER(SEARCH("H-Res",A124))=TRUE,ISNUMBER(SEARCH("E.",A124))=TRUE),1,
AND(ISNUMBER(SEARCH("H-Dsty.",A124))=TRUE,ISNUMBER(SEARCH("H-Res",A124))=TRUE,OR(ISNUMBER(SEARCH("N.he",A124))=TRUE,ISNUMBER(SEARCH("N.me",A124))=TRUE,ISNUMBER(SEARCH("N.li",A124))=TRUE)),2,
AND(ISNUMBER(SEARCH("H-Dsty.",A124))=TRUE,ISNUMBER(SEARCH("H-Res",A124))=TRUE,ISNUMBER(SEARCH("C.",A124))=TRUE),3,
AND(ISNUMBER(SEARCH("L-Dsty.",A124))=TRUE,ISNUMBER(SEARCH("H-Res",A124))=TRUE,ISNUMBER(SEARCH("E.",A124))=TRUE),6,
AND(ISNUMBER(SEARCH("L-Dsty.",A124))=TRUE,ISNUMBER(SEARCH("H-Res",A124))=TRUE,OR(ISNUMBER(SEARCH("N.he",A124))=TRUE,ISNUMBER(SEARCH("N.me",A124))=TRUE,ISNUMBER(SEARCH("N.li",A124))=TRUE)),7,
AND(ISNUMBER(SEARCH("L-Dsty.",A124))=TRUE,ISNUMBER(SEARCH("H-Res",A124))=TRUE,ISNUMBER(SEARCH("C.",A124))=TRUE),8,
AND(ISNUMBER(SEARCH("L-Dsty.",A124))=TRUE,ISNUMBER(SEARCH("L-Res",A124))=TRUE,ISNUMBER(SEARCH("E.",A124))=TRUE),11,
AND(ISNUMBER(SEARCH("L-Dsty.",A124))=TRUE,ISNUMBER(SEARCH("L-Res",A124))=TRUE,OR(ISNUMBER(SEARCH("N.he",A124))=TRUE,ISNUMBER(SEARCH("N.me",A124))=TRUE,ISNUMBER(SEARCH("N.li",A124))=TRUE)),12,
AND(ISNUMBER(SEARCH("L-Dsty.",A124))=TRUE,ISNUMBER(SEARCH("L-Res",A124))=TRUE,ISNUMBER(SEARCH("C.",A124))=TRUE),13))</f>
        <v>2</v>
      </c>
    </row>
    <row r="125" spans="1:42" x14ac:dyDescent="0.2">
      <c r="A125" t="s">
        <v>495</v>
      </c>
      <c r="B125" s="210" t="str">
        <f t="array" ref="B125">INDEX(ECOMOD_input_estimate!$A$2:$A$55, MATCH(CFT_input!$A125, ECOMOD_input_estimate!$B:$B, 0))</f>
        <v>FF_15.2</v>
      </c>
      <c r="C125" s="210">
        <v>2020</v>
      </c>
      <c r="D125" s="395" t="s">
        <v>1695</v>
      </c>
      <c r="E125" s="210" t="str">
        <f t="shared" si="7"/>
        <v>C.heavy.L-Dsty.L-Res</v>
      </c>
      <c r="F125" s="210" t="str">
        <f t="array" ref="F125">_xlfn.SINGLE(IF(OR(ISNUMBER(SEARCH("heavy",A125))=TRUE,ISNUMBER(SEARCH("medium",A125))=TRUE),
INDEX('Focus Data Crop Rotations'!$D$4:$P$9,MATCH(D125,'Focus Data Crop Rotations'!$C$4:$C$9,0),_xlfn.SINGLE(_xlfn.IFS(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INDEX('Focus Data Crop Rotations'!$D$12:$P$17,MATCH(D125,'Focus Data Crop Rotations'!$C$12:$C$17,0),_xlfn.SINGLE(_xlfn.IFS(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winterwheat</v>
      </c>
      <c r="G125">
        <v>7.2</v>
      </c>
      <c r="H125" s="227">
        <f>VLOOKUP(F125,'CFT Specific Data'!$F$4:$H$19,3,FALSE)*G125*
IF(B125=B124,
IF(AND(ISNUMBER(SEARCH("wheat",F125))=TRUE,ISNUMBER(SEARCH("Barley",F124))=TRUE),0.89,
IF(AND(ISNUMBER(SEARCH("wheat",F125))=TRUE,F124="setaside"),0.94,
IF(AND(ISNUMBER(SEARCH("barley",F125))=TRUE,ISNUMBER(SEARCH("wheat",F124))=TRUE),0.89,
IF(AND(F125="winterbarley",F124="setaside"),0.94,
IF(AND(F125="sugarbeet",F124="warepotatoes"),0.95,
IF(AND((OR(ISNUMBER(SEARCH("beans",F125)),ISNUMBER(SEARCH("driedpeas",F125)),ISNUMBER(SEARCH("sugarbeet",F125)))=TRUE),ISNUMBER(SEARCH("osr",F124))=TRUE),0,
IF(AND((OR((ISNUMBER(SEARCH("wheat",F125))),ISNUMBER(SEARCH("linseed",F125)),ISNUMBER(SEARCH("driedpeas",F125)),ISNUMBER(SEARCH("osr",F125)))=TRUE),F124="sugarbeet"),0,
IF(AND((OR((ISNUMBER(SEARCH("osr",F125))),ISNUMBER(SEARCH("linseed",F125)))=TRUE),ISNUMBER(SEARCH("beans",F124))=TRUE),0,
IF(AND(F125="wosr",ISNUMBER(SEARCH("linseed",F124))=TRUE),0,
IF(AND(F125="sugarbeet",F124="warepotatoes"),0,
1)))))))))),
IF(AND(ISNUMBER(SEARCH("wheat",F125))=TRUE,ISNUMBER(SEARCH("Barley",F130))=TRUE),0.89,
IF(AND(ISNUMBER(SEARCH("wheat",F125))=TRUE,F130="setaside"),0.94,
IF(AND(ISNUMBER(SEARCH("barley",F125))=TRUE,ISNUMBER(SEARCH("wheat",F130))=TRUE),0.89,
IF(AND(F125="winterbarley",F130="setaside"),0.94,
IF(AND(F125="sugarbeet",F130="warepotatoes"),0.95,
IF(AND((OR(ISNUMBER(SEARCH("beans",F125)),ISNUMBER(SEARCH("driedpeas",F125)),ISNUMBER(SEARCH("sugarbeet",F125)))=TRUE),ISNUMBER(SEARCH("osr",F130))=TRUE),0,
IF(AND((OR((ISNUMBER(SEARCH("wheat",F125))),ISNUMBER(SEARCH("linseed",F125)),ISNUMBER(SEARCH("driedpeas",F125)),ISNUMBER(SEARCH("osr",F125)))=TRUE),F130="sugarbeet"),0,
IF(AND((OR((ISNUMBER(SEARCH("osr",F125))),ISNUMBER(SEARCH("linseed",F125)))=TRUE),ISNUMBER(SEARCH("beans",F130))=TRUE),0,
IF(AND(F125="wosr",ISNUMBER(SEARCH("linseed",F130))=TRUE),0,
IF(AND(F125="sugarbeet",F130="warepotatoes"),0,
1)))))))))))
*IF(OR(ISNUMBER(SEARCH("wheat",F125)),ISNUMBER(SEARCH("barley",F125)),ISNUMBER(SEARCH("driedpeas",F125)),ISNUMBER(SEARCH("warepotatoes",F125)),ISNUMBER(SEARCH("osr",F125)),ISNUMBER(SEARCH("linseed",F125)),ISNUMBER(SEARCH("sugarbeet",F125))),
IF(COUNTIF(B120:B124,B125)=5,
INDEX('CFT Specific Data'!$G$24:$L$39,MATCH(F125,'CFT Specific Data'!$F$24:$F$39,0),IF(COUNTIF(F120:F124,F125)=5,6,IF(COUNTIF(F121:F124,F125)=4,5,IF(COUNTIF(F122:F124,F125)=3,4,IF(COUNTIF(F123:F124,F125)=2,3,IF(F124=F125,2,1)))))),
IF(COUNTIF(B120:B124,B125)=4,
INDEX('CFT Specific Data'!$G$24:$L$39,MATCH(F125,'CFT Specific Data'!$F$24:$F$39,0),IF(SUM(COUNTIF(F121:F124,F125),COUNTIF(F126,F125))=5,6,IF(COUNTIF(F121:F124,F125)=4,5,IF(COUNTIF(F122:F124,F125)=3,4,IF(COUNTIF(F123:F124,F125)=2,3,IF(F124=F125,2,1)))))),
IF(COUNTIF(B120:B124,B125)=3,
INDEX('CFT Specific Data'!$G$24:$L$39,MATCH(F125,'CFT Specific Data'!$F$24:$F$39,0),IF(SUM(COUNTIF(F122:F124,F125),COUNTIF(F126:F127,F125))=5,6,IF(SUM(COUNTIF(F122:F124,F125),COUNTIF(F127,F125))=4,5,IF(COUNTIF(F122:F124,F125)=3,4,IF(COUNTIF(F123:F124,F125)=2,3,IF(F124=F125,2,1)))))),
IF(COUNTIF(B120:B124,B125)=2,
INDEX('CFT Specific Data'!$G$24:$L$39,MATCH(F125,'CFT Specific Data'!$F$24:$F$39,0),IF(SUM(COUNTIF(F123:F124,F125),COUNTIF(F126:F128,F125))=5,6,IF(SUM(COUNTIF(F123:F124,F125),COUNTIF(F127:F128,F125))=4,5,IF(SUM(COUNTIF(F123:F124,F125),COUNTIF(F128,F125))=3,4,IF(COUNTIF(F123:F124,F125)=2,3,IF(F124=F125,2,1)))))),
IF(COUNTIF(B120:B124,B125)=1,
INDEX('CFT Specific Data'!$G$24:$L$39,MATCH(F125,'CFT Specific Data'!$F$24:$F$39,0),IF(SUM(COUNTIF(F124,F125),COUNTIF(F126:F129,F125))=5,6,IF(SUM(COUNTIF(F124,F125),COUNTIF(F127:F129,F125))=4,5,IF(SUM(COUNTIF(F124,F125),COUNTIF(F128:F129,F125))=3,4,IF(SUM(COUNTIF(F124,F125),COUNTIF(F129,F125))=2,3,IF(F124=F125,2,1)))))),
IF(COUNTIF(B120:B124,B125)=0,
INDEX('CFT Specific Data'!$G$24:$L$39,MATCH(F125,'CFT Specific Data'!$F$24:$F$39,0),IF(COUNTIF(F126:F130,F125)=5,6,IF(COUNTIF(F127:F130,F125)=4,5,IF(COUNTIF(F128:F130,F125)=3,4,IF(COUNTIF(F129:F130,F125)=2,3,IF(F130=F125,2,1)))))))))))),1)</f>
        <v>61.92</v>
      </c>
      <c r="I125" s="210" t="s">
        <v>348</v>
      </c>
      <c r="J125">
        <v>10</v>
      </c>
      <c r="K125" s="210" t="str">
        <f>VLOOKUP(F125,'CFT Specific Data'!$F$4:$G$19,2,FALSE)</f>
        <v>Winter wheat</v>
      </c>
      <c r="L125" t="str">
        <f t="shared" si="8"/>
        <v>Fine</v>
      </c>
      <c r="M125">
        <f t="shared" si="9"/>
        <v>5.8479999999999999</v>
      </c>
      <c r="N125" t="str">
        <f t="shared" si="10"/>
        <v>5.16 &lt; SOM &lt;= 10.32</v>
      </c>
      <c r="O125" t="s">
        <v>349</v>
      </c>
      <c r="P125" t="s">
        <v>350</v>
      </c>
      <c r="Q125">
        <v>7</v>
      </c>
      <c r="R125" t="str">
        <f t="shared" si="12"/>
        <v>5.5 &lt; pH &lt;= 7.3</v>
      </c>
      <c r="S125" t="s">
        <v>351</v>
      </c>
      <c r="T125" s="210">
        <f t="array" ref="T125">_xlfn.SINGLE(INDEX('Focus Data NFertiliser Rate'!$D$4:$P$19,MATCH(F125,'Focus Data NFertiliser Rate'!$C$4:$C$19,0),_xlfn.SINGLE(_xlfn.IFS(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220</v>
      </c>
      <c r="U125" t="str">
        <f t="shared" si="11"/>
        <v>Apply in solution</v>
      </c>
      <c r="V125" s="210">
        <f t="array" ref="V125">_xlfn.SINGLE(INDEX('№ Fertiliser sprayings'!$D$4:$P$19,MATCH(F125,'№ Fertiliser sprayings'!$C$4:$C$19,0),_xlfn.SINGLE(_xlfn.IFS(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3</v>
      </c>
      <c r="W125" s="264">
        <f t="array" ref="W125">_xlfn.SINGLE(INDEX('Focus Data CFT NSpraying'!$D$4:$P$19,MATCH(F125,'Focus Data CFT NSpraying'!$C$4:$C$19,0),_xlfn.SINGLE(_xlfn.IFS(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2.7888000000000002</v>
      </c>
      <c r="X125" t="s">
        <v>363</v>
      </c>
      <c r="Y125">
        <v>0</v>
      </c>
      <c r="Z125">
        <v>100</v>
      </c>
      <c r="AA125" t="s">
        <v>352</v>
      </c>
      <c r="AB125" s="226" t="str">
        <f>IF(B125=B124,_xlfn.IFS(
AND(AA125=Lists!$L$8,AA124=Lists!$L$8),Lists!$N$5,
AND(OR(AA125=Lists!$L$5,AA125=Lists!$L$7,AA125=Lists!$L$9,AA125=Lists!$L$10,AA125=Lists!$L$6),OR(AA124=Lists!$L$5,AA124=Lists!$L$7,AA124=Lists!$L$9,AA124=Lists!$L$10,AA124=Lists!$L$6)),Lists!$N$5,
AND(AA125=Lists!$L$8,OR(AA124=Lists!$L$5,AA124=Lists!$L$7,AA124=Lists!$L$9,AA124=Lists!$L$10,AA124=Lists!$L$6)),Lists!$N$6,
AND(OR(AA125=Lists!$L$5,AA125=Lists!$L$6,AA125=Lists!$L$7,AA125=Lists!$L$9,AA125=Lists!$L$10),AA124=Lists!$L$8),Lists!$N$7),
_xlfn.IFS(
AND(AA125=Lists!$L$8,AA130=Lists!$L$8),Lists!$N$5,
AND(OR(AA125=Lists!$L$5,AA125=Lists!$L$7,AA125=Lists!$L$9,AA125=Lists!$L$10,AA125=Lists!$L$6),OR(AA130=Lists!$L$5,AA130=Lists!$L$7,AA130=Lists!$L$9,AA130=Lists!$L$10,AA130=Lists!$L$6)),Lists!$N$5,
AND(AA125=Lists!$L$8,OR(AA130=Lists!$L$5,AA130=Lists!$L$7,AA130=Lists!$L$9,AA130=Lists!$L$10,AA130=Lists!$L$6)),Lists!$N$6,
AND(OR(AA125=Lists!$L$5,AA125=Lists!$L$7,AA125=Lists!$L$9,AA125=Lists!$L$10),AA130=Lists!$L$8),Lists!$N$7))</f>
        <v>no change</v>
      </c>
      <c r="AC125">
        <v>0</v>
      </c>
      <c r="AD125">
        <v>0</v>
      </c>
      <c r="AE125" s="102">
        <f t="array" ref="AE125">IF(OR(ISNUMBER(SEARCH("heavy",A125))=TRUE, ISNUMBER(SEARCH("medium",A125))=TRUE),
(LEN(_xlfn.SINGLE(
INDEX('Focus Data Tillage by farm'!$D$4:$P$9,MATCH(D125,'Focus Data Tillage by farm'!$C$4:$C$9,0),_xlfn.SINGLE(_xlfn.IFS(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-LEN(SUBSTITUTE(_xlfn.SINGLE(
INDEX('Focus Data Tillage by farm'!$D$4:$P$9,MATCH(D125,'Focus Data Tillage by farm'!$C$4:$C$9,0),_xlfn.SINGLE(_xlfn.IFS(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"disc","")))/LEN("disc"),
(LEN(_xlfn.SINGLE(
INDEX('Focus Data Tillage by farm'!$D$12:$P$17,MATCH(D125,'Focus Data Tillage by farm'!$C$12:$C$17,0),_xlfn.SINGLE(_xlfn.IFS(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-LEN(SUBSTITUTE(_xlfn.SINGLE(
INDEX('Focus Data Tillage by farm'!$D$12:$P$17,MATCH(D125,'Focus Data Tillage by farm'!$C$12:$C$17,0),_xlfn.SINGLE(_xlfn.IFS(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"disc","")))/LEN("disc"))</f>
        <v>1</v>
      </c>
      <c r="AF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"field cultivator","")))/LEN("field cultivator"),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"field cultivator","")))/LEN("field cultivator"))</f>
        <v>0</v>
      </c>
      <c r="AG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"grain drill","")))/LEN("grain drill"),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"grain drill","")))/LEN("grain drill"))</f>
        <v>1</v>
      </c>
      <c r="AH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"minimum tillage","")))/LEN("minimum tillage"),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"minimum tillage","")))/LEN("minimum tillage"))</f>
        <v>0</v>
      </c>
      <c r="AI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"row crop planter","")))/LEN("row crop planter"),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"row crop planter","")))/LEN("row crop planter"))</f>
        <v>0</v>
      </c>
      <c r="AJ125" s="102">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"plough","")))/LEN("plough"),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"plough","")))/LEN("plough"))</f>
        <v>0</v>
      </c>
      <c r="AK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harrow","")))/LEN("roller harrow"),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harrow","")))/LEN("roller harrow"))</f>
        <v>0</v>
      </c>
      <c r="AL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packer","")))/LEN("roller packer"),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"roller packer","")))/LEN("roller packer"))</f>
        <v>2</v>
      </c>
      <c r="AM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"rotary hoe","")))/LEN("rotary hoe"),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"rotary hoe","")))/LEN("rotary hoe"))</f>
        <v>0</v>
      </c>
      <c r="AN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"subsoil","")))/LEN("subsoil"),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"subsoil","")))/LEN("subsoil"))</f>
        <v>0</v>
      </c>
      <c r="AO125">
        <f>IF(OR(ISNUMBER(SEARCH("heavy",A125))=TRUE, ISNUMBER(SEARCH("medium",A125))=TRUE),
(LEN(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farm'!$D$4:$P$9,MATCH(D125,'Focus Data Tillage by farm'!$C$4:$C$9,0),_xlfn.IFS(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"tine harrow","")))/LEN("tine harrow"),
(LEN(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-LEN(SUBSTITUTE(
INDEX('Focus Data Tillage by farm'!$D$12:$P$17,MATCH(D125,'Focus Data Tillage by farm'!$C$12:$C$17,0),_xlfn.IFS(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
"tine harrow","")))/LEN("tine harrow"))</f>
        <v>0</v>
      </c>
      <c r="AP125" s="102">
        <f>INDEX('Focus Data NSpraying'!$D$4:$P$19,MATCH(F125,'Focus Data NSpraying'!$C$4:$C$19,0),_xlfn.IFS(
AND(ISNUMBER(SEARCH("H-Dsty.",A125))=TRUE,ISNUMBER(SEARCH("H-Res",A125))=TRUE,ISNUMBER(SEARCH("E.",A125))=TRUE),1,
AND(ISNUMBER(SEARCH("H-Dsty.",A125))=TRUE,ISNUMBER(SEARCH("H-Res",A125))=TRUE,OR(ISNUMBER(SEARCH("N.he",A125))=TRUE,ISNUMBER(SEARCH("N.me",A125))=TRUE,ISNUMBER(SEARCH("N.li",A125))=TRUE)),2,
AND(ISNUMBER(SEARCH("H-Dsty.",A125))=TRUE,ISNUMBER(SEARCH("H-Res",A125))=TRUE,ISNUMBER(SEARCH("C.",A125))=TRUE),3,
AND(ISNUMBER(SEARCH("L-Dsty.",A125))=TRUE,ISNUMBER(SEARCH("H-Res",A125))=TRUE,ISNUMBER(SEARCH("E.",A125))=TRUE),6,
AND(ISNUMBER(SEARCH("L-Dsty.",A125))=TRUE,ISNUMBER(SEARCH("H-Res",A125))=TRUE,OR(ISNUMBER(SEARCH("N.he",A125))=TRUE,ISNUMBER(SEARCH("N.me",A125))=TRUE,ISNUMBER(SEARCH("N.li",A125))=TRUE)),7,
AND(ISNUMBER(SEARCH("L-Dsty.",A125))=TRUE,ISNUMBER(SEARCH("H-Res",A125))=TRUE,ISNUMBER(SEARCH("C.",A125))=TRUE),8,
AND(ISNUMBER(SEARCH("L-Dsty.",A125))=TRUE,ISNUMBER(SEARCH("L-Res",A125))=TRUE,ISNUMBER(SEARCH("E.",A125))=TRUE),11,
AND(ISNUMBER(SEARCH("L-Dsty.",A125))=TRUE,ISNUMBER(SEARCH("L-Res",A125))=TRUE,OR(ISNUMBER(SEARCH("N.he",A125))=TRUE,ISNUMBER(SEARCH("N.me",A125))=TRUE,ISNUMBER(SEARCH("N.li",A125))=TRUE)),12,
AND(ISNUMBER(SEARCH("L-Dsty.",A125))=TRUE,ISNUMBER(SEARCH("L-Res",A125))=TRUE,ISNUMBER(SEARCH("C.",A125))=TRUE),13))</f>
        <v>3</v>
      </c>
    </row>
    <row r="126" spans="1:42" x14ac:dyDescent="0.2">
      <c r="A126" t="s">
        <v>495</v>
      </c>
      <c r="B126" s="210" t="str">
        <f t="array" ref="B126">INDEX(ECOMOD_input_estimate!$A$2:$A$55, MATCH(CFT_input!$A126, ECOMOD_input_estimate!$B:$B, 0))</f>
        <v>FF_15.2</v>
      </c>
      <c r="C126" s="210">
        <v>2020</v>
      </c>
      <c r="D126" s="395" t="s">
        <v>1696</v>
      </c>
      <c r="E126" s="210" t="str">
        <f t="shared" si="7"/>
        <v>C.heavy.L-Dsty.L-Res</v>
      </c>
      <c r="F126" s="210" t="str">
        <f t="array" ref="F126">_xlfn.SINGLE(IF(OR(ISNUMBER(SEARCH("heavy",A126))=TRUE,ISNUMBER(SEARCH("medium",A126))=TRUE),
INDEX('Focus Data Crop Rotations'!$D$4:$P$9,MATCH(D126,'Focus Data Crop Rotations'!$C$4:$C$9,0),_xlfn.SINGLE(_xlfn.IFS(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INDEX('Focus Data Crop Rotations'!$D$12:$P$17,MATCH(D126,'Focus Data Crop Rotations'!$C$12:$C$17,0),_xlfn.SINGLE(_xlfn.IFS(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springbeans</v>
      </c>
      <c r="G126">
        <v>7.2</v>
      </c>
      <c r="H126" s="227">
        <f>VLOOKUP(F126,'CFT Specific Data'!$F$4:$H$19,3,FALSE)*G126*
IF(B126=B125,
IF(AND(ISNUMBER(SEARCH("wheat",F126))=TRUE,ISNUMBER(SEARCH("Barley",F125))=TRUE),0.89,
IF(AND(ISNUMBER(SEARCH("wheat",F126))=TRUE,F125="setaside"),0.94,
IF(AND(ISNUMBER(SEARCH("barley",F126))=TRUE,ISNUMBER(SEARCH("wheat",F125))=TRUE),0.89,
IF(AND(F126="winterbarley",F125="setaside"),0.94,
IF(AND(F126="sugarbeet",F125="warepotatoes"),0.95,
IF(AND((OR(ISNUMBER(SEARCH("beans",F126)),ISNUMBER(SEARCH("driedpeas",F126)),ISNUMBER(SEARCH("sugarbeet",F126)))=TRUE),ISNUMBER(SEARCH("osr",F125))=TRUE),0,
IF(AND((OR((ISNUMBER(SEARCH("wheat",F126))),ISNUMBER(SEARCH("linseed",F126)),ISNUMBER(SEARCH("driedpeas",F126)),ISNUMBER(SEARCH("osr",F126)))=TRUE),F125="sugarbeet"),0,
IF(AND((OR((ISNUMBER(SEARCH("osr",F126))),ISNUMBER(SEARCH("linseed",F126)))=TRUE),ISNUMBER(SEARCH("beans",F125))=TRUE),0,
IF(AND(F126="wosr",ISNUMBER(SEARCH("linseed",F125))=TRUE),0,
IF(AND(F126="sugarbeet",F125="warepotatoes"),0,
1)))))))))),
IF(AND(ISNUMBER(SEARCH("wheat",F126))=TRUE,ISNUMBER(SEARCH("Barley",F131))=TRUE),0.89,
IF(AND(ISNUMBER(SEARCH("wheat",F126))=TRUE,F131="setaside"),0.94,
IF(AND(ISNUMBER(SEARCH("barley",F126))=TRUE,ISNUMBER(SEARCH("wheat",F131))=TRUE),0.89,
IF(AND(F126="winterbarley",F131="setaside"),0.94,
IF(AND(F126="sugarbeet",F131="warepotatoes"),0.95,
IF(AND((OR(ISNUMBER(SEARCH("beans",F126)),ISNUMBER(SEARCH("driedpeas",F126)),ISNUMBER(SEARCH("sugarbeet",F126)))=TRUE),ISNUMBER(SEARCH("osr",F131))=TRUE),0,
IF(AND((OR((ISNUMBER(SEARCH("wheat",F126))),ISNUMBER(SEARCH("linseed",F126)),ISNUMBER(SEARCH("driedpeas",F126)),ISNUMBER(SEARCH("osr",F126)))=TRUE),F131="sugarbeet"),0,
IF(AND((OR((ISNUMBER(SEARCH("osr",F126))),ISNUMBER(SEARCH("linseed",F126)))=TRUE),ISNUMBER(SEARCH("beans",F131))=TRUE),0,
IF(AND(F126="wosr",ISNUMBER(SEARCH("linseed",F131))=TRUE),0,
IF(AND(F126="sugarbeet",F131="warepotatoes"),0,
1)))))))))))
*IF(OR(ISNUMBER(SEARCH("wheat",F126)),ISNUMBER(SEARCH("barley",F126)),ISNUMBER(SEARCH("driedpeas",F126)),ISNUMBER(SEARCH("warepotatoes",F126)),ISNUMBER(SEARCH("osr",F126)),ISNUMBER(SEARCH("linseed",F126)),ISNUMBER(SEARCH("sugarbeet",F126))),
IF(COUNTIF(B121:B125,B126)=5,
INDEX('CFT Specific Data'!$G$24:$L$39,MATCH(F126,'CFT Specific Data'!$F$24:$F$39,0),IF(COUNTIF(F121:F125,F126)=5,6,IF(COUNTIF(F122:F125,F126)=4,5,IF(COUNTIF(F123:F125,F126)=3,4,IF(COUNTIF(F124:F125,F126)=2,3,IF(F125=F126,2,1)))))),
IF(COUNTIF(B121:B125,B126)=4,
INDEX('CFT Specific Data'!$G$24:$L$39,MATCH(F126,'CFT Specific Data'!$F$24:$F$39,0),IF(SUM(COUNTIF(F122:F125,F126),COUNTIF(F127,F126))=5,6,IF(COUNTIF(F122:F125,F126)=4,5,IF(COUNTIF(F123:F125,F126)=3,4,IF(COUNTIF(F124:F125,F126)=2,3,IF(F125=F126,2,1)))))),
IF(COUNTIF(B121:B125,B126)=3,
INDEX('CFT Specific Data'!$G$24:$L$39,MATCH(F126,'CFT Specific Data'!$F$24:$F$39,0),IF(SUM(COUNTIF(F123:F125,F126),COUNTIF(F127:F128,F126))=5,6,IF(SUM(COUNTIF(F123:F125,F126),COUNTIF(F128,F126))=4,5,IF(COUNTIF(F123:F125,F126)=3,4,IF(COUNTIF(F124:F125,F126)=2,3,IF(F125=F126,2,1)))))),
IF(COUNTIF(B121:B125,B126)=2,
INDEX('CFT Specific Data'!$G$24:$L$39,MATCH(F126,'CFT Specific Data'!$F$24:$F$39,0),IF(SUM(COUNTIF(F124:F125,F126),COUNTIF(F127:F129,F126))=5,6,IF(SUM(COUNTIF(F124:F125,F126),COUNTIF(F128:F129,F126))=4,5,IF(SUM(COUNTIF(F124:F125,F126),COUNTIF(F129,F126))=3,4,IF(COUNTIF(F124:F125,F126)=2,3,IF(F125=F126,2,1)))))),
IF(COUNTIF(B121:B125,B126)=1,
INDEX('CFT Specific Data'!$G$24:$L$39,MATCH(F126,'CFT Specific Data'!$F$24:$F$39,0),IF(SUM(COUNTIF(F125,F126),COUNTIF(F127:F130,F126))=5,6,IF(SUM(COUNTIF(F125,F126),COUNTIF(F128:F130,F126))=4,5,IF(SUM(COUNTIF(F125,F126),COUNTIF(F129:F130,F126))=3,4,IF(SUM(COUNTIF(F125,F126),COUNTIF(F130,F126))=2,3,IF(F125=F126,2,1)))))),
IF(COUNTIF(B121:B125,B126)=0,
INDEX('CFT Specific Data'!$G$24:$L$39,MATCH(F126,'CFT Specific Data'!$F$24:$F$39,0),IF(COUNTIF(F127:F131,F126)=5,6,IF(COUNTIF(F128:F131,F126)=4,5,IF(COUNTIF(F129:F131,F126)=3,4,IF(COUNTIF(F130:F131,F126)=2,3,IF(F131=F126,2,1)))))))))))),1)</f>
        <v>28.08</v>
      </c>
      <c r="I126" s="210" t="s">
        <v>348</v>
      </c>
      <c r="J126">
        <v>10</v>
      </c>
      <c r="K126" s="210" t="str">
        <f>VLOOKUP(F126,'CFT Specific Data'!$F$4:$G$19,2,FALSE)</f>
        <v>Other legume</v>
      </c>
      <c r="L126" t="str">
        <f t="shared" si="8"/>
        <v>Fine</v>
      </c>
      <c r="M126">
        <f t="shared" si="9"/>
        <v>5.8479999999999999</v>
      </c>
      <c r="N126" t="str">
        <f t="shared" si="10"/>
        <v>5.16 &lt; SOM &lt;= 10.32</v>
      </c>
      <c r="O126" t="s">
        <v>349</v>
      </c>
      <c r="P126" t="s">
        <v>350</v>
      </c>
      <c r="Q126">
        <v>7</v>
      </c>
      <c r="R126" t="str">
        <f t="shared" si="12"/>
        <v>5.5 &lt; pH &lt;= 7.3</v>
      </c>
      <c r="S126" t="s">
        <v>351</v>
      </c>
      <c r="T126" s="210">
        <f t="array" ref="T126">_xlfn.SINGLE(INDEX('Focus Data NFertiliser Rate'!$D$4:$P$19,MATCH(F126,'Focus Data NFertiliser Rate'!$C$4:$C$19,0),_xlfn.SINGLE(_xlfn.IFS(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0</v>
      </c>
      <c r="U126">
        <f t="shared" si="11"/>
        <v>0</v>
      </c>
      <c r="V126" s="210">
        <f t="array" ref="V126">_xlfn.SINGLE(INDEX('№ Fertiliser sprayings'!$D$4:$P$19,MATCH(F126,'№ Fertiliser sprayings'!$C$4:$C$19,0),_xlfn.SINGLE(_xlfn.IFS(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0</v>
      </c>
      <c r="W126" s="264">
        <f t="array" ref="W126">_xlfn.SINGLE(INDEX('Focus Data CFT NSpraying'!$D$4:$P$19,MATCH(F126,'Focus Data CFT NSpraying'!$C$4:$C$19,0),_xlfn.SINGLE(_xlfn.IFS(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6.4536000000000007</v>
      </c>
      <c r="X126" t="s">
        <v>363</v>
      </c>
      <c r="Y126">
        <v>0</v>
      </c>
      <c r="Z126">
        <v>100</v>
      </c>
      <c r="AA126" t="s">
        <v>352</v>
      </c>
      <c r="AB126" s="226" t="str">
        <f>IF(B126=B125,_xlfn.IFS(
AND(AA126=Lists!$L$8,AA125=Lists!$L$8),Lists!$N$5,
AND(OR(AA126=Lists!$L$5,AA126=Lists!$L$7,AA126=Lists!$L$9,AA126=Lists!$L$10,AA126=Lists!$L$6),OR(AA125=Lists!$L$5,AA125=Lists!$L$7,AA125=Lists!$L$9,AA125=Lists!$L$10,AA125=Lists!$L$6)),Lists!$N$5,
AND(AA126=Lists!$L$8,OR(AA125=Lists!$L$5,AA125=Lists!$L$7,AA125=Lists!$L$9,AA125=Lists!$L$10,AA125=Lists!$L$6)),Lists!$N$6,
AND(OR(AA126=Lists!$L$5,AA126=Lists!$L$6,AA126=Lists!$L$7,AA126=Lists!$L$9,AA126=Lists!$L$10),AA125=Lists!$L$8),Lists!$N$7),
_xlfn.IFS(
AND(AA126=Lists!$L$8,AA131=Lists!$L$8),Lists!$N$5,
AND(OR(AA126=Lists!$L$5,AA126=Lists!$L$7,AA126=Lists!$L$9,AA126=Lists!$L$10,AA126=Lists!$L$6),OR(AA131=Lists!$L$5,AA131=Lists!$L$7,AA131=Lists!$L$9,AA131=Lists!$L$10,AA131=Lists!$L$6)),Lists!$N$5,
AND(AA126=Lists!$L$8,OR(AA131=Lists!$L$5,AA131=Lists!$L$7,AA131=Lists!$L$9,AA131=Lists!$L$10,AA131=Lists!$L$6)),Lists!$N$6,
AND(OR(AA126=Lists!$L$5,AA126=Lists!$L$7,AA126=Lists!$L$9,AA126=Lists!$L$10),AA131=Lists!$L$8),Lists!$N$7))</f>
        <v>no change</v>
      </c>
      <c r="AC126">
        <v>0</v>
      </c>
      <c r="AD126">
        <v>0</v>
      </c>
      <c r="AE126" s="102">
        <f t="array" ref="AE126">IF(OR(ISNUMBER(SEARCH("heavy",A126))=TRUE, ISNUMBER(SEARCH("medium",A126))=TRUE),
(LEN(_xlfn.SINGLE(
INDEX('Focus Data Tillage by farm'!$D$4:$P$9,MATCH(D126,'Focus Data Tillage by farm'!$C$4:$C$9,0),_xlfn.SINGLE(_xlfn.IFS(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-LEN(SUBSTITUTE(_xlfn.SINGLE(
INDEX('Focus Data Tillage by farm'!$D$4:$P$9,MATCH(D126,'Focus Data Tillage by farm'!$C$4:$C$9,0),_xlfn.SINGLE(_xlfn.IFS(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"disc","")))/LEN("disc"),
(LEN(_xlfn.SINGLE(
INDEX('Focus Data Tillage by farm'!$D$12:$P$17,MATCH(D126,'Focus Data Tillage by farm'!$C$12:$C$17,0),_xlfn.SINGLE(_xlfn.IFS(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-LEN(SUBSTITUTE(_xlfn.SINGLE(
INDEX('Focus Data Tillage by farm'!$D$12:$P$17,MATCH(D126,'Focus Data Tillage by farm'!$C$12:$C$17,0),_xlfn.SINGLE(_xlfn.IFS(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"disc","")))/LEN("disc"))</f>
        <v>2</v>
      </c>
      <c r="AF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"field cultivator","")))/LEN("field cultivator"),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"field cultivator","")))/LEN("field cultivator"))</f>
        <v>0</v>
      </c>
      <c r="AG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"grain drill","")))/LEN("grain drill"),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"grain drill","")))/LEN("grain drill"))</f>
        <v>1</v>
      </c>
      <c r="AH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"minimum tillage","")))/LEN("minimum tillage"),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"minimum tillage","")))/LEN("minimum tillage"))</f>
        <v>0</v>
      </c>
      <c r="AI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"row crop planter","")))/LEN("row crop planter"),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"row crop planter","")))/LEN("row crop planter"))</f>
        <v>0</v>
      </c>
      <c r="AJ126" s="102">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"plough","")))/LEN("plough"),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"plough","")))/LEN("plough"))</f>
        <v>0</v>
      </c>
      <c r="AK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harrow","")))/LEN("roller harrow"),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harrow","")))/LEN("roller harrow"))</f>
        <v>0</v>
      </c>
      <c r="AL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packer","")))/LEN("roller packer"),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"roller packer","")))/LEN("roller packer"))</f>
        <v>2</v>
      </c>
      <c r="AM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"rotary hoe","")))/LEN("rotary hoe"),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"rotary hoe","")))/LEN("rotary hoe"))</f>
        <v>0</v>
      </c>
      <c r="AN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"subsoil","")))/LEN("subsoil"),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"subsoil","")))/LEN("subsoil"))</f>
        <v>0</v>
      </c>
      <c r="AO126">
        <f>IF(OR(ISNUMBER(SEARCH("heavy",A126))=TRUE, ISNUMBER(SEARCH("medium",A126))=TRUE),
(LEN(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farm'!$D$4:$P$9,MATCH(D126,'Focus Data Tillage by farm'!$C$4:$C$9,0),_xlfn.IFS(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"tine harrow","")))/LEN("tine harrow"),
(LEN(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-LEN(SUBSTITUTE(
INDEX('Focus Data Tillage by farm'!$D$12:$P$17,MATCH(D126,'Focus Data Tillage by farm'!$C$12:$C$17,0),_xlfn.IFS(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
"tine harrow","")))/LEN("tine harrow"))</f>
        <v>0</v>
      </c>
      <c r="AP126" s="102">
        <f>INDEX('Focus Data NSpraying'!$D$4:$P$19,MATCH(F126,'Focus Data NSpraying'!$C$4:$C$19,0),_xlfn.IFS(
AND(ISNUMBER(SEARCH("H-Dsty.",A126))=TRUE,ISNUMBER(SEARCH("H-Res",A126))=TRUE,ISNUMBER(SEARCH("E.",A126))=TRUE),1,
AND(ISNUMBER(SEARCH("H-Dsty.",A126))=TRUE,ISNUMBER(SEARCH("H-Res",A126))=TRUE,OR(ISNUMBER(SEARCH("N.he",A126))=TRUE,ISNUMBER(SEARCH("N.me",A126))=TRUE,ISNUMBER(SEARCH("N.li",A126))=TRUE)),2,
AND(ISNUMBER(SEARCH("H-Dsty.",A126))=TRUE,ISNUMBER(SEARCH("H-Res",A126))=TRUE,ISNUMBER(SEARCH("C.",A126))=TRUE),3,
AND(ISNUMBER(SEARCH("L-Dsty.",A126))=TRUE,ISNUMBER(SEARCH("H-Res",A126))=TRUE,ISNUMBER(SEARCH("E.",A126))=TRUE),6,
AND(ISNUMBER(SEARCH("L-Dsty.",A126))=TRUE,ISNUMBER(SEARCH("H-Res",A126))=TRUE,OR(ISNUMBER(SEARCH("N.he",A126))=TRUE,ISNUMBER(SEARCH("N.me",A126))=TRUE,ISNUMBER(SEARCH("N.li",A126))=TRUE)),7,
AND(ISNUMBER(SEARCH("L-Dsty.",A126))=TRUE,ISNUMBER(SEARCH("H-Res",A126))=TRUE,ISNUMBER(SEARCH("C.",A126))=TRUE),8,
AND(ISNUMBER(SEARCH("L-Dsty.",A126))=TRUE,ISNUMBER(SEARCH("L-Res",A126))=TRUE,ISNUMBER(SEARCH("E.",A126))=TRUE),11,
AND(ISNUMBER(SEARCH("L-Dsty.",A126))=TRUE,ISNUMBER(SEARCH("L-Res",A126))=TRUE,OR(ISNUMBER(SEARCH("N.he",A126))=TRUE,ISNUMBER(SEARCH("N.me",A126))=TRUE,ISNUMBER(SEARCH("N.li",A126))=TRUE)),12,
AND(ISNUMBER(SEARCH("L-Dsty.",A126))=TRUE,ISNUMBER(SEARCH("L-Res",A126))=TRUE,ISNUMBER(SEARCH("C.",A126))=TRUE),13))</f>
        <v>3</v>
      </c>
    </row>
    <row r="127" spans="1:42" x14ac:dyDescent="0.2">
      <c r="A127" t="s">
        <v>495</v>
      </c>
      <c r="B127" s="210" t="str">
        <f t="array" ref="B127">INDEX(ECOMOD_input_estimate!$A$2:$A$55, MATCH(CFT_input!$A127, ECOMOD_input_estimate!$B:$B, 0))</f>
        <v>FF_15.2</v>
      </c>
      <c r="C127" s="210">
        <v>2020</v>
      </c>
      <c r="D127" s="395" t="s">
        <v>735</v>
      </c>
      <c r="E127" s="210" t="str">
        <f t="shared" si="7"/>
        <v>C.heavy.L-Dsty.L-Res</v>
      </c>
      <c r="F127" s="210" t="str">
        <f t="array" ref="F127">_xlfn.SINGLE(IF(OR(ISNUMBER(SEARCH("heavy",A127))=TRUE,ISNUMBER(SEARCH("medium",A127))=TRUE),
INDEX('Focus Data Crop Rotations'!$D$4:$P$9,MATCH(D127,'Focus Data Crop Rotations'!$C$4:$C$9,0),_xlfn.SINGLE(_xlfn.IFS(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INDEX('Focus Data Crop Rotations'!$D$12:$P$17,MATCH(D127,'Focus Data Crop Rotations'!$C$12:$C$17,0),_xlfn.SINGLE(_xlfn.IFS(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winterwheat</v>
      </c>
      <c r="G127">
        <v>7.2</v>
      </c>
      <c r="H127" s="227">
        <f>VLOOKUP(F127,'CFT Specific Data'!$F$4:$H$19,3,FALSE)*G127*
IF(B127=B126,
IF(AND(ISNUMBER(SEARCH("wheat",F127))=TRUE,ISNUMBER(SEARCH("Barley",F126))=TRUE),0.89,
IF(AND(ISNUMBER(SEARCH("wheat",F127))=TRUE,F126="setaside"),0.94,
IF(AND(ISNUMBER(SEARCH("barley",F127))=TRUE,ISNUMBER(SEARCH("wheat",F126))=TRUE),0.89,
IF(AND(F127="winterbarley",F126="setaside"),0.94,
IF(AND(F127="sugarbeet",F126="warepotatoes"),0.95,
IF(AND((OR(ISNUMBER(SEARCH("beans",F127)),ISNUMBER(SEARCH("driedpeas",F127)),ISNUMBER(SEARCH("sugarbeet",F127)))=TRUE),ISNUMBER(SEARCH("osr",F126))=TRUE),0,
IF(AND((OR((ISNUMBER(SEARCH("wheat",F127))),ISNUMBER(SEARCH("linseed",F127)),ISNUMBER(SEARCH("driedpeas",F127)),ISNUMBER(SEARCH("osr",F127)))=TRUE),F126="sugarbeet"),0,
IF(AND((OR((ISNUMBER(SEARCH("osr",F127))),ISNUMBER(SEARCH("linseed",F127)))=TRUE),ISNUMBER(SEARCH("beans",F126))=TRUE),0,
IF(AND(F127="wosr",ISNUMBER(SEARCH("linseed",F126))=TRUE),0,
IF(AND(F127="sugarbeet",F126="warepotatoes"),0,
1)))))))))),
IF(AND(ISNUMBER(SEARCH("wheat",F127))=TRUE,ISNUMBER(SEARCH("Barley",F132))=TRUE),0.89,
IF(AND(ISNUMBER(SEARCH("wheat",F127))=TRUE,F132="setaside"),0.94,
IF(AND(ISNUMBER(SEARCH("barley",F127))=TRUE,ISNUMBER(SEARCH("wheat",F132))=TRUE),0.89,
IF(AND(F127="winterbarley",F132="setaside"),0.94,
IF(AND(F127="sugarbeet",F132="warepotatoes"),0.95,
IF(AND((OR(ISNUMBER(SEARCH("beans",F127)),ISNUMBER(SEARCH("driedpeas",F127)),ISNUMBER(SEARCH("sugarbeet",F127)))=TRUE),ISNUMBER(SEARCH("osr",F132))=TRUE),0,
IF(AND((OR((ISNUMBER(SEARCH("wheat",F127))),ISNUMBER(SEARCH("linseed",F127)),ISNUMBER(SEARCH("driedpeas",F127)),ISNUMBER(SEARCH("osr",F127)))=TRUE),F132="sugarbeet"),0,
IF(AND((OR((ISNUMBER(SEARCH("osr",F127))),ISNUMBER(SEARCH("linseed",F127)))=TRUE),ISNUMBER(SEARCH("beans",F132))=TRUE),0,
IF(AND(F127="wosr",ISNUMBER(SEARCH("linseed",F132))=TRUE),0,
IF(AND(F127="sugarbeet",F132="warepotatoes"),0,
1)))))))))))
*IF(OR(ISNUMBER(SEARCH("wheat",F127)),ISNUMBER(SEARCH("barley",F127)),ISNUMBER(SEARCH("driedpeas",F127)),ISNUMBER(SEARCH("warepotatoes",F127)),ISNUMBER(SEARCH("osr",F127)),ISNUMBER(SEARCH("linseed",F127)),ISNUMBER(SEARCH("sugarbeet",F127))),
IF(COUNTIF(B122:B126,B127)=5,
INDEX('CFT Specific Data'!$G$24:$L$39,MATCH(F127,'CFT Specific Data'!$F$24:$F$39,0),IF(COUNTIF(F122:F126,F127)=5,6,IF(COUNTIF(F123:F126,F127)=4,5,IF(COUNTIF(F124:F126,F127)=3,4,IF(COUNTIF(F125:F126,F127)=2,3,IF(F126=F127,2,1)))))),
IF(COUNTIF(B122:B126,B127)=4,
INDEX('CFT Specific Data'!$G$24:$L$39,MATCH(F127,'CFT Specific Data'!$F$24:$F$39,0),IF(SUM(COUNTIF(F123:F126,F127),COUNTIF(F128,F127))=5,6,IF(COUNTIF(F123:F126,F127)=4,5,IF(COUNTIF(F124:F126,F127)=3,4,IF(COUNTIF(F125:F126,F127)=2,3,IF(F126=F127,2,1)))))),
IF(COUNTIF(B122:B126,B127)=3,
INDEX('CFT Specific Data'!$G$24:$L$39,MATCH(F127,'CFT Specific Data'!$F$24:$F$39,0),IF(SUM(COUNTIF(F124:F126,F127),COUNTIF(F128:F129,F127))=5,6,IF(SUM(COUNTIF(F124:F126,F127),COUNTIF(F129,F127))=4,5,IF(COUNTIF(F124:F126,F127)=3,4,IF(COUNTIF(F125:F126,F127)=2,3,IF(F126=F127,2,1)))))),
IF(COUNTIF(B122:B126,B127)=2,
INDEX('CFT Specific Data'!$G$24:$L$39,MATCH(F127,'CFT Specific Data'!$F$24:$F$39,0),IF(SUM(COUNTIF(F125:F126,F127),COUNTIF(F128:F130,F127))=5,6,IF(SUM(COUNTIF(F125:F126,F127),COUNTIF(F129:F130,F127))=4,5,IF(SUM(COUNTIF(F125:F126,F127),COUNTIF(F130,F127))=3,4,IF(COUNTIF(F125:F126,F127)=2,3,IF(F126=F127,2,1)))))),
IF(COUNTIF(B122:B126,B127)=1,
INDEX('CFT Specific Data'!$G$24:$L$39,MATCH(F127,'CFT Specific Data'!$F$24:$F$39,0),IF(SUM(COUNTIF(F126,F127),COUNTIF(F128:F131,F127))=5,6,IF(SUM(COUNTIF(F126,F127),COUNTIF(F129:F131,F127))=4,5,IF(SUM(COUNTIF(F126,F127),COUNTIF(F130:F131,F127))=3,4,IF(SUM(COUNTIF(F126,F127),COUNTIF(F131,F127))=2,3,IF(F126=F127,2,1)))))),
IF(COUNTIF(B122:B126,B127)=0,
INDEX('CFT Specific Data'!$G$24:$L$39,MATCH(F127,'CFT Specific Data'!$F$24:$F$39,0),IF(COUNTIF(F128:F132,F127)=5,6,IF(COUNTIF(F129:F132,F127)=4,5,IF(COUNTIF(F130:F132,F127)=3,4,IF(COUNTIF(F131:F132,F127)=2,3,IF(F132=F127,2,1)))))))))))),1)</f>
        <v>61.92</v>
      </c>
      <c r="I127" s="210" t="s">
        <v>348</v>
      </c>
      <c r="J127">
        <v>10</v>
      </c>
      <c r="K127" s="210" t="str">
        <f>VLOOKUP(F127,'CFT Specific Data'!$F$4:$G$19,2,FALSE)</f>
        <v>Winter wheat</v>
      </c>
      <c r="L127" t="str">
        <f t="shared" si="8"/>
        <v>Fine</v>
      </c>
      <c r="M127">
        <f t="shared" si="9"/>
        <v>5.8479999999999999</v>
      </c>
      <c r="N127" t="str">
        <f t="shared" si="10"/>
        <v>5.16 &lt; SOM &lt;= 10.32</v>
      </c>
      <c r="O127" t="s">
        <v>349</v>
      </c>
      <c r="P127" t="s">
        <v>350</v>
      </c>
      <c r="Q127">
        <v>7</v>
      </c>
      <c r="R127" t="str">
        <f t="shared" si="12"/>
        <v>5.5 &lt; pH &lt;= 7.3</v>
      </c>
      <c r="S127" t="s">
        <v>351</v>
      </c>
      <c r="T127" s="210">
        <f t="array" ref="T127">_xlfn.SINGLE(INDEX('Focus Data NFertiliser Rate'!$D$4:$P$19,MATCH(F127,'Focus Data NFertiliser Rate'!$C$4:$C$19,0),_xlfn.SINGLE(_xlfn.IFS(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220</v>
      </c>
      <c r="U127" t="str">
        <f t="shared" si="11"/>
        <v>Apply in solution</v>
      </c>
      <c r="V127" s="210">
        <f t="array" ref="V127">_xlfn.SINGLE(INDEX('№ Fertiliser sprayings'!$D$4:$P$19,MATCH(F127,'№ Fertiliser sprayings'!$C$4:$C$19,0),_xlfn.SINGLE(_xlfn.IFS(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3</v>
      </c>
      <c r="W127" s="264">
        <f t="array" ref="W127">_xlfn.SINGLE(INDEX('Focus Data CFT NSpraying'!$D$4:$P$19,MATCH(F127,'Focus Data CFT NSpraying'!$C$4:$C$19,0),_xlfn.SINGLE(_xlfn.IFS(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2.7888000000000002</v>
      </c>
      <c r="X127" t="s">
        <v>363</v>
      </c>
      <c r="Y127">
        <v>0</v>
      </c>
      <c r="Z127">
        <v>100</v>
      </c>
      <c r="AA127" t="s">
        <v>352</v>
      </c>
      <c r="AB127" s="226" t="str">
        <f>IF(B127=B126,_xlfn.IFS(
AND(AA127=Lists!$L$8,AA126=Lists!$L$8),Lists!$N$5,
AND(OR(AA127=Lists!$L$5,AA127=Lists!$L$7,AA127=Lists!$L$9,AA127=Lists!$L$10,AA127=Lists!$L$6),OR(AA126=Lists!$L$5,AA126=Lists!$L$7,AA126=Lists!$L$9,AA126=Lists!$L$10,AA126=Lists!$L$6)),Lists!$N$5,
AND(AA127=Lists!$L$8,OR(AA126=Lists!$L$5,AA126=Lists!$L$7,AA126=Lists!$L$9,AA126=Lists!$L$10,AA126=Lists!$L$6)),Lists!$N$6,
AND(OR(AA127=Lists!$L$5,AA127=Lists!$L$6,AA127=Lists!$L$7,AA127=Lists!$L$9,AA127=Lists!$L$10),AA126=Lists!$L$8),Lists!$N$7),
_xlfn.IFS(
AND(AA127=Lists!$L$8,AA132=Lists!$L$8),Lists!$N$5,
AND(OR(AA127=Lists!$L$5,AA127=Lists!$L$7,AA127=Lists!$L$9,AA127=Lists!$L$10,AA127=Lists!$L$6),OR(AA132=Lists!$L$5,AA132=Lists!$L$7,AA132=Lists!$L$9,AA132=Lists!$L$10,AA132=Lists!$L$6)),Lists!$N$5,
AND(AA127=Lists!$L$8,OR(AA132=Lists!$L$5,AA132=Lists!$L$7,AA132=Lists!$L$9,AA132=Lists!$L$10,AA132=Lists!$L$6)),Lists!$N$6,
AND(OR(AA127=Lists!$L$5,AA127=Lists!$L$7,AA127=Lists!$L$9,AA127=Lists!$L$10),AA132=Lists!$L$8),Lists!$N$7))</f>
        <v>no change</v>
      </c>
      <c r="AC127">
        <v>0</v>
      </c>
      <c r="AD127">
        <v>0</v>
      </c>
      <c r="AE127" s="102">
        <f t="array" ref="AE127">IF(OR(ISNUMBER(SEARCH("heavy",A127))=TRUE, ISNUMBER(SEARCH("medium",A127))=TRUE),
(LEN(_xlfn.SINGLE(
INDEX('Focus Data Tillage by farm'!$D$4:$P$9,MATCH(D127,'Focus Data Tillage by farm'!$C$4:$C$9,0),_xlfn.SINGLE(_xlfn.IFS(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-LEN(SUBSTITUTE(_xlfn.SINGLE(
INDEX('Focus Data Tillage by farm'!$D$4:$P$9,MATCH(D127,'Focus Data Tillage by farm'!$C$4:$C$9,0),_xlfn.SINGLE(_xlfn.IFS(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"disc","")))/LEN("disc"),
(LEN(_xlfn.SINGLE(
INDEX('Focus Data Tillage by farm'!$D$12:$P$17,MATCH(D127,'Focus Data Tillage by farm'!$C$12:$C$17,0),_xlfn.SINGLE(_xlfn.IFS(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-LEN(SUBSTITUTE(_xlfn.SINGLE(
INDEX('Focus Data Tillage by farm'!$D$12:$P$17,MATCH(D127,'Focus Data Tillage by farm'!$C$12:$C$17,0),_xlfn.SINGLE(_xlfn.IFS(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"disc","")))/LEN("disc"))</f>
        <v>1</v>
      </c>
      <c r="AF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"field cultivator","")))/LEN("field cultivator"),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"field cultivator","")))/LEN("field cultivator"))</f>
        <v>0</v>
      </c>
      <c r="AG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"grain drill","")))/LEN("grain drill"),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"grain drill","")))/LEN("grain drill"))</f>
        <v>1</v>
      </c>
      <c r="AH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"minimum tillage","")))/LEN("minimum tillage"),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"minimum tillage","")))/LEN("minimum tillage"))</f>
        <v>0</v>
      </c>
      <c r="AI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"row crop planter","")))/LEN("row crop planter"),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"row crop planter","")))/LEN("row crop planter"))</f>
        <v>0</v>
      </c>
      <c r="AJ127" s="102">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"plough","")))/LEN("plough"),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"plough","")))/LEN("plough"))</f>
        <v>0</v>
      </c>
      <c r="AK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harrow","")))/LEN("roller harrow"),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harrow","")))/LEN("roller harrow"))</f>
        <v>0</v>
      </c>
      <c r="AL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packer","")))/LEN("roller packer"),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"roller packer","")))/LEN("roller packer"))</f>
        <v>2</v>
      </c>
      <c r="AM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"rotary hoe","")))/LEN("rotary hoe"),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"rotary hoe","")))/LEN("rotary hoe"))</f>
        <v>0</v>
      </c>
      <c r="AN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"subsoil","")))/LEN("subsoil"),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"subsoil","")))/LEN("subsoil"))</f>
        <v>0</v>
      </c>
      <c r="AO127">
        <f>IF(OR(ISNUMBER(SEARCH("heavy",A127))=TRUE, ISNUMBER(SEARCH("medium",A127))=TRUE),
(LEN(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farm'!$D$4:$P$9,MATCH(D127,'Focus Data Tillage by farm'!$C$4:$C$9,0),_xlfn.IFS(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"tine harrow","")))/LEN("tine harrow"),
(LEN(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-LEN(SUBSTITUTE(
INDEX('Focus Data Tillage by farm'!$D$12:$P$17,MATCH(D127,'Focus Data Tillage by farm'!$C$12:$C$17,0),_xlfn.IFS(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
"tine harrow","")))/LEN("tine harrow"))</f>
        <v>0</v>
      </c>
      <c r="AP127" s="102">
        <f>INDEX('Focus Data NSpraying'!$D$4:$P$19,MATCH(F127,'Focus Data NSpraying'!$C$4:$C$19,0),_xlfn.IFS(
AND(ISNUMBER(SEARCH("H-Dsty.",A127))=TRUE,ISNUMBER(SEARCH("H-Res",A127))=TRUE,ISNUMBER(SEARCH("E.",A127))=TRUE),1,
AND(ISNUMBER(SEARCH("H-Dsty.",A127))=TRUE,ISNUMBER(SEARCH("H-Res",A127))=TRUE,OR(ISNUMBER(SEARCH("N.he",A127))=TRUE,ISNUMBER(SEARCH("N.me",A127))=TRUE,ISNUMBER(SEARCH("N.li",A127))=TRUE)),2,
AND(ISNUMBER(SEARCH("H-Dsty.",A127))=TRUE,ISNUMBER(SEARCH("H-Res",A127))=TRUE,ISNUMBER(SEARCH("C.",A127))=TRUE),3,
AND(ISNUMBER(SEARCH("L-Dsty.",A127))=TRUE,ISNUMBER(SEARCH("H-Res",A127))=TRUE,ISNUMBER(SEARCH("E.",A127))=TRUE),6,
AND(ISNUMBER(SEARCH("L-Dsty.",A127))=TRUE,ISNUMBER(SEARCH("H-Res",A127))=TRUE,OR(ISNUMBER(SEARCH("N.he",A127))=TRUE,ISNUMBER(SEARCH("N.me",A127))=TRUE,ISNUMBER(SEARCH("N.li",A127))=TRUE)),7,
AND(ISNUMBER(SEARCH("L-Dsty.",A127))=TRUE,ISNUMBER(SEARCH("H-Res",A127))=TRUE,ISNUMBER(SEARCH("C.",A127))=TRUE),8,
AND(ISNUMBER(SEARCH("L-Dsty.",A127))=TRUE,ISNUMBER(SEARCH("L-Res",A127))=TRUE,ISNUMBER(SEARCH("E.",A127))=TRUE),11,
AND(ISNUMBER(SEARCH("L-Dsty.",A127))=TRUE,ISNUMBER(SEARCH("L-Res",A127))=TRUE,OR(ISNUMBER(SEARCH("N.he",A127))=TRUE,ISNUMBER(SEARCH("N.me",A127))=TRUE,ISNUMBER(SEARCH("N.li",A127))=TRUE)),12,
AND(ISNUMBER(SEARCH("L-Dsty.",A127))=TRUE,ISNUMBER(SEARCH("L-Res",A127))=TRUE,ISNUMBER(SEARCH("C.",A127))=TRUE),13))</f>
        <v>3</v>
      </c>
    </row>
    <row r="128" spans="1:42" x14ac:dyDescent="0.2">
      <c r="A128" t="s">
        <v>496</v>
      </c>
      <c r="B128" s="210" t="str">
        <f t="array" ref="B128">INDEX(ECOMOD_input_estimate!$A$2:$A$55, MATCH(CFT_input!$A128, ECOMOD_input_estimate!$B:$B, 0))</f>
        <v>FF_03.4</v>
      </c>
      <c r="C128" s="210">
        <v>2020</v>
      </c>
      <c r="D128" s="395" t="s">
        <v>731</v>
      </c>
      <c r="E128" s="210" t="str">
        <f t="shared" si="7"/>
        <v>C.medium.H-Dsty.H-Res</v>
      </c>
      <c r="F128" s="210" t="str">
        <f t="array" ref="F128">_xlfn.SINGLE(IF(OR(ISNUMBER(SEARCH("heavy",A128))=TRUE,ISNUMBER(SEARCH("medium",A128))=TRUE),
INDEX('Focus Data Crop Rotations'!$D$4:$P$9,MATCH(D128,'Focus Data Crop Rotations'!$C$4:$C$9,0),_xlfn.SINGLE(_xlfn.IFS(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INDEX('Focus Data Crop Rotations'!$D$12:$P$17,MATCH(D128,'Focus Data Crop Rotations'!$C$12:$C$17,0),_xlfn.SINGLE(_xlfn.IFS(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winterwheat</v>
      </c>
      <c r="G128">
        <v>7.2</v>
      </c>
      <c r="H128" s="227">
        <f>VLOOKUP(F128,'CFT Specific Data'!$F$4:$H$19,3,FALSE)*G128*
IF(B128=B127,
IF(AND(ISNUMBER(SEARCH("wheat",F128))=TRUE,ISNUMBER(SEARCH("Barley",F127))=TRUE),0.89,
IF(AND(ISNUMBER(SEARCH("wheat",F128))=TRUE,F127="setaside"),0.94,
IF(AND(ISNUMBER(SEARCH("barley",F128))=TRUE,ISNUMBER(SEARCH("wheat",F127))=TRUE),0.89,
IF(AND(F128="winterbarley",F127="setaside"),0.94,
IF(AND(F128="sugarbeet",F127="warepotatoes"),0.95,
IF(AND((OR(ISNUMBER(SEARCH("beans",F128)),ISNUMBER(SEARCH("driedpeas",F128)),ISNUMBER(SEARCH("sugarbeet",F128)))=TRUE),ISNUMBER(SEARCH("osr",F127))=TRUE),0,
IF(AND((OR((ISNUMBER(SEARCH("wheat",F128))),ISNUMBER(SEARCH("linseed",F128)),ISNUMBER(SEARCH("driedpeas",F128)),ISNUMBER(SEARCH("osr",F128)))=TRUE),F127="sugarbeet"),0,
IF(AND((OR((ISNUMBER(SEARCH("osr",F128))),ISNUMBER(SEARCH("linseed",F128)))=TRUE),ISNUMBER(SEARCH("beans",F127))=TRUE),0,
IF(AND(F128="wosr",ISNUMBER(SEARCH("linseed",F127))=TRUE),0,
IF(AND(F128="sugarbeet",F127="warepotatoes"),0,
1)))))))))),
IF(AND(ISNUMBER(SEARCH("wheat",F128))=TRUE,ISNUMBER(SEARCH("Barley",F133))=TRUE),0.89,
IF(AND(ISNUMBER(SEARCH("wheat",F128))=TRUE,F133="setaside"),0.94,
IF(AND(ISNUMBER(SEARCH("barley",F128))=TRUE,ISNUMBER(SEARCH("wheat",F133))=TRUE),0.89,
IF(AND(F128="winterbarley",F133="setaside"),0.94,
IF(AND(F128="sugarbeet",F133="warepotatoes"),0.95,
IF(AND((OR(ISNUMBER(SEARCH("beans",F128)),ISNUMBER(SEARCH("driedpeas",F128)),ISNUMBER(SEARCH("sugarbeet",F128)))=TRUE),ISNUMBER(SEARCH("osr",F133))=TRUE),0,
IF(AND((OR((ISNUMBER(SEARCH("wheat",F128))),ISNUMBER(SEARCH("linseed",F128)),ISNUMBER(SEARCH("driedpeas",F128)),ISNUMBER(SEARCH("osr",F128)))=TRUE),F133="sugarbeet"),0,
IF(AND((OR((ISNUMBER(SEARCH("osr",F128))),ISNUMBER(SEARCH("linseed",F128)))=TRUE),ISNUMBER(SEARCH("beans",F133))=TRUE),0,
IF(AND(F128="wosr",ISNUMBER(SEARCH("linseed",F133))=TRUE),0,
IF(AND(F128="sugarbeet",F133="warepotatoes"),0,
1)))))))))))
*IF(OR(ISNUMBER(SEARCH("wheat",F128)),ISNUMBER(SEARCH("barley",F128)),ISNUMBER(SEARCH("driedpeas",F128)),ISNUMBER(SEARCH("warepotatoes",F128)),ISNUMBER(SEARCH("osr",F128)),ISNUMBER(SEARCH("linseed",F128)),ISNUMBER(SEARCH("sugarbeet",F128))),
IF(COUNTIF(B123:B127,B128)=5,
INDEX('CFT Specific Data'!$G$24:$L$39,MATCH(F128,'CFT Specific Data'!$F$24:$F$39,0),IF(COUNTIF(F123:F127,F128)=5,6,IF(COUNTIF(F124:F127,F128)=4,5,IF(COUNTIF(F125:F127,F128)=3,4,IF(COUNTIF(F126:F127,F128)=2,3,IF(F127=F128,2,1)))))),
IF(COUNTIF(B123:B127,B128)=4,
INDEX('CFT Specific Data'!$G$24:$L$39,MATCH(F128,'CFT Specific Data'!$F$24:$F$39,0),IF(SUM(COUNTIF(F124:F127,F128),COUNTIF(F129,F128))=5,6,IF(COUNTIF(F124:F127,F128)=4,5,IF(COUNTIF(F125:F127,F128)=3,4,IF(COUNTIF(F126:F127,F128)=2,3,IF(F127=F128,2,1)))))),
IF(COUNTIF(B123:B127,B128)=3,
INDEX('CFT Specific Data'!$G$24:$L$39,MATCH(F128,'CFT Specific Data'!$F$24:$F$39,0),IF(SUM(COUNTIF(F125:F127,F128),COUNTIF(F129:F130,F128))=5,6,IF(SUM(COUNTIF(F125:F127,F128),COUNTIF(F130,F128))=4,5,IF(COUNTIF(F125:F127,F128)=3,4,IF(COUNTIF(F126:F127,F128)=2,3,IF(F127=F128,2,1)))))),
IF(COUNTIF(B123:B127,B128)=2,
INDEX('CFT Specific Data'!$G$24:$L$39,MATCH(F128,'CFT Specific Data'!$F$24:$F$39,0),IF(SUM(COUNTIF(F126:F127,F128),COUNTIF(F129:F131,F128))=5,6,IF(SUM(COUNTIF(F126:F127,F128),COUNTIF(F130:F131,F128))=4,5,IF(SUM(COUNTIF(F126:F127,F128),COUNTIF(F131,F128))=3,4,IF(COUNTIF(F126:F127,F128)=2,3,IF(F127=F128,2,1)))))),
IF(COUNTIF(B123:B127,B128)=1,
INDEX('CFT Specific Data'!$G$24:$L$39,MATCH(F128,'CFT Specific Data'!$F$24:$F$39,0),IF(SUM(COUNTIF(F127,F128),COUNTIF(F129:F132,F128))=5,6,IF(SUM(COUNTIF(F127,F128),COUNTIF(F130:F132,F128))=4,5,IF(SUM(COUNTIF(F127,F128),COUNTIF(F131:F132,F128))=3,4,IF(SUM(COUNTIF(F127,F128),COUNTIF(F132,F128))=2,3,IF(F127=F128,2,1)))))),
IF(COUNTIF(B123:B127,B128)=0,
INDEX('CFT Specific Data'!$G$24:$L$39,MATCH(F128,'CFT Specific Data'!$F$24:$F$39,0),IF(COUNTIF(F129:F133,F128)=5,6,IF(COUNTIF(F130:F133,F128)=4,5,IF(COUNTIF(F131:F133,F128)=3,4,IF(COUNTIF(F132:F133,F128)=2,3,IF(F133=F128,2,1)))))))))))),1)</f>
        <v>61.92</v>
      </c>
      <c r="I128" s="210" t="s">
        <v>348</v>
      </c>
      <c r="J128">
        <v>10</v>
      </c>
      <c r="K128" s="210" t="str">
        <f>VLOOKUP(F128,'CFT Specific Data'!$F$4:$G$19,2,FALSE)</f>
        <v>Winter wheat</v>
      </c>
      <c r="L128" t="str">
        <f t="shared" si="8"/>
        <v>Medium</v>
      </c>
      <c r="M128">
        <f t="shared" si="9"/>
        <v>4.4720000000000004</v>
      </c>
      <c r="N128" t="str">
        <f t="shared" si="10"/>
        <v>1.72 &lt; SOM &lt;= 5.16</v>
      </c>
      <c r="O128" t="s">
        <v>349</v>
      </c>
      <c r="P128" t="s">
        <v>350</v>
      </c>
      <c r="Q128">
        <v>7</v>
      </c>
      <c r="R128" t="str">
        <f t="shared" si="12"/>
        <v>5.5 &lt; pH &lt;= 7.3</v>
      </c>
      <c r="S128" t="s">
        <v>351</v>
      </c>
      <c r="T128" s="210">
        <f t="array" ref="T128">_xlfn.SINGLE(INDEX('Focus Data NFertiliser Rate'!$D$4:$P$19,MATCH(F128,'Focus Data NFertiliser Rate'!$C$4:$C$19,0),_xlfn.SINGLE(_xlfn.IFS(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250</v>
      </c>
      <c r="U128" t="str">
        <f t="shared" si="11"/>
        <v>Apply in solution</v>
      </c>
      <c r="V128" s="210">
        <f t="array" ref="V128">_xlfn.SINGLE(INDEX('№ Fertiliser sprayings'!$D$4:$P$19,MATCH(F128,'№ Fertiliser sprayings'!$C$4:$C$19,0),_xlfn.SINGLE(_xlfn.IFS(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3</v>
      </c>
      <c r="W128" s="264">
        <f t="array" ref="W128">_xlfn.SINGLE(INDEX('Focus Data CFT NSpraying'!$D$4:$P$19,MATCH(F128,'Focus Data CFT NSpraying'!$C$4:$C$19,0),_xlfn.SINGLE(_xlfn.IFS(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18.175999999999998</v>
      </c>
      <c r="X128" t="s">
        <v>363</v>
      </c>
      <c r="Y128">
        <v>0</v>
      </c>
      <c r="Z128">
        <v>100</v>
      </c>
      <c r="AA128" t="s">
        <v>352</v>
      </c>
      <c r="AB128" s="226" t="str">
        <f>IF(B128=B127,_xlfn.IFS(
AND(AA128=Lists!$L$8,AA127=Lists!$L$8),Lists!$N$5,
AND(OR(AA128=Lists!$L$5,AA128=Lists!$L$7,AA128=Lists!$L$9,AA128=Lists!$L$10,AA128=Lists!$L$6),OR(AA127=Lists!$L$5,AA127=Lists!$L$7,AA127=Lists!$L$9,AA127=Lists!$L$10,AA127=Lists!$L$6)),Lists!$N$5,
AND(AA128=Lists!$L$8,OR(AA127=Lists!$L$5,AA127=Lists!$L$7,AA127=Lists!$L$9,AA127=Lists!$L$10,AA127=Lists!$L$6)),Lists!$N$6,
AND(OR(AA128=Lists!$L$5,AA128=Lists!$L$6,AA128=Lists!$L$7,AA128=Lists!$L$9,AA128=Lists!$L$10),AA127=Lists!$L$8),Lists!$N$7),
_xlfn.IFS(
AND(AA128=Lists!$L$8,AA133=Lists!$L$8),Lists!$N$5,
AND(OR(AA128=Lists!$L$5,AA128=Lists!$L$7,AA128=Lists!$L$9,AA128=Lists!$L$10,AA128=Lists!$L$6),OR(AA133=Lists!$L$5,AA133=Lists!$L$7,AA133=Lists!$L$9,AA133=Lists!$L$10,AA133=Lists!$L$6)),Lists!$N$5,
AND(AA128=Lists!$L$8,OR(AA133=Lists!$L$5,AA133=Lists!$L$7,AA133=Lists!$L$9,AA133=Lists!$L$10,AA133=Lists!$L$6)),Lists!$N$6,
AND(OR(AA128=Lists!$L$5,AA128=Lists!$L$7,AA128=Lists!$L$9,AA128=Lists!$L$10),AA133=Lists!$L$8),Lists!$N$7))</f>
        <v>no change</v>
      </c>
      <c r="AC128">
        <v>0</v>
      </c>
      <c r="AD128">
        <v>0</v>
      </c>
      <c r="AE128" s="102">
        <f t="array" ref="AE128">IF(OR(ISNUMBER(SEARCH("heavy",A128))=TRUE, ISNUMBER(SEARCH("medium",A128))=TRUE),
(LEN(_xlfn.SINGLE(
INDEX('Focus Data Tillage by farm'!$D$4:$P$9,MATCH(D128,'Focus Data Tillage by farm'!$C$4:$C$9,0),_xlfn.SINGLE(_xlfn.IFS(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-LEN(SUBSTITUTE(_xlfn.SINGLE(
INDEX('Focus Data Tillage by farm'!$D$4:$P$9,MATCH(D128,'Focus Data Tillage by farm'!$C$4:$C$9,0),_xlfn.SINGLE(_xlfn.IFS(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"disc","")))/LEN("disc"),
(LEN(_xlfn.SINGLE(
INDEX('Focus Data Tillage by farm'!$D$12:$P$17,MATCH(D128,'Focus Data Tillage by farm'!$C$12:$C$17,0),_xlfn.SINGLE(_xlfn.IFS(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-LEN(SUBSTITUTE(_xlfn.SINGLE(
INDEX('Focus Data Tillage by farm'!$D$12:$P$17,MATCH(D128,'Focus Data Tillage by farm'!$C$12:$C$17,0),_xlfn.SINGLE(_xlfn.IFS(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"disc","")))/LEN("disc"))</f>
        <v>3</v>
      </c>
      <c r="AF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"field cultivator","")))/LEN("field cultivator"),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"field cultivator","")))/LEN("field cultivator"))</f>
        <v>0</v>
      </c>
      <c r="AG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"grain drill","")))/LEN("grain drill"),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"grain drill","")))/LEN("grain drill"))</f>
        <v>1</v>
      </c>
      <c r="AH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"minimum tillage","")))/LEN("minimum tillage"),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"minimum tillage","")))/LEN("minimum tillage"))</f>
        <v>0</v>
      </c>
      <c r="AI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"row crop planter","")))/LEN("row crop planter"),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"row crop planter","")))/LEN("row crop planter"))</f>
        <v>0</v>
      </c>
      <c r="AJ128" s="102">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"plough","")))/LEN("plough"),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"plough","")))/LEN("plough"))</f>
        <v>0</v>
      </c>
      <c r="AK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harrow","")))/LEN("roller harrow"),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harrow","")))/LEN("roller harrow"))</f>
        <v>0</v>
      </c>
      <c r="AL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packer","")))/LEN("roller packer"),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"roller packer","")))/LEN("roller packer"))</f>
        <v>2</v>
      </c>
      <c r="AM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"rotary hoe","")))/LEN("rotary hoe"),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"rotary hoe","")))/LEN("rotary hoe"))</f>
        <v>0</v>
      </c>
      <c r="AN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"subsoil","")))/LEN("subsoil"),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"subsoil","")))/LEN("subsoil"))</f>
        <v>0</v>
      </c>
      <c r="AO128">
        <f>IF(OR(ISNUMBER(SEARCH("heavy",A128))=TRUE, ISNUMBER(SEARCH("medium",A128))=TRUE),
(LEN(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farm'!$D$4:$P$9,MATCH(D128,'Focus Data Tillage by farm'!$C$4:$C$9,0),_xlfn.IFS(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"tine harrow","")))/LEN("tine harrow"),
(LEN(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-LEN(SUBSTITUTE(
INDEX('Focus Data Tillage by farm'!$D$12:$P$17,MATCH(D128,'Focus Data Tillage by farm'!$C$12:$C$17,0),_xlfn.IFS(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
"tine harrow","")))/LEN("tine harrow"))</f>
        <v>0</v>
      </c>
      <c r="AP128" s="102">
        <f>INDEX('Focus Data NSpraying'!$D$4:$P$19,MATCH(F128,'Focus Data NSpraying'!$C$4:$C$19,0),_xlfn.IFS(
AND(ISNUMBER(SEARCH("H-Dsty.",A128))=TRUE,ISNUMBER(SEARCH("H-Res",A128))=TRUE,ISNUMBER(SEARCH("E.",A128))=TRUE),1,
AND(ISNUMBER(SEARCH("H-Dsty.",A128))=TRUE,ISNUMBER(SEARCH("H-Res",A128))=TRUE,OR(ISNUMBER(SEARCH("N.he",A128))=TRUE,ISNUMBER(SEARCH("N.me",A128))=TRUE,ISNUMBER(SEARCH("N.li",A128))=TRUE)),2,
AND(ISNUMBER(SEARCH("H-Dsty.",A128))=TRUE,ISNUMBER(SEARCH("H-Res",A128))=TRUE,ISNUMBER(SEARCH("C.",A128))=TRUE),3,
AND(ISNUMBER(SEARCH("L-Dsty.",A128))=TRUE,ISNUMBER(SEARCH("H-Res",A128))=TRUE,ISNUMBER(SEARCH("E.",A128))=TRUE),6,
AND(ISNUMBER(SEARCH("L-Dsty.",A128))=TRUE,ISNUMBER(SEARCH("H-Res",A128))=TRUE,OR(ISNUMBER(SEARCH("N.he",A128))=TRUE,ISNUMBER(SEARCH("N.me",A128))=TRUE,ISNUMBER(SEARCH("N.li",A128))=TRUE)),7,
AND(ISNUMBER(SEARCH("L-Dsty.",A128))=TRUE,ISNUMBER(SEARCH("H-Res",A128))=TRUE,ISNUMBER(SEARCH("C.",A128))=TRUE),8,
AND(ISNUMBER(SEARCH("L-Dsty.",A128))=TRUE,ISNUMBER(SEARCH("L-Res",A128))=TRUE,ISNUMBER(SEARCH("E.",A128))=TRUE),11,
AND(ISNUMBER(SEARCH("L-Dsty.",A128))=TRUE,ISNUMBER(SEARCH("L-Res",A128))=TRUE,OR(ISNUMBER(SEARCH("N.he",A128))=TRUE,ISNUMBER(SEARCH("N.me",A128))=TRUE,ISNUMBER(SEARCH("N.li",A128))=TRUE)),12,
AND(ISNUMBER(SEARCH("L-Dsty.",A128))=TRUE,ISNUMBER(SEARCH("L-Res",A128))=TRUE,ISNUMBER(SEARCH("C.",A128))=TRUE),13))</f>
        <v>7</v>
      </c>
    </row>
    <row r="129" spans="1:42" x14ac:dyDescent="0.2">
      <c r="A129" t="s">
        <v>496</v>
      </c>
      <c r="B129" s="210" t="str">
        <f t="array" ref="B129">INDEX(ECOMOD_input_estimate!$A$2:$A$55, MATCH(CFT_input!$A129, ECOMOD_input_estimate!$B:$B, 0))</f>
        <v>FF_03.4</v>
      </c>
      <c r="C129" s="210">
        <v>2020</v>
      </c>
      <c r="D129" s="395" t="s">
        <v>730</v>
      </c>
      <c r="E129" s="210" t="str">
        <f t="shared" si="7"/>
        <v>C.medium.H-Dsty.H-Res</v>
      </c>
      <c r="F129" s="210" t="str">
        <f t="array" ref="F129">_xlfn.SINGLE(IF(OR(ISNUMBER(SEARCH("heavy",A129))=TRUE,ISNUMBER(SEARCH("medium",A129))=TRUE),
INDEX('Focus Data Crop Rotations'!$D$4:$P$9,MATCH(D129,'Focus Data Crop Rotations'!$C$4:$C$9,0),_xlfn.SINGLE(_xlfn.IFS(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INDEX('Focus Data Crop Rotations'!$D$12:$P$17,MATCH(D129,'Focus Data Crop Rotations'!$C$12:$C$17,0),_xlfn.SINGLE(_xlfn.IFS(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springbarley</v>
      </c>
      <c r="G129">
        <v>7.2</v>
      </c>
      <c r="H129" s="227">
        <f>VLOOKUP(F129,'CFT Specific Data'!$F$4:$H$19,3,FALSE)*G129*
IF(B129=B128,
IF(AND(ISNUMBER(SEARCH("wheat",F129))=TRUE,ISNUMBER(SEARCH("Barley",F128))=TRUE),0.89,
IF(AND(ISNUMBER(SEARCH("wheat",F129))=TRUE,F128="setaside"),0.94,
IF(AND(ISNUMBER(SEARCH("barley",F129))=TRUE,ISNUMBER(SEARCH("wheat",F128))=TRUE),0.89,
IF(AND(F129="winterbarley",F128="setaside"),0.94,
IF(AND(F129="sugarbeet",F128="warepotatoes"),0.95,
IF(AND((OR(ISNUMBER(SEARCH("beans",F129)),ISNUMBER(SEARCH("driedpeas",F129)),ISNUMBER(SEARCH("sugarbeet",F129)))=TRUE),ISNUMBER(SEARCH("osr",F128))=TRUE),0,
IF(AND((OR((ISNUMBER(SEARCH("wheat",F129))),ISNUMBER(SEARCH("linseed",F129)),ISNUMBER(SEARCH("driedpeas",F129)),ISNUMBER(SEARCH("osr",F129)))=TRUE),F128="sugarbeet"),0,
IF(AND((OR((ISNUMBER(SEARCH("osr",F129))),ISNUMBER(SEARCH("linseed",F129)))=TRUE),ISNUMBER(SEARCH("beans",F128))=TRUE),0,
IF(AND(F129="wosr",ISNUMBER(SEARCH("linseed",F128))=TRUE),0,
IF(AND(F129="sugarbeet",F128="warepotatoes"),0,
1)))))))))),
IF(AND(ISNUMBER(SEARCH("wheat",F129))=TRUE,ISNUMBER(SEARCH("Barley",F134))=TRUE),0.89,
IF(AND(ISNUMBER(SEARCH("wheat",F129))=TRUE,F134="setaside"),0.94,
IF(AND(ISNUMBER(SEARCH("barley",F129))=TRUE,ISNUMBER(SEARCH("wheat",F134))=TRUE),0.89,
IF(AND(F129="winterbarley",F134="setaside"),0.94,
IF(AND(F129="sugarbeet",F134="warepotatoes"),0.95,
IF(AND((OR(ISNUMBER(SEARCH("beans",F129)),ISNUMBER(SEARCH("driedpeas",F129)),ISNUMBER(SEARCH("sugarbeet",F129)))=TRUE),ISNUMBER(SEARCH("osr",F134))=TRUE),0,
IF(AND((OR((ISNUMBER(SEARCH("wheat",F129))),ISNUMBER(SEARCH("linseed",F129)),ISNUMBER(SEARCH("driedpeas",F129)),ISNUMBER(SEARCH("osr",F129)))=TRUE),F134="sugarbeet"),0,
IF(AND((OR((ISNUMBER(SEARCH("osr",F129))),ISNUMBER(SEARCH("linseed",F129)))=TRUE),ISNUMBER(SEARCH("beans",F134))=TRUE),0,
IF(AND(F129="wosr",ISNUMBER(SEARCH("linseed",F134))=TRUE),0,
IF(AND(F129="sugarbeet",F134="warepotatoes"),0,
1)))))))))))
*IF(OR(ISNUMBER(SEARCH("wheat",F129)),ISNUMBER(SEARCH("barley",F129)),ISNUMBER(SEARCH("driedpeas",F129)),ISNUMBER(SEARCH("warepotatoes",F129)),ISNUMBER(SEARCH("osr",F129)),ISNUMBER(SEARCH("linseed",F129)),ISNUMBER(SEARCH("sugarbeet",F129))),
IF(COUNTIF(B124:B128,B129)=5,
INDEX('CFT Specific Data'!$G$24:$L$39,MATCH(F129,'CFT Specific Data'!$F$24:$F$39,0),IF(COUNTIF(F124:F128,F129)=5,6,IF(COUNTIF(F125:F128,F129)=4,5,IF(COUNTIF(F126:F128,F129)=3,4,IF(COUNTIF(F127:F128,F129)=2,3,IF(F128=F129,2,1)))))),
IF(COUNTIF(B124:B128,B129)=4,
INDEX('CFT Specific Data'!$G$24:$L$39,MATCH(F129,'CFT Specific Data'!$F$24:$F$39,0),IF(SUM(COUNTIF(F125:F128,F129),COUNTIF(F130,F129))=5,6,IF(COUNTIF(F125:F128,F129)=4,5,IF(COUNTIF(F126:F128,F129)=3,4,IF(COUNTIF(F127:F128,F129)=2,3,IF(F128=F129,2,1)))))),
IF(COUNTIF(B124:B128,B129)=3,
INDEX('CFT Specific Data'!$G$24:$L$39,MATCH(F129,'CFT Specific Data'!$F$24:$F$39,0),IF(SUM(COUNTIF(F126:F128,F129),COUNTIF(F130:F131,F129))=5,6,IF(SUM(COUNTIF(F126:F128,F129),COUNTIF(F131,F129))=4,5,IF(COUNTIF(F126:F128,F129)=3,4,IF(COUNTIF(F127:F128,F129)=2,3,IF(F128=F129,2,1)))))),
IF(COUNTIF(B124:B128,B129)=2,
INDEX('CFT Specific Data'!$G$24:$L$39,MATCH(F129,'CFT Specific Data'!$F$24:$F$39,0),IF(SUM(COUNTIF(F127:F128,F129),COUNTIF(F130:F132,F129))=5,6,IF(SUM(COUNTIF(F127:F128,F129),COUNTIF(F131:F132,F129))=4,5,IF(SUM(COUNTIF(F127:F128,F129),COUNTIF(F132,F129))=3,4,IF(COUNTIF(F127:F128,F129)=2,3,IF(F128=F129,2,1)))))),
IF(COUNTIF(B124:B128,B129)=1,
INDEX('CFT Specific Data'!$G$24:$L$39,MATCH(F129,'CFT Specific Data'!$F$24:$F$39,0),IF(SUM(COUNTIF(F128,F129),COUNTIF(F130:F133,F129))=5,6,IF(SUM(COUNTIF(F128,F129),COUNTIF(F131:F133,F129))=4,5,IF(SUM(COUNTIF(F128,F129),COUNTIF(F132:F133,F129))=3,4,IF(SUM(COUNTIF(F128,F129),COUNTIF(F133,F129))=2,3,IF(F128=F129,2,1)))))),
IF(COUNTIF(B124:B128,B129)=0,
INDEX('CFT Specific Data'!$G$24:$L$39,MATCH(F129,'CFT Specific Data'!$F$24:$F$39,0),IF(COUNTIF(F130:F134,F129)=5,6,IF(COUNTIF(F131:F134,F129)=4,5,IF(COUNTIF(F132:F134,F129)=3,4,IF(COUNTIF(F133:F134,F129)=2,3,IF(F134=F129,2,1)))))))))))),1)</f>
        <v>36.525599999999997</v>
      </c>
      <c r="I129" s="210" t="s">
        <v>348</v>
      </c>
      <c r="J129">
        <v>10</v>
      </c>
      <c r="K129" s="210" t="str">
        <f>VLOOKUP(F129,'CFT Specific Data'!$F$4:$G$19,2,FALSE)</f>
        <v>Barley</v>
      </c>
      <c r="L129" t="str">
        <f t="shared" si="8"/>
        <v>Medium</v>
      </c>
      <c r="M129">
        <f t="shared" si="9"/>
        <v>4.4720000000000004</v>
      </c>
      <c r="N129" t="str">
        <f t="shared" si="10"/>
        <v>1.72 &lt; SOM &lt;= 5.16</v>
      </c>
      <c r="O129" t="s">
        <v>349</v>
      </c>
      <c r="P129" t="s">
        <v>350</v>
      </c>
      <c r="Q129">
        <v>7</v>
      </c>
      <c r="R129" t="str">
        <f t="shared" si="12"/>
        <v>5.5 &lt; pH &lt;= 7.3</v>
      </c>
      <c r="S129" t="s">
        <v>351</v>
      </c>
      <c r="T129" s="210">
        <f t="array" ref="T129">_xlfn.SINGLE(INDEX('Focus Data NFertiliser Rate'!$D$4:$P$19,MATCH(F129,'Focus Data NFertiliser Rate'!$C$4:$C$19,0),_xlfn.SINGLE(_xlfn.IFS(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150</v>
      </c>
      <c r="U129" t="str">
        <f t="shared" si="11"/>
        <v>Apply in solution</v>
      </c>
      <c r="V129" s="210">
        <f t="array" ref="V129">_xlfn.SINGLE(INDEX('№ Fertiliser sprayings'!$D$4:$P$19,MATCH(F129,'№ Fertiliser sprayings'!$C$4:$C$19,0),_xlfn.SINGLE(_xlfn.IFS(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1</v>
      </c>
      <c r="W129" s="264">
        <f t="array" ref="W129">_xlfn.SINGLE(INDEX('Focus Data CFT NSpraying'!$D$4:$P$19,MATCH(F129,'Focus Data CFT NSpraying'!$C$4:$C$19,0),_xlfn.SINGLE(_xlfn.IFS(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9.2560000000000002</v>
      </c>
      <c r="X129" t="s">
        <v>363</v>
      </c>
      <c r="Y129">
        <v>0</v>
      </c>
      <c r="Z129">
        <v>100</v>
      </c>
      <c r="AA129" t="s">
        <v>352</v>
      </c>
      <c r="AB129" s="226" t="str">
        <f>IF(B129=B128,_xlfn.IFS(
AND(AA129=Lists!$L$8,AA128=Lists!$L$8),Lists!$N$5,
AND(OR(AA129=Lists!$L$5,AA129=Lists!$L$7,AA129=Lists!$L$9,AA129=Lists!$L$10,AA129=Lists!$L$6),OR(AA128=Lists!$L$5,AA128=Lists!$L$7,AA128=Lists!$L$9,AA128=Lists!$L$10,AA128=Lists!$L$6)),Lists!$N$5,
AND(AA129=Lists!$L$8,OR(AA128=Lists!$L$5,AA128=Lists!$L$7,AA128=Lists!$L$9,AA128=Lists!$L$10,AA128=Lists!$L$6)),Lists!$N$6,
AND(OR(AA129=Lists!$L$5,AA129=Lists!$L$6,AA129=Lists!$L$7,AA129=Lists!$L$9,AA129=Lists!$L$10),AA128=Lists!$L$8),Lists!$N$7),
_xlfn.IFS(
AND(AA129=Lists!$L$8,AA134=Lists!$L$8),Lists!$N$5,
AND(OR(AA129=Lists!$L$5,AA129=Lists!$L$7,AA129=Lists!$L$9,AA129=Lists!$L$10,AA129=Lists!$L$6),OR(AA134=Lists!$L$5,AA134=Lists!$L$7,AA134=Lists!$L$9,AA134=Lists!$L$10,AA134=Lists!$L$6)),Lists!$N$5,
AND(AA129=Lists!$L$8,OR(AA134=Lists!$L$5,AA134=Lists!$L$7,AA134=Lists!$L$9,AA134=Lists!$L$10,AA134=Lists!$L$6)),Lists!$N$6,
AND(OR(AA129=Lists!$L$5,AA129=Lists!$L$7,AA129=Lists!$L$9,AA129=Lists!$L$10),AA134=Lists!$L$8),Lists!$N$7))</f>
        <v>no change</v>
      </c>
      <c r="AC129">
        <v>0</v>
      </c>
      <c r="AD129">
        <v>0</v>
      </c>
      <c r="AE129" s="102">
        <f t="array" ref="AE129">IF(OR(ISNUMBER(SEARCH("heavy",A129))=TRUE, ISNUMBER(SEARCH("medium",A129))=TRUE),
(LEN(_xlfn.SINGLE(
INDEX('Focus Data Tillage by farm'!$D$4:$P$9,MATCH(D129,'Focus Data Tillage by farm'!$C$4:$C$9,0),_xlfn.SINGLE(_xlfn.IFS(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-LEN(SUBSTITUTE(_xlfn.SINGLE(
INDEX('Focus Data Tillage by farm'!$D$4:$P$9,MATCH(D129,'Focus Data Tillage by farm'!$C$4:$C$9,0),_xlfn.SINGLE(_xlfn.IFS(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"disc","")))/LEN("disc"),
(LEN(_xlfn.SINGLE(
INDEX('Focus Data Tillage by farm'!$D$12:$P$17,MATCH(D129,'Focus Data Tillage by farm'!$C$12:$C$17,0),_xlfn.SINGLE(_xlfn.IFS(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-LEN(SUBSTITUTE(_xlfn.SINGLE(
INDEX('Focus Data Tillage by farm'!$D$12:$P$17,MATCH(D129,'Focus Data Tillage by farm'!$C$12:$C$17,0),_xlfn.SINGLE(_xlfn.IFS(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"disc","")))/LEN("disc"))</f>
        <v>4</v>
      </c>
      <c r="AF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"field cultivator","")))/LEN("field cultivator"),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"field cultivator","")))/LEN("field cultivator"))</f>
        <v>0</v>
      </c>
      <c r="AG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"grain drill","")))/LEN("grain drill"),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"grain drill","")))/LEN("grain drill"))</f>
        <v>1</v>
      </c>
      <c r="AH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"minimum tillage","")))/LEN("minimum tillage"),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"minimum tillage","")))/LEN("minimum tillage"))</f>
        <v>0</v>
      </c>
      <c r="AI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"row crop planter","")))/LEN("row crop planter"),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"row crop planter","")))/LEN("row crop planter"))</f>
        <v>0</v>
      </c>
      <c r="AJ129" s="102">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"plough","")))/LEN("plough"),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"plough","")))/LEN("plough"))</f>
        <v>0</v>
      </c>
      <c r="AK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harrow","")))/LEN("roller harrow"),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harrow","")))/LEN("roller harrow"))</f>
        <v>0</v>
      </c>
      <c r="AL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packer","")))/LEN("roller packer"),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"roller packer","")))/LEN("roller packer"))</f>
        <v>2</v>
      </c>
      <c r="AM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"rotary hoe","")))/LEN("rotary hoe"),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"rotary hoe","")))/LEN("rotary hoe"))</f>
        <v>0</v>
      </c>
      <c r="AN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"subsoil","")))/LEN("subsoil"),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"subsoil","")))/LEN("subsoil"))</f>
        <v>0</v>
      </c>
      <c r="AO129">
        <f>IF(OR(ISNUMBER(SEARCH("heavy",A129))=TRUE, ISNUMBER(SEARCH("medium",A129))=TRUE),
(LEN(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farm'!$D$4:$P$9,MATCH(D129,'Focus Data Tillage by farm'!$C$4:$C$9,0),_xlfn.IFS(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"tine harrow","")))/LEN("tine harrow"),
(LEN(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-LEN(SUBSTITUTE(
INDEX('Focus Data Tillage by farm'!$D$12:$P$17,MATCH(D129,'Focus Data Tillage by farm'!$C$12:$C$17,0),_xlfn.IFS(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
"tine harrow","")))/LEN("tine harrow"))</f>
        <v>0</v>
      </c>
      <c r="AP129" s="102">
        <f>INDEX('Focus Data NSpraying'!$D$4:$P$19,MATCH(F129,'Focus Data NSpraying'!$C$4:$C$19,0),_xlfn.IFS(
AND(ISNUMBER(SEARCH("H-Dsty.",A129))=TRUE,ISNUMBER(SEARCH("H-Res",A129))=TRUE,ISNUMBER(SEARCH("E.",A129))=TRUE),1,
AND(ISNUMBER(SEARCH("H-Dsty.",A129))=TRUE,ISNUMBER(SEARCH("H-Res",A129))=TRUE,OR(ISNUMBER(SEARCH("N.he",A129))=TRUE,ISNUMBER(SEARCH("N.me",A129))=TRUE,ISNUMBER(SEARCH("N.li",A129))=TRUE)),2,
AND(ISNUMBER(SEARCH("H-Dsty.",A129))=TRUE,ISNUMBER(SEARCH("H-Res",A129))=TRUE,ISNUMBER(SEARCH("C.",A129))=TRUE),3,
AND(ISNUMBER(SEARCH("L-Dsty.",A129))=TRUE,ISNUMBER(SEARCH("H-Res",A129))=TRUE,ISNUMBER(SEARCH("E.",A129))=TRUE),6,
AND(ISNUMBER(SEARCH("L-Dsty.",A129))=TRUE,ISNUMBER(SEARCH("H-Res",A129))=TRUE,OR(ISNUMBER(SEARCH("N.he",A129))=TRUE,ISNUMBER(SEARCH("N.me",A129))=TRUE,ISNUMBER(SEARCH("N.li",A129))=TRUE)),7,
AND(ISNUMBER(SEARCH("L-Dsty.",A129))=TRUE,ISNUMBER(SEARCH("H-Res",A129))=TRUE,ISNUMBER(SEARCH("C.",A129))=TRUE),8,
AND(ISNUMBER(SEARCH("L-Dsty.",A129))=TRUE,ISNUMBER(SEARCH("L-Res",A129))=TRUE,ISNUMBER(SEARCH("E.",A129))=TRUE),11,
AND(ISNUMBER(SEARCH("L-Dsty.",A129))=TRUE,ISNUMBER(SEARCH("L-Res",A129))=TRUE,OR(ISNUMBER(SEARCH("N.he",A129))=TRUE,ISNUMBER(SEARCH("N.me",A129))=TRUE,ISNUMBER(SEARCH("N.li",A129))=TRUE)),12,
AND(ISNUMBER(SEARCH("L-Dsty.",A129))=TRUE,ISNUMBER(SEARCH("L-Res",A129))=TRUE,ISNUMBER(SEARCH("C.",A129))=TRUE),13))</f>
        <v>6</v>
      </c>
    </row>
    <row r="130" spans="1:42" x14ac:dyDescent="0.2">
      <c r="A130" t="s">
        <v>496</v>
      </c>
      <c r="B130" s="210" t="str">
        <f t="array" ref="B130">INDEX(ECOMOD_input_estimate!$A$2:$A$55, MATCH(CFT_input!$A130, ECOMOD_input_estimate!$B:$B, 0))</f>
        <v>FF_03.4</v>
      </c>
      <c r="C130" s="210">
        <v>2020</v>
      </c>
      <c r="D130" s="395" t="s">
        <v>1694</v>
      </c>
      <c r="E130" s="210" t="str">
        <f t="shared" si="7"/>
        <v>C.medium.H-Dsty.H-Res</v>
      </c>
      <c r="F130" s="210" t="str">
        <f t="array" ref="F130">_xlfn.SINGLE(IF(OR(ISNUMBER(SEARCH("heavy",A130))=TRUE,ISNUMBER(SEARCH("medium",A130))=TRUE),
INDEX('Focus Data Crop Rotations'!$D$4:$P$9,MATCH(D130,'Focus Data Crop Rotations'!$C$4:$C$9,0),_xlfn.SINGLE(_xlfn.IFS(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INDEX('Focus Data Crop Rotations'!$D$12:$P$17,MATCH(D130,'Focus Data Crop Rotations'!$C$12:$C$17,0),_xlfn.SINGLE(_xlfn.IFS(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springbeans</v>
      </c>
      <c r="G130">
        <v>7.2</v>
      </c>
      <c r="H130" s="227">
        <f>VLOOKUP(F130,'CFT Specific Data'!$F$4:$H$19,3,FALSE)*G130*
IF(B130=B129,
IF(AND(ISNUMBER(SEARCH("wheat",F130))=TRUE,ISNUMBER(SEARCH("Barley",F129))=TRUE),0.89,
IF(AND(ISNUMBER(SEARCH("wheat",F130))=TRUE,F129="setaside"),0.94,
IF(AND(ISNUMBER(SEARCH("barley",F130))=TRUE,ISNUMBER(SEARCH("wheat",F129))=TRUE),0.89,
IF(AND(F130="winterbarley",F129="setaside"),0.94,
IF(AND(F130="sugarbeet",F129="warepotatoes"),0.95,
IF(AND((OR(ISNUMBER(SEARCH("beans",F130)),ISNUMBER(SEARCH("driedpeas",F130)),ISNUMBER(SEARCH("sugarbeet",F130)))=TRUE),ISNUMBER(SEARCH("osr",F129))=TRUE),0,
IF(AND((OR((ISNUMBER(SEARCH("wheat",F130))),ISNUMBER(SEARCH("linseed",F130)),ISNUMBER(SEARCH("driedpeas",F130)),ISNUMBER(SEARCH("osr",F130)))=TRUE),F129="sugarbeet"),0,
IF(AND((OR((ISNUMBER(SEARCH("osr",F130))),ISNUMBER(SEARCH("linseed",F130)))=TRUE),ISNUMBER(SEARCH("beans",F129))=TRUE),0,
IF(AND(F130="wosr",ISNUMBER(SEARCH("linseed",F129))=TRUE),0,
IF(AND(F130="sugarbeet",F129="warepotatoes"),0,
1)))))))))),
IF(AND(ISNUMBER(SEARCH("wheat",F130))=TRUE,ISNUMBER(SEARCH("Barley",F135))=TRUE),0.89,
IF(AND(ISNUMBER(SEARCH("wheat",F130))=TRUE,F135="setaside"),0.94,
IF(AND(ISNUMBER(SEARCH("barley",F130))=TRUE,ISNUMBER(SEARCH("wheat",F135))=TRUE),0.89,
IF(AND(F130="winterbarley",F135="setaside"),0.94,
IF(AND(F130="sugarbeet",F135="warepotatoes"),0.95,
IF(AND((OR(ISNUMBER(SEARCH("beans",F130)),ISNUMBER(SEARCH("driedpeas",F130)),ISNUMBER(SEARCH("sugarbeet",F130)))=TRUE),ISNUMBER(SEARCH("osr",F135))=TRUE),0,
IF(AND((OR((ISNUMBER(SEARCH("wheat",F130))),ISNUMBER(SEARCH("linseed",F130)),ISNUMBER(SEARCH("driedpeas",F130)),ISNUMBER(SEARCH("osr",F130)))=TRUE),F135="sugarbeet"),0,
IF(AND((OR((ISNUMBER(SEARCH("osr",F130))),ISNUMBER(SEARCH("linseed",F130)))=TRUE),ISNUMBER(SEARCH("beans",F135))=TRUE),0,
IF(AND(F130="wosr",ISNUMBER(SEARCH("linseed",F135))=TRUE),0,
IF(AND(F130="sugarbeet",F135="warepotatoes"),0,
1)))))))))))
*IF(OR(ISNUMBER(SEARCH("wheat",F130)),ISNUMBER(SEARCH("barley",F130)),ISNUMBER(SEARCH("driedpeas",F130)),ISNUMBER(SEARCH("warepotatoes",F130)),ISNUMBER(SEARCH("osr",F130)),ISNUMBER(SEARCH("linseed",F130)),ISNUMBER(SEARCH("sugarbeet",F130))),
IF(COUNTIF(B125:B129,B130)=5,
INDEX('CFT Specific Data'!$G$24:$L$39,MATCH(F130,'CFT Specific Data'!$F$24:$F$39,0),IF(COUNTIF(F125:F129,F130)=5,6,IF(COUNTIF(F126:F129,F130)=4,5,IF(COUNTIF(F127:F129,F130)=3,4,IF(COUNTIF(F128:F129,F130)=2,3,IF(F129=F130,2,1)))))),
IF(COUNTIF(B125:B129,B130)=4,
INDEX('CFT Specific Data'!$G$24:$L$39,MATCH(F130,'CFT Specific Data'!$F$24:$F$39,0),IF(SUM(COUNTIF(F126:F129,F130),COUNTIF(F131,F130))=5,6,IF(COUNTIF(F126:F129,F130)=4,5,IF(COUNTIF(F127:F129,F130)=3,4,IF(COUNTIF(F128:F129,F130)=2,3,IF(F129=F130,2,1)))))),
IF(COUNTIF(B125:B129,B130)=3,
INDEX('CFT Specific Data'!$G$24:$L$39,MATCH(F130,'CFT Specific Data'!$F$24:$F$39,0),IF(SUM(COUNTIF(F127:F129,F130),COUNTIF(F131:F132,F130))=5,6,IF(SUM(COUNTIF(F127:F129,F130),COUNTIF(F132,F130))=4,5,IF(COUNTIF(F127:F129,F130)=3,4,IF(COUNTIF(F128:F129,F130)=2,3,IF(F129=F130,2,1)))))),
IF(COUNTIF(B125:B129,B130)=2,
INDEX('CFT Specific Data'!$G$24:$L$39,MATCH(F130,'CFT Specific Data'!$F$24:$F$39,0),IF(SUM(COUNTIF(F128:F129,F130),COUNTIF(F131:F133,F130))=5,6,IF(SUM(COUNTIF(F128:F129,F130),COUNTIF(F132:F133,F130))=4,5,IF(SUM(COUNTIF(F128:F129,F130),COUNTIF(F133,F130))=3,4,IF(COUNTIF(F128:F129,F130)=2,3,IF(F129=F130,2,1)))))),
IF(COUNTIF(B125:B129,B130)=1,
INDEX('CFT Specific Data'!$G$24:$L$39,MATCH(F130,'CFT Specific Data'!$F$24:$F$39,0),IF(SUM(COUNTIF(F129,F130),COUNTIF(F131:F134,F130))=5,6,IF(SUM(COUNTIF(F129,F130),COUNTIF(F132:F134,F130))=4,5,IF(SUM(COUNTIF(F129,F130),COUNTIF(F133:F134,F130))=3,4,IF(SUM(COUNTIF(F129,F130),COUNTIF(F134,F130))=2,3,IF(F129=F130,2,1)))))),
IF(COUNTIF(B125:B129,B130)=0,
INDEX('CFT Specific Data'!$G$24:$L$39,MATCH(F130,'CFT Specific Data'!$F$24:$F$39,0),IF(COUNTIF(F131:F135,F130)=5,6,IF(COUNTIF(F132:F135,F130)=4,5,IF(COUNTIF(F133:F135,F130)=3,4,IF(COUNTIF(F134:F135,F130)=2,3,IF(F135=F130,2,1)))))))))))),1)</f>
        <v>28.08</v>
      </c>
      <c r="I130" s="210" t="s">
        <v>348</v>
      </c>
      <c r="J130">
        <v>10</v>
      </c>
      <c r="K130" s="210" t="str">
        <f>VLOOKUP(F130,'CFT Specific Data'!$F$4:$G$19,2,FALSE)</f>
        <v>Other legume</v>
      </c>
      <c r="L130" t="str">
        <f t="shared" si="8"/>
        <v>Medium</v>
      </c>
      <c r="M130">
        <f t="shared" si="9"/>
        <v>4.4720000000000004</v>
      </c>
      <c r="N130" t="str">
        <f t="shared" si="10"/>
        <v>1.72 &lt; SOM &lt;= 5.16</v>
      </c>
      <c r="O130" t="s">
        <v>349</v>
      </c>
      <c r="P130" t="s">
        <v>350</v>
      </c>
      <c r="Q130">
        <v>7</v>
      </c>
      <c r="R130" t="str">
        <f t="shared" si="12"/>
        <v>5.5 &lt; pH &lt;= 7.3</v>
      </c>
      <c r="S130" t="s">
        <v>351</v>
      </c>
      <c r="T130" s="210">
        <f t="array" ref="T130">_xlfn.SINGLE(INDEX('Focus Data NFertiliser Rate'!$D$4:$P$19,MATCH(F130,'Focus Data NFertiliser Rate'!$C$4:$C$19,0),_xlfn.SINGLE(_xlfn.IFS(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0</v>
      </c>
      <c r="U130">
        <f t="shared" si="11"/>
        <v>0</v>
      </c>
      <c r="V130" s="210">
        <f t="array" ref="V130">_xlfn.SINGLE(INDEX('№ Fertiliser sprayings'!$D$4:$P$19,MATCH(F130,'№ Fertiliser sprayings'!$C$4:$C$19,0),_xlfn.SINGLE(_xlfn.IFS(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0</v>
      </c>
      <c r="W130" s="264">
        <f t="array" ref="W130">_xlfn.SINGLE(INDEX('Focus Data CFT NSpraying'!$D$4:$P$19,MATCH(F130,'Focus Data CFT NSpraying'!$C$4:$C$19,0),_xlfn.SINGLE(_xlfn.IFS(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10.989600000000001</v>
      </c>
      <c r="X130" t="s">
        <v>363</v>
      </c>
      <c r="Y130">
        <v>0</v>
      </c>
      <c r="Z130">
        <v>100</v>
      </c>
      <c r="AA130" t="s">
        <v>352</v>
      </c>
      <c r="AB130" s="226" t="str">
        <f>IF(B130=B129,_xlfn.IFS(
AND(AA130=Lists!$L$8,AA129=Lists!$L$8),Lists!$N$5,
AND(OR(AA130=Lists!$L$5,AA130=Lists!$L$7,AA130=Lists!$L$9,AA130=Lists!$L$10,AA130=Lists!$L$6),OR(AA129=Lists!$L$5,AA129=Lists!$L$7,AA129=Lists!$L$9,AA129=Lists!$L$10,AA129=Lists!$L$6)),Lists!$N$5,
AND(AA130=Lists!$L$8,OR(AA129=Lists!$L$5,AA129=Lists!$L$7,AA129=Lists!$L$9,AA129=Lists!$L$10,AA129=Lists!$L$6)),Lists!$N$6,
AND(OR(AA130=Lists!$L$5,AA130=Lists!$L$6,AA130=Lists!$L$7,AA130=Lists!$L$9,AA130=Lists!$L$10),AA129=Lists!$L$8),Lists!$N$7),
_xlfn.IFS(
AND(AA130=Lists!$L$8,AA135=Lists!$L$8),Lists!$N$5,
AND(OR(AA130=Lists!$L$5,AA130=Lists!$L$7,AA130=Lists!$L$9,AA130=Lists!$L$10,AA130=Lists!$L$6),OR(AA135=Lists!$L$5,AA135=Lists!$L$7,AA135=Lists!$L$9,AA135=Lists!$L$10,AA135=Lists!$L$6)),Lists!$N$5,
AND(AA130=Lists!$L$8,OR(AA135=Lists!$L$5,AA135=Lists!$L$7,AA135=Lists!$L$9,AA135=Lists!$L$10,AA135=Lists!$L$6)),Lists!$N$6,
AND(OR(AA130=Lists!$L$5,AA130=Lists!$L$7,AA130=Lists!$L$9,AA130=Lists!$L$10),AA135=Lists!$L$8),Lists!$N$7))</f>
        <v>no change</v>
      </c>
      <c r="AC130">
        <v>0</v>
      </c>
      <c r="AD130">
        <v>0</v>
      </c>
      <c r="AE130" s="102">
        <f t="array" ref="AE130">IF(OR(ISNUMBER(SEARCH("heavy",A130))=TRUE, ISNUMBER(SEARCH("medium",A130))=TRUE),
(LEN(_xlfn.SINGLE(
INDEX('Focus Data Tillage by farm'!$D$4:$P$9,MATCH(D130,'Focus Data Tillage by farm'!$C$4:$C$9,0),_xlfn.SINGLE(_xlfn.IFS(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-LEN(SUBSTITUTE(_xlfn.SINGLE(
INDEX('Focus Data Tillage by farm'!$D$4:$P$9,MATCH(D130,'Focus Data Tillage by farm'!$C$4:$C$9,0),_xlfn.SINGLE(_xlfn.IFS(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"disc","")))/LEN("disc"),
(LEN(_xlfn.SINGLE(
INDEX('Focus Data Tillage by farm'!$D$12:$P$17,MATCH(D130,'Focus Data Tillage by farm'!$C$12:$C$17,0),_xlfn.SINGLE(_xlfn.IFS(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-LEN(SUBSTITUTE(_xlfn.SINGLE(
INDEX('Focus Data Tillage by farm'!$D$12:$P$17,MATCH(D130,'Focus Data Tillage by farm'!$C$12:$C$17,0),_xlfn.SINGLE(_xlfn.IFS(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"disc","")))/LEN("disc"))</f>
        <v>4</v>
      </c>
      <c r="AF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"field cultivator","")))/LEN("field cultivator"),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"field cultivator","")))/LEN("field cultivator"))</f>
        <v>0</v>
      </c>
      <c r="AG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"grain drill","")))/LEN("grain drill"),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"grain drill","")))/LEN("grain drill"))</f>
        <v>1</v>
      </c>
      <c r="AH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"minimum tillage","")))/LEN("minimum tillage"),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"minimum tillage","")))/LEN("minimum tillage"))</f>
        <v>0</v>
      </c>
      <c r="AI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"row crop planter","")))/LEN("row crop planter"),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"row crop planter","")))/LEN("row crop planter"))</f>
        <v>0</v>
      </c>
      <c r="AJ130" s="102">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"plough","")))/LEN("plough"),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"plough","")))/LEN("plough"))</f>
        <v>1</v>
      </c>
      <c r="AK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harrow","")))/LEN("roller harrow"),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harrow","")))/LEN("roller harrow"))</f>
        <v>1</v>
      </c>
      <c r="AL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packer","")))/LEN("roller packer"),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"roller packer","")))/LEN("roller packer"))</f>
        <v>2</v>
      </c>
      <c r="AM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"rotary hoe","")))/LEN("rotary hoe"),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"rotary hoe","")))/LEN("rotary hoe"))</f>
        <v>0</v>
      </c>
      <c r="AN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"subsoil","")))/LEN("subsoil"),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"subsoil","")))/LEN("subsoil"))</f>
        <v>0</v>
      </c>
      <c r="AO130">
        <f>IF(OR(ISNUMBER(SEARCH("heavy",A130))=TRUE, ISNUMBER(SEARCH("medium",A130))=TRUE),
(LEN(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farm'!$D$4:$P$9,MATCH(D130,'Focus Data Tillage by farm'!$C$4:$C$9,0),_xlfn.IFS(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"tine harrow","")))/LEN("tine harrow"),
(LEN(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-LEN(SUBSTITUTE(
INDEX('Focus Data Tillage by farm'!$D$12:$P$17,MATCH(D130,'Focus Data Tillage by farm'!$C$12:$C$17,0),_xlfn.IFS(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
"tine harrow","")))/LEN("tine harrow"))</f>
        <v>0</v>
      </c>
      <c r="AP130" s="102">
        <f>INDEX('Focus Data NSpraying'!$D$4:$P$19,MATCH(F130,'Focus Data NSpraying'!$C$4:$C$19,0),_xlfn.IFS(
AND(ISNUMBER(SEARCH("H-Dsty.",A130))=TRUE,ISNUMBER(SEARCH("H-Res",A130))=TRUE,ISNUMBER(SEARCH("E.",A130))=TRUE),1,
AND(ISNUMBER(SEARCH("H-Dsty.",A130))=TRUE,ISNUMBER(SEARCH("H-Res",A130))=TRUE,OR(ISNUMBER(SEARCH("N.he",A130))=TRUE,ISNUMBER(SEARCH("N.me",A130))=TRUE,ISNUMBER(SEARCH("N.li",A130))=TRUE)),2,
AND(ISNUMBER(SEARCH("H-Dsty.",A130))=TRUE,ISNUMBER(SEARCH("H-Res",A130))=TRUE,ISNUMBER(SEARCH("C.",A130))=TRUE),3,
AND(ISNUMBER(SEARCH("L-Dsty.",A130))=TRUE,ISNUMBER(SEARCH("H-Res",A130))=TRUE,ISNUMBER(SEARCH("E.",A130))=TRUE),6,
AND(ISNUMBER(SEARCH("L-Dsty.",A130))=TRUE,ISNUMBER(SEARCH("H-Res",A130))=TRUE,OR(ISNUMBER(SEARCH("N.he",A130))=TRUE,ISNUMBER(SEARCH("N.me",A130))=TRUE,ISNUMBER(SEARCH("N.li",A130))=TRUE)),7,
AND(ISNUMBER(SEARCH("L-Dsty.",A130))=TRUE,ISNUMBER(SEARCH("H-Res",A130))=TRUE,ISNUMBER(SEARCH("C.",A130))=TRUE),8,
AND(ISNUMBER(SEARCH("L-Dsty.",A130))=TRUE,ISNUMBER(SEARCH("L-Res",A130))=TRUE,ISNUMBER(SEARCH("E.",A130))=TRUE),11,
AND(ISNUMBER(SEARCH("L-Dsty.",A130))=TRUE,ISNUMBER(SEARCH("L-Res",A130))=TRUE,OR(ISNUMBER(SEARCH("N.he",A130))=TRUE,ISNUMBER(SEARCH("N.me",A130))=TRUE,ISNUMBER(SEARCH("N.li",A130))=TRUE)),12,
AND(ISNUMBER(SEARCH("L-Dsty.",A130))=TRUE,ISNUMBER(SEARCH("L-Res",A130))=TRUE,ISNUMBER(SEARCH("C.",A130))=TRUE),13))</f>
        <v>6</v>
      </c>
    </row>
    <row r="131" spans="1:42" x14ac:dyDescent="0.2">
      <c r="A131" t="s">
        <v>496</v>
      </c>
      <c r="B131" s="210" t="str">
        <f t="array" ref="B131">INDEX(ECOMOD_input_estimate!$A$2:$A$55, MATCH(CFT_input!$A131, ECOMOD_input_estimate!$B:$B, 0))</f>
        <v>FF_03.4</v>
      </c>
      <c r="C131" s="210">
        <v>2020</v>
      </c>
      <c r="D131" s="395" t="s">
        <v>1695</v>
      </c>
      <c r="E131" s="210" t="str">
        <f t="shared" ref="E131:E163" si="13">A131</f>
        <v>C.medium.H-Dsty.H-Res</v>
      </c>
      <c r="F131" s="210" t="str">
        <f t="array" ref="F131">_xlfn.SINGLE(IF(OR(ISNUMBER(SEARCH("heavy",A131))=TRUE,ISNUMBER(SEARCH("medium",A131))=TRUE),
INDEX('Focus Data Crop Rotations'!$D$4:$P$9,MATCH(D131,'Focus Data Crop Rotations'!$C$4:$C$9,0),_xlfn.SINGLE(_xlfn.IFS(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INDEX('Focus Data Crop Rotations'!$D$12:$P$17,MATCH(D131,'Focus Data Crop Rotations'!$C$12:$C$17,0),_xlfn.SINGLE(_xlfn.IFS(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winterwheat</v>
      </c>
      <c r="G131">
        <v>7.2</v>
      </c>
      <c r="H131" s="227">
        <f>VLOOKUP(F131,'CFT Specific Data'!$F$4:$H$19,3,FALSE)*G131*
IF(B131=B130,
IF(AND(ISNUMBER(SEARCH("wheat",F131))=TRUE,ISNUMBER(SEARCH("Barley",F130))=TRUE),0.89,
IF(AND(ISNUMBER(SEARCH("wheat",F131))=TRUE,F130="setaside"),0.94,
IF(AND(ISNUMBER(SEARCH("barley",F131))=TRUE,ISNUMBER(SEARCH("wheat",F130))=TRUE),0.89,
IF(AND(F131="winterbarley",F130="setaside"),0.94,
IF(AND(F131="sugarbeet",F130="warepotatoes"),0.95,
IF(AND((OR(ISNUMBER(SEARCH("beans",F131)),ISNUMBER(SEARCH("driedpeas",F131)),ISNUMBER(SEARCH("sugarbeet",F131)))=TRUE),ISNUMBER(SEARCH("osr",F130))=TRUE),0,
IF(AND((OR((ISNUMBER(SEARCH("wheat",F131))),ISNUMBER(SEARCH("linseed",F131)),ISNUMBER(SEARCH("driedpeas",F131)),ISNUMBER(SEARCH("osr",F131)))=TRUE),F130="sugarbeet"),0,
IF(AND((OR((ISNUMBER(SEARCH("osr",F131))),ISNUMBER(SEARCH("linseed",F131)))=TRUE),ISNUMBER(SEARCH("beans",F130))=TRUE),0,
IF(AND(F131="wosr",ISNUMBER(SEARCH("linseed",F130))=TRUE),0,
IF(AND(F131="sugarbeet",F130="warepotatoes"),0,
1)))))))))),
IF(AND(ISNUMBER(SEARCH("wheat",F131))=TRUE,ISNUMBER(SEARCH("Barley",F136))=TRUE),0.89,
IF(AND(ISNUMBER(SEARCH("wheat",F131))=TRUE,F136="setaside"),0.94,
IF(AND(ISNUMBER(SEARCH("barley",F131))=TRUE,ISNUMBER(SEARCH("wheat",F136))=TRUE),0.89,
IF(AND(F131="winterbarley",F136="setaside"),0.94,
IF(AND(F131="sugarbeet",F136="warepotatoes"),0.95,
IF(AND((OR(ISNUMBER(SEARCH("beans",F131)),ISNUMBER(SEARCH("driedpeas",F131)),ISNUMBER(SEARCH("sugarbeet",F131)))=TRUE),ISNUMBER(SEARCH("osr",F136))=TRUE),0,
IF(AND((OR((ISNUMBER(SEARCH("wheat",F131))),ISNUMBER(SEARCH("linseed",F131)),ISNUMBER(SEARCH("driedpeas",F131)),ISNUMBER(SEARCH("osr",F131)))=TRUE),F136="sugarbeet"),0,
IF(AND((OR((ISNUMBER(SEARCH("osr",F131))),ISNUMBER(SEARCH("linseed",F131)))=TRUE),ISNUMBER(SEARCH("beans",F136))=TRUE),0,
IF(AND(F131="wosr",ISNUMBER(SEARCH("linseed",F136))=TRUE),0,
IF(AND(F131="sugarbeet",F136="warepotatoes"),0,
1)))))))))))
*IF(OR(ISNUMBER(SEARCH("wheat",F131)),ISNUMBER(SEARCH("barley",F131)),ISNUMBER(SEARCH("driedpeas",F131)),ISNUMBER(SEARCH("warepotatoes",F131)),ISNUMBER(SEARCH("osr",F131)),ISNUMBER(SEARCH("linseed",F131)),ISNUMBER(SEARCH("sugarbeet",F131))),
IF(COUNTIF(B126:B130,B131)=5,
INDEX('CFT Specific Data'!$G$24:$L$39,MATCH(F131,'CFT Specific Data'!$F$24:$F$39,0),IF(COUNTIF(F126:F130,F131)=5,6,IF(COUNTIF(F127:F130,F131)=4,5,IF(COUNTIF(F128:F130,F131)=3,4,IF(COUNTIF(F129:F130,F131)=2,3,IF(F130=F131,2,1)))))),
IF(COUNTIF(B126:B130,B131)=4,
INDEX('CFT Specific Data'!$G$24:$L$39,MATCH(F131,'CFT Specific Data'!$F$24:$F$39,0),IF(SUM(COUNTIF(F127:F130,F131),COUNTIF(F132,F131))=5,6,IF(COUNTIF(F127:F130,F131)=4,5,IF(COUNTIF(F128:F130,F131)=3,4,IF(COUNTIF(F129:F130,F131)=2,3,IF(F130=F131,2,1)))))),
IF(COUNTIF(B126:B130,B131)=3,
INDEX('CFT Specific Data'!$G$24:$L$39,MATCH(F131,'CFT Specific Data'!$F$24:$F$39,0),IF(SUM(COUNTIF(F128:F130,F131),COUNTIF(F132:F133,F131))=5,6,IF(SUM(COUNTIF(F128:F130,F131),COUNTIF(F133,F131))=4,5,IF(COUNTIF(F128:F130,F131)=3,4,IF(COUNTIF(F129:F130,F131)=2,3,IF(F130=F131,2,1)))))),
IF(COUNTIF(B126:B130,B131)=2,
INDEX('CFT Specific Data'!$G$24:$L$39,MATCH(F131,'CFT Specific Data'!$F$24:$F$39,0),IF(SUM(COUNTIF(F129:F130,F131),COUNTIF(F132:F134,F131))=5,6,IF(SUM(COUNTIF(F129:F130,F131),COUNTIF(F133:F134,F131))=4,5,IF(SUM(COUNTIF(F129:F130,F131),COUNTIF(F134,F131))=3,4,IF(COUNTIF(F129:F130,F131)=2,3,IF(F130=F131,2,1)))))),
IF(COUNTIF(B126:B130,B131)=1,
INDEX('CFT Specific Data'!$G$24:$L$39,MATCH(F131,'CFT Specific Data'!$F$24:$F$39,0),IF(SUM(COUNTIF(F130,F131),COUNTIF(F132:F135,F131))=5,6,IF(SUM(COUNTIF(F130,F131),COUNTIF(F133:F135,F131))=4,5,IF(SUM(COUNTIF(F130,F131),COUNTIF(F134:F135,F131))=3,4,IF(SUM(COUNTIF(F130,F131),COUNTIF(F135,F131))=2,3,IF(F130=F131,2,1)))))),
IF(COUNTIF(B126:B130,B131)=0,
INDEX('CFT Specific Data'!$G$24:$L$39,MATCH(F131,'CFT Specific Data'!$F$24:$F$39,0),IF(COUNTIF(F132:F136,F131)=5,6,IF(COUNTIF(F133:F136,F131)=4,5,IF(COUNTIF(F134:F136,F131)=3,4,IF(COUNTIF(F135:F136,F131)=2,3,IF(F136=F131,2,1)))))))))))),1)</f>
        <v>61.92</v>
      </c>
      <c r="I131" s="210" t="s">
        <v>348</v>
      </c>
      <c r="J131">
        <v>10</v>
      </c>
      <c r="K131" s="210" t="str">
        <f>VLOOKUP(F131,'CFT Specific Data'!$F$4:$G$19,2,FALSE)</f>
        <v>Winter wheat</v>
      </c>
      <c r="L131" t="str">
        <f t="shared" ref="L131:L155" si="14">IF(ISNUMBER(SEARCH("heavy",$A131))=TRUE,"Fine",
IF(ISNUMBER(SEARCH("medium",$A131))=TRUE,"Medium",
IF(ISNUMBER(SEARCH("light",$A131))=TRUE,"Coarse")))</f>
        <v>Medium</v>
      </c>
      <c r="M131">
        <f t="shared" ref="M131:M155" si="15">IF($L131="Fine",3.4*1.72,
IF($L131="Medium",2.6*1.72,
IF($L131="Coarse",3*1.72)))</f>
        <v>4.4720000000000004</v>
      </c>
      <c r="N131" t="str">
        <f t="shared" ref="N131:N163" si="16">IF(M131&gt;10.32,"10.32 &lt; SOM",
IF(AND(M131&gt;5.16,M131&lt;=10.32),"5.16 &lt; SOM &lt;= 10.32",
IF(AND(M131&gt;1.72,M131&lt;=5.16),"1.72 &lt; SOM &lt;= 5.16",
IF(M131&lt;1.72,"SOM &lt;= 1.72"))))</f>
        <v>1.72 &lt; SOM &lt;= 5.16</v>
      </c>
      <c r="O131" t="s">
        <v>349</v>
      </c>
      <c r="P131" t="s">
        <v>350</v>
      </c>
      <c r="Q131">
        <v>7</v>
      </c>
      <c r="R131" t="str">
        <f t="shared" si="12"/>
        <v>5.5 &lt; pH &lt;= 7.3</v>
      </c>
      <c r="S131" t="s">
        <v>351</v>
      </c>
      <c r="T131" s="210">
        <f t="array" ref="T131">_xlfn.SINGLE(INDEX('Focus Data NFertiliser Rate'!$D$4:$P$19,MATCH(F131,'Focus Data NFertiliser Rate'!$C$4:$C$19,0),_xlfn.SINGLE(_xlfn.IFS(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250</v>
      </c>
      <c r="U131" t="str">
        <f t="shared" ref="U131:U163" si="17">IF(T131=0,0,"Apply in solution")</f>
        <v>Apply in solution</v>
      </c>
      <c r="V131" s="210">
        <f t="array" ref="V131">_xlfn.SINGLE(INDEX('№ Fertiliser sprayings'!$D$4:$P$19,MATCH(F131,'№ Fertiliser sprayings'!$C$4:$C$19,0),_xlfn.SINGLE(_xlfn.IFS(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3</v>
      </c>
      <c r="W131" s="264">
        <f t="array" ref="W131">_xlfn.SINGLE(INDEX('Focus Data CFT NSpraying'!$D$4:$P$19,MATCH(F131,'Focus Data CFT NSpraying'!$C$4:$C$19,0),_xlfn.SINGLE(_xlfn.IFS(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f>
        <v>18.175999999999998</v>
      </c>
      <c r="X131" t="s">
        <v>363</v>
      </c>
      <c r="Y131">
        <v>0</v>
      </c>
      <c r="Z131">
        <v>100</v>
      </c>
      <c r="AA131" t="s">
        <v>352</v>
      </c>
      <c r="AB131" s="226" t="str">
        <f>IF(B131=B130,_xlfn.IFS(
AND(AA131=Lists!$L$8,AA130=Lists!$L$8),Lists!$N$5,
AND(OR(AA131=Lists!$L$5,AA131=Lists!$L$7,AA131=Lists!$L$9,AA131=Lists!$L$10,AA131=Lists!$L$6),OR(AA130=Lists!$L$5,AA130=Lists!$L$7,AA130=Lists!$L$9,AA130=Lists!$L$10,AA130=Lists!$L$6)),Lists!$N$5,
AND(AA131=Lists!$L$8,OR(AA130=Lists!$L$5,AA130=Lists!$L$7,AA130=Lists!$L$9,AA130=Lists!$L$10,AA130=Lists!$L$6)),Lists!$N$6,
AND(OR(AA131=Lists!$L$5,AA131=Lists!$L$6,AA131=Lists!$L$7,AA131=Lists!$L$9,AA131=Lists!$L$10),AA130=Lists!$L$8),Lists!$N$7),
_xlfn.IFS(
AND(AA131=Lists!$L$8,AA136=Lists!$L$8),Lists!$N$5,
AND(OR(AA131=Lists!$L$5,AA131=Lists!$L$7,AA131=Lists!$L$9,AA131=Lists!$L$10,AA131=Lists!$L$6),OR(AA136=Lists!$L$5,AA136=Lists!$L$7,AA136=Lists!$L$9,AA136=Lists!$L$10,AA136=Lists!$L$6)),Lists!$N$5,
AND(AA131=Lists!$L$8,OR(AA136=Lists!$L$5,AA136=Lists!$L$7,AA136=Lists!$L$9,AA136=Lists!$L$10,AA136=Lists!$L$6)),Lists!$N$6,
AND(OR(AA131=Lists!$L$5,AA131=Lists!$L$7,AA131=Lists!$L$9,AA131=Lists!$L$10),AA136=Lists!$L$8),Lists!$N$7))</f>
        <v>no change</v>
      </c>
      <c r="AC131">
        <v>0</v>
      </c>
      <c r="AD131">
        <v>0</v>
      </c>
      <c r="AE131" s="102">
        <f t="array" ref="AE131">IF(OR(ISNUMBER(SEARCH("heavy",A131))=TRUE, ISNUMBER(SEARCH("medium",A131))=TRUE),
(LEN(_xlfn.SINGLE(
INDEX('Focus Data Tillage by farm'!$D$4:$P$9,MATCH(D131,'Focus Data Tillage by farm'!$C$4:$C$9,0),_xlfn.SINGLE(_xlfn.IFS(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-LEN(SUBSTITUTE(_xlfn.SINGLE(
INDEX('Focus Data Tillage by farm'!$D$4:$P$9,MATCH(D131,'Focus Data Tillage by farm'!$C$4:$C$9,0),_xlfn.SINGLE(_xlfn.IFS(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"disc","")))/LEN("disc"),
(LEN(_xlfn.SINGLE(
INDEX('Focus Data Tillage by farm'!$D$12:$P$17,MATCH(D131,'Focus Data Tillage by farm'!$C$12:$C$17,0),_xlfn.SINGLE(_xlfn.IFS(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-LEN(SUBSTITUTE(_xlfn.SINGLE(
INDEX('Focus Data Tillage by farm'!$D$12:$P$17,MATCH(D131,'Focus Data Tillage by farm'!$C$12:$C$17,0),_xlfn.SINGLE(_xlfn.IFS(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"disc","")))/LEN("disc"))</f>
        <v>1</v>
      </c>
      <c r="AF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"field cultivator","")))/LEN("field cultivator"),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"field cultivator","")))/LEN("field cultivator"))</f>
        <v>0</v>
      </c>
      <c r="AG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"grain drill","")))/LEN("grain drill"),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"grain drill","")))/LEN("grain drill"))</f>
        <v>1</v>
      </c>
      <c r="AH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"minimum tillage","")))/LEN("minimum tillage"),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"minimum tillage","")))/LEN("minimum tillage"))</f>
        <v>0</v>
      </c>
      <c r="AI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"row crop planter","")))/LEN("row crop planter"),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"row crop planter","")))/LEN("row crop planter"))</f>
        <v>0</v>
      </c>
      <c r="AJ131" s="102">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"plough","")))/LEN("plough"),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"plough","")))/LEN("plough"))</f>
        <v>0</v>
      </c>
      <c r="AK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harrow","")))/LEN("roller harrow"),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harrow","")))/LEN("roller harrow"))</f>
        <v>0</v>
      </c>
      <c r="AL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packer","")))/LEN("roller packer"),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"roller packer","")))/LEN("roller packer"))</f>
        <v>2</v>
      </c>
      <c r="AM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"rotary hoe","")))/LEN("rotary hoe"),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"rotary hoe","")))/LEN("rotary hoe"))</f>
        <v>0</v>
      </c>
      <c r="AN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"subsoil","")))/LEN("subsoil"),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"subsoil","")))/LEN("subsoil"))</f>
        <v>0</v>
      </c>
      <c r="AO131">
        <f>IF(OR(ISNUMBER(SEARCH("heavy",A131))=TRUE, ISNUMBER(SEARCH("medium",A131))=TRUE),
(LEN(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farm'!$D$4:$P$9,MATCH(D131,'Focus Data Tillage by farm'!$C$4:$C$9,0),_xlfn.IFS(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"tine harrow","")))/LEN("tine harrow"),
(LEN(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-LEN(SUBSTITUTE(
INDEX('Focus Data Tillage by farm'!$D$12:$P$17,MATCH(D131,'Focus Data Tillage by farm'!$C$12:$C$17,0),_xlfn.IFS(
AND(ISNUMBER(SEARCH("H-Dsty.",A131))=TRUE,ISNUMBER(SEARCH("H-Res",A131))=TRUE,ISNUMBER(SEARCH("E.",A131))=TRUE),1,
AND(ISNUMBER(SEARCH("H-Dsty.",A131))=TRUE,ISNUMBER(SEARCH("H-Res",A131))=TRUE,OR(ISNUMBER(SEARCH("N.he",A131))=TRUE,ISNUMBER(SEARCH("N.me",A131))=TRUE,ISNUMBER(SEARCH("N.li",A131))=TRUE)),2,
AND(ISNUMBER(SEARCH("H-Dsty.",A131))=TRUE,ISNUMBER(SEARCH("H-Res",A131))=TRUE,ISNUMBER(SEARCH("C.",A131))=TRUE),3,
AND(ISNUMBER(SEARCH("L-Dsty.",A131))=TRUE,ISNUMBER(SEARCH("H-Res",A131))=TRUE,ISNUMBER(SEARCH("E.",A131))=TRUE),6,
AND(ISNUMBER(SEARCH("L-Dsty.",A131))=TRUE,ISNUMBER(SEARCH("H-Res",A131))=TRUE,OR(ISNUMBER(SEARCH("N.he",A131))=TRUE,ISNUMBER(SEARCH("N.me",A131))=TRUE,ISNUMBER(SEARCH("N.li",A131))=TRUE)),7,
AND(ISNUMBER(SEARCH("L-Dsty.",A131))=TRUE,ISNUMBER(SEARCH("H-Res",A131))=TRUE,ISNUMBER(SEARCH("C.",A131))=TRUE),8,
AND(ISNUMBER(SEARCH("L-Dsty.",A131))=TRUE,ISNUMBER(SEARCH("L-Res",A131))=TRUE,ISNUMBER(SEARCH("E.",A131))=TRUE),11,
AND(ISNUMBER(SEARCH("L-Dsty.",A131))=TRUE,ISNUMBER(SEARCH("L-Res",A131))=TRUE,OR(ISNUMBER(SEARCH("N.he",A131))=TRUE,ISNUMBER(SEARCH("N.me",A131))=TRUE,ISNUMBER(SEARCH("N.li",A131))=TRUE)),12,
AND(ISNUMBER(SEARCH("L-Dsty.",A131))=TRUE,ISNUMBER(SEARCH("L-Res",A131))=TRUE,ISNUMBER(SEARCH("C.",A131))=TRUE),13)),
"tine harrow","")))/LEN("tine harrow"))</f>
        <v>0</v>
      </c>
      <c r="AP131" s="102">
        <v>5</v>
      </c>
    </row>
    <row r="132" spans="1:42" x14ac:dyDescent="0.2">
      <c r="A132" t="s">
        <v>496</v>
      </c>
      <c r="B132" s="210" t="str">
        <f t="array" ref="B132">INDEX(ECOMOD_input_estimate!$A$2:$A$55, MATCH(CFT_input!$A132, ECOMOD_input_estimate!$B:$B, 0))</f>
        <v>FF_03.4</v>
      </c>
      <c r="C132" s="210">
        <v>2020</v>
      </c>
      <c r="D132" s="395" t="s">
        <v>1696</v>
      </c>
      <c r="E132" s="210" t="str">
        <f t="shared" si="13"/>
        <v>C.medium.H-Dsty.H-Res</v>
      </c>
      <c r="F132" s="210" t="str">
        <f t="array" ref="F132">_xlfn.SINGLE(IF(OR(ISNUMBER(SEARCH("heavy",A132))=TRUE,ISNUMBER(SEARCH("medium",A132))=TRUE),
INDEX('Focus Data Crop Rotations'!$D$4:$P$9,MATCH(D132,'Focus Data Crop Rotations'!$C$4:$C$9,0),_xlfn.SINGLE(_xlfn.IFS(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INDEX('Focus Data Crop Rotations'!$D$12:$P$17,MATCH(D132,'Focus Data Crop Rotations'!$C$12:$C$17,0),_xlfn.SINGLE(_xlfn.IFS(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springbarley</v>
      </c>
      <c r="G132">
        <v>7.2</v>
      </c>
      <c r="H132" s="227">
        <f>VLOOKUP(F132,'CFT Specific Data'!$F$4:$H$19,3,FALSE)*G132*
IF(B132=B131,
IF(AND(ISNUMBER(SEARCH("wheat",F132))=TRUE,ISNUMBER(SEARCH("Barley",F131))=TRUE),0.89,
IF(AND(ISNUMBER(SEARCH("wheat",F132))=TRUE,F131="setaside"),0.94,
IF(AND(ISNUMBER(SEARCH("barley",F132))=TRUE,ISNUMBER(SEARCH("wheat",F131))=TRUE),0.89,
IF(AND(F132="winterbarley",F131="setaside"),0.94,
IF(AND(F132="sugarbeet",F131="warepotatoes"),0.95,
IF(AND((OR(ISNUMBER(SEARCH("beans",F132)),ISNUMBER(SEARCH("driedpeas",F132)),ISNUMBER(SEARCH("sugarbeet",F132)))=TRUE),ISNUMBER(SEARCH("osr",F131))=TRUE),0,
IF(AND((OR((ISNUMBER(SEARCH("wheat",F132))),ISNUMBER(SEARCH("linseed",F132)),ISNUMBER(SEARCH("driedpeas",F132)),ISNUMBER(SEARCH("osr",F132)))=TRUE),F131="sugarbeet"),0,
IF(AND((OR((ISNUMBER(SEARCH("osr",F132))),ISNUMBER(SEARCH("linseed",F132)))=TRUE),ISNUMBER(SEARCH("beans",F131))=TRUE),0,
IF(AND(F132="wosr",ISNUMBER(SEARCH("linseed",F131))=TRUE),0,
IF(AND(F132="sugarbeet",F131="warepotatoes"),0,
1)))))))))),
IF(AND(ISNUMBER(SEARCH("wheat",F132))=TRUE,ISNUMBER(SEARCH("Barley",F137))=TRUE),0.89,
IF(AND(ISNUMBER(SEARCH("wheat",F132))=TRUE,F137="setaside"),0.94,
IF(AND(ISNUMBER(SEARCH("barley",F132))=TRUE,ISNUMBER(SEARCH("wheat",F137))=TRUE),0.89,
IF(AND(F132="winterbarley",F137="setaside"),0.94,
IF(AND(F132="sugarbeet",F137="warepotatoes"),0.95,
IF(AND((OR(ISNUMBER(SEARCH("beans",F132)),ISNUMBER(SEARCH("driedpeas",F132)),ISNUMBER(SEARCH("sugarbeet",F132)))=TRUE),ISNUMBER(SEARCH("osr",F137))=TRUE),0,
IF(AND((OR((ISNUMBER(SEARCH("wheat",F132))),ISNUMBER(SEARCH("linseed",F132)),ISNUMBER(SEARCH("driedpeas",F132)),ISNUMBER(SEARCH("osr",F132)))=TRUE),F137="sugarbeet"),0,
IF(AND((OR((ISNUMBER(SEARCH("osr",F132))),ISNUMBER(SEARCH("linseed",F132)))=TRUE),ISNUMBER(SEARCH("beans",F137))=TRUE),0,
IF(AND(F132="wosr",ISNUMBER(SEARCH("linseed",F137))=TRUE),0,
IF(AND(F132="sugarbeet",F137="warepotatoes"),0,
1)))))))))))
*IF(OR(ISNUMBER(SEARCH("wheat",F132)),ISNUMBER(SEARCH("barley",F132)),ISNUMBER(SEARCH("driedpeas",F132)),ISNUMBER(SEARCH("warepotatoes",F132)),ISNUMBER(SEARCH("osr",F132)),ISNUMBER(SEARCH("linseed",F132)),ISNUMBER(SEARCH("sugarbeet",F132))),
IF(COUNTIF(B127:B131,B132)=5,
INDEX('CFT Specific Data'!$G$24:$L$39,MATCH(F132,'CFT Specific Data'!$F$24:$F$39,0),IF(COUNTIF(F127:F131,F132)=5,6,IF(COUNTIF(F128:F131,F132)=4,5,IF(COUNTIF(F129:F131,F132)=3,4,IF(COUNTIF(F130:F131,F132)=2,3,IF(F131=F132,2,1)))))),
IF(COUNTIF(B127:B131,B132)=4,
INDEX('CFT Specific Data'!$G$24:$L$39,MATCH(F132,'CFT Specific Data'!$F$24:$F$39,0),IF(SUM(COUNTIF(F128:F131,F132),COUNTIF(F133,F132))=5,6,IF(COUNTIF(F128:F131,F132)=4,5,IF(COUNTIF(F129:F131,F132)=3,4,IF(COUNTIF(F130:F131,F132)=2,3,IF(F131=F132,2,1)))))),
IF(COUNTIF(B127:B131,B132)=3,
INDEX('CFT Specific Data'!$G$24:$L$39,MATCH(F132,'CFT Specific Data'!$F$24:$F$39,0),IF(SUM(COUNTIF(F129:F131,F132),COUNTIF(F133:F134,F132))=5,6,IF(SUM(COUNTIF(F129:F131,F132),COUNTIF(F134,F132))=4,5,IF(COUNTIF(F129:F131,F132)=3,4,IF(COUNTIF(F130:F131,F132)=2,3,IF(F131=F132,2,1)))))),
IF(COUNTIF(B127:B131,B132)=2,
INDEX('CFT Specific Data'!$G$24:$L$39,MATCH(F132,'CFT Specific Data'!$F$24:$F$39,0),IF(SUM(COUNTIF(F130:F131,F132),COUNTIF(F133:F135,F132))=5,6,IF(SUM(COUNTIF(F130:F131,F132),COUNTIF(F134:F135,F132))=4,5,IF(SUM(COUNTIF(F130:F131,F132),COUNTIF(F135,F132))=3,4,IF(COUNTIF(F130:F131,F132)=2,3,IF(F131=F132,2,1)))))),
IF(COUNTIF(B127:B131,B132)=1,
INDEX('CFT Specific Data'!$G$24:$L$39,MATCH(F132,'CFT Specific Data'!$F$24:$F$39,0),IF(SUM(COUNTIF(F131,F132),COUNTIF(F133:F136,F132))=5,6,IF(SUM(COUNTIF(F131,F132),COUNTIF(F134:F136,F132))=4,5,IF(SUM(COUNTIF(F131,F132),COUNTIF(F135:F136,F132))=3,4,IF(SUM(COUNTIF(F131,F132),COUNTIF(F136,F132))=2,3,IF(F131=F132,2,1)))))),
IF(COUNTIF(B127:B131,B132)=0,
INDEX('CFT Specific Data'!$G$24:$L$39,MATCH(F132,'CFT Specific Data'!$F$24:$F$39,0),IF(COUNTIF(F133:F137,F132)=5,6,IF(COUNTIF(F134:F137,F132)=4,5,IF(COUNTIF(F135:F137,F132)=3,4,IF(COUNTIF(F136:F137,F132)=2,3,IF(F137=F132,2,1)))))))))))),1)</f>
        <v>36.525599999999997</v>
      </c>
      <c r="I132" s="210" t="s">
        <v>348</v>
      </c>
      <c r="J132">
        <v>10</v>
      </c>
      <c r="K132" s="210" t="str">
        <f>VLOOKUP(F132,'CFT Specific Data'!$F$4:$G$19,2,FALSE)</f>
        <v>Barley</v>
      </c>
      <c r="L132" t="str">
        <f t="shared" si="14"/>
        <v>Medium</v>
      </c>
      <c r="M132">
        <f t="shared" si="15"/>
        <v>4.4720000000000004</v>
      </c>
      <c r="N132" t="str">
        <f t="shared" si="16"/>
        <v>1.72 &lt; SOM &lt;= 5.16</v>
      </c>
      <c r="O132" t="s">
        <v>349</v>
      </c>
      <c r="P132" t="s">
        <v>350</v>
      </c>
      <c r="Q132">
        <v>7</v>
      </c>
      <c r="R132" t="str">
        <f t="shared" si="12"/>
        <v>5.5 &lt; pH &lt;= 7.3</v>
      </c>
      <c r="S132" t="s">
        <v>351</v>
      </c>
      <c r="T132" s="210">
        <f t="array" ref="T132">_xlfn.SINGLE(INDEX('Focus Data NFertiliser Rate'!$D$4:$P$19,MATCH(F132,'Focus Data NFertiliser Rate'!$C$4:$C$19,0),_xlfn.SINGLE(_xlfn.IFS(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150</v>
      </c>
      <c r="U132" t="str">
        <f t="shared" si="17"/>
        <v>Apply in solution</v>
      </c>
      <c r="V132" s="210">
        <f t="array" ref="V132">_xlfn.SINGLE(INDEX('№ Fertiliser sprayings'!$D$4:$P$19,MATCH(F132,'№ Fertiliser sprayings'!$C$4:$C$19,0),_xlfn.SINGLE(_xlfn.IFS(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1</v>
      </c>
      <c r="W132" s="264">
        <f t="array" ref="W132">_xlfn.SINGLE(INDEX('Focus Data CFT NSpraying'!$D$4:$P$19,MATCH(F132,'Focus Data CFT NSpraying'!$C$4:$C$19,0),_xlfn.SINGLE(_xlfn.IFS(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9.2560000000000002</v>
      </c>
      <c r="X132" t="s">
        <v>363</v>
      </c>
      <c r="Y132">
        <v>0</v>
      </c>
      <c r="Z132">
        <v>100</v>
      </c>
      <c r="AA132" t="s">
        <v>352</v>
      </c>
      <c r="AB132" s="226" t="str">
        <f>IF(B132=B131,_xlfn.IFS(
AND(AA132=Lists!$L$8,AA131=Lists!$L$8),Lists!$N$5,
AND(OR(AA132=Lists!$L$5,AA132=Lists!$L$7,AA132=Lists!$L$9,AA132=Lists!$L$10,AA132=Lists!$L$6),OR(AA131=Lists!$L$5,AA131=Lists!$L$7,AA131=Lists!$L$9,AA131=Lists!$L$10,AA131=Lists!$L$6)),Lists!$N$5,
AND(AA132=Lists!$L$8,OR(AA131=Lists!$L$5,AA131=Lists!$L$7,AA131=Lists!$L$9,AA131=Lists!$L$10,AA131=Lists!$L$6)),Lists!$N$6,
AND(OR(AA132=Lists!$L$5,AA132=Lists!$L$6,AA132=Lists!$L$7,AA132=Lists!$L$9,AA132=Lists!$L$10),AA131=Lists!$L$8),Lists!$N$7),
_xlfn.IFS(
AND(AA132=Lists!$L$8,AA137=Lists!$L$8),Lists!$N$5,
AND(OR(AA132=Lists!$L$5,AA132=Lists!$L$7,AA132=Lists!$L$9,AA132=Lists!$L$10,AA132=Lists!$L$6),OR(AA137=Lists!$L$5,AA137=Lists!$L$7,AA137=Lists!$L$9,AA137=Lists!$L$10,AA137=Lists!$L$6)),Lists!$N$5,
AND(AA132=Lists!$L$8,OR(AA137=Lists!$L$5,AA137=Lists!$L$7,AA137=Lists!$L$9,AA137=Lists!$L$10,AA137=Lists!$L$6)),Lists!$N$6,
AND(OR(AA132=Lists!$L$5,AA132=Lists!$L$7,AA132=Lists!$L$9,AA132=Lists!$L$10),AA137=Lists!$L$8),Lists!$N$7))</f>
        <v>no change</v>
      </c>
      <c r="AC132">
        <v>0</v>
      </c>
      <c r="AD132">
        <v>0</v>
      </c>
      <c r="AE132" s="102">
        <f t="array" ref="AE132">IF(OR(ISNUMBER(SEARCH("heavy",A132))=TRUE, ISNUMBER(SEARCH("medium",A132))=TRUE),
(LEN(_xlfn.SINGLE(
INDEX('Focus Data Tillage by farm'!$D$4:$P$9,MATCH(D132,'Focus Data Tillage by farm'!$C$4:$C$9,0),_xlfn.SINGLE(_xlfn.IFS(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-LEN(SUBSTITUTE(_xlfn.SINGLE(
INDEX('Focus Data Tillage by farm'!$D$4:$P$9,MATCH(D132,'Focus Data Tillage by farm'!$C$4:$C$9,0),_xlfn.SINGLE(_xlfn.IFS(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"disc","")))/LEN("disc"),
(LEN(_xlfn.SINGLE(
INDEX('Focus Data Tillage by farm'!$D$12:$P$17,MATCH(D132,'Focus Data Tillage by farm'!$C$12:$C$17,0),_xlfn.SINGLE(_xlfn.IFS(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-LEN(SUBSTITUTE(_xlfn.SINGLE(
INDEX('Focus Data Tillage by farm'!$D$12:$P$17,MATCH(D132,'Focus Data Tillage by farm'!$C$12:$C$17,0),_xlfn.SINGLE(_xlfn.IFS(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"disc","")))/LEN("disc"))</f>
        <v>4</v>
      </c>
      <c r="AF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"field cultivator","")))/LEN("field cultivator"),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"field cultivator","")))/LEN("field cultivator"))</f>
        <v>0</v>
      </c>
      <c r="AG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"grain drill","")))/LEN("grain drill"),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"grain drill","")))/LEN("grain drill"))</f>
        <v>1</v>
      </c>
      <c r="AH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"minimum tillage","")))/LEN("minimum tillage"),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"minimum tillage","")))/LEN("minimum tillage"))</f>
        <v>0</v>
      </c>
      <c r="AI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"row crop planter","")))/LEN("row crop planter"),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"row crop planter","")))/LEN("row crop planter"))</f>
        <v>0</v>
      </c>
      <c r="AJ132" s="10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"plough","")))/LEN("plough"),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"plough","")))/LEN("plough"))</f>
        <v>0</v>
      </c>
      <c r="AK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harrow","")))/LEN("roller harrow"),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harrow","")))/LEN("roller harrow"))</f>
        <v>0</v>
      </c>
      <c r="AL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packer","")))/LEN("roller packer"),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"roller packer","")))/LEN("roller packer"))</f>
        <v>2</v>
      </c>
      <c r="AM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"rotary hoe","")))/LEN("rotary hoe"),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"rotary hoe","")))/LEN("rotary hoe"))</f>
        <v>0</v>
      </c>
      <c r="AN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"subsoil","")))/LEN("subsoil"),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"subsoil","")))/LEN("subsoil"))</f>
        <v>0</v>
      </c>
      <c r="AO132">
        <f>IF(OR(ISNUMBER(SEARCH("heavy",A132))=TRUE, ISNUMBER(SEARCH("medium",A132))=TRUE),
(LEN(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farm'!$D$4:$P$9,MATCH(D132,'Focus Data Tillage by farm'!$C$4:$C$9,0),_xlfn.IFS(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"tine harrow","")))/LEN("tine harrow"),
(LEN(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-LEN(SUBSTITUTE(
INDEX('Focus Data Tillage by farm'!$D$12:$P$17,MATCH(D132,'Focus Data Tillage by farm'!$C$12:$C$17,0),_xlfn.IFS(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
"tine harrow","")))/LEN("tine harrow"))</f>
        <v>0</v>
      </c>
      <c r="AP132" s="102">
        <f>INDEX('Focus Data NSpraying'!$D$4:$P$19,MATCH(F132,'Focus Data NSpraying'!$C$4:$C$19,0),_xlfn.IFS(
AND(ISNUMBER(SEARCH("H-Dsty.",A132))=TRUE,ISNUMBER(SEARCH("H-Res",A132))=TRUE,ISNUMBER(SEARCH("E.",A132))=TRUE),1,
AND(ISNUMBER(SEARCH("H-Dsty.",A132))=TRUE,ISNUMBER(SEARCH("H-Res",A132))=TRUE,OR(ISNUMBER(SEARCH("N.he",A132))=TRUE,ISNUMBER(SEARCH("N.me",A132))=TRUE,ISNUMBER(SEARCH("N.li",A132))=TRUE)),2,
AND(ISNUMBER(SEARCH("H-Dsty.",A132))=TRUE,ISNUMBER(SEARCH("H-Res",A132))=TRUE,ISNUMBER(SEARCH("C.",A132))=TRUE),3,
AND(ISNUMBER(SEARCH("L-Dsty.",A132))=TRUE,ISNUMBER(SEARCH("H-Res",A132))=TRUE,ISNUMBER(SEARCH("E.",A132))=TRUE),6,
AND(ISNUMBER(SEARCH("L-Dsty.",A132))=TRUE,ISNUMBER(SEARCH("H-Res",A132))=TRUE,OR(ISNUMBER(SEARCH("N.he",A132))=TRUE,ISNUMBER(SEARCH("N.me",A132))=TRUE,ISNUMBER(SEARCH("N.li",A132))=TRUE)),7,
AND(ISNUMBER(SEARCH("L-Dsty.",A132))=TRUE,ISNUMBER(SEARCH("H-Res",A132))=TRUE,ISNUMBER(SEARCH("C.",A132))=TRUE),8,
AND(ISNUMBER(SEARCH("L-Dsty.",A132))=TRUE,ISNUMBER(SEARCH("L-Res",A132))=TRUE,ISNUMBER(SEARCH("E.",A132))=TRUE),11,
AND(ISNUMBER(SEARCH("L-Dsty.",A132))=TRUE,ISNUMBER(SEARCH("L-Res",A132))=TRUE,OR(ISNUMBER(SEARCH("N.he",A132))=TRUE,ISNUMBER(SEARCH("N.me",A132))=TRUE,ISNUMBER(SEARCH("N.li",A132))=TRUE)),12,
AND(ISNUMBER(SEARCH("L-Dsty.",A132))=TRUE,ISNUMBER(SEARCH("L-Res",A132))=TRUE,ISNUMBER(SEARCH("C.",A132))=TRUE),13))</f>
        <v>6</v>
      </c>
    </row>
    <row r="133" spans="1:42" x14ac:dyDescent="0.2">
      <c r="A133" t="s">
        <v>496</v>
      </c>
      <c r="B133" s="210" t="str">
        <f t="array" ref="B133">INDEX(ECOMOD_input_estimate!$A$2:$A$55, MATCH(CFT_input!$A133, ECOMOD_input_estimate!$B:$B, 0))</f>
        <v>FF_03.4</v>
      </c>
      <c r="C133" s="210">
        <v>2020</v>
      </c>
      <c r="D133" s="395" t="s">
        <v>735</v>
      </c>
      <c r="E133" s="210" t="str">
        <f t="shared" si="13"/>
        <v>C.medium.H-Dsty.H-Res</v>
      </c>
      <c r="F133" s="210" t="str">
        <f t="array" ref="F133">_xlfn.SINGLE(IF(OR(ISNUMBER(SEARCH("heavy",A133))=TRUE,ISNUMBER(SEARCH("medium",A133))=TRUE),
INDEX('Focus Data Crop Rotations'!$D$4:$P$9,MATCH(D133,'Focus Data Crop Rotations'!$C$4:$C$9,0),_xlfn.SINGLE(_xlfn.IFS(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INDEX('Focus Data Crop Rotations'!$D$12:$P$17,MATCH(D133,'Focus Data Crop Rotations'!$C$12:$C$17,0),_xlfn.SINGLE(_xlfn.IFS(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wosr</v>
      </c>
      <c r="G133">
        <v>7.2</v>
      </c>
      <c r="H133" s="227">
        <f>VLOOKUP(F133,'CFT Specific Data'!$F$4:$H$19,3,FALSE)*G133*
IF(B133=B132,
IF(AND(ISNUMBER(SEARCH("wheat",F133))=TRUE,ISNUMBER(SEARCH("Barley",F132))=TRUE),0.89,
IF(AND(ISNUMBER(SEARCH("wheat",F133))=TRUE,F132="setaside"),0.94,
IF(AND(ISNUMBER(SEARCH("barley",F133))=TRUE,ISNUMBER(SEARCH("wheat",F132))=TRUE),0.89,
IF(AND(F133="winterbarley",F132="setaside"),0.94,
IF(AND(F133="sugarbeet",F132="warepotatoes"),0.95,
IF(AND((OR(ISNUMBER(SEARCH("beans",F133)),ISNUMBER(SEARCH("driedpeas",F133)),ISNUMBER(SEARCH("sugarbeet",F133)))=TRUE),ISNUMBER(SEARCH("osr",F132))=TRUE),0,
IF(AND((OR((ISNUMBER(SEARCH("wheat",F133))),ISNUMBER(SEARCH("linseed",F133)),ISNUMBER(SEARCH("driedpeas",F133)),ISNUMBER(SEARCH("osr",F133)))=TRUE),F132="sugarbeet"),0,
IF(AND((OR((ISNUMBER(SEARCH("osr",F133))),ISNUMBER(SEARCH("linseed",F133)))=TRUE),ISNUMBER(SEARCH("beans",F132))=TRUE),0,
IF(AND(F133="wosr",ISNUMBER(SEARCH("linseed",F132))=TRUE),0,
IF(AND(F133="sugarbeet",F132="warepotatoes"),0,
1)))))))))),
IF(AND(ISNUMBER(SEARCH("wheat",F133))=TRUE,ISNUMBER(SEARCH("Barley",F138))=TRUE),0.89,
IF(AND(ISNUMBER(SEARCH("wheat",F133))=TRUE,F138="setaside"),0.94,
IF(AND(ISNUMBER(SEARCH("barley",F133))=TRUE,ISNUMBER(SEARCH("wheat",F138))=TRUE),0.89,
IF(AND(F133="winterbarley",F138="setaside"),0.94,
IF(AND(F133="sugarbeet",F138="warepotatoes"),0.95,
IF(AND((OR(ISNUMBER(SEARCH("beans",F133)),ISNUMBER(SEARCH("driedpeas",F133)),ISNUMBER(SEARCH("sugarbeet",F133)))=TRUE),ISNUMBER(SEARCH("osr",F138))=TRUE),0,
IF(AND((OR((ISNUMBER(SEARCH("wheat",F133))),ISNUMBER(SEARCH("linseed",F133)),ISNUMBER(SEARCH("driedpeas",F133)),ISNUMBER(SEARCH("osr",F133)))=TRUE),F138="sugarbeet"),0,
IF(AND((OR((ISNUMBER(SEARCH("osr",F133))),ISNUMBER(SEARCH("linseed",F133)))=TRUE),ISNUMBER(SEARCH("beans",F138))=TRUE),0,
IF(AND(F133="wosr",ISNUMBER(SEARCH("linseed",F138))=TRUE),0,
IF(AND(F133="sugarbeet",F138="warepotatoes"),0,
1)))))))))))
*IF(OR(ISNUMBER(SEARCH("wheat",F133)),ISNUMBER(SEARCH("barley",F133)),ISNUMBER(SEARCH("driedpeas",F133)),ISNUMBER(SEARCH("warepotatoes",F133)),ISNUMBER(SEARCH("osr",F133)),ISNUMBER(SEARCH("linseed",F133)),ISNUMBER(SEARCH("sugarbeet",F133))),
IF(COUNTIF(B128:B132,B133)=5,
INDEX('CFT Specific Data'!$G$24:$L$39,MATCH(F133,'CFT Specific Data'!$F$24:$F$39,0),IF(COUNTIF(F128:F132,F133)=5,6,IF(COUNTIF(F129:F132,F133)=4,5,IF(COUNTIF(F130:F132,F133)=3,4,IF(COUNTIF(F131:F132,F133)=2,3,IF(F132=F133,2,1)))))),
IF(COUNTIF(B128:B132,B133)=4,
INDEX('CFT Specific Data'!$G$24:$L$39,MATCH(F133,'CFT Specific Data'!$F$24:$F$39,0),IF(SUM(COUNTIF(F129:F132,F133),COUNTIF(F134,F133))=5,6,IF(COUNTIF(F129:F132,F133)=4,5,IF(COUNTIF(F130:F132,F133)=3,4,IF(COUNTIF(F131:F132,F133)=2,3,IF(F132=F133,2,1)))))),
IF(COUNTIF(B128:B132,B133)=3,
INDEX('CFT Specific Data'!$G$24:$L$39,MATCH(F133,'CFT Specific Data'!$F$24:$F$39,0),IF(SUM(COUNTIF(F130:F132,F133),COUNTIF(F134:F135,F133))=5,6,IF(SUM(COUNTIF(F130:F132,F133),COUNTIF(F135,F133))=4,5,IF(COUNTIF(F130:F132,F133)=3,4,IF(COUNTIF(F131:F132,F133)=2,3,IF(F132=F133,2,1)))))),
IF(COUNTIF(B128:B132,B133)=2,
INDEX('CFT Specific Data'!$G$24:$L$39,MATCH(F133,'CFT Specific Data'!$F$24:$F$39,0),IF(SUM(COUNTIF(F131:F132,F133),COUNTIF(F134:F136,F133))=5,6,IF(SUM(COUNTIF(F131:F132,F133),COUNTIF(F135:F136,F133))=4,5,IF(SUM(COUNTIF(F131:F132,F133),COUNTIF(F136,F133))=3,4,IF(COUNTIF(F131:F132,F133)=2,3,IF(F132=F133,2,1)))))),
IF(COUNTIF(B128:B132,B133)=1,
INDEX('CFT Specific Data'!$G$24:$L$39,MATCH(F133,'CFT Specific Data'!$F$24:$F$39,0),IF(SUM(COUNTIF(F132,F133),COUNTIF(F134:F137,F133))=5,6,IF(SUM(COUNTIF(F132,F133),COUNTIF(F135:F137,F133))=4,5,IF(SUM(COUNTIF(F132,F133),COUNTIF(F136:F137,F133))=3,4,IF(SUM(COUNTIF(F132,F133),COUNTIF(F137,F133))=2,3,IF(F132=F133,2,1)))))),
IF(COUNTIF(B128:B132,B133)=0,
INDEX('CFT Specific Data'!$G$24:$L$39,MATCH(F133,'CFT Specific Data'!$F$24:$F$39,0),IF(COUNTIF(F134:F138,F133)=5,6,IF(COUNTIF(F135:F138,F133)=4,5,IF(COUNTIF(F136:F138,F133)=3,4,IF(COUNTIF(F137:F138,F133)=2,3,IF(F138=F133,2,1)))))))))))),1)</f>
        <v>25.2</v>
      </c>
      <c r="I133" s="210" t="s">
        <v>348</v>
      </c>
      <c r="J133">
        <v>10</v>
      </c>
      <c r="K133" s="210" t="str">
        <f>VLOOKUP(F133,'CFT Specific Data'!$F$4:$G$19,2,FALSE)</f>
        <v>Other</v>
      </c>
      <c r="L133" t="str">
        <f t="shared" si="14"/>
        <v>Medium</v>
      </c>
      <c r="M133">
        <f t="shared" si="15"/>
        <v>4.4720000000000004</v>
      </c>
      <c r="N133" t="str">
        <f t="shared" si="16"/>
        <v>1.72 &lt; SOM &lt;= 5.16</v>
      </c>
      <c r="O133" t="s">
        <v>349</v>
      </c>
      <c r="P133" t="s">
        <v>350</v>
      </c>
      <c r="Q133">
        <v>7</v>
      </c>
      <c r="R133" t="str">
        <f t="shared" si="12"/>
        <v>5.5 &lt; pH &lt;= 7.3</v>
      </c>
      <c r="S133" t="s">
        <v>351</v>
      </c>
      <c r="T133" s="210">
        <f t="array" ref="T133">_xlfn.SINGLE(INDEX('Focus Data NFertiliser Rate'!$D$4:$P$19,MATCH(F133,'Focus Data NFertiliser Rate'!$C$4:$C$19,0),_xlfn.SINGLE(_xlfn.IFS(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180</v>
      </c>
      <c r="U133" t="str">
        <f t="shared" si="17"/>
        <v>Apply in solution</v>
      </c>
      <c r="V133" s="210">
        <f t="array" ref="V133">_xlfn.SINGLE(INDEX('№ Fertiliser sprayings'!$D$4:$P$19,MATCH(F133,'№ Fertiliser sprayings'!$C$4:$C$19,0),_xlfn.SINGLE(_xlfn.IFS(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3</v>
      </c>
      <c r="W133" s="264">
        <f t="array" ref="W133">_xlfn.SINGLE(INDEX('Focus Data CFT NSpraying'!$D$4:$P$19,MATCH(F133,'Focus Data CFT NSpraying'!$C$4:$C$19,0),_xlfn.SINGLE(_xlfn.IFS(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3.1</v>
      </c>
      <c r="X133" t="s">
        <v>363</v>
      </c>
      <c r="Y133">
        <v>0</v>
      </c>
      <c r="Z133">
        <v>100</v>
      </c>
      <c r="AA133" t="s">
        <v>352</v>
      </c>
      <c r="AB133" s="226" t="str">
        <f>IF(B133=B132,_xlfn.IFS(
AND(AA133=Lists!$L$8,AA132=Lists!$L$8),Lists!$N$5,
AND(OR(AA133=Lists!$L$5,AA133=Lists!$L$7,AA133=Lists!$L$9,AA133=Lists!$L$10,AA133=Lists!$L$6),OR(AA132=Lists!$L$5,AA132=Lists!$L$7,AA132=Lists!$L$9,AA132=Lists!$L$10,AA132=Lists!$L$6)),Lists!$N$5,
AND(AA133=Lists!$L$8,OR(AA132=Lists!$L$5,AA132=Lists!$L$7,AA132=Lists!$L$9,AA132=Lists!$L$10,AA132=Lists!$L$6)),Lists!$N$6,
AND(OR(AA133=Lists!$L$5,AA133=Lists!$L$6,AA133=Lists!$L$7,AA133=Lists!$L$9,AA133=Lists!$L$10),AA132=Lists!$L$8),Lists!$N$7),
_xlfn.IFS(
AND(AA133=Lists!$L$8,AA138=Lists!$L$8),Lists!$N$5,
AND(OR(AA133=Lists!$L$5,AA133=Lists!$L$7,AA133=Lists!$L$9,AA133=Lists!$L$10,AA133=Lists!$L$6),OR(AA138=Lists!$L$5,AA138=Lists!$L$7,AA138=Lists!$L$9,AA138=Lists!$L$10,AA138=Lists!$L$6)),Lists!$N$5,
AND(AA133=Lists!$L$8,OR(AA138=Lists!$L$5,AA138=Lists!$L$7,AA138=Lists!$L$9,AA138=Lists!$L$10,AA138=Lists!$L$6)),Lists!$N$6,
AND(OR(AA133=Lists!$L$5,AA133=Lists!$L$7,AA133=Lists!$L$9,AA133=Lists!$L$10),AA138=Lists!$L$8),Lists!$N$7))</f>
        <v>no change</v>
      </c>
      <c r="AC133">
        <v>0</v>
      </c>
      <c r="AD133">
        <v>0</v>
      </c>
      <c r="AE133" s="102">
        <f t="array" ref="AE133">IF(OR(ISNUMBER(SEARCH("heavy",A133))=TRUE, ISNUMBER(SEARCH("medium",A133))=TRUE),
(LEN(_xlfn.SINGLE(
INDEX('Focus Data Tillage by farm'!$D$4:$P$9,MATCH(D133,'Focus Data Tillage by farm'!$C$4:$C$9,0),_xlfn.SINGLE(_xlfn.IFS(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-LEN(SUBSTITUTE(_xlfn.SINGLE(
INDEX('Focus Data Tillage by farm'!$D$4:$P$9,MATCH(D133,'Focus Data Tillage by farm'!$C$4:$C$9,0),_xlfn.SINGLE(_xlfn.IFS(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"disc","")))/LEN("disc"),
(LEN(_xlfn.SINGLE(
INDEX('Focus Data Tillage by farm'!$D$12:$P$17,MATCH(D133,'Focus Data Tillage by farm'!$C$12:$C$17,0),_xlfn.SINGLE(_xlfn.IFS(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-LEN(SUBSTITUTE(_xlfn.SINGLE(
INDEX('Focus Data Tillage by farm'!$D$12:$P$17,MATCH(D133,'Focus Data Tillage by farm'!$C$12:$C$17,0),_xlfn.SINGLE(_xlfn.IFS(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"disc","")))/LEN("disc"))</f>
        <v>0</v>
      </c>
      <c r="AF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"field cultivator","")))/LEN("field cultivator"),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"field cultivator","")))/LEN("field cultivator"))</f>
        <v>0</v>
      </c>
      <c r="AG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"grain drill","")))/LEN("grain drill"),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"grain drill","")))/LEN("grain drill"))</f>
        <v>0</v>
      </c>
      <c r="AH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"minimum tillage","")))/LEN("minimum tillage"),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"minimum tillage","")))/LEN("minimum tillage"))</f>
        <v>1</v>
      </c>
      <c r="AI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"row crop planter","")))/LEN("row crop planter"),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"row crop planter","")))/LEN("row crop planter"))</f>
        <v>0</v>
      </c>
      <c r="AJ133" s="102">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"plough","")))/LEN("plough"),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"plough","")))/LEN("plough"))</f>
        <v>0</v>
      </c>
      <c r="AK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harrow","")))/LEN("roller harrow"),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harrow","")))/LEN("roller harrow"))</f>
        <v>0</v>
      </c>
      <c r="AL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packer","")))/LEN("roller packer"),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"roller packer","")))/LEN("roller packer"))</f>
        <v>1</v>
      </c>
      <c r="AM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"rotary hoe","")))/LEN("rotary hoe"),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"rotary hoe","")))/LEN("rotary hoe"))</f>
        <v>0</v>
      </c>
      <c r="AN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"subsoil","")))/LEN("subsoil"),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"subsoil","")))/LEN("subsoil"))</f>
        <v>0</v>
      </c>
      <c r="AO133">
        <f>IF(OR(ISNUMBER(SEARCH("heavy",A133))=TRUE, ISNUMBER(SEARCH("medium",A133))=TRUE),
(LEN(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farm'!$D$4:$P$9,MATCH(D133,'Focus Data Tillage by farm'!$C$4:$C$9,0),_xlfn.IFS(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"tine harrow","")))/LEN("tine harrow"),
(LEN(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-LEN(SUBSTITUTE(
INDEX('Focus Data Tillage by farm'!$D$12:$P$17,MATCH(D133,'Focus Data Tillage by farm'!$C$12:$C$17,0),_xlfn.IFS(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
"tine harrow","")))/LEN("tine harrow"))</f>
        <v>0</v>
      </c>
      <c r="AP133" s="102">
        <f>INDEX('Focus Data NSpraying'!$D$4:$P$19,MATCH(F133,'Focus Data NSpraying'!$C$4:$C$19,0),_xlfn.IFS(
AND(ISNUMBER(SEARCH("H-Dsty.",A133))=TRUE,ISNUMBER(SEARCH("H-Res",A133))=TRUE,ISNUMBER(SEARCH("E.",A133))=TRUE),1,
AND(ISNUMBER(SEARCH("H-Dsty.",A133))=TRUE,ISNUMBER(SEARCH("H-Res",A133))=TRUE,OR(ISNUMBER(SEARCH("N.he",A133))=TRUE,ISNUMBER(SEARCH("N.me",A133))=TRUE,ISNUMBER(SEARCH("N.li",A133))=TRUE)),2,
AND(ISNUMBER(SEARCH("H-Dsty.",A133))=TRUE,ISNUMBER(SEARCH("H-Res",A133))=TRUE,ISNUMBER(SEARCH("C.",A133))=TRUE),3,
AND(ISNUMBER(SEARCH("L-Dsty.",A133))=TRUE,ISNUMBER(SEARCH("H-Res",A133))=TRUE,ISNUMBER(SEARCH("E.",A133))=TRUE),6,
AND(ISNUMBER(SEARCH("L-Dsty.",A133))=TRUE,ISNUMBER(SEARCH("H-Res",A133))=TRUE,OR(ISNUMBER(SEARCH("N.he",A133))=TRUE,ISNUMBER(SEARCH("N.me",A133))=TRUE,ISNUMBER(SEARCH("N.li",A133))=TRUE)),7,
AND(ISNUMBER(SEARCH("L-Dsty.",A133))=TRUE,ISNUMBER(SEARCH("H-Res",A133))=TRUE,ISNUMBER(SEARCH("C.",A133))=TRUE),8,
AND(ISNUMBER(SEARCH("L-Dsty.",A133))=TRUE,ISNUMBER(SEARCH("L-Res",A133))=TRUE,ISNUMBER(SEARCH("E.",A133))=TRUE),11,
AND(ISNUMBER(SEARCH("L-Dsty.",A133))=TRUE,ISNUMBER(SEARCH("L-Res",A133))=TRUE,OR(ISNUMBER(SEARCH("N.he",A133))=TRUE,ISNUMBER(SEARCH("N.me",A133))=TRUE,ISNUMBER(SEARCH("N.li",A133))=TRUE)),12,
AND(ISNUMBER(SEARCH("L-Dsty.",A133))=TRUE,ISNUMBER(SEARCH("L-Res",A133))=TRUE,ISNUMBER(SEARCH("C.",A133))=TRUE),13))</f>
        <v>4</v>
      </c>
    </row>
    <row r="134" spans="1:42" x14ac:dyDescent="0.2">
      <c r="A134" t="s">
        <v>497</v>
      </c>
      <c r="B134" s="210" t="str">
        <f t="array" ref="B134">INDEX(ECOMOD_input_estimate!$A$2:$A$55, MATCH(CFT_input!$A134, ECOMOD_input_estimate!$B:$B, 0))</f>
        <v>FF_09.4</v>
      </c>
      <c r="C134" s="210">
        <v>2020</v>
      </c>
      <c r="D134" s="395" t="s">
        <v>731</v>
      </c>
      <c r="E134" s="210" t="str">
        <f t="shared" si="13"/>
        <v>C.medium.L-Dsty.H-Res</v>
      </c>
      <c r="F134" s="210" t="str">
        <f t="array" ref="F134">_xlfn.SINGLE(IF(OR(ISNUMBER(SEARCH("heavy",A134))=TRUE,ISNUMBER(SEARCH("medium",A134))=TRUE),
INDEX('Focus Data Crop Rotations'!$D$4:$P$9,MATCH(D134,'Focus Data Crop Rotations'!$C$4:$C$9,0),_xlfn.SINGLE(_xlfn.IFS(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INDEX('Focus Data Crop Rotations'!$D$12:$P$17,MATCH(D134,'Focus Data Crop Rotations'!$C$12:$C$17,0),_xlfn.SINGLE(_xlfn.IFS(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winterwheat</v>
      </c>
      <c r="G134">
        <v>7.2</v>
      </c>
      <c r="H134" s="227">
        <f>VLOOKUP(F134,'CFT Specific Data'!$F$4:$H$19,3,FALSE)*G134*
IF(B134=B133,
IF(AND(ISNUMBER(SEARCH("wheat",F134))=TRUE,ISNUMBER(SEARCH("Barley",F133))=TRUE),0.89,
IF(AND(ISNUMBER(SEARCH("wheat",F134))=TRUE,F133="setaside"),0.94,
IF(AND(ISNUMBER(SEARCH("barley",F134))=TRUE,ISNUMBER(SEARCH("wheat",F133))=TRUE),0.89,
IF(AND(F134="winterbarley",F133="setaside"),0.94,
IF(AND(F134="sugarbeet",F133="warepotatoes"),0.95,
IF(AND((OR(ISNUMBER(SEARCH("beans",F134)),ISNUMBER(SEARCH("driedpeas",F134)),ISNUMBER(SEARCH("sugarbeet",F134)))=TRUE),ISNUMBER(SEARCH("osr",F133))=TRUE),0,
IF(AND((OR((ISNUMBER(SEARCH("wheat",F134))),ISNUMBER(SEARCH("linseed",F134)),ISNUMBER(SEARCH("driedpeas",F134)),ISNUMBER(SEARCH("osr",F134)))=TRUE),F133="sugarbeet"),0,
IF(AND((OR((ISNUMBER(SEARCH("osr",F134))),ISNUMBER(SEARCH("linseed",F134)))=TRUE),ISNUMBER(SEARCH("beans",F133))=TRUE),0,
IF(AND(F134="wosr",ISNUMBER(SEARCH("linseed",F133))=TRUE),0,
IF(AND(F134="sugarbeet",F133="warepotatoes"),0,
1)))))))))),
IF(AND(ISNUMBER(SEARCH("wheat",F134))=TRUE,ISNUMBER(SEARCH("Barley",F139))=TRUE),0.89,
IF(AND(ISNUMBER(SEARCH("wheat",F134))=TRUE,F139="setaside"),0.94,
IF(AND(ISNUMBER(SEARCH("barley",F134))=TRUE,ISNUMBER(SEARCH("wheat",F139))=TRUE),0.89,
IF(AND(F134="winterbarley",F139="setaside"),0.94,
IF(AND(F134="sugarbeet",F139="warepotatoes"),0.95,
IF(AND((OR(ISNUMBER(SEARCH("beans",F134)),ISNUMBER(SEARCH("driedpeas",F134)),ISNUMBER(SEARCH("sugarbeet",F134)))=TRUE),ISNUMBER(SEARCH("osr",F139))=TRUE),0,
IF(AND((OR((ISNUMBER(SEARCH("wheat",F134))),ISNUMBER(SEARCH("linseed",F134)),ISNUMBER(SEARCH("driedpeas",F134)),ISNUMBER(SEARCH("osr",F134)))=TRUE),F139="sugarbeet"),0,
IF(AND((OR((ISNUMBER(SEARCH("osr",F134))),ISNUMBER(SEARCH("linseed",F134)))=TRUE),ISNUMBER(SEARCH("beans",F139))=TRUE),0,
IF(AND(F134="wosr",ISNUMBER(SEARCH("linseed",F139))=TRUE),0,
IF(AND(F134="sugarbeet",F139="warepotatoes"),0,
1)))))))))))
*IF(OR(ISNUMBER(SEARCH("wheat",F134)),ISNUMBER(SEARCH("barley",F134)),ISNUMBER(SEARCH("driedpeas",F134)),ISNUMBER(SEARCH("warepotatoes",F134)),ISNUMBER(SEARCH("osr",F134)),ISNUMBER(SEARCH("linseed",F134)),ISNUMBER(SEARCH("sugarbeet",F134))),
IF(COUNTIF(B129:B133,B134)=5,
INDEX('CFT Specific Data'!$G$24:$L$39,MATCH(F134,'CFT Specific Data'!$F$24:$F$39,0),IF(COUNTIF(F129:F133,F134)=5,6,IF(COUNTIF(F130:F133,F134)=4,5,IF(COUNTIF(F131:F133,F134)=3,4,IF(COUNTIF(F132:F133,F134)=2,3,IF(F133=F134,2,1)))))),
IF(COUNTIF(B129:B133,B134)=4,
INDEX('CFT Specific Data'!$G$24:$L$39,MATCH(F134,'CFT Specific Data'!$F$24:$F$39,0),IF(SUM(COUNTIF(F130:F133,F134),COUNTIF(F135,F134))=5,6,IF(COUNTIF(F130:F133,F134)=4,5,IF(COUNTIF(F131:F133,F134)=3,4,IF(COUNTIF(F132:F133,F134)=2,3,IF(F133=F134,2,1)))))),
IF(COUNTIF(B129:B133,B134)=3,
INDEX('CFT Specific Data'!$G$24:$L$39,MATCH(F134,'CFT Specific Data'!$F$24:$F$39,0),IF(SUM(COUNTIF(F131:F133,F134),COUNTIF(F135:F136,F134))=5,6,IF(SUM(COUNTIF(F131:F133,F134),COUNTIF(F136,F134))=4,5,IF(COUNTIF(F131:F133,F134)=3,4,IF(COUNTIF(F132:F133,F134)=2,3,IF(F133=F134,2,1)))))),
IF(COUNTIF(B129:B133,B134)=2,
INDEX('CFT Specific Data'!$G$24:$L$39,MATCH(F134,'CFT Specific Data'!$F$24:$F$39,0),IF(SUM(COUNTIF(F132:F133,F134),COUNTIF(F135:F137,F134))=5,6,IF(SUM(COUNTIF(F132:F133,F134),COUNTIF(F136:F137,F134))=4,5,IF(SUM(COUNTIF(F132:F133,F134),COUNTIF(F137,F134))=3,4,IF(COUNTIF(F132:F133,F134)=2,3,IF(F133=F134,2,1)))))),
IF(COUNTIF(B129:B133,B134)=1,
INDEX('CFT Specific Data'!$G$24:$L$39,MATCH(F134,'CFT Specific Data'!$F$24:$F$39,0),IF(SUM(COUNTIF(F133,F134),COUNTIF(F135:F138,F134))=5,6,IF(SUM(COUNTIF(F133,F134),COUNTIF(F136:F138,F134))=4,5,IF(SUM(COUNTIF(F133,F134),COUNTIF(F137:F138,F134))=3,4,IF(SUM(COUNTIF(F133,F134),COUNTIF(F138,F134))=2,3,IF(F133=F134,2,1)))))),
IF(COUNTIF(B129:B133,B134)=0,
INDEX('CFT Specific Data'!$G$24:$L$39,MATCH(F134,'CFT Specific Data'!$F$24:$F$39,0),IF(COUNTIF(F135:F139,F134)=5,6,IF(COUNTIF(F136:F139,F134)=4,5,IF(COUNTIF(F137:F139,F134)=3,4,IF(COUNTIF(F138:F139,F134)=2,3,IF(F139=F134,2,1)))))))))))),1)</f>
        <v>61.92</v>
      </c>
      <c r="I134" s="210" t="s">
        <v>348</v>
      </c>
      <c r="J134">
        <v>10</v>
      </c>
      <c r="K134" s="210" t="str">
        <f>VLOOKUP(F134,'CFT Specific Data'!$F$4:$G$19,2,FALSE)</f>
        <v>Winter wheat</v>
      </c>
      <c r="L134" t="str">
        <f t="shared" si="14"/>
        <v>Medium</v>
      </c>
      <c r="M134">
        <f t="shared" si="15"/>
        <v>4.4720000000000004</v>
      </c>
      <c r="N134" t="str">
        <f t="shared" si="16"/>
        <v>1.72 &lt; SOM &lt;= 5.16</v>
      </c>
      <c r="O134" t="s">
        <v>349</v>
      </c>
      <c r="P134" t="s">
        <v>350</v>
      </c>
      <c r="Q134">
        <v>7</v>
      </c>
      <c r="R134" t="str">
        <f t="shared" si="12"/>
        <v>5.5 &lt; pH &lt;= 7.3</v>
      </c>
      <c r="S134" t="s">
        <v>351</v>
      </c>
      <c r="T134" s="210">
        <f t="array" ref="T134">_xlfn.SINGLE(INDEX('Focus Data NFertiliser Rate'!$D$4:$P$19,MATCH(F134,'Focus Data NFertiliser Rate'!$C$4:$C$19,0),_xlfn.SINGLE(_xlfn.IFS(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220</v>
      </c>
      <c r="U134" t="str">
        <f t="shared" si="17"/>
        <v>Apply in solution</v>
      </c>
      <c r="V134" s="210">
        <f t="array" ref="V134">_xlfn.SINGLE(INDEX('№ Fertiliser sprayings'!$D$4:$P$19,MATCH(F134,'№ Fertiliser sprayings'!$C$4:$C$19,0),_xlfn.SINGLE(_xlfn.IFS(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3</v>
      </c>
      <c r="W134" s="264">
        <f t="array" ref="W134">_xlfn.SINGLE(INDEX('Focus Data CFT NSpraying'!$D$4:$P$19,MATCH(F134,'Focus Data CFT NSpraying'!$C$4:$C$19,0),_xlfn.SINGLE(_xlfn.IFS(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5.7560000000000002</v>
      </c>
      <c r="X134" t="s">
        <v>363</v>
      </c>
      <c r="Y134">
        <v>0</v>
      </c>
      <c r="Z134">
        <v>100</v>
      </c>
      <c r="AA134" t="s">
        <v>352</v>
      </c>
      <c r="AB134" s="226" t="str">
        <f>IF(B134=B133,_xlfn.IFS(
AND(AA134=Lists!$L$8,AA133=Lists!$L$8),Lists!$N$5,
AND(OR(AA134=Lists!$L$5,AA134=Lists!$L$7,AA134=Lists!$L$9,AA134=Lists!$L$10,AA134=Lists!$L$6),OR(AA133=Lists!$L$5,AA133=Lists!$L$7,AA133=Lists!$L$9,AA133=Lists!$L$10,AA133=Lists!$L$6)),Lists!$N$5,
AND(AA134=Lists!$L$8,OR(AA133=Lists!$L$5,AA133=Lists!$L$7,AA133=Lists!$L$9,AA133=Lists!$L$10,AA133=Lists!$L$6)),Lists!$N$6,
AND(OR(AA134=Lists!$L$5,AA134=Lists!$L$6,AA134=Lists!$L$7,AA134=Lists!$L$9,AA134=Lists!$L$10),AA133=Lists!$L$8),Lists!$N$7),
_xlfn.IFS(
AND(AA134=Lists!$L$8,AA139=Lists!$L$8),Lists!$N$5,
AND(OR(AA134=Lists!$L$5,AA134=Lists!$L$7,AA134=Lists!$L$9,AA134=Lists!$L$10,AA134=Lists!$L$6),OR(AA139=Lists!$L$5,AA139=Lists!$L$7,AA139=Lists!$L$9,AA139=Lists!$L$10,AA139=Lists!$L$6)),Lists!$N$5,
AND(AA134=Lists!$L$8,OR(AA139=Lists!$L$5,AA139=Lists!$L$7,AA139=Lists!$L$9,AA139=Lists!$L$10,AA139=Lists!$L$6)),Lists!$N$6,
AND(OR(AA134=Lists!$L$5,AA134=Lists!$L$7,AA134=Lists!$L$9,AA134=Lists!$L$10),AA139=Lists!$L$8),Lists!$N$7))</f>
        <v>no change</v>
      </c>
      <c r="AC134">
        <v>0</v>
      </c>
      <c r="AD134">
        <v>0</v>
      </c>
      <c r="AE134" s="102">
        <f t="array" ref="AE134">IF(OR(ISNUMBER(SEARCH("heavy",A134))=TRUE, ISNUMBER(SEARCH("medium",A134))=TRUE),
(LEN(_xlfn.SINGLE(
INDEX('Focus Data Tillage by farm'!$D$4:$P$9,MATCH(D134,'Focus Data Tillage by farm'!$C$4:$C$9,0),_xlfn.SINGLE(_xlfn.IFS(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-LEN(SUBSTITUTE(_xlfn.SINGLE(
INDEX('Focus Data Tillage by farm'!$D$4:$P$9,MATCH(D134,'Focus Data Tillage by farm'!$C$4:$C$9,0),_xlfn.SINGLE(_xlfn.IFS(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"disc","")))/LEN("disc"),
(LEN(_xlfn.SINGLE(
INDEX('Focus Data Tillage by farm'!$D$12:$P$17,MATCH(D134,'Focus Data Tillage by farm'!$C$12:$C$17,0),_xlfn.SINGLE(_xlfn.IFS(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-LEN(SUBSTITUTE(_xlfn.SINGLE(
INDEX('Focus Data Tillage by farm'!$D$12:$P$17,MATCH(D134,'Focus Data Tillage by farm'!$C$12:$C$17,0),_xlfn.SINGLE(_xlfn.IFS(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"disc","")))/LEN("disc"))</f>
        <v>2</v>
      </c>
      <c r="AF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"field cultivator","")))/LEN("field cultivator"),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"field cultivator","")))/LEN("field cultivator"))</f>
        <v>0</v>
      </c>
      <c r="AG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"grain drill","")))/LEN("grain drill"),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"grain drill","")))/LEN("grain drill"))</f>
        <v>1</v>
      </c>
      <c r="AH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"minimum tillage","")))/LEN("minimum tillage"),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"minimum tillage","")))/LEN("minimum tillage"))</f>
        <v>0</v>
      </c>
      <c r="AI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"row crop planter","")))/LEN("row crop planter"),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"row crop planter","")))/LEN("row crop planter"))</f>
        <v>0</v>
      </c>
      <c r="AJ134" s="102">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"plough","")))/LEN("plough"),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"plough","")))/LEN("plough"))</f>
        <v>1</v>
      </c>
      <c r="AK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harrow","")))/LEN("roller harrow"),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harrow","")))/LEN("roller harrow"))</f>
        <v>1</v>
      </c>
      <c r="AL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packer","")))/LEN("roller packer"),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"roller packer","")))/LEN("roller packer"))</f>
        <v>2</v>
      </c>
      <c r="AM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"rotary hoe","")))/LEN("rotary hoe"),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"rotary hoe","")))/LEN("rotary hoe"))</f>
        <v>0</v>
      </c>
      <c r="AN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"subsoil","")))/LEN("subsoil"),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"subsoil","")))/LEN("subsoil"))</f>
        <v>0</v>
      </c>
      <c r="AO134">
        <f>IF(OR(ISNUMBER(SEARCH("heavy",A134))=TRUE, ISNUMBER(SEARCH("medium",A134))=TRUE),
(LEN(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farm'!$D$4:$P$9,MATCH(D134,'Focus Data Tillage by farm'!$C$4:$C$9,0),_xlfn.IFS(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"tine harrow","")))/LEN("tine harrow"),
(LEN(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-LEN(SUBSTITUTE(
INDEX('Focus Data Tillage by farm'!$D$12:$P$17,MATCH(D134,'Focus Data Tillage by farm'!$C$12:$C$17,0),_xlfn.IFS(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
"tine harrow","")))/LEN("tine harrow"))</f>
        <v>0</v>
      </c>
      <c r="AP134" s="102">
        <f>INDEX('Focus Data NSpraying'!$D$4:$P$19,MATCH(F134,'Focus Data NSpraying'!$C$4:$C$19,0),_xlfn.IFS(
AND(ISNUMBER(SEARCH("H-Dsty.",A134))=TRUE,ISNUMBER(SEARCH("H-Res",A134))=TRUE,ISNUMBER(SEARCH("E.",A134))=TRUE),1,
AND(ISNUMBER(SEARCH("H-Dsty.",A134))=TRUE,ISNUMBER(SEARCH("H-Res",A134))=TRUE,OR(ISNUMBER(SEARCH("N.he",A134))=TRUE,ISNUMBER(SEARCH("N.me",A134))=TRUE,ISNUMBER(SEARCH("N.li",A134))=TRUE)),2,
AND(ISNUMBER(SEARCH("H-Dsty.",A134))=TRUE,ISNUMBER(SEARCH("H-Res",A134))=TRUE,ISNUMBER(SEARCH("C.",A134))=TRUE),3,
AND(ISNUMBER(SEARCH("L-Dsty.",A134))=TRUE,ISNUMBER(SEARCH("H-Res",A134))=TRUE,ISNUMBER(SEARCH("E.",A134))=TRUE),6,
AND(ISNUMBER(SEARCH("L-Dsty.",A134))=TRUE,ISNUMBER(SEARCH("H-Res",A134))=TRUE,OR(ISNUMBER(SEARCH("N.he",A134))=TRUE,ISNUMBER(SEARCH("N.me",A134))=TRUE,ISNUMBER(SEARCH("N.li",A134))=TRUE)),7,
AND(ISNUMBER(SEARCH("L-Dsty.",A134))=TRUE,ISNUMBER(SEARCH("H-Res",A134))=TRUE,ISNUMBER(SEARCH("C.",A134))=TRUE),8,
AND(ISNUMBER(SEARCH("L-Dsty.",A134))=TRUE,ISNUMBER(SEARCH("L-Res",A134))=TRUE,ISNUMBER(SEARCH("E.",A134))=TRUE),11,
AND(ISNUMBER(SEARCH("L-Dsty.",A134))=TRUE,ISNUMBER(SEARCH("L-Res",A134))=TRUE,OR(ISNUMBER(SEARCH("N.he",A134))=TRUE,ISNUMBER(SEARCH("N.me",A134))=TRUE,ISNUMBER(SEARCH("N.li",A134))=TRUE)),12,
AND(ISNUMBER(SEARCH("L-Dsty.",A134))=TRUE,ISNUMBER(SEARCH("L-Res",A134))=TRUE,ISNUMBER(SEARCH("C.",A134))=TRUE),13))</f>
        <v>5</v>
      </c>
    </row>
    <row r="135" spans="1:42" x14ac:dyDescent="0.2">
      <c r="A135" t="s">
        <v>497</v>
      </c>
      <c r="B135" s="210" t="str">
        <f t="array" ref="B135">INDEX(ECOMOD_input_estimate!$A$2:$A$55, MATCH(CFT_input!$A135, ECOMOD_input_estimate!$B:$B, 0))</f>
        <v>FF_09.4</v>
      </c>
      <c r="C135" s="210">
        <v>2020</v>
      </c>
      <c r="D135" s="395" t="s">
        <v>730</v>
      </c>
      <c r="E135" s="210" t="str">
        <f t="shared" si="13"/>
        <v>C.medium.L-Dsty.H-Res</v>
      </c>
      <c r="F135" s="210" t="str">
        <f t="array" ref="F135">_xlfn.SINGLE(IF(OR(ISNUMBER(SEARCH("heavy",A135))=TRUE,ISNUMBER(SEARCH("medium",A135))=TRUE),
INDEX('Focus Data Crop Rotations'!$D$4:$P$9,MATCH(D135,'Focus Data Crop Rotations'!$C$4:$C$9,0),_xlfn.SINGLE(_xlfn.IFS(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INDEX('Focus Data Crop Rotations'!$D$12:$P$17,MATCH(D135,'Focus Data Crop Rotations'!$C$12:$C$17,0),_xlfn.SINGLE(_xlfn.IFS(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springbarley</v>
      </c>
      <c r="G135">
        <v>7.2</v>
      </c>
      <c r="H135" s="227">
        <f>VLOOKUP(F135,'CFT Specific Data'!$F$4:$H$19,3,FALSE)*G135*
IF(B135=B134,
IF(AND(ISNUMBER(SEARCH("wheat",F135))=TRUE,ISNUMBER(SEARCH("Barley",F134))=TRUE),0.89,
IF(AND(ISNUMBER(SEARCH("wheat",F135))=TRUE,F134="setaside"),0.94,
IF(AND(ISNUMBER(SEARCH("barley",F135))=TRUE,ISNUMBER(SEARCH("wheat",F134))=TRUE),0.89,
IF(AND(F135="winterbarley",F134="setaside"),0.94,
IF(AND(F135="sugarbeet",F134="warepotatoes"),0.95,
IF(AND((OR(ISNUMBER(SEARCH("beans",F135)),ISNUMBER(SEARCH("driedpeas",F135)),ISNUMBER(SEARCH("sugarbeet",F135)))=TRUE),ISNUMBER(SEARCH("osr",F134))=TRUE),0,
IF(AND((OR((ISNUMBER(SEARCH("wheat",F135))),ISNUMBER(SEARCH("linseed",F135)),ISNUMBER(SEARCH("driedpeas",F135)),ISNUMBER(SEARCH("osr",F135)))=TRUE),F134="sugarbeet"),0,
IF(AND((OR((ISNUMBER(SEARCH("osr",F135))),ISNUMBER(SEARCH("linseed",F135)))=TRUE),ISNUMBER(SEARCH("beans",F134))=TRUE),0,
IF(AND(F135="wosr",ISNUMBER(SEARCH("linseed",F134))=TRUE),0,
IF(AND(F135="sugarbeet",F134="warepotatoes"),0,
1)))))))))),
IF(AND(ISNUMBER(SEARCH("wheat",F135))=TRUE,ISNUMBER(SEARCH("Barley",F140))=TRUE),0.89,
IF(AND(ISNUMBER(SEARCH("wheat",F135))=TRUE,F140="setaside"),0.94,
IF(AND(ISNUMBER(SEARCH("barley",F135))=TRUE,ISNUMBER(SEARCH("wheat",F140))=TRUE),0.89,
IF(AND(F135="winterbarley",F140="setaside"),0.94,
IF(AND(F135="sugarbeet",F140="warepotatoes"),0.95,
IF(AND((OR(ISNUMBER(SEARCH("beans",F135)),ISNUMBER(SEARCH("driedpeas",F135)),ISNUMBER(SEARCH("sugarbeet",F135)))=TRUE),ISNUMBER(SEARCH("osr",F140))=TRUE),0,
IF(AND((OR((ISNUMBER(SEARCH("wheat",F135))),ISNUMBER(SEARCH("linseed",F135)),ISNUMBER(SEARCH("driedpeas",F135)),ISNUMBER(SEARCH("osr",F135)))=TRUE),F140="sugarbeet"),0,
IF(AND((OR((ISNUMBER(SEARCH("osr",F135))),ISNUMBER(SEARCH("linseed",F135)))=TRUE),ISNUMBER(SEARCH("beans",F140))=TRUE),0,
IF(AND(F135="wosr",ISNUMBER(SEARCH("linseed",F140))=TRUE),0,
IF(AND(F135="sugarbeet",F140="warepotatoes"),0,
1)))))))))))
*IF(OR(ISNUMBER(SEARCH("wheat",F135)),ISNUMBER(SEARCH("barley",F135)),ISNUMBER(SEARCH("driedpeas",F135)),ISNUMBER(SEARCH("warepotatoes",F135)),ISNUMBER(SEARCH("osr",F135)),ISNUMBER(SEARCH("linseed",F135)),ISNUMBER(SEARCH("sugarbeet",F135))),
IF(COUNTIF(B130:B134,B135)=5,
INDEX('CFT Specific Data'!$G$24:$L$39,MATCH(F135,'CFT Specific Data'!$F$24:$F$39,0),IF(COUNTIF(F130:F134,F135)=5,6,IF(COUNTIF(F131:F134,F135)=4,5,IF(COUNTIF(F132:F134,F135)=3,4,IF(COUNTIF(F133:F134,F135)=2,3,IF(F134=F135,2,1)))))),
IF(COUNTIF(B130:B134,B135)=4,
INDEX('CFT Specific Data'!$G$24:$L$39,MATCH(F135,'CFT Specific Data'!$F$24:$F$39,0),IF(SUM(COUNTIF(F131:F134,F135),COUNTIF(F136,F135))=5,6,IF(COUNTIF(F131:F134,F135)=4,5,IF(COUNTIF(F132:F134,F135)=3,4,IF(COUNTIF(F133:F134,F135)=2,3,IF(F134=F135,2,1)))))),
IF(COUNTIF(B130:B134,B135)=3,
INDEX('CFT Specific Data'!$G$24:$L$39,MATCH(F135,'CFT Specific Data'!$F$24:$F$39,0),IF(SUM(COUNTIF(F132:F134,F135),COUNTIF(F136:F137,F135))=5,6,IF(SUM(COUNTIF(F132:F134,F135),COUNTIF(F137,F135))=4,5,IF(COUNTIF(F132:F134,F135)=3,4,IF(COUNTIF(F133:F134,F135)=2,3,IF(F134=F135,2,1)))))),
IF(COUNTIF(B130:B134,B135)=2,
INDEX('CFT Specific Data'!$G$24:$L$39,MATCH(F135,'CFT Specific Data'!$F$24:$F$39,0),IF(SUM(COUNTIF(F133:F134,F135),COUNTIF(F136:F138,F135))=5,6,IF(SUM(COUNTIF(F133:F134,F135),COUNTIF(F137:F138,F135))=4,5,IF(SUM(COUNTIF(F133:F134,F135),COUNTIF(F138,F135))=3,4,IF(COUNTIF(F133:F134,F135)=2,3,IF(F134=F135,2,1)))))),
IF(COUNTIF(B130:B134,B135)=1,
INDEX('CFT Specific Data'!$G$24:$L$39,MATCH(F135,'CFT Specific Data'!$F$24:$F$39,0),IF(SUM(COUNTIF(F134,F135),COUNTIF(F136:F139,F135))=5,6,IF(SUM(COUNTIF(F134,F135),COUNTIF(F137:F139,F135))=4,5,IF(SUM(COUNTIF(F134,F135),COUNTIF(F138:F139,F135))=3,4,IF(SUM(COUNTIF(F134,F135),COUNTIF(F139,F135))=2,3,IF(F134=F135,2,1)))))),
IF(COUNTIF(B130:B134,B135)=0,
INDEX('CFT Specific Data'!$G$24:$L$39,MATCH(F135,'CFT Specific Data'!$F$24:$F$39,0),IF(COUNTIF(F136:F140,F135)=5,6,IF(COUNTIF(F137:F140,F135)=4,5,IF(COUNTIF(F138:F140,F135)=3,4,IF(COUNTIF(F139:F140,F135)=2,3,IF(F140=F135,2,1)))))))))))),1)</f>
        <v>36.525599999999997</v>
      </c>
      <c r="I135" s="210" t="s">
        <v>348</v>
      </c>
      <c r="J135">
        <v>10</v>
      </c>
      <c r="K135" s="210" t="str">
        <f>VLOOKUP(F135,'CFT Specific Data'!$F$4:$G$19,2,FALSE)</f>
        <v>Barley</v>
      </c>
      <c r="L135" t="str">
        <f t="shared" si="14"/>
        <v>Medium</v>
      </c>
      <c r="M135">
        <f t="shared" si="15"/>
        <v>4.4720000000000004</v>
      </c>
      <c r="N135" t="str">
        <f t="shared" si="16"/>
        <v>1.72 &lt; SOM &lt;= 5.16</v>
      </c>
      <c r="O135" t="s">
        <v>349</v>
      </c>
      <c r="P135" t="s">
        <v>350</v>
      </c>
      <c r="Q135">
        <v>7</v>
      </c>
      <c r="R135" t="str">
        <f t="shared" si="12"/>
        <v>5.5 &lt; pH &lt;= 7.3</v>
      </c>
      <c r="S135" t="s">
        <v>351</v>
      </c>
      <c r="T135" s="210">
        <f t="array" ref="T135">_xlfn.SINGLE(INDEX('Focus Data NFertiliser Rate'!$D$4:$P$19,MATCH(F135,'Focus Data NFertiliser Rate'!$C$4:$C$19,0),_xlfn.SINGLE(_xlfn.IFS(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110</v>
      </c>
      <c r="U135" t="str">
        <f t="shared" si="17"/>
        <v>Apply in solution</v>
      </c>
      <c r="V135" s="210">
        <f t="array" ref="V135">_xlfn.SINGLE(INDEX('№ Fertiliser sprayings'!$D$4:$P$19,MATCH(F135,'№ Fertiliser sprayings'!$C$4:$C$19,0),_xlfn.SINGLE(_xlfn.IFS(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1</v>
      </c>
      <c r="W135" s="264">
        <f t="array" ref="W135">_xlfn.SINGLE(INDEX('Focus Data CFT NSpraying'!$D$4:$P$19,MATCH(F135,'Focus Data CFT NSpraying'!$C$4:$C$19,0),_xlfn.SINGLE(_xlfn.IFS(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6.16</v>
      </c>
      <c r="X135" t="s">
        <v>363</v>
      </c>
      <c r="Y135">
        <v>0</v>
      </c>
      <c r="Z135">
        <v>100</v>
      </c>
      <c r="AA135" t="s">
        <v>352</v>
      </c>
      <c r="AB135" s="226" t="str">
        <f>IF(B135=B134,_xlfn.IFS(
AND(AA135=Lists!$L$8,AA134=Lists!$L$8),Lists!$N$5,
AND(OR(AA135=Lists!$L$5,AA135=Lists!$L$7,AA135=Lists!$L$9,AA135=Lists!$L$10,AA135=Lists!$L$6),OR(AA134=Lists!$L$5,AA134=Lists!$L$7,AA134=Lists!$L$9,AA134=Lists!$L$10,AA134=Lists!$L$6)),Lists!$N$5,
AND(AA135=Lists!$L$8,OR(AA134=Lists!$L$5,AA134=Lists!$L$7,AA134=Lists!$L$9,AA134=Lists!$L$10,AA134=Lists!$L$6)),Lists!$N$6,
AND(OR(AA135=Lists!$L$5,AA135=Lists!$L$6,AA135=Lists!$L$7,AA135=Lists!$L$9,AA135=Lists!$L$10),AA134=Lists!$L$8),Lists!$N$7),
_xlfn.IFS(
AND(AA135=Lists!$L$8,AA140=Lists!$L$8),Lists!$N$5,
AND(OR(AA135=Lists!$L$5,AA135=Lists!$L$7,AA135=Lists!$L$9,AA135=Lists!$L$10,AA135=Lists!$L$6),OR(AA140=Lists!$L$5,AA140=Lists!$L$7,AA140=Lists!$L$9,AA140=Lists!$L$10,AA140=Lists!$L$6)),Lists!$N$5,
AND(AA135=Lists!$L$8,OR(AA140=Lists!$L$5,AA140=Lists!$L$7,AA140=Lists!$L$9,AA140=Lists!$L$10,AA140=Lists!$L$6)),Lists!$N$6,
AND(OR(AA135=Lists!$L$5,AA135=Lists!$L$7,AA135=Lists!$L$9,AA135=Lists!$L$10),AA140=Lists!$L$8),Lists!$N$7))</f>
        <v>no change</v>
      </c>
      <c r="AC135">
        <v>0</v>
      </c>
      <c r="AD135">
        <v>0</v>
      </c>
      <c r="AE135" s="102">
        <f t="array" ref="AE135">IF(OR(ISNUMBER(SEARCH("heavy",A135))=TRUE, ISNUMBER(SEARCH("medium",A135))=TRUE),
(LEN(_xlfn.SINGLE(
INDEX('Focus Data Tillage by farm'!$D$4:$P$9,MATCH(D135,'Focus Data Tillage by farm'!$C$4:$C$9,0),_xlfn.SINGLE(_xlfn.IFS(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-LEN(SUBSTITUTE(_xlfn.SINGLE(
INDEX('Focus Data Tillage by farm'!$D$4:$P$9,MATCH(D135,'Focus Data Tillage by farm'!$C$4:$C$9,0),_xlfn.SINGLE(_xlfn.IFS(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"disc","")))/LEN("disc"),
(LEN(_xlfn.SINGLE(
INDEX('Focus Data Tillage by farm'!$D$12:$P$17,MATCH(D135,'Focus Data Tillage by farm'!$C$12:$C$17,0),_xlfn.SINGLE(_xlfn.IFS(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-LEN(SUBSTITUTE(_xlfn.SINGLE(
INDEX('Focus Data Tillage by farm'!$D$12:$P$17,MATCH(D135,'Focus Data Tillage by farm'!$C$12:$C$17,0),_xlfn.SINGLE(_xlfn.IFS(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"disc","")))/LEN("disc"))</f>
        <v>4</v>
      </c>
      <c r="AF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"field cultivator","")))/LEN("field cultivator"),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"field cultivator","")))/LEN("field cultivator"))</f>
        <v>0</v>
      </c>
      <c r="AG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"grain drill","")))/LEN("grain drill"),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"grain drill","")))/LEN("grain drill"))</f>
        <v>0</v>
      </c>
      <c r="AH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"minimum tillage","")))/LEN("minimum tillage"),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"minimum tillage","")))/LEN("minimum tillage"))</f>
        <v>1</v>
      </c>
      <c r="AI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"row crop planter","")))/LEN("row crop planter"),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"row crop planter","")))/LEN("row crop planter"))</f>
        <v>0</v>
      </c>
      <c r="AJ135" s="102">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"plough","")))/LEN("plough"),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"plough","")))/LEN("plough"))</f>
        <v>0</v>
      </c>
      <c r="AK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harrow","")))/LEN("roller harrow"),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harrow","")))/LEN("roller harrow"))</f>
        <v>0</v>
      </c>
      <c r="AL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packer","")))/LEN("roller packer"),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"roller packer","")))/LEN("roller packer"))</f>
        <v>2</v>
      </c>
      <c r="AM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"rotary hoe","")))/LEN("rotary hoe"),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"rotary hoe","")))/LEN("rotary hoe"))</f>
        <v>0</v>
      </c>
      <c r="AN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"subsoil","")))/LEN("subsoil"),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"subsoil","")))/LEN("subsoil"))</f>
        <v>0</v>
      </c>
      <c r="AO135">
        <f>IF(OR(ISNUMBER(SEARCH("heavy",A135))=TRUE, ISNUMBER(SEARCH("medium",A135))=TRUE),
(LEN(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farm'!$D$4:$P$9,MATCH(D135,'Focus Data Tillage by farm'!$C$4:$C$9,0),_xlfn.IFS(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"tine harrow","")))/LEN("tine harrow"),
(LEN(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-LEN(SUBSTITUTE(
INDEX('Focus Data Tillage by farm'!$D$12:$P$17,MATCH(D135,'Focus Data Tillage by farm'!$C$12:$C$17,0),_xlfn.IFS(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
"tine harrow","")))/LEN("tine harrow"))</f>
        <v>0</v>
      </c>
      <c r="AP135" s="102">
        <f>INDEX('Focus Data NSpraying'!$D$4:$P$19,MATCH(F135,'Focus Data NSpraying'!$C$4:$C$19,0),_xlfn.IFS(
AND(ISNUMBER(SEARCH("H-Dsty.",A135))=TRUE,ISNUMBER(SEARCH("H-Res",A135))=TRUE,ISNUMBER(SEARCH("E.",A135))=TRUE),1,
AND(ISNUMBER(SEARCH("H-Dsty.",A135))=TRUE,ISNUMBER(SEARCH("H-Res",A135))=TRUE,OR(ISNUMBER(SEARCH("N.he",A135))=TRUE,ISNUMBER(SEARCH("N.me",A135))=TRUE,ISNUMBER(SEARCH("N.li",A135))=TRUE)),2,
AND(ISNUMBER(SEARCH("H-Dsty.",A135))=TRUE,ISNUMBER(SEARCH("H-Res",A135))=TRUE,ISNUMBER(SEARCH("C.",A135))=TRUE),3,
AND(ISNUMBER(SEARCH("L-Dsty.",A135))=TRUE,ISNUMBER(SEARCH("H-Res",A135))=TRUE,ISNUMBER(SEARCH("E.",A135))=TRUE),6,
AND(ISNUMBER(SEARCH("L-Dsty.",A135))=TRUE,ISNUMBER(SEARCH("H-Res",A135))=TRUE,OR(ISNUMBER(SEARCH("N.he",A135))=TRUE,ISNUMBER(SEARCH("N.me",A135))=TRUE,ISNUMBER(SEARCH("N.li",A135))=TRUE)),7,
AND(ISNUMBER(SEARCH("L-Dsty.",A135))=TRUE,ISNUMBER(SEARCH("H-Res",A135))=TRUE,ISNUMBER(SEARCH("C.",A135))=TRUE),8,
AND(ISNUMBER(SEARCH("L-Dsty.",A135))=TRUE,ISNUMBER(SEARCH("L-Res",A135))=TRUE,ISNUMBER(SEARCH("E.",A135))=TRUE),11,
AND(ISNUMBER(SEARCH("L-Dsty.",A135))=TRUE,ISNUMBER(SEARCH("L-Res",A135))=TRUE,OR(ISNUMBER(SEARCH("N.he",A135))=TRUE,ISNUMBER(SEARCH("N.me",A135))=TRUE,ISNUMBER(SEARCH("N.li",A135))=TRUE)),12,
AND(ISNUMBER(SEARCH("L-Dsty.",A135))=TRUE,ISNUMBER(SEARCH("L-Res",A135))=TRUE,ISNUMBER(SEARCH("C.",A135))=TRUE),13))</f>
        <v>5</v>
      </c>
    </row>
    <row r="136" spans="1:42" x14ac:dyDescent="0.2">
      <c r="A136" t="s">
        <v>497</v>
      </c>
      <c r="B136" s="210" t="str">
        <f t="array" ref="B136">INDEX(ECOMOD_input_estimate!$A$2:$A$55, MATCH(CFT_input!$A136, ECOMOD_input_estimate!$B:$B, 0))</f>
        <v>FF_09.4</v>
      </c>
      <c r="C136" s="210">
        <v>2020</v>
      </c>
      <c r="D136" s="395" t="s">
        <v>1694</v>
      </c>
      <c r="E136" s="210" t="str">
        <f t="shared" si="13"/>
        <v>C.medium.L-Dsty.H-Res</v>
      </c>
      <c r="F136" s="210" t="str">
        <f t="array" ref="F136">_xlfn.SINGLE(IF(OR(ISNUMBER(SEARCH("heavy",A136))=TRUE,ISNUMBER(SEARCH("medium",A136))=TRUE),
INDEX('Focus Data Crop Rotations'!$D$4:$P$9,MATCH(D136,'Focus Data Crop Rotations'!$C$4:$C$9,0),_xlfn.SINGLE(_xlfn.IFS(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INDEX('Focus Data Crop Rotations'!$D$12:$P$17,MATCH(D136,'Focus Data Crop Rotations'!$C$12:$C$17,0),_xlfn.SINGLE(_xlfn.IFS(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wosr</v>
      </c>
      <c r="G136">
        <v>7.2</v>
      </c>
      <c r="H136" s="227">
        <f>VLOOKUP(F136,'CFT Specific Data'!$F$4:$H$19,3,FALSE)*G136*
IF(B136=B135,
IF(AND(ISNUMBER(SEARCH("wheat",F136))=TRUE,ISNUMBER(SEARCH("Barley",F135))=TRUE),0.89,
IF(AND(ISNUMBER(SEARCH("wheat",F136))=TRUE,F135="setaside"),0.94,
IF(AND(ISNUMBER(SEARCH("barley",F136))=TRUE,ISNUMBER(SEARCH("wheat",F135))=TRUE),0.89,
IF(AND(F136="winterbarley",F135="setaside"),0.94,
IF(AND(F136="sugarbeet",F135="warepotatoes"),0.95,
IF(AND((OR(ISNUMBER(SEARCH("beans",F136)),ISNUMBER(SEARCH("driedpeas",F136)),ISNUMBER(SEARCH("sugarbeet",F136)))=TRUE),ISNUMBER(SEARCH("osr",F135))=TRUE),0,
IF(AND((OR((ISNUMBER(SEARCH("wheat",F136))),ISNUMBER(SEARCH("linseed",F136)),ISNUMBER(SEARCH("driedpeas",F136)),ISNUMBER(SEARCH("osr",F136)))=TRUE),F135="sugarbeet"),0,
IF(AND((OR((ISNUMBER(SEARCH("osr",F136))),ISNUMBER(SEARCH("linseed",F136)))=TRUE),ISNUMBER(SEARCH("beans",F135))=TRUE),0,
IF(AND(F136="wosr",ISNUMBER(SEARCH("linseed",F135))=TRUE),0,
IF(AND(F136="sugarbeet",F135="warepotatoes"),0,
1)))))))))),
IF(AND(ISNUMBER(SEARCH("wheat",F136))=TRUE,ISNUMBER(SEARCH("Barley",F141))=TRUE),0.89,
IF(AND(ISNUMBER(SEARCH("wheat",F136))=TRUE,F141="setaside"),0.94,
IF(AND(ISNUMBER(SEARCH("barley",F136))=TRUE,ISNUMBER(SEARCH("wheat",F141))=TRUE),0.89,
IF(AND(F136="winterbarley",F141="setaside"),0.94,
IF(AND(F136="sugarbeet",F141="warepotatoes"),0.95,
IF(AND((OR(ISNUMBER(SEARCH("beans",F136)),ISNUMBER(SEARCH("driedpeas",F136)),ISNUMBER(SEARCH("sugarbeet",F136)))=TRUE),ISNUMBER(SEARCH("osr",F141))=TRUE),0,
IF(AND((OR((ISNUMBER(SEARCH("wheat",F136))),ISNUMBER(SEARCH("linseed",F136)),ISNUMBER(SEARCH("driedpeas",F136)),ISNUMBER(SEARCH("osr",F136)))=TRUE),F141="sugarbeet"),0,
IF(AND((OR((ISNUMBER(SEARCH("osr",F136))),ISNUMBER(SEARCH("linseed",F136)))=TRUE),ISNUMBER(SEARCH("beans",F141))=TRUE),0,
IF(AND(F136="wosr",ISNUMBER(SEARCH("linseed",F141))=TRUE),0,
IF(AND(F136="sugarbeet",F141="warepotatoes"),0,
1)))))))))))
*IF(OR(ISNUMBER(SEARCH("wheat",F136)),ISNUMBER(SEARCH("barley",F136)),ISNUMBER(SEARCH("driedpeas",F136)),ISNUMBER(SEARCH("warepotatoes",F136)),ISNUMBER(SEARCH("osr",F136)),ISNUMBER(SEARCH("linseed",F136)),ISNUMBER(SEARCH("sugarbeet",F136))),
IF(COUNTIF(B131:B135,B136)=5,
INDEX('CFT Specific Data'!$G$24:$L$39,MATCH(F136,'CFT Specific Data'!$F$24:$F$39,0),IF(COUNTIF(F131:F135,F136)=5,6,IF(COUNTIF(F132:F135,F136)=4,5,IF(COUNTIF(F133:F135,F136)=3,4,IF(COUNTIF(F134:F135,F136)=2,3,IF(F135=F136,2,1)))))),
IF(COUNTIF(B131:B135,B136)=4,
INDEX('CFT Specific Data'!$G$24:$L$39,MATCH(F136,'CFT Specific Data'!$F$24:$F$39,0),IF(SUM(COUNTIF(F132:F135,F136),COUNTIF(F137,F136))=5,6,IF(COUNTIF(F132:F135,F136)=4,5,IF(COUNTIF(F133:F135,F136)=3,4,IF(COUNTIF(F134:F135,F136)=2,3,IF(F135=F136,2,1)))))),
IF(COUNTIF(B131:B135,B136)=3,
INDEX('CFT Specific Data'!$G$24:$L$39,MATCH(F136,'CFT Specific Data'!$F$24:$F$39,0),IF(SUM(COUNTIF(F133:F135,F136),COUNTIF(F137:F138,F136))=5,6,IF(SUM(COUNTIF(F133:F135,F136),COUNTIF(F138,F136))=4,5,IF(COUNTIF(F133:F135,F136)=3,4,IF(COUNTIF(F134:F135,F136)=2,3,IF(F135=F136,2,1)))))),
IF(COUNTIF(B131:B135,B136)=2,
INDEX('CFT Specific Data'!$G$24:$L$39,MATCH(F136,'CFT Specific Data'!$F$24:$F$39,0),IF(SUM(COUNTIF(F134:F135,F136),COUNTIF(F137:F139,F136))=5,6,IF(SUM(COUNTIF(F134:F135,F136),COUNTIF(F138:F139,F136))=4,5,IF(SUM(COUNTIF(F134:F135,F136),COUNTIF(F139,F136))=3,4,IF(COUNTIF(F134:F135,F136)=2,3,IF(F135=F136,2,1)))))),
IF(COUNTIF(B131:B135,B136)=1,
INDEX('CFT Specific Data'!$G$24:$L$39,MATCH(F136,'CFT Specific Data'!$F$24:$F$39,0),IF(SUM(COUNTIF(F135,F136),COUNTIF(F137:F140,F136))=5,6,IF(SUM(COUNTIF(F135,F136),COUNTIF(F138:F140,F136))=4,5,IF(SUM(COUNTIF(F135,F136),COUNTIF(F139:F140,F136))=3,4,IF(SUM(COUNTIF(F135,F136),COUNTIF(F140,F136))=2,3,IF(F135=F136,2,1)))))),
IF(COUNTIF(B131:B135,B136)=0,
INDEX('CFT Specific Data'!$G$24:$L$39,MATCH(F136,'CFT Specific Data'!$F$24:$F$39,0),IF(COUNTIF(F137:F141,F136)=5,6,IF(COUNTIF(F138:F141,F136)=4,5,IF(COUNTIF(F139:F141,F136)=3,4,IF(COUNTIF(F140:F141,F136)=2,3,IF(F141=F136,2,1)))))))))))),1)</f>
        <v>25.2</v>
      </c>
      <c r="I136" s="210" t="s">
        <v>348</v>
      </c>
      <c r="J136">
        <v>10</v>
      </c>
      <c r="K136" s="210" t="str">
        <f>VLOOKUP(F136,'CFT Specific Data'!$F$4:$G$19,2,FALSE)</f>
        <v>Other</v>
      </c>
      <c r="L136" t="str">
        <f t="shared" si="14"/>
        <v>Medium</v>
      </c>
      <c r="M136">
        <f t="shared" si="15"/>
        <v>4.4720000000000004</v>
      </c>
      <c r="N136" t="str">
        <f t="shared" si="16"/>
        <v>1.72 &lt; SOM &lt;= 5.16</v>
      </c>
      <c r="O136" t="s">
        <v>349</v>
      </c>
      <c r="P136" t="s">
        <v>350</v>
      </c>
      <c r="Q136">
        <v>7</v>
      </c>
      <c r="R136" t="str">
        <f t="shared" si="12"/>
        <v>5.5 &lt; pH &lt;= 7.3</v>
      </c>
      <c r="S136" t="s">
        <v>351</v>
      </c>
      <c r="T136" s="210">
        <f t="array" ref="T136">_xlfn.SINGLE(INDEX('Focus Data NFertiliser Rate'!$D$4:$P$19,MATCH(F136,'Focus Data NFertiliser Rate'!$C$4:$C$19,0),_xlfn.SINGLE(_xlfn.IFS(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180</v>
      </c>
      <c r="U136" t="str">
        <f t="shared" si="17"/>
        <v>Apply in solution</v>
      </c>
      <c r="V136" s="210">
        <f t="array" ref="V136">_xlfn.SINGLE(INDEX('№ Fertiliser sprayings'!$D$4:$P$19,MATCH(F136,'№ Fertiliser sprayings'!$C$4:$C$19,0),_xlfn.SINGLE(_xlfn.IFS(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3</v>
      </c>
      <c r="W136" s="264">
        <f t="array" ref="W136">_xlfn.SINGLE(INDEX('Focus Data CFT NSpraying'!$D$4:$P$19,MATCH(F136,'Focus Data CFT NSpraying'!$C$4:$C$19,0),_xlfn.SINGLE(_xlfn.IFS(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6.94</v>
      </c>
      <c r="X136" t="s">
        <v>363</v>
      </c>
      <c r="Y136">
        <v>0</v>
      </c>
      <c r="Z136">
        <v>100</v>
      </c>
      <c r="AA136" t="s">
        <v>352</v>
      </c>
      <c r="AB136" s="226" t="str">
        <f>IF(B136=B135,_xlfn.IFS(
AND(AA136=Lists!$L$8,AA135=Lists!$L$8),Lists!$N$5,
AND(OR(AA136=Lists!$L$5,AA136=Lists!$L$7,AA136=Lists!$L$9,AA136=Lists!$L$10,AA136=Lists!$L$6),OR(AA135=Lists!$L$5,AA135=Lists!$L$7,AA135=Lists!$L$9,AA135=Lists!$L$10,AA135=Lists!$L$6)),Lists!$N$5,
AND(AA136=Lists!$L$8,OR(AA135=Lists!$L$5,AA135=Lists!$L$7,AA135=Lists!$L$9,AA135=Lists!$L$10,AA135=Lists!$L$6)),Lists!$N$6,
AND(OR(AA136=Lists!$L$5,AA136=Lists!$L$6,AA136=Lists!$L$7,AA136=Lists!$L$9,AA136=Lists!$L$10),AA135=Lists!$L$8),Lists!$N$7),
_xlfn.IFS(
AND(AA136=Lists!$L$8,AA141=Lists!$L$8),Lists!$N$5,
AND(OR(AA136=Lists!$L$5,AA136=Lists!$L$7,AA136=Lists!$L$9,AA136=Lists!$L$10,AA136=Lists!$L$6),OR(AA141=Lists!$L$5,AA141=Lists!$L$7,AA141=Lists!$L$9,AA141=Lists!$L$10,AA141=Lists!$L$6)),Lists!$N$5,
AND(AA136=Lists!$L$8,OR(AA141=Lists!$L$5,AA141=Lists!$L$7,AA141=Lists!$L$9,AA141=Lists!$L$10,AA141=Lists!$L$6)),Lists!$N$6,
AND(OR(AA136=Lists!$L$5,AA136=Lists!$L$7,AA136=Lists!$L$9,AA136=Lists!$L$10),AA141=Lists!$L$8),Lists!$N$7))</f>
        <v>no change</v>
      </c>
      <c r="AC136">
        <v>0</v>
      </c>
      <c r="AD136">
        <v>0</v>
      </c>
      <c r="AE136" s="102">
        <f t="array" ref="AE136">IF(OR(ISNUMBER(SEARCH("heavy",A136))=TRUE, ISNUMBER(SEARCH("medium",A136))=TRUE),
(LEN(_xlfn.SINGLE(
INDEX('Focus Data Tillage by farm'!$D$4:$P$9,MATCH(D136,'Focus Data Tillage by farm'!$C$4:$C$9,0),_xlfn.SINGLE(_xlfn.IFS(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-LEN(SUBSTITUTE(_xlfn.SINGLE(
INDEX('Focus Data Tillage by farm'!$D$4:$P$9,MATCH(D136,'Focus Data Tillage by farm'!$C$4:$C$9,0),_xlfn.SINGLE(_xlfn.IFS(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"disc","")))/LEN("disc"),
(LEN(_xlfn.SINGLE(
INDEX('Focus Data Tillage by farm'!$D$12:$P$17,MATCH(D136,'Focus Data Tillage by farm'!$C$12:$C$17,0),_xlfn.SINGLE(_xlfn.IFS(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-LEN(SUBSTITUTE(_xlfn.SINGLE(
INDEX('Focus Data Tillage by farm'!$D$12:$P$17,MATCH(D136,'Focus Data Tillage by farm'!$C$12:$C$17,0),_xlfn.SINGLE(_xlfn.IFS(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"disc","")))/LEN("disc"))</f>
        <v>0</v>
      </c>
      <c r="AF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"field cultivator","")))/LEN("field cultivator"),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"field cultivator","")))/LEN("field cultivator"))</f>
        <v>0</v>
      </c>
      <c r="AG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"grain drill","")))/LEN("grain drill"),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"grain drill","")))/LEN("grain drill"))</f>
        <v>0</v>
      </c>
      <c r="AH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"minimum tillage","")))/LEN("minimum tillage"),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"minimum tillage","")))/LEN("minimum tillage"))</f>
        <v>1</v>
      </c>
      <c r="AI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"row crop planter","")))/LEN("row crop planter"),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"row crop planter","")))/LEN("row crop planter"))</f>
        <v>0</v>
      </c>
      <c r="AJ136" s="102">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"plough","")))/LEN("plough"),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"plough","")))/LEN("plough"))</f>
        <v>0</v>
      </c>
      <c r="AK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harrow","")))/LEN("roller harrow"),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harrow","")))/LEN("roller harrow"))</f>
        <v>0</v>
      </c>
      <c r="AL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packer","")))/LEN("roller packer"),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"roller packer","")))/LEN("roller packer"))</f>
        <v>1</v>
      </c>
      <c r="AM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"rotary hoe","")))/LEN("rotary hoe"),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"rotary hoe","")))/LEN("rotary hoe"))</f>
        <v>0</v>
      </c>
      <c r="AN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"subsoil","")))/LEN("subsoil"),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"subsoil","")))/LEN("subsoil"))</f>
        <v>0</v>
      </c>
      <c r="AO136">
        <f>IF(OR(ISNUMBER(SEARCH("heavy",A136))=TRUE, ISNUMBER(SEARCH("medium",A136))=TRUE),
(LEN(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farm'!$D$4:$P$9,MATCH(D136,'Focus Data Tillage by farm'!$C$4:$C$9,0),_xlfn.IFS(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"tine harrow","")))/LEN("tine harrow"),
(LEN(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-LEN(SUBSTITUTE(
INDEX('Focus Data Tillage by farm'!$D$12:$P$17,MATCH(D136,'Focus Data Tillage by farm'!$C$12:$C$17,0),_xlfn.IFS(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
"tine harrow","")))/LEN("tine harrow"))</f>
        <v>0</v>
      </c>
      <c r="AP136" s="102">
        <f>INDEX('Focus Data NSpraying'!$D$4:$P$19,MATCH(F136,'Focus Data NSpraying'!$C$4:$C$19,0),_xlfn.IFS(
AND(ISNUMBER(SEARCH("H-Dsty.",A136))=TRUE,ISNUMBER(SEARCH("H-Res",A136))=TRUE,ISNUMBER(SEARCH("E.",A136))=TRUE),1,
AND(ISNUMBER(SEARCH("H-Dsty.",A136))=TRUE,ISNUMBER(SEARCH("H-Res",A136))=TRUE,OR(ISNUMBER(SEARCH("N.he",A136))=TRUE,ISNUMBER(SEARCH("N.me",A136))=TRUE,ISNUMBER(SEARCH("N.li",A136))=TRUE)),2,
AND(ISNUMBER(SEARCH("H-Dsty.",A136))=TRUE,ISNUMBER(SEARCH("H-Res",A136))=TRUE,ISNUMBER(SEARCH("C.",A136))=TRUE),3,
AND(ISNUMBER(SEARCH("L-Dsty.",A136))=TRUE,ISNUMBER(SEARCH("H-Res",A136))=TRUE,ISNUMBER(SEARCH("E.",A136))=TRUE),6,
AND(ISNUMBER(SEARCH("L-Dsty.",A136))=TRUE,ISNUMBER(SEARCH("H-Res",A136))=TRUE,OR(ISNUMBER(SEARCH("N.he",A136))=TRUE,ISNUMBER(SEARCH("N.me",A136))=TRUE,ISNUMBER(SEARCH("N.li",A136))=TRUE)),7,
AND(ISNUMBER(SEARCH("L-Dsty.",A136))=TRUE,ISNUMBER(SEARCH("H-Res",A136))=TRUE,ISNUMBER(SEARCH("C.",A136))=TRUE),8,
AND(ISNUMBER(SEARCH("L-Dsty.",A136))=TRUE,ISNUMBER(SEARCH("L-Res",A136))=TRUE,ISNUMBER(SEARCH("E.",A136))=TRUE),11,
AND(ISNUMBER(SEARCH("L-Dsty.",A136))=TRUE,ISNUMBER(SEARCH("L-Res",A136))=TRUE,OR(ISNUMBER(SEARCH("N.he",A136))=TRUE,ISNUMBER(SEARCH("N.me",A136))=TRUE,ISNUMBER(SEARCH("N.li",A136))=TRUE)),12,
AND(ISNUMBER(SEARCH("L-Dsty.",A136))=TRUE,ISNUMBER(SEARCH("L-Res",A136))=TRUE,ISNUMBER(SEARCH("C.",A136))=TRUE),13))</f>
        <v>4</v>
      </c>
    </row>
    <row r="137" spans="1:42" x14ac:dyDescent="0.2">
      <c r="A137" t="s">
        <v>497</v>
      </c>
      <c r="B137" s="210" t="str">
        <f t="array" ref="B137">INDEX(ECOMOD_input_estimate!$A$2:$A$55, MATCH(CFT_input!$A137, ECOMOD_input_estimate!$B:$B, 0))</f>
        <v>FF_09.4</v>
      </c>
      <c r="C137" s="210">
        <v>2020</v>
      </c>
      <c r="D137" s="395" t="s">
        <v>1695</v>
      </c>
      <c r="E137" s="210" t="str">
        <f t="shared" si="13"/>
        <v>C.medium.L-Dsty.H-Res</v>
      </c>
      <c r="F137" s="210" t="str">
        <f t="array" ref="F137">_xlfn.SINGLE(IF(OR(ISNUMBER(SEARCH("heavy",A137))=TRUE,ISNUMBER(SEARCH("medium",A137))=TRUE),
INDEX('Focus Data Crop Rotations'!$D$4:$P$9,MATCH(D137,'Focus Data Crop Rotations'!$C$4:$C$9,0),_xlfn.SINGLE(_xlfn.IFS(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INDEX('Focus Data Crop Rotations'!$D$12:$P$17,MATCH(D137,'Focus Data Crop Rotations'!$C$12:$C$17,0),_xlfn.SINGLE(_xlfn.IFS(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winterwheat</v>
      </c>
      <c r="G137">
        <v>7.2</v>
      </c>
      <c r="H137" s="227">
        <f>VLOOKUP(F137,'CFT Specific Data'!$F$4:$H$19,3,FALSE)*G137*
IF(B137=B136,
IF(AND(ISNUMBER(SEARCH("wheat",F137))=TRUE,ISNUMBER(SEARCH("Barley",F136))=TRUE),0.89,
IF(AND(ISNUMBER(SEARCH("wheat",F137))=TRUE,F136="setaside"),0.94,
IF(AND(ISNUMBER(SEARCH("barley",F137))=TRUE,ISNUMBER(SEARCH("wheat",F136))=TRUE),0.89,
IF(AND(F137="winterbarley",F136="setaside"),0.94,
IF(AND(F137="sugarbeet",F136="warepotatoes"),0.95,
IF(AND((OR(ISNUMBER(SEARCH("beans",F137)),ISNUMBER(SEARCH("driedpeas",F137)),ISNUMBER(SEARCH("sugarbeet",F137)))=TRUE),ISNUMBER(SEARCH("osr",F136))=TRUE),0,
IF(AND((OR((ISNUMBER(SEARCH("wheat",F137))),ISNUMBER(SEARCH("linseed",F137)),ISNUMBER(SEARCH("driedpeas",F137)),ISNUMBER(SEARCH("osr",F137)))=TRUE),F136="sugarbeet"),0,
IF(AND((OR((ISNUMBER(SEARCH("osr",F137))),ISNUMBER(SEARCH("linseed",F137)))=TRUE),ISNUMBER(SEARCH("beans",F136))=TRUE),0,
IF(AND(F137="wosr",ISNUMBER(SEARCH("linseed",F136))=TRUE),0,
IF(AND(F137="sugarbeet",F136="warepotatoes"),0,
1)))))))))),
IF(AND(ISNUMBER(SEARCH("wheat",F137))=TRUE,ISNUMBER(SEARCH("Barley",F142))=TRUE),0.89,
IF(AND(ISNUMBER(SEARCH("wheat",F137))=TRUE,F142="setaside"),0.94,
IF(AND(ISNUMBER(SEARCH("barley",F137))=TRUE,ISNUMBER(SEARCH("wheat",F142))=TRUE),0.89,
IF(AND(F137="winterbarley",F142="setaside"),0.94,
IF(AND(F137="sugarbeet",F142="warepotatoes"),0.95,
IF(AND((OR(ISNUMBER(SEARCH("beans",F137)),ISNUMBER(SEARCH("driedpeas",F137)),ISNUMBER(SEARCH("sugarbeet",F137)))=TRUE),ISNUMBER(SEARCH("osr",F142))=TRUE),0,
IF(AND((OR((ISNUMBER(SEARCH("wheat",F137))),ISNUMBER(SEARCH("linseed",F137)),ISNUMBER(SEARCH("driedpeas",F137)),ISNUMBER(SEARCH("osr",F137)))=TRUE),F142="sugarbeet"),0,
IF(AND((OR((ISNUMBER(SEARCH("osr",F137))),ISNUMBER(SEARCH("linseed",F137)))=TRUE),ISNUMBER(SEARCH("beans",F142))=TRUE),0,
IF(AND(F137="wosr",ISNUMBER(SEARCH("linseed",F142))=TRUE),0,
IF(AND(F137="sugarbeet",F142="warepotatoes"),0,
1)))))))))))
*IF(OR(ISNUMBER(SEARCH("wheat",F137)),ISNUMBER(SEARCH("barley",F137)),ISNUMBER(SEARCH("driedpeas",F137)),ISNUMBER(SEARCH("warepotatoes",F137)),ISNUMBER(SEARCH("osr",F137)),ISNUMBER(SEARCH("linseed",F137)),ISNUMBER(SEARCH("sugarbeet",F137))),
IF(COUNTIF(B132:B136,B137)=5,
INDEX('CFT Specific Data'!$G$24:$L$39,MATCH(F137,'CFT Specific Data'!$F$24:$F$39,0),IF(COUNTIF(F132:F136,F137)=5,6,IF(COUNTIF(F133:F136,F137)=4,5,IF(COUNTIF(F134:F136,F137)=3,4,IF(COUNTIF(F135:F136,F137)=2,3,IF(F136=F137,2,1)))))),
IF(COUNTIF(B132:B136,B137)=4,
INDEX('CFT Specific Data'!$G$24:$L$39,MATCH(F137,'CFT Specific Data'!$F$24:$F$39,0),IF(SUM(COUNTIF(F133:F136,F137),COUNTIF(F138,F137))=5,6,IF(COUNTIF(F133:F136,F137)=4,5,IF(COUNTIF(F134:F136,F137)=3,4,IF(COUNTIF(F135:F136,F137)=2,3,IF(F136=F137,2,1)))))),
IF(COUNTIF(B132:B136,B137)=3,
INDEX('CFT Specific Data'!$G$24:$L$39,MATCH(F137,'CFT Specific Data'!$F$24:$F$39,0),IF(SUM(COUNTIF(F134:F136,F137),COUNTIF(F138:F139,F137))=5,6,IF(SUM(COUNTIF(F134:F136,F137),COUNTIF(F139,F137))=4,5,IF(COUNTIF(F134:F136,F137)=3,4,IF(COUNTIF(F135:F136,F137)=2,3,IF(F136=F137,2,1)))))),
IF(COUNTIF(B132:B136,B137)=2,
INDEX('CFT Specific Data'!$G$24:$L$39,MATCH(F137,'CFT Specific Data'!$F$24:$F$39,0),IF(SUM(COUNTIF(F135:F136,F137),COUNTIF(F138:F140,F137))=5,6,IF(SUM(COUNTIF(F135:F136,F137),COUNTIF(F139:F140,F137))=4,5,IF(SUM(COUNTIF(F135:F136,F137),COUNTIF(F140,F137))=3,4,IF(COUNTIF(F135:F136,F137)=2,3,IF(F136=F137,2,1)))))),
IF(COUNTIF(B132:B136,B137)=1,
INDEX('CFT Specific Data'!$G$24:$L$39,MATCH(F137,'CFT Specific Data'!$F$24:$F$39,0),IF(SUM(COUNTIF(F136,F137),COUNTIF(F138:F141,F137))=5,6,IF(SUM(COUNTIF(F136,F137),COUNTIF(F139:F141,F137))=4,5,IF(SUM(COUNTIF(F136,F137),COUNTIF(F140:F141,F137))=3,4,IF(SUM(COUNTIF(F136,F137),COUNTIF(F141,F137))=2,3,IF(F136=F137,2,1)))))),
IF(COUNTIF(B132:B136,B137)=0,
INDEX('CFT Specific Data'!$G$24:$L$39,MATCH(F137,'CFT Specific Data'!$F$24:$F$39,0),IF(COUNTIF(F138:F142,F137)=5,6,IF(COUNTIF(F139:F142,F137)=4,5,IF(COUNTIF(F140:F142,F137)=3,4,IF(COUNTIF(F141:F142,F137)=2,3,IF(F142=F137,2,1)))))))))))),1)</f>
        <v>61.92</v>
      </c>
      <c r="I137" s="210" t="s">
        <v>348</v>
      </c>
      <c r="J137">
        <v>10</v>
      </c>
      <c r="K137" s="210" t="str">
        <f>VLOOKUP(F137,'CFT Specific Data'!$F$4:$G$19,2,FALSE)</f>
        <v>Winter wheat</v>
      </c>
      <c r="L137" t="str">
        <f t="shared" si="14"/>
        <v>Medium</v>
      </c>
      <c r="M137">
        <f t="shared" si="15"/>
        <v>4.4720000000000004</v>
      </c>
      <c r="N137" t="str">
        <f t="shared" si="16"/>
        <v>1.72 &lt; SOM &lt;= 5.16</v>
      </c>
      <c r="O137" t="s">
        <v>349</v>
      </c>
      <c r="P137" t="s">
        <v>350</v>
      </c>
      <c r="Q137">
        <v>7</v>
      </c>
      <c r="R137" t="str">
        <f t="shared" si="12"/>
        <v>5.5 &lt; pH &lt;= 7.3</v>
      </c>
      <c r="S137" t="s">
        <v>351</v>
      </c>
      <c r="T137" s="210">
        <f t="array" ref="T137">_xlfn.SINGLE(INDEX('Focus Data NFertiliser Rate'!$D$4:$P$19,MATCH(F137,'Focus Data NFertiliser Rate'!$C$4:$C$19,0),_xlfn.SINGLE(_xlfn.IFS(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220</v>
      </c>
      <c r="U137" t="str">
        <f t="shared" si="17"/>
        <v>Apply in solution</v>
      </c>
      <c r="V137" s="210">
        <f t="array" ref="V137">_xlfn.SINGLE(INDEX('№ Fertiliser sprayings'!$D$4:$P$19,MATCH(F137,'№ Fertiliser sprayings'!$C$4:$C$19,0),_xlfn.SINGLE(_xlfn.IFS(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3</v>
      </c>
      <c r="W137" s="264">
        <f t="array" ref="W137">_xlfn.SINGLE(INDEX('Focus Data CFT NSpraying'!$D$4:$P$19,MATCH(F137,'Focus Data CFT NSpraying'!$C$4:$C$19,0),_xlfn.SINGLE(_xlfn.IFS(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5.7560000000000002</v>
      </c>
      <c r="X137" t="s">
        <v>363</v>
      </c>
      <c r="Y137">
        <v>0</v>
      </c>
      <c r="Z137">
        <v>100</v>
      </c>
      <c r="AA137" t="s">
        <v>352</v>
      </c>
      <c r="AB137" s="226" t="str">
        <f>IF(B137=B136,_xlfn.IFS(
AND(AA137=Lists!$L$8,AA136=Lists!$L$8),Lists!$N$5,
AND(OR(AA137=Lists!$L$5,AA137=Lists!$L$7,AA137=Lists!$L$9,AA137=Lists!$L$10,AA137=Lists!$L$6),OR(AA136=Lists!$L$5,AA136=Lists!$L$7,AA136=Lists!$L$9,AA136=Lists!$L$10,AA136=Lists!$L$6)),Lists!$N$5,
AND(AA137=Lists!$L$8,OR(AA136=Lists!$L$5,AA136=Lists!$L$7,AA136=Lists!$L$9,AA136=Lists!$L$10,AA136=Lists!$L$6)),Lists!$N$6,
AND(OR(AA137=Lists!$L$5,AA137=Lists!$L$6,AA137=Lists!$L$7,AA137=Lists!$L$9,AA137=Lists!$L$10),AA136=Lists!$L$8),Lists!$N$7),
_xlfn.IFS(
AND(AA137=Lists!$L$8,AA142=Lists!$L$8),Lists!$N$5,
AND(OR(AA137=Lists!$L$5,AA137=Lists!$L$7,AA137=Lists!$L$9,AA137=Lists!$L$10,AA137=Lists!$L$6),OR(AA142=Lists!$L$5,AA142=Lists!$L$7,AA142=Lists!$L$9,AA142=Lists!$L$10,AA142=Lists!$L$6)),Lists!$N$5,
AND(AA137=Lists!$L$8,OR(AA142=Lists!$L$5,AA142=Lists!$L$7,AA142=Lists!$L$9,AA142=Lists!$L$10,AA142=Lists!$L$6)),Lists!$N$6,
AND(OR(AA137=Lists!$L$5,AA137=Lists!$L$7,AA137=Lists!$L$9,AA137=Lists!$L$10),AA142=Lists!$L$8),Lists!$N$7))</f>
        <v>no change</v>
      </c>
      <c r="AC137">
        <v>0</v>
      </c>
      <c r="AD137">
        <v>0</v>
      </c>
      <c r="AE137" s="102">
        <f t="array" ref="AE137">IF(OR(ISNUMBER(SEARCH("heavy",A137))=TRUE, ISNUMBER(SEARCH("medium",A137))=TRUE),
(LEN(_xlfn.SINGLE(
INDEX('Focus Data Tillage by farm'!$D$4:$P$9,MATCH(D137,'Focus Data Tillage by farm'!$C$4:$C$9,0),_xlfn.SINGLE(_xlfn.IFS(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-LEN(SUBSTITUTE(_xlfn.SINGLE(
INDEX('Focus Data Tillage by farm'!$D$4:$P$9,MATCH(D137,'Focus Data Tillage by farm'!$C$4:$C$9,0),_xlfn.SINGLE(_xlfn.IFS(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"disc","")))/LEN("disc"),
(LEN(_xlfn.SINGLE(
INDEX('Focus Data Tillage by farm'!$D$12:$P$17,MATCH(D137,'Focus Data Tillage by farm'!$C$12:$C$17,0),_xlfn.SINGLE(_xlfn.IFS(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-LEN(SUBSTITUTE(_xlfn.SINGLE(
INDEX('Focus Data Tillage by farm'!$D$12:$P$17,MATCH(D137,'Focus Data Tillage by farm'!$C$12:$C$17,0),_xlfn.SINGLE(_xlfn.IFS(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"disc","")))/LEN("disc"))</f>
        <v>2</v>
      </c>
      <c r="AF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"field cultivator","")))/LEN("field cultivator"),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"field cultivator","")))/LEN("field cultivator"))</f>
        <v>0</v>
      </c>
      <c r="AG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"grain drill","")))/LEN("grain drill"),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"grain drill","")))/LEN("grain drill"))</f>
        <v>1</v>
      </c>
      <c r="AH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"minimum tillage","")))/LEN("minimum tillage"),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"minimum tillage","")))/LEN("minimum tillage"))</f>
        <v>0</v>
      </c>
      <c r="AI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"row crop planter","")))/LEN("row crop planter"),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"row crop planter","")))/LEN("row crop planter"))</f>
        <v>0</v>
      </c>
      <c r="AJ137" s="102">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"plough","")))/LEN("plough"),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"plough","")))/LEN("plough"))</f>
        <v>0</v>
      </c>
      <c r="AK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harrow","")))/LEN("roller harrow"),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harrow","")))/LEN("roller harrow"))</f>
        <v>0</v>
      </c>
      <c r="AL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packer","")))/LEN("roller packer"),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"roller packer","")))/LEN("roller packer"))</f>
        <v>2</v>
      </c>
      <c r="AM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"rotary hoe","")))/LEN("rotary hoe"),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"rotary hoe","")))/LEN("rotary hoe"))</f>
        <v>0</v>
      </c>
      <c r="AN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"subsoil","")))/LEN("subsoil"),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"subsoil","")))/LEN("subsoil"))</f>
        <v>0</v>
      </c>
      <c r="AO137">
        <f>IF(OR(ISNUMBER(SEARCH("heavy",A137))=TRUE, ISNUMBER(SEARCH("medium",A137))=TRUE),
(LEN(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farm'!$D$4:$P$9,MATCH(D137,'Focus Data Tillage by farm'!$C$4:$C$9,0),_xlfn.IFS(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"tine harrow","")))/LEN("tine harrow"),
(LEN(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-LEN(SUBSTITUTE(
INDEX('Focus Data Tillage by farm'!$D$12:$P$17,MATCH(D137,'Focus Data Tillage by farm'!$C$12:$C$17,0),_xlfn.IFS(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
"tine harrow","")))/LEN("tine harrow"))</f>
        <v>0</v>
      </c>
      <c r="AP137" s="102">
        <f>INDEX('Focus Data NSpraying'!$D$4:$P$19,MATCH(F137,'Focus Data NSpraying'!$C$4:$C$19,0),_xlfn.IFS(
AND(ISNUMBER(SEARCH("H-Dsty.",A137))=TRUE,ISNUMBER(SEARCH("H-Res",A137))=TRUE,ISNUMBER(SEARCH("E.",A137))=TRUE),1,
AND(ISNUMBER(SEARCH("H-Dsty.",A137))=TRUE,ISNUMBER(SEARCH("H-Res",A137))=TRUE,OR(ISNUMBER(SEARCH("N.he",A137))=TRUE,ISNUMBER(SEARCH("N.me",A137))=TRUE,ISNUMBER(SEARCH("N.li",A137))=TRUE)),2,
AND(ISNUMBER(SEARCH("H-Dsty.",A137))=TRUE,ISNUMBER(SEARCH("H-Res",A137))=TRUE,ISNUMBER(SEARCH("C.",A137))=TRUE),3,
AND(ISNUMBER(SEARCH("L-Dsty.",A137))=TRUE,ISNUMBER(SEARCH("H-Res",A137))=TRUE,ISNUMBER(SEARCH("E.",A137))=TRUE),6,
AND(ISNUMBER(SEARCH("L-Dsty.",A137))=TRUE,ISNUMBER(SEARCH("H-Res",A137))=TRUE,OR(ISNUMBER(SEARCH("N.he",A137))=TRUE,ISNUMBER(SEARCH("N.me",A137))=TRUE,ISNUMBER(SEARCH("N.li",A137))=TRUE)),7,
AND(ISNUMBER(SEARCH("L-Dsty.",A137))=TRUE,ISNUMBER(SEARCH("H-Res",A137))=TRUE,ISNUMBER(SEARCH("C.",A137))=TRUE),8,
AND(ISNUMBER(SEARCH("L-Dsty.",A137))=TRUE,ISNUMBER(SEARCH("L-Res",A137))=TRUE,ISNUMBER(SEARCH("E.",A137))=TRUE),11,
AND(ISNUMBER(SEARCH("L-Dsty.",A137))=TRUE,ISNUMBER(SEARCH("L-Res",A137))=TRUE,OR(ISNUMBER(SEARCH("N.he",A137))=TRUE,ISNUMBER(SEARCH("N.me",A137))=TRUE,ISNUMBER(SEARCH("N.li",A137))=TRUE)),12,
AND(ISNUMBER(SEARCH("L-Dsty.",A137))=TRUE,ISNUMBER(SEARCH("L-Res",A137))=TRUE,ISNUMBER(SEARCH("C.",A137))=TRUE),13))</f>
        <v>5</v>
      </c>
    </row>
    <row r="138" spans="1:42" x14ac:dyDescent="0.2">
      <c r="A138" t="s">
        <v>497</v>
      </c>
      <c r="B138" s="210" t="str">
        <f t="array" ref="B138">INDEX(ECOMOD_input_estimate!$A$2:$A$55, MATCH(CFT_input!$A138, ECOMOD_input_estimate!$B:$B, 0))</f>
        <v>FF_09.4</v>
      </c>
      <c r="C138" s="210">
        <v>2020</v>
      </c>
      <c r="D138" s="395" t="s">
        <v>1696</v>
      </c>
      <c r="E138" s="210" t="str">
        <f t="shared" si="13"/>
        <v>C.medium.L-Dsty.H-Res</v>
      </c>
      <c r="F138" s="210" t="str">
        <f t="array" ref="F138">_xlfn.SINGLE(IF(OR(ISNUMBER(SEARCH("heavy",A138))=TRUE,ISNUMBER(SEARCH("medium",A138))=TRUE),
INDEX('Focus Data Crop Rotations'!$D$4:$P$9,MATCH(D138,'Focus Data Crop Rotations'!$C$4:$C$9,0),_xlfn.SINGLE(_xlfn.IFS(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INDEX('Focus Data Crop Rotations'!$D$12:$P$17,MATCH(D138,'Focus Data Crop Rotations'!$C$12:$C$17,0),_xlfn.SINGLE(_xlfn.IFS(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springbarley</v>
      </c>
      <c r="G138">
        <v>7.2</v>
      </c>
      <c r="H138" s="227">
        <f>VLOOKUP(F138,'CFT Specific Data'!$F$4:$H$19,3,FALSE)*G138*
IF(B138=B137,
IF(AND(ISNUMBER(SEARCH("wheat",F138))=TRUE,ISNUMBER(SEARCH("Barley",F137))=TRUE),0.89,
IF(AND(ISNUMBER(SEARCH("wheat",F138))=TRUE,F137="setaside"),0.94,
IF(AND(ISNUMBER(SEARCH("barley",F138))=TRUE,ISNUMBER(SEARCH("wheat",F137))=TRUE),0.89,
IF(AND(F138="winterbarley",F137="setaside"),0.94,
IF(AND(F138="sugarbeet",F137="warepotatoes"),0.95,
IF(AND((OR(ISNUMBER(SEARCH("beans",F138)),ISNUMBER(SEARCH("driedpeas",F138)),ISNUMBER(SEARCH("sugarbeet",F138)))=TRUE),ISNUMBER(SEARCH("osr",F137))=TRUE),0,
IF(AND((OR((ISNUMBER(SEARCH("wheat",F138))),ISNUMBER(SEARCH("linseed",F138)),ISNUMBER(SEARCH("driedpeas",F138)),ISNUMBER(SEARCH("osr",F138)))=TRUE),F137="sugarbeet"),0,
IF(AND((OR((ISNUMBER(SEARCH("osr",F138))),ISNUMBER(SEARCH("linseed",F138)))=TRUE),ISNUMBER(SEARCH("beans",F137))=TRUE),0,
IF(AND(F138="wosr",ISNUMBER(SEARCH("linseed",F137))=TRUE),0,
IF(AND(F138="sugarbeet",F137="warepotatoes"),0,
1)))))))))),
IF(AND(ISNUMBER(SEARCH("wheat",F138))=TRUE,ISNUMBER(SEARCH("Barley",F143))=TRUE),0.89,
IF(AND(ISNUMBER(SEARCH("wheat",F138))=TRUE,F143="setaside"),0.94,
IF(AND(ISNUMBER(SEARCH("barley",F138))=TRUE,ISNUMBER(SEARCH("wheat",F143))=TRUE),0.89,
IF(AND(F138="winterbarley",F143="setaside"),0.94,
IF(AND(F138="sugarbeet",F143="warepotatoes"),0.95,
IF(AND((OR(ISNUMBER(SEARCH("beans",F138)),ISNUMBER(SEARCH("driedpeas",F138)),ISNUMBER(SEARCH("sugarbeet",F138)))=TRUE),ISNUMBER(SEARCH("osr",F143))=TRUE),0,
IF(AND((OR((ISNUMBER(SEARCH("wheat",F138))),ISNUMBER(SEARCH("linseed",F138)),ISNUMBER(SEARCH("driedpeas",F138)),ISNUMBER(SEARCH("osr",F138)))=TRUE),F143="sugarbeet"),0,
IF(AND((OR((ISNUMBER(SEARCH("osr",F138))),ISNUMBER(SEARCH("linseed",F138)))=TRUE),ISNUMBER(SEARCH("beans",F143))=TRUE),0,
IF(AND(F138="wosr",ISNUMBER(SEARCH("linseed",F143))=TRUE),0,
IF(AND(F138="sugarbeet",F143="warepotatoes"),0,
1)))))))))))
*IF(OR(ISNUMBER(SEARCH("wheat",F138)),ISNUMBER(SEARCH("barley",F138)),ISNUMBER(SEARCH("driedpeas",F138)),ISNUMBER(SEARCH("warepotatoes",F138)),ISNUMBER(SEARCH("osr",F138)),ISNUMBER(SEARCH("linseed",F138)),ISNUMBER(SEARCH("sugarbeet",F138))),
IF(COUNTIF(B133:B137,B138)=5,
INDEX('CFT Specific Data'!$G$24:$L$39,MATCH(F138,'CFT Specific Data'!$F$24:$F$39,0),IF(COUNTIF(F133:F137,F138)=5,6,IF(COUNTIF(F134:F137,F138)=4,5,IF(COUNTIF(F135:F137,F138)=3,4,IF(COUNTIF(F136:F137,F138)=2,3,IF(F137=F138,2,1)))))),
IF(COUNTIF(B133:B137,B138)=4,
INDEX('CFT Specific Data'!$G$24:$L$39,MATCH(F138,'CFT Specific Data'!$F$24:$F$39,0),IF(SUM(COUNTIF(F134:F137,F138),COUNTIF(F139,F138))=5,6,IF(COUNTIF(F134:F137,F138)=4,5,IF(COUNTIF(F135:F137,F138)=3,4,IF(COUNTIF(F136:F137,F138)=2,3,IF(F137=F138,2,1)))))),
IF(COUNTIF(B133:B137,B138)=3,
INDEX('CFT Specific Data'!$G$24:$L$39,MATCH(F138,'CFT Specific Data'!$F$24:$F$39,0),IF(SUM(COUNTIF(F135:F137,F138),COUNTIF(F139:F140,F138))=5,6,IF(SUM(COUNTIF(F135:F137,F138),COUNTIF(F140,F138))=4,5,IF(COUNTIF(F135:F137,F138)=3,4,IF(COUNTIF(F136:F137,F138)=2,3,IF(F137=F138,2,1)))))),
IF(COUNTIF(B133:B137,B138)=2,
INDEX('CFT Specific Data'!$G$24:$L$39,MATCH(F138,'CFT Specific Data'!$F$24:$F$39,0),IF(SUM(COUNTIF(F136:F137,F138),COUNTIF(F139:F141,F138))=5,6,IF(SUM(COUNTIF(F136:F137,F138),COUNTIF(F140:F141,F138))=4,5,IF(SUM(COUNTIF(F136:F137,F138),COUNTIF(F141,F138))=3,4,IF(COUNTIF(F136:F137,F138)=2,3,IF(F137=F138,2,1)))))),
IF(COUNTIF(B133:B137,B138)=1,
INDEX('CFT Specific Data'!$G$24:$L$39,MATCH(F138,'CFT Specific Data'!$F$24:$F$39,0),IF(SUM(COUNTIF(F137,F138),COUNTIF(F139:F142,F138))=5,6,IF(SUM(COUNTIF(F137,F138),COUNTIF(F140:F142,F138))=4,5,IF(SUM(COUNTIF(F137,F138),COUNTIF(F141:F142,F138))=3,4,IF(SUM(COUNTIF(F137,F138),COUNTIF(F142,F138))=2,3,IF(F137=F138,2,1)))))),
IF(COUNTIF(B133:B137,B138)=0,
INDEX('CFT Specific Data'!$G$24:$L$39,MATCH(F138,'CFT Specific Data'!$F$24:$F$39,0),IF(COUNTIF(F139:F143,F138)=5,6,IF(COUNTIF(F140:F143,F138)=4,5,IF(COUNTIF(F141:F143,F138)=3,4,IF(COUNTIF(F142:F143,F138)=2,3,IF(F143=F138,2,1)))))))))))),1)</f>
        <v>36.525599999999997</v>
      </c>
      <c r="I138" s="210" t="s">
        <v>348</v>
      </c>
      <c r="J138">
        <v>10</v>
      </c>
      <c r="K138" s="210" t="str">
        <f>VLOOKUP(F138,'CFT Specific Data'!$F$4:$G$19,2,FALSE)</f>
        <v>Barley</v>
      </c>
      <c r="L138" t="str">
        <f t="shared" si="14"/>
        <v>Medium</v>
      </c>
      <c r="M138">
        <f t="shared" si="15"/>
        <v>4.4720000000000004</v>
      </c>
      <c r="N138" t="str">
        <f t="shared" si="16"/>
        <v>1.72 &lt; SOM &lt;= 5.16</v>
      </c>
      <c r="O138" t="s">
        <v>349</v>
      </c>
      <c r="P138" t="s">
        <v>350</v>
      </c>
      <c r="Q138">
        <v>7</v>
      </c>
      <c r="R138" t="str">
        <f t="shared" si="12"/>
        <v>5.5 &lt; pH &lt;= 7.3</v>
      </c>
      <c r="S138" t="s">
        <v>351</v>
      </c>
      <c r="T138" s="210">
        <f t="array" ref="T138">_xlfn.SINGLE(INDEX('Focus Data NFertiliser Rate'!$D$4:$P$19,MATCH(F138,'Focus Data NFertiliser Rate'!$C$4:$C$19,0),_xlfn.SINGLE(_xlfn.IFS(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110</v>
      </c>
      <c r="U138" t="str">
        <f t="shared" si="17"/>
        <v>Apply in solution</v>
      </c>
      <c r="V138" s="210">
        <f t="array" ref="V138">_xlfn.SINGLE(INDEX('№ Fertiliser sprayings'!$D$4:$P$19,MATCH(F138,'№ Fertiliser sprayings'!$C$4:$C$19,0),_xlfn.SINGLE(_xlfn.IFS(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1</v>
      </c>
      <c r="W138" s="264">
        <f t="array" ref="W138">_xlfn.SINGLE(INDEX('Focus Data CFT NSpraying'!$D$4:$P$19,MATCH(F138,'Focus Data CFT NSpraying'!$C$4:$C$19,0),_xlfn.SINGLE(_xlfn.IFS(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6.16</v>
      </c>
      <c r="X138" t="s">
        <v>363</v>
      </c>
      <c r="Y138">
        <v>0</v>
      </c>
      <c r="Z138">
        <v>100</v>
      </c>
      <c r="AA138" t="s">
        <v>352</v>
      </c>
      <c r="AB138" s="226" t="str">
        <f>IF(B138=B137,_xlfn.IFS(
AND(AA138=Lists!$L$8,AA137=Lists!$L$8),Lists!$N$5,
AND(OR(AA138=Lists!$L$5,AA138=Lists!$L$7,AA138=Lists!$L$9,AA138=Lists!$L$10,AA138=Lists!$L$6),OR(AA137=Lists!$L$5,AA137=Lists!$L$7,AA137=Lists!$L$9,AA137=Lists!$L$10,AA137=Lists!$L$6)),Lists!$N$5,
AND(AA138=Lists!$L$8,OR(AA137=Lists!$L$5,AA137=Lists!$L$7,AA137=Lists!$L$9,AA137=Lists!$L$10,AA137=Lists!$L$6)),Lists!$N$6,
AND(OR(AA138=Lists!$L$5,AA138=Lists!$L$6,AA138=Lists!$L$7,AA138=Lists!$L$9,AA138=Lists!$L$10),AA137=Lists!$L$8),Lists!$N$7),
_xlfn.IFS(
AND(AA138=Lists!$L$8,AA143=Lists!$L$8),Lists!$N$5,
AND(OR(AA138=Lists!$L$5,AA138=Lists!$L$7,AA138=Lists!$L$9,AA138=Lists!$L$10,AA138=Lists!$L$6),OR(AA143=Lists!$L$5,AA143=Lists!$L$7,AA143=Lists!$L$9,AA143=Lists!$L$10,AA143=Lists!$L$6)),Lists!$N$5,
AND(AA138=Lists!$L$8,OR(AA143=Lists!$L$5,AA143=Lists!$L$7,AA143=Lists!$L$9,AA143=Lists!$L$10,AA143=Lists!$L$6)),Lists!$N$6,
AND(OR(AA138=Lists!$L$5,AA138=Lists!$L$7,AA138=Lists!$L$9,AA138=Lists!$L$10),AA143=Lists!$L$8),Lists!$N$7))</f>
        <v>no change</v>
      </c>
      <c r="AC138">
        <v>0</v>
      </c>
      <c r="AD138">
        <v>0</v>
      </c>
      <c r="AE138" s="102">
        <f t="array" ref="AE138">IF(OR(ISNUMBER(SEARCH("heavy",A138))=TRUE, ISNUMBER(SEARCH("medium",A138))=TRUE),
(LEN(_xlfn.SINGLE(
INDEX('Focus Data Tillage by farm'!$D$4:$P$9,MATCH(D138,'Focus Data Tillage by farm'!$C$4:$C$9,0),_xlfn.SINGLE(_xlfn.IFS(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-LEN(SUBSTITUTE(_xlfn.SINGLE(
INDEX('Focus Data Tillage by farm'!$D$4:$P$9,MATCH(D138,'Focus Data Tillage by farm'!$C$4:$C$9,0),_xlfn.SINGLE(_xlfn.IFS(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"disc","")))/LEN("disc"),
(LEN(_xlfn.SINGLE(
INDEX('Focus Data Tillage by farm'!$D$12:$P$17,MATCH(D138,'Focus Data Tillage by farm'!$C$12:$C$17,0),_xlfn.SINGLE(_xlfn.IFS(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-LEN(SUBSTITUTE(_xlfn.SINGLE(
INDEX('Focus Data Tillage by farm'!$D$12:$P$17,MATCH(D138,'Focus Data Tillage by farm'!$C$12:$C$17,0),_xlfn.SINGLE(_xlfn.IFS(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"disc","")))/LEN("disc"))</f>
        <v>4</v>
      </c>
      <c r="AF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"field cultivator","")))/LEN("field cultivator"),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"field cultivator","")))/LEN("field cultivator"))</f>
        <v>0</v>
      </c>
      <c r="AG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"grain drill","")))/LEN("grain drill"),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"grain drill","")))/LEN("grain drill"))</f>
        <v>0</v>
      </c>
      <c r="AH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"minimum tillage","")))/LEN("minimum tillage"),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"minimum tillage","")))/LEN("minimum tillage"))</f>
        <v>1</v>
      </c>
      <c r="AI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"row crop planter","")))/LEN("row crop planter"),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"row crop planter","")))/LEN("row crop planter"))</f>
        <v>0</v>
      </c>
      <c r="AJ138" s="102">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"plough","")))/LEN("plough"),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"plough","")))/LEN("plough"))</f>
        <v>0</v>
      </c>
      <c r="AK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harrow","")))/LEN("roller harrow"),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harrow","")))/LEN("roller harrow"))</f>
        <v>0</v>
      </c>
      <c r="AL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packer","")))/LEN("roller packer"),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"roller packer","")))/LEN("roller packer"))</f>
        <v>2</v>
      </c>
      <c r="AM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"rotary hoe","")))/LEN("rotary hoe"),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"rotary hoe","")))/LEN("rotary hoe"))</f>
        <v>0</v>
      </c>
      <c r="AN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"subsoil","")))/LEN("subsoil"),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"subsoil","")))/LEN("subsoil"))</f>
        <v>0</v>
      </c>
      <c r="AO138">
        <f>IF(OR(ISNUMBER(SEARCH("heavy",A138))=TRUE, ISNUMBER(SEARCH("medium",A138))=TRUE),
(LEN(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farm'!$D$4:$P$9,MATCH(D138,'Focus Data Tillage by farm'!$C$4:$C$9,0),_xlfn.IFS(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"tine harrow","")))/LEN("tine harrow"),
(LEN(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-LEN(SUBSTITUTE(
INDEX('Focus Data Tillage by farm'!$D$12:$P$17,MATCH(D138,'Focus Data Tillage by farm'!$C$12:$C$17,0),_xlfn.IFS(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
"tine harrow","")))/LEN("tine harrow"))</f>
        <v>0</v>
      </c>
      <c r="AP138" s="102">
        <f>INDEX('Focus Data NSpraying'!$D$4:$P$19,MATCH(F138,'Focus Data NSpraying'!$C$4:$C$19,0),_xlfn.IFS(
AND(ISNUMBER(SEARCH("H-Dsty.",A138))=TRUE,ISNUMBER(SEARCH("H-Res",A138))=TRUE,ISNUMBER(SEARCH("E.",A138))=TRUE),1,
AND(ISNUMBER(SEARCH("H-Dsty.",A138))=TRUE,ISNUMBER(SEARCH("H-Res",A138))=TRUE,OR(ISNUMBER(SEARCH("N.he",A138))=TRUE,ISNUMBER(SEARCH("N.me",A138))=TRUE,ISNUMBER(SEARCH("N.li",A138))=TRUE)),2,
AND(ISNUMBER(SEARCH("H-Dsty.",A138))=TRUE,ISNUMBER(SEARCH("H-Res",A138))=TRUE,ISNUMBER(SEARCH("C.",A138))=TRUE),3,
AND(ISNUMBER(SEARCH("L-Dsty.",A138))=TRUE,ISNUMBER(SEARCH("H-Res",A138))=TRUE,ISNUMBER(SEARCH("E.",A138))=TRUE),6,
AND(ISNUMBER(SEARCH("L-Dsty.",A138))=TRUE,ISNUMBER(SEARCH("H-Res",A138))=TRUE,OR(ISNUMBER(SEARCH("N.he",A138))=TRUE,ISNUMBER(SEARCH("N.me",A138))=TRUE,ISNUMBER(SEARCH("N.li",A138))=TRUE)),7,
AND(ISNUMBER(SEARCH("L-Dsty.",A138))=TRUE,ISNUMBER(SEARCH("H-Res",A138))=TRUE,ISNUMBER(SEARCH("C.",A138))=TRUE),8,
AND(ISNUMBER(SEARCH("L-Dsty.",A138))=TRUE,ISNUMBER(SEARCH("L-Res",A138))=TRUE,ISNUMBER(SEARCH("E.",A138))=TRUE),11,
AND(ISNUMBER(SEARCH("L-Dsty.",A138))=TRUE,ISNUMBER(SEARCH("L-Res",A138))=TRUE,OR(ISNUMBER(SEARCH("N.he",A138))=TRUE,ISNUMBER(SEARCH("N.me",A138))=TRUE,ISNUMBER(SEARCH("N.li",A138))=TRUE)),12,
AND(ISNUMBER(SEARCH("L-Dsty.",A138))=TRUE,ISNUMBER(SEARCH("L-Res",A138))=TRUE,ISNUMBER(SEARCH("C.",A138))=TRUE),13))</f>
        <v>5</v>
      </c>
    </row>
    <row r="139" spans="1:42" x14ac:dyDescent="0.2">
      <c r="A139" t="s">
        <v>497</v>
      </c>
      <c r="B139" s="210" t="str">
        <f t="array" ref="B139">INDEX(ECOMOD_input_estimate!$A$2:$A$55, MATCH(CFT_input!$A139, ECOMOD_input_estimate!$B:$B, 0))</f>
        <v>FF_09.4</v>
      </c>
      <c r="C139" s="210">
        <v>2020</v>
      </c>
      <c r="D139" s="395" t="s">
        <v>735</v>
      </c>
      <c r="E139" s="210" t="str">
        <f t="shared" si="13"/>
        <v>C.medium.L-Dsty.H-Res</v>
      </c>
      <c r="F139" s="210" t="str">
        <f t="array" ref="F139">_xlfn.SINGLE(IF(OR(ISNUMBER(SEARCH("heavy",A139))=TRUE,ISNUMBER(SEARCH("medium",A139))=TRUE),
INDEX('Focus Data Crop Rotations'!$D$4:$P$9,MATCH(D139,'Focus Data Crop Rotations'!$C$4:$C$9,0),_xlfn.SINGLE(_xlfn.IFS(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INDEX('Focus Data Crop Rotations'!$D$12:$P$17,MATCH(D139,'Focus Data Crop Rotations'!$C$12:$C$17,0),_xlfn.SINGLE(_xlfn.IFS(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wosr</v>
      </c>
      <c r="G139">
        <v>7.2</v>
      </c>
      <c r="H139" s="227">
        <f>VLOOKUP(F139,'CFT Specific Data'!$F$4:$H$19,3,FALSE)*G139*
IF(B139=B138,
IF(AND(ISNUMBER(SEARCH("wheat",F139))=TRUE,ISNUMBER(SEARCH("Barley",F138))=TRUE),0.89,
IF(AND(ISNUMBER(SEARCH("wheat",F139))=TRUE,F138="setaside"),0.94,
IF(AND(ISNUMBER(SEARCH("barley",F139))=TRUE,ISNUMBER(SEARCH("wheat",F138))=TRUE),0.89,
IF(AND(F139="winterbarley",F138="setaside"),0.94,
IF(AND(F139="sugarbeet",F138="warepotatoes"),0.95,
IF(AND((OR(ISNUMBER(SEARCH("beans",F139)),ISNUMBER(SEARCH("driedpeas",F139)),ISNUMBER(SEARCH("sugarbeet",F139)))=TRUE),ISNUMBER(SEARCH("osr",F138))=TRUE),0,
IF(AND((OR((ISNUMBER(SEARCH("wheat",F139))),ISNUMBER(SEARCH("linseed",F139)),ISNUMBER(SEARCH("driedpeas",F139)),ISNUMBER(SEARCH("osr",F139)))=TRUE),F138="sugarbeet"),0,
IF(AND((OR((ISNUMBER(SEARCH("osr",F139))),ISNUMBER(SEARCH("linseed",F139)))=TRUE),ISNUMBER(SEARCH("beans",F138))=TRUE),0,
IF(AND(F139="wosr",ISNUMBER(SEARCH("linseed",F138))=TRUE),0,
IF(AND(F139="sugarbeet",F138="warepotatoes"),0,
1)))))))))),
IF(AND(ISNUMBER(SEARCH("wheat",F139))=TRUE,ISNUMBER(SEARCH("Barley",F144))=TRUE),0.89,
IF(AND(ISNUMBER(SEARCH("wheat",F139))=TRUE,F144="setaside"),0.94,
IF(AND(ISNUMBER(SEARCH("barley",F139))=TRUE,ISNUMBER(SEARCH("wheat",F144))=TRUE),0.89,
IF(AND(F139="winterbarley",F144="setaside"),0.94,
IF(AND(F139="sugarbeet",F144="warepotatoes"),0.95,
IF(AND((OR(ISNUMBER(SEARCH("beans",F139)),ISNUMBER(SEARCH("driedpeas",F139)),ISNUMBER(SEARCH("sugarbeet",F139)))=TRUE),ISNUMBER(SEARCH("osr",F144))=TRUE),0,
IF(AND((OR((ISNUMBER(SEARCH("wheat",F139))),ISNUMBER(SEARCH("linseed",F139)),ISNUMBER(SEARCH("driedpeas",F139)),ISNUMBER(SEARCH("osr",F139)))=TRUE),F144="sugarbeet"),0,
IF(AND((OR((ISNUMBER(SEARCH("osr",F139))),ISNUMBER(SEARCH("linseed",F139)))=TRUE),ISNUMBER(SEARCH("beans",F144))=TRUE),0,
IF(AND(F139="wosr",ISNUMBER(SEARCH("linseed",F144))=TRUE),0,
IF(AND(F139="sugarbeet",F144="warepotatoes"),0,
1)))))))))))
*IF(OR(ISNUMBER(SEARCH("wheat",F139)),ISNUMBER(SEARCH("barley",F139)),ISNUMBER(SEARCH("driedpeas",F139)),ISNUMBER(SEARCH("warepotatoes",F139)),ISNUMBER(SEARCH("osr",F139)),ISNUMBER(SEARCH("linseed",F139)),ISNUMBER(SEARCH("sugarbeet",F139))),
IF(COUNTIF(B134:B138,B139)=5,
INDEX('CFT Specific Data'!$G$24:$L$39,MATCH(F139,'CFT Specific Data'!$F$24:$F$39,0),IF(COUNTIF(F134:F138,F139)=5,6,IF(COUNTIF(F135:F138,F139)=4,5,IF(COUNTIF(F136:F138,F139)=3,4,IF(COUNTIF(F137:F138,F139)=2,3,IF(F138=F139,2,1)))))),
IF(COUNTIF(B134:B138,B139)=4,
INDEX('CFT Specific Data'!$G$24:$L$39,MATCH(F139,'CFT Specific Data'!$F$24:$F$39,0),IF(SUM(COUNTIF(F135:F138,F139),COUNTIF(F140,F139))=5,6,IF(COUNTIF(F135:F138,F139)=4,5,IF(COUNTIF(F136:F138,F139)=3,4,IF(COUNTIF(F137:F138,F139)=2,3,IF(F138=F139,2,1)))))),
IF(COUNTIF(B134:B138,B139)=3,
INDEX('CFT Specific Data'!$G$24:$L$39,MATCH(F139,'CFT Specific Data'!$F$24:$F$39,0),IF(SUM(COUNTIF(F136:F138,F139),COUNTIF(F140:F141,F139))=5,6,IF(SUM(COUNTIF(F136:F138,F139),COUNTIF(F141,F139))=4,5,IF(COUNTIF(F136:F138,F139)=3,4,IF(COUNTIF(F137:F138,F139)=2,3,IF(F138=F139,2,1)))))),
IF(COUNTIF(B134:B138,B139)=2,
INDEX('CFT Specific Data'!$G$24:$L$39,MATCH(F139,'CFT Specific Data'!$F$24:$F$39,0),IF(SUM(COUNTIF(F137:F138,F139),COUNTIF(F140:F142,F139))=5,6,IF(SUM(COUNTIF(F137:F138,F139),COUNTIF(F141:F142,F139))=4,5,IF(SUM(COUNTIF(F137:F138,F139),COUNTIF(F142,F139))=3,4,IF(COUNTIF(F137:F138,F139)=2,3,IF(F138=F139,2,1)))))),
IF(COUNTIF(B134:B138,B139)=1,
INDEX('CFT Specific Data'!$G$24:$L$39,MATCH(F139,'CFT Specific Data'!$F$24:$F$39,0),IF(SUM(COUNTIF(F138,F139),COUNTIF(F140:F143,F139))=5,6,IF(SUM(COUNTIF(F138,F139),COUNTIF(F141:F143,F139))=4,5,IF(SUM(COUNTIF(F138,F139),COUNTIF(F142:F143,F139))=3,4,IF(SUM(COUNTIF(F138,F139),COUNTIF(F143,F139))=2,3,IF(F138=F139,2,1)))))),
IF(COUNTIF(B134:B138,B139)=0,
INDEX('CFT Specific Data'!$G$24:$L$39,MATCH(F139,'CFT Specific Data'!$F$24:$F$39,0),IF(COUNTIF(F140:F144,F139)=5,6,IF(COUNTIF(F141:F144,F139)=4,5,IF(COUNTIF(F142:F144,F139)=3,4,IF(COUNTIF(F143:F144,F139)=2,3,IF(F144=F139,2,1)))))))))))),1)</f>
        <v>25.2</v>
      </c>
      <c r="I139" s="210" t="s">
        <v>348</v>
      </c>
      <c r="J139">
        <v>10</v>
      </c>
      <c r="K139" s="210" t="str">
        <f>VLOOKUP(F139,'CFT Specific Data'!$F$4:$G$19,2,FALSE)</f>
        <v>Other</v>
      </c>
      <c r="L139" t="str">
        <f t="shared" si="14"/>
        <v>Medium</v>
      </c>
      <c r="M139">
        <f t="shared" si="15"/>
        <v>4.4720000000000004</v>
      </c>
      <c r="N139" t="str">
        <f t="shared" si="16"/>
        <v>1.72 &lt; SOM &lt;= 5.16</v>
      </c>
      <c r="O139" t="s">
        <v>349</v>
      </c>
      <c r="P139" t="s">
        <v>350</v>
      </c>
      <c r="Q139">
        <v>7</v>
      </c>
      <c r="R139" t="str">
        <f t="shared" si="12"/>
        <v>5.5 &lt; pH &lt;= 7.3</v>
      </c>
      <c r="S139" t="s">
        <v>351</v>
      </c>
      <c r="T139" s="210">
        <f t="array" ref="T139">_xlfn.SINGLE(INDEX('Focus Data NFertiliser Rate'!$D$4:$P$19,MATCH(F139,'Focus Data NFertiliser Rate'!$C$4:$C$19,0),_xlfn.SINGLE(_xlfn.IFS(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180</v>
      </c>
      <c r="U139" t="str">
        <f t="shared" si="17"/>
        <v>Apply in solution</v>
      </c>
      <c r="V139" s="210">
        <f t="array" ref="V139">_xlfn.SINGLE(INDEX('№ Fertiliser sprayings'!$D$4:$P$19,MATCH(F139,'№ Fertiliser sprayings'!$C$4:$C$19,0),_xlfn.SINGLE(_xlfn.IFS(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3</v>
      </c>
      <c r="W139" s="264">
        <f t="array" ref="W139">_xlfn.SINGLE(INDEX('Focus Data CFT NSpraying'!$D$4:$P$19,MATCH(F139,'Focus Data CFT NSpraying'!$C$4:$C$19,0),_xlfn.SINGLE(_xlfn.IFS(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6.94</v>
      </c>
      <c r="X139" t="s">
        <v>363</v>
      </c>
      <c r="Y139">
        <v>0</v>
      </c>
      <c r="Z139">
        <v>100</v>
      </c>
      <c r="AA139" t="s">
        <v>352</v>
      </c>
      <c r="AB139" s="226" t="str">
        <f>IF(B139=B138,_xlfn.IFS(
AND(AA139=Lists!$L$8,AA138=Lists!$L$8),Lists!$N$5,
AND(OR(AA139=Lists!$L$5,AA139=Lists!$L$7,AA139=Lists!$L$9,AA139=Lists!$L$10,AA139=Lists!$L$6),OR(AA138=Lists!$L$5,AA138=Lists!$L$7,AA138=Lists!$L$9,AA138=Lists!$L$10,AA138=Lists!$L$6)),Lists!$N$5,
AND(AA139=Lists!$L$8,OR(AA138=Lists!$L$5,AA138=Lists!$L$7,AA138=Lists!$L$9,AA138=Lists!$L$10,AA138=Lists!$L$6)),Lists!$N$6,
AND(OR(AA139=Lists!$L$5,AA139=Lists!$L$6,AA139=Lists!$L$7,AA139=Lists!$L$9,AA139=Lists!$L$10),AA138=Lists!$L$8),Lists!$N$7),
_xlfn.IFS(
AND(AA139=Lists!$L$8,AA144=Lists!$L$8),Lists!$N$5,
AND(OR(AA139=Lists!$L$5,AA139=Lists!$L$7,AA139=Lists!$L$9,AA139=Lists!$L$10,AA139=Lists!$L$6),OR(AA144=Lists!$L$5,AA144=Lists!$L$7,AA144=Lists!$L$9,AA144=Lists!$L$10,AA144=Lists!$L$6)),Lists!$N$5,
AND(AA139=Lists!$L$8,OR(AA144=Lists!$L$5,AA144=Lists!$L$7,AA144=Lists!$L$9,AA144=Lists!$L$10,AA144=Lists!$L$6)),Lists!$N$6,
AND(OR(AA139=Lists!$L$5,AA139=Lists!$L$7,AA139=Lists!$L$9,AA139=Lists!$L$10),AA144=Lists!$L$8),Lists!$N$7))</f>
        <v>no change</v>
      </c>
      <c r="AC139">
        <v>0</v>
      </c>
      <c r="AD139">
        <v>0</v>
      </c>
      <c r="AE139" s="102">
        <f t="array" ref="AE139">IF(OR(ISNUMBER(SEARCH("heavy",A139))=TRUE, ISNUMBER(SEARCH("medium",A139))=TRUE),
(LEN(_xlfn.SINGLE(
INDEX('Focus Data Tillage by farm'!$D$4:$P$9,MATCH(D139,'Focus Data Tillage by farm'!$C$4:$C$9,0),_xlfn.SINGLE(_xlfn.IFS(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-LEN(SUBSTITUTE(_xlfn.SINGLE(
INDEX('Focus Data Tillage by farm'!$D$4:$P$9,MATCH(D139,'Focus Data Tillage by farm'!$C$4:$C$9,0),_xlfn.SINGLE(_xlfn.IFS(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"disc","")))/LEN("disc"),
(LEN(_xlfn.SINGLE(
INDEX('Focus Data Tillage by farm'!$D$12:$P$17,MATCH(D139,'Focus Data Tillage by farm'!$C$12:$C$17,0),_xlfn.SINGLE(_xlfn.IFS(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-LEN(SUBSTITUTE(_xlfn.SINGLE(
INDEX('Focus Data Tillage by farm'!$D$12:$P$17,MATCH(D139,'Focus Data Tillage by farm'!$C$12:$C$17,0),_xlfn.SINGLE(_xlfn.IFS(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"disc","")))/LEN("disc"))</f>
        <v>0</v>
      </c>
      <c r="AF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"field cultivator","")))/LEN("field cultivator"),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"field cultivator","")))/LEN("field cultivator"))</f>
        <v>0</v>
      </c>
      <c r="AG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"grain drill","")))/LEN("grain drill"),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"grain drill","")))/LEN("grain drill"))</f>
        <v>0</v>
      </c>
      <c r="AH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"minimum tillage","")))/LEN("minimum tillage"),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"minimum tillage","")))/LEN("minimum tillage"))</f>
        <v>1</v>
      </c>
      <c r="AI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"row crop planter","")))/LEN("row crop planter"),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"row crop planter","")))/LEN("row crop planter"))</f>
        <v>0</v>
      </c>
      <c r="AJ139" s="102">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"plough","")))/LEN("plough"),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"plough","")))/LEN("plough"))</f>
        <v>0</v>
      </c>
      <c r="AK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harrow","")))/LEN("roller harrow"),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harrow","")))/LEN("roller harrow"))</f>
        <v>0</v>
      </c>
      <c r="AL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packer","")))/LEN("roller packer"),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"roller packer","")))/LEN("roller packer"))</f>
        <v>1</v>
      </c>
      <c r="AM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"rotary hoe","")))/LEN("rotary hoe"),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"rotary hoe","")))/LEN("rotary hoe"))</f>
        <v>0</v>
      </c>
      <c r="AN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"subsoil","")))/LEN("subsoil"),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"subsoil","")))/LEN("subsoil"))</f>
        <v>0</v>
      </c>
      <c r="AO139">
        <f>IF(OR(ISNUMBER(SEARCH("heavy",A139))=TRUE, ISNUMBER(SEARCH("medium",A139))=TRUE),
(LEN(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farm'!$D$4:$P$9,MATCH(D139,'Focus Data Tillage by farm'!$C$4:$C$9,0),_xlfn.IFS(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"tine harrow","")))/LEN("tine harrow"),
(LEN(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-LEN(SUBSTITUTE(
INDEX('Focus Data Tillage by farm'!$D$12:$P$17,MATCH(D139,'Focus Data Tillage by farm'!$C$12:$C$17,0),_xlfn.IFS(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
"tine harrow","")))/LEN("tine harrow"))</f>
        <v>0</v>
      </c>
      <c r="AP139" s="102">
        <f>INDEX('Focus Data NSpraying'!$D$4:$P$19,MATCH(F139,'Focus Data NSpraying'!$C$4:$C$19,0),_xlfn.IFS(
AND(ISNUMBER(SEARCH("H-Dsty.",A139))=TRUE,ISNUMBER(SEARCH("H-Res",A139))=TRUE,ISNUMBER(SEARCH("E.",A139))=TRUE),1,
AND(ISNUMBER(SEARCH("H-Dsty.",A139))=TRUE,ISNUMBER(SEARCH("H-Res",A139))=TRUE,OR(ISNUMBER(SEARCH("N.he",A139))=TRUE,ISNUMBER(SEARCH("N.me",A139))=TRUE,ISNUMBER(SEARCH("N.li",A139))=TRUE)),2,
AND(ISNUMBER(SEARCH("H-Dsty.",A139))=TRUE,ISNUMBER(SEARCH("H-Res",A139))=TRUE,ISNUMBER(SEARCH("C.",A139))=TRUE),3,
AND(ISNUMBER(SEARCH("L-Dsty.",A139))=TRUE,ISNUMBER(SEARCH("H-Res",A139))=TRUE,ISNUMBER(SEARCH("E.",A139))=TRUE),6,
AND(ISNUMBER(SEARCH("L-Dsty.",A139))=TRUE,ISNUMBER(SEARCH("H-Res",A139))=TRUE,OR(ISNUMBER(SEARCH("N.he",A139))=TRUE,ISNUMBER(SEARCH("N.me",A139))=TRUE,ISNUMBER(SEARCH("N.li",A139))=TRUE)),7,
AND(ISNUMBER(SEARCH("L-Dsty.",A139))=TRUE,ISNUMBER(SEARCH("H-Res",A139))=TRUE,ISNUMBER(SEARCH("C.",A139))=TRUE),8,
AND(ISNUMBER(SEARCH("L-Dsty.",A139))=TRUE,ISNUMBER(SEARCH("L-Res",A139))=TRUE,ISNUMBER(SEARCH("E.",A139))=TRUE),11,
AND(ISNUMBER(SEARCH("L-Dsty.",A139))=TRUE,ISNUMBER(SEARCH("L-Res",A139))=TRUE,OR(ISNUMBER(SEARCH("N.he",A139))=TRUE,ISNUMBER(SEARCH("N.me",A139))=TRUE,ISNUMBER(SEARCH("N.li",A139))=TRUE)),12,
AND(ISNUMBER(SEARCH("L-Dsty.",A139))=TRUE,ISNUMBER(SEARCH("L-Res",A139))=TRUE,ISNUMBER(SEARCH("C.",A139))=TRUE),13))</f>
        <v>4</v>
      </c>
    </row>
    <row r="140" spans="1:42" x14ac:dyDescent="0.2">
      <c r="A140" t="s">
        <v>498</v>
      </c>
      <c r="B140" s="210" t="str">
        <f t="array" ref="B140">INDEX(ECOMOD_input_estimate!$A$2:$A$55, MATCH(CFT_input!$A140, ECOMOD_input_estimate!$B:$B, 0))</f>
        <v>FF_15.4</v>
      </c>
      <c r="C140" s="210">
        <v>2020</v>
      </c>
      <c r="D140" s="395" t="s">
        <v>731</v>
      </c>
      <c r="E140" s="210" t="str">
        <f t="shared" si="13"/>
        <v>C.medium.L-Dsty.L-Res</v>
      </c>
      <c r="F140" s="210" t="str">
        <f t="array" ref="F140">_xlfn.SINGLE(IF(OR(ISNUMBER(SEARCH("heavy",A140))=TRUE,ISNUMBER(SEARCH("medium",A140))=TRUE),
INDEX('Focus Data Crop Rotations'!$D$4:$P$9,MATCH(D140,'Focus Data Crop Rotations'!$C$4:$C$9,0),_xlfn.SINGLE(_xlfn.IFS(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INDEX('Focus Data Crop Rotations'!$D$12:$P$17,MATCH(D140,'Focus Data Crop Rotations'!$C$12:$C$17,0),_xlfn.SINGLE(_xlfn.IFS(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winterwheat</v>
      </c>
      <c r="G140">
        <v>7.2</v>
      </c>
      <c r="H140" s="227">
        <f>VLOOKUP(F140,'CFT Specific Data'!$F$4:$H$19,3,FALSE)*G140*
IF(B140=B139,
IF(AND(ISNUMBER(SEARCH("wheat",F140))=TRUE,ISNUMBER(SEARCH("Barley",F139))=TRUE),0.89,
IF(AND(ISNUMBER(SEARCH("wheat",F140))=TRUE,F139="setaside"),0.94,
IF(AND(ISNUMBER(SEARCH("barley",F140))=TRUE,ISNUMBER(SEARCH("wheat",F139))=TRUE),0.89,
IF(AND(F140="winterbarley",F139="setaside"),0.94,
IF(AND(F140="sugarbeet",F139="warepotatoes"),0.95,
IF(AND((OR(ISNUMBER(SEARCH("beans",F140)),ISNUMBER(SEARCH("driedpeas",F140)),ISNUMBER(SEARCH("sugarbeet",F140)))=TRUE),ISNUMBER(SEARCH("osr",F139))=TRUE),0,
IF(AND((OR((ISNUMBER(SEARCH("wheat",F140))),ISNUMBER(SEARCH("linseed",F140)),ISNUMBER(SEARCH("driedpeas",F140)),ISNUMBER(SEARCH("osr",F140)))=TRUE),F139="sugarbeet"),0,
IF(AND((OR((ISNUMBER(SEARCH("osr",F140))),ISNUMBER(SEARCH("linseed",F140)))=TRUE),ISNUMBER(SEARCH("beans",F139))=TRUE),0,
IF(AND(F140="wosr",ISNUMBER(SEARCH("linseed",F139))=TRUE),0,
IF(AND(F140="sugarbeet",F139="warepotatoes"),0,
1)))))))))),
IF(AND(ISNUMBER(SEARCH("wheat",F140))=TRUE,ISNUMBER(SEARCH("Barley",F145))=TRUE),0.89,
IF(AND(ISNUMBER(SEARCH("wheat",F140))=TRUE,F145="setaside"),0.94,
IF(AND(ISNUMBER(SEARCH("barley",F140))=TRUE,ISNUMBER(SEARCH("wheat",F145))=TRUE),0.89,
IF(AND(F140="winterbarley",F145="setaside"),0.94,
IF(AND(F140="sugarbeet",F145="warepotatoes"),0.95,
IF(AND((OR(ISNUMBER(SEARCH("beans",F140)),ISNUMBER(SEARCH("driedpeas",F140)),ISNUMBER(SEARCH("sugarbeet",F140)))=TRUE),ISNUMBER(SEARCH("osr",F145))=TRUE),0,
IF(AND((OR((ISNUMBER(SEARCH("wheat",F140))),ISNUMBER(SEARCH("linseed",F140)),ISNUMBER(SEARCH("driedpeas",F140)),ISNUMBER(SEARCH("osr",F140)))=TRUE),F145="sugarbeet"),0,
IF(AND((OR((ISNUMBER(SEARCH("osr",F140))),ISNUMBER(SEARCH("linseed",F140)))=TRUE),ISNUMBER(SEARCH("beans",F145))=TRUE),0,
IF(AND(F140="wosr",ISNUMBER(SEARCH("linseed",F145))=TRUE),0,
IF(AND(F140="sugarbeet",F145="warepotatoes"),0,
1)))))))))))
*IF(OR(ISNUMBER(SEARCH("wheat",F140)),ISNUMBER(SEARCH("barley",F140)),ISNUMBER(SEARCH("driedpeas",F140)),ISNUMBER(SEARCH("warepotatoes",F140)),ISNUMBER(SEARCH("osr",F140)),ISNUMBER(SEARCH("linseed",F140)),ISNUMBER(SEARCH("sugarbeet",F140))),
IF(COUNTIF(B135:B139,B140)=5,
INDEX('CFT Specific Data'!$G$24:$L$39,MATCH(F140,'CFT Specific Data'!$F$24:$F$39,0),IF(COUNTIF(F135:F139,F140)=5,6,IF(COUNTIF(F136:F139,F140)=4,5,IF(COUNTIF(F137:F139,F140)=3,4,IF(COUNTIF(F138:F139,F140)=2,3,IF(F139=F140,2,1)))))),
IF(COUNTIF(B135:B139,B140)=4,
INDEX('CFT Specific Data'!$G$24:$L$39,MATCH(F140,'CFT Specific Data'!$F$24:$F$39,0),IF(SUM(COUNTIF(F136:F139,F140),COUNTIF(F141,F140))=5,6,IF(COUNTIF(F136:F139,F140)=4,5,IF(COUNTIF(F137:F139,F140)=3,4,IF(COUNTIF(F138:F139,F140)=2,3,IF(F139=F140,2,1)))))),
IF(COUNTIF(B135:B139,B140)=3,
INDEX('CFT Specific Data'!$G$24:$L$39,MATCH(F140,'CFT Specific Data'!$F$24:$F$39,0),IF(SUM(COUNTIF(F137:F139,F140),COUNTIF(F141:F142,F140))=5,6,IF(SUM(COUNTIF(F137:F139,F140),COUNTIF(F142,F140))=4,5,IF(COUNTIF(F137:F139,F140)=3,4,IF(COUNTIF(F138:F139,F140)=2,3,IF(F139=F140,2,1)))))),
IF(COUNTIF(B135:B139,B140)=2,
INDEX('CFT Specific Data'!$G$24:$L$39,MATCH(F140,'CFT Specific Data'!$F$24:$F$39,0),IF(SUM(COUNTIF(F138:F139,F140),COUNTIF(F141:F143,F140))=5,6,IF(SUM(COUNTIF(F138:F139,F140),COUNTIF(F142:F143,F140))=4,5,IF(SUM(COUNTIF(F138:F139,F140),COUNTIF(F143,F140))=3,4,IF(COUNTIF(F138:F139,F140)=2,3,IF(F139=F140,2,1)))))),
IF(COUNTIF(B135:B139,B140)=1,
INDEX('CFT Specific Data'!$G$24:$L$39,MATCH(F140,'CFT Specific Data'!$F$24:$F$39,0),IF(SUM(COUNTIF(F139,F140),COUNTIF(F141:F144,F140))=5,6,IF(SUM(COUNTIF(F139,F140),COUNTIF(F142:F144,F140))=4,5,IF(SUM(COUNTIF(F139,F140),COUNTIF(F143:F144,F140))=3,4,IF(SUM(COUNTIF(F139,F140),COUNTIF(F144,F140))=2,3,IF(F139=F140,2,1)))))),
IF(COUNTIF(B135:B139,B140)=0,
INDEX('CFT Specific Data'!$G$24:$L$39,MATCH(F140,'CFT Specific Data'!$F$24:$F$39,0),IF(COUNTIF(F141:F145,F140)=5,6,IF(COUNTIF(F142:F145,F140)=4,5,IF(COUNTIF(F143:F145,F140)=3,4,IF(COUNTIF(F144:F145,F140)=2,3,IF(F145=F140,2,1)))))))))))),1)</f>
        <v>55.728000000000002</v>
      </c>
      <c r="I140" s="210" t="s">
        <v>348</v>
      </c>
      <c r="J140">
        <v>10</v>
      </c>
      <c r="K140" s="210" t="str">
        <f>VLOOKUP(F140,'CFT Specific Data'!$F$4:$G$19,2,FALSE)</f>
        <v>Winter wheat</v>
      </c>
      <c r="L140" t="str">
        <f t="shared" si="14"/>
        <v>Medium</v>
      </c>
      <c r="M140">
        <f t="shared" si="15"/>
        <v>4.4720000000000004</v>
      </c>
      <c r="N140" t="str">
        <f t="shared" si="16"/>
        <v>1.72 &lt; SOM &lt;= 5.16</v>
      </c>
      <c r="O140" t="s">
        <v>349</v>
      </c>
      <c r="P140" t="s">
        <v>350</v>
      </c>
      <c r="Q140">
        <v>7</v>
      </c>
      <c r="R140" t="str">
        <f t="shared" si="12"/>
        <v>5.5 &lt; pH &lt;= 7.3</v>
      </c>
      <c r="S140" t="s">
        <v>351</v>
      </c>
      <c r="T140" s="210">
        <f t="array" ref="T140">_xlfn.SINGLE(INDEX('Focus Data NFertiliser Rate'!$D$4:$P$19,MATCH(F140,'Focus Data NFertiliser Rate'!$C$4:$C$19,0),_xlfn.SINGLE(_xlfn.IFS(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220</v>
      </c>
      <c r="U140" t="str">
        <f t="shared" si="17"/>
        <v>Apply in solution</v>
      </c>
      <c r="V140" s="210">
        <f t="array" ref="V140">_xlfn.SINGLE(INDEX('№ Fertiliser sprayings'!$D$4:$P$19,MATCH(F140,'№ Fertiliser sprayings'!$C$4:$C$19,0),_xlfn.SINGLE(_xlfn.IFS(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3</v>
      </c>
      <c r="W140" s="264">
        <f t="array" ref="W140">_xlfn.SINGLE(INDEX('Focus Data CFT NSpraying'!$D$4:$P$19,MATCH(F140,'Focus Data CFT NSpraying'!$C$4:$C$19,0),_xlfn.SINGLE(_xlfn.IFS(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2.7888000000000002</v>
      </c>
      <c r="X140" t="s">
        <v>363</v>
      </c>
      <c r="Y140">
        <v>0</v>
      </c>
      <c r="Z140">
        <v>100</v>
      </c>
      <c r="AA140" t="s">
        <v>352</v>
      </c>
      <c r="AB140" s="226" t="str">
        <f>IF(B140=B139,_xlfn.IFS(
AND(AA140=Lists!$L$8,AA139=Lists!$L$8),Lists!$N$5,
AND(OR(AA140=Lists!$L$5,AA140=Lists!$L$7,AA140=Lists!$L$9,AA140=Lists!$L$10,AA140=Lists!$L$6),OR(AA139=Lists!$L$5,AA139=Lists!$L$7,AA139=Lists!$L$9,AA139=Lists!$L$10,AA139=Lists!$L$6)),Lists!$N$5,
AND(AA140=Lists!$L$8,OR(AA139=Lists!$L$5,AA139=Lists!$L$7,AA139=Lists!$L$9,AA139=Lists!$L$10,AA139=Lists!$L$6)),Lists!$N$6,
AND(OR(AA140=Lists!$L$5,AA140=Lists!$L$6,AA140=Lists!$L$7,AA140=Lists!$L$9,AA140=Lists!$L$10),AA139=Lists!$L$8),Lists!$N$7),
_xlfn.IFS(
AND(AA140=Lists!$L$8,AA145=Lists!$L$8),Lists!$N$5,
AND(OR(AA140=Lists!$L$5,AA140=Lists!$L$7,AA140=Lists!$L$9,AA140=Lists!$L$10,AA140=Lists!$L$6),OR(AA145=Lists!$L$5,AA145=Lists!$L$7,AA145=Lists!$L$9,AA145=Lists!$L$10,AA145=Lists!$L$6)),Lists!$N$5,
AND(AA140=Lists!$L$8,OR(AA145=Lists!$L$5,AA145=Lists!$L$7,AA145=Lists!$L$9,AA145=Lists!$L$10,AA145=Lists!$L$6)),Lists!$N$6,
AND(OR(AA140=Lists!$L$5,AA140=Lists!$L$7,AA140=Lists!$L$9,AA140=Lists!$L$10),AA145=Lists!$L$8),Lists!$N$7))</f>
        <v>no change</v>
      </c>
      <c r="AC140">
        <v>0</v>
      </c>
      <c r="AD140">
        <v>0</v>
      </c>
      <c r="AE140" s="102">
        <f t="array" ref="AE140">IF(OR(ISNUMBER(SEARCH("heavy",A140))=TRUE, ISNUMBER(SEARCH("medium",A140))=TRUE),
(LEN(_xlfn.SINGLE(
INDEX('Focus Data Tillage by farm'!$D$4:$P$9,MATCH(D140,'Focus Data Tillage by farm'!$C$4:$C$9,0),_xlfn.SINGLE(_xlfn.IFS(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-LEN(SUBSTITUTE(_xlfn.SINGLE(
INDEX('Focus Data Tillage by farm'!$D$4:$P$9,MATCH(D140,'Focus Data Tillage by farm'!$C$4:$C$9,0),_xlfn.SINGLE(_xlfn.IFS(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"disc","")))/LEN("disc"),
(LEN(_xlfn.SINGLE(
INDEX('Focus Data Tillage by farm'!$D$12:$P$17,MATCH(D140,'Focus Data Tillage by farm'!$C$12:$C$17,0),_xlfn.SINGLE(_xlfn.IFS(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-LEN(SUBSTITUTE(_xlfn.SINGLE(
INDEX('Focus Data Tillage by farm'!$D$12:$P$17,MATCH(D140,'Focus Data Tillage by farm'!$C$12:$C$17,0),_xlfn.SINGLE(_xlfn.IFS(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"disc","")))/LEN("disc"))</f>
        <v>1</v>
      </c>
      <c r="AF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"field cultivator","")))/LEN("field cultivator"),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"field cultivator","")))/LEN("field cultivator"))</f>
        <v>0</v>
      </c>
      <c r="AG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"grain drill","")))/LEN("grain drill"),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"grain drill","")))/LEN("grain drill"))</f>
        <v>1</v>
      </c>
      <c r="AH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"minimum tillage","")))/LEN("minimum tillage"),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"minimum tillage","")))/LEN("minimum tillage"))</f>
        <v>0</v>
      </c>
      <c r="AI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"row crop planter","")))/LEN("row crop planter"),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"row crop planter","")))/LEN("row crop planter"))</f>
        <v>0</v>
      </c>
      <c r="AJ140" s="102">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"plough","")))/LEN("plough"),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"plough","")))/LEN("plough"))</f>
        <v>0</v>
      </c>
      <c r="AK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harrow","")))/LEN("roller harrow"),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harrow","")))/LEN("roller harrow"))</f>
        <v>0</v>
      </c>
      <c r="AL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packer","")))/LEN("roller packer"),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"roller packer","")))/LEN("roller packer"))</f>
        <v>2</v>
      </c>
      <c r="AM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"rotary hoe","")))/LEN("rotary hoe"),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"rotary hoe","")))/LEN("rotary hoe"))</f>
        <v>0</v>
      </c>
      <c r="AN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"subsoil","")))/LEN("subsoil"),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"subsoil","")))/LEN("subsoil"))</f>
        <v>0</v>
      </c>
      <c r="AO140">
        <f>IF(OR(ISNUMBER(SEARCH("heavy",A140))=TRUE, ISNUMBER(SEARCH("medium",A140))=TRUE),
(LEN(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farm'!$D$4:$P$9,MATCH(D140,'Focus Data Tillage by farm'!$C$4:$C$9,0),_xlfn.IFS(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"tine harrow","")))/LEN("tine harrow"),
(LEN(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-LEN(SUBSTITUTE(
INDEX('Focus Data Tillage by farm'!$D$12:$P$17,MATCH(D140,'Focus Data Tillage by farm'!$C$12:$C$17,0),_xlfn.IFS(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
"tine harrow","")))/LEN("tine harrow"))</f>
        <v>0</v>
      </c>
      <c r="AP140" s="102">
        <f>INDEX('Focus Data NSpraying'!$D$4:$P$19,MATCH(F140,'Focus Data NSpraying'!$C$4:$C$19,0),_xlfn.IFS(
AND(ISNUMBER(SEARCH("H-Dsty.",A140))=TRUE,ISNUMBER(SEARCH("H-Res",A140))=TRUE,ISNUMBER(SEARCH("E.",A140))=TRUE),1,
AND(ISNUMBER(SEARCH("H-Dsty.",A140))=TRUE,ISNUMBER(SEARCH("H-Res",A140))=TRUE,OR(ISNUMBER(SEARCH("N.he",A140))=TRUE,ISNUMBER(SEARCH("N.me",A140))=TRUE,ISNUMBER(SEARCH("N.li",A140))=TRUE)),2,
AND(ISNUMBER(SEARCH("H-Dsty.",A140))=TRUE,ISNUMBER(SEARCH("H-Res",A140))=TRUE,ISNUMBER(SEARCH("C.",A140))=TRUE),3,
AND(ISNUMBER(SEARCH("L-Dsty.",A140))=TRUE,ISNUMBER(SEARCH("H-Res",A140))=TRUE,ISNUMBER(SEARCH("E.",A140))=TRUE),6,
AND(ISNUMBER(SEARCH("L-Dsty.",A140))=TRUE,ISNUMBER(SEARCH("H-Res",A140))=TRUE,OR(ISNUMBER(SEARCH("N.he",A140))=TRUE,ISNUMBER(SEARCH("N.me",A140))=TRUE,ISNUMBER(SEARCH("N.li",A140))=TRUE)),7,
AND(ISNUMBER(SEARCH("L-Dsty.",A140))=TRUE,ISNUMBER(SEARCH("H-Res",A140))=TRUE,ISNUMBER(SEARCH("C.",A140))=TRUE),8,
AND(ISNUMBER(SEARCH("L-Dsty.",A140))=TRUE,ISNUMBER(SEARCH("L-Res",A140))=TRUE,ISNUMBER(SEARCH("E.",A140))=TRUE),11,
AND(ISNUMBER(SEARCH("L-Dsty.",A140))=TRUE,ISNUMBER(SEARCH("L-Res",A140))=TRUE,OR(ISNUMBER(SEARCH("N.he",A140))=TRUE,ISNUMBER(SEARCH("N.me",A140))=TRUE,ISNUMBER(SEARCH("N.li",A140))=TRUE)),12,
AND(ISNUMBER(SEARCH("L-Dsty.",A140))=TRUE,ISNUMBER(SEARCH("L-Res",A140))=TRUE,ISNUMBER(SEARCH("C.",A140))=TRUE),13))</f>
        <v>3</v>
      </c>
    </row>
    <row r="141" spans="1:42" x14ac:dyDescent="0.2">
      <c r="A141" t="s">
        <v>498</v>
      </c>
      <c r="B141" s="210" t="str">
        <f t="array" ref="B141">INDEX(ECOMOD_input_estimate!$A$2:$A$55, MATCH(CFT_input!$A141, ECOMOD_input_estimate!$B:$B, 0))</f>
        <v>FF_15.4</v>
      </c>
      <c r="C141" s="210">
        <v>2020</v>
      </c>
      <c r="D141" s="395" t="s">
        <v>730</v>
      </c>
      <c r="E141" s="210" t="str">
        <f t="shared" si="13"/>
        <v>C.medium.L-Dsty.L-Res</v>
      </c>
      <c r="F141" s="210" t="str">
        <f t="array" ref="F141">_xlfn.SINGLE(IF(OR(ISNUMBER(SEARCH("heavy",A141))=TRUE,ISNUMBER(SEARCH("medium",A141))=TRUE),
INDEX('Focus Data Crop Rotations'!$D$4:$P$9,MATCH(D141,'Focus Data Crop Rotations'!$C$4:$C$9,0),_xlfn.SINGLE(_xlfn.IFS(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INDEX('Focus Data Crop Rotations'!$D$12:$P$17,MATCH(D141,'Focus Data Crop Rotations'!$C$12:$C$17,0),_xlfn.SINGLE(_xlfn.IFS(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winterbarley</v>
      </c>
      <c r="G141">
        <v>7.2</v>
      </c>
      <c r="H141" s="227">
        <f>VLOOKUP(F141,'CFT Specific Data'!$F$4:$H$19,3,FALSE)*G141*
IF(B141=B140,
IF(AND(ISNUMBER(SEARCH("wheat",F141))=TRUE,ISNUMBER(SEARCH("Barley",F140))=TRUE),0.89,
IF(AND(ISNUMBER(SEARCH("wheat",F141))=TRUE,F140="setaside"),0.94,
IF(AND(ISNUMBER(SEARCH("barley",F141))=TRUE,ISNUMBER(SEARCH("wheat",F140))=TRUE),0.89,
IF(AND(F141="winterbarley",F140="setaside"),0.94,
IF(AND(F141="sugarbeet",F140="warepotatoes"),0.95,
IF(AND((OR(ISNUMBER(SEARCH("beans",F141)),ISNUMBER(SEARCH("driedpeas",F141)),ISNUMBER(SEARCH("sugarbeet",F141)))=TRUE),ISNUMBER(SEARCH("osr",F140))=TRUE),0,
IF(AND((OR((ISNUMBER(SEARCH("wheat",F141))),ISNUMBER(SEARCH("linseed",F141)),ISNUMBER(SEARCH("driedpeas",F141)),ISNUMBER(SEARCH("osr",F141)))=TRUE),F140="sugarbeet"),0,
IF(AND((OR((ISNUMBER(SEARCH("osr",F141))),ISNUMBER(SEARCH("linseed",F141)))=TRUE),ISNUMBER(SEARCH("beans",F140))=TRUE),0,
IF(AND(F141="wosr",ISNUMBER(SEARCH("linseed",F140))=TRUE),0,
IF(AND(F141="sugarbeet",F140="warepotatoes"),0,
1)))))))))),
IF(AND(ISNUMBER(SEARCH("wheat",F141))=TRUE,ISNUMBER(SEARCH("Barley",F146))=TRUE),0.89,
IF(AND(ISNUMBER(SEARCH("wheat",F141))=TRUE,F146="setaside"),0.94,
IF(AND(ISNUMBER(SEARCH("barley",F141))=TRUE,ISNUMBER(SEARCH("wheat",F146))=TRUE),0.89,
IF(AND(F141="winterbarley",F146="setaside"),0.94,
IF(AND(F141="sugarbeet",F146="warepotatoes"),0.95,
IF(AND((OR(ISNUMBER(SEARCH("beans",F141)),ISNUMBER(SEARCH("driedpeas",F141)),ISNUMBER(SEARCH("sugarbeet",F141)))=TRUE),ISNUMBER(SEARCH("osr",F146))=TRUE),0,
IF(AND((OR((ISNUMBER(SEARCH("wheat",F141))),ISNUMBER(SEARCH("linseed",F141)),ISNUMBER(SEARCH("driedpeas",F141)),ISNUMBER(SEARCH("osr",F141)))=TRUE),F146="sugarbeet"),0,
IF(AND((OR((ISNUMBER(SEARCH("osr",F141))),ISNUMBER(SEARCH("linseed",F141)))=TRUE),ISNUMBER(SEARCH("beans",F146))=TRUE),0,
IF(AND(F141="wosr",ISNUMBER(SEARCH("linseed",F146))=TRUE),0,
IF(AND(F141="sugarbeet",F146="warepotatoes"),0,
1)))))))))))
*IF(OR(ISNUMBER(SEARCH("wheat",F141)),ISNUMBER(SEARCH("barley",F141)),ISNUMBER(SEARCH("driedpeas",F141)),ISNUMBER(SEARCH("warepotatoes",F141)),ISNUMBER(SEARCH("osr",F141)),ISNUMBER(SEARCH("linseed",F141)),ISNUMBER(SEARCH("sugarbeet",F141))),
IF(COUNTIF(B136:B140,B141)=5,
INDEX('CFT Specific Data'!$G$24:$L$39,MATCH(F141,'CFT Specific Data'!$F$24:$F$39,0),IF(COUNTIF(F136:F140,F141)=5,6,IF(COUNTIF(F137:F140,F141)=4,5,IF(COUNTIF(F138:F140,F141)=3,4,IF(COUNTIF(F139:F140,F141)=2,3,IF(F140=F141,2,1)))))),
IF(COUNTIF(B136:B140,B141)=4,
INDEX('CFT Specific Data'!$G$24:$L$39,MATCH(F141,'CFT Specific Data'!$F$24:$F$39,0),IF(SUM(COUNTIF(F137:F140,F141),COUNTIF(F142,F141))=5,6,IF(COUNTIF(F137:F140,F141)=4,5,IF(COUNTIF(F138:F140,F141)=3,4,IF(COUNTIF(F139:F140,F141)=2,3,IF(F140=F141,2,1)))))),
IF(COUNTIF(B136:B140,B141)=3,
INDEX('CFT Specific Data'!$G$24:$L$39,MATCH(F141,'CFT Specific Data'!$F$24:$F$39,0),IF(SUM(COUNTIF(F138:F140,F141),COUNTIF(F142:F143,F141))=5,6,IF(SUM(COUNTIF(F138:F140,F141),COUNTIF(F143,F141))=4,5,IF(COUNTIF(F138:F140,F141)=3,4,IF(COUNTIF(F139:F140,F141)=2,3,IF(F140=F141,2,1)))))),
IF(COUNTIF(B136:B140,B141)=2,
INDEX('CFT Specific Data'!$G$24:$L$39,MATCH(F141,'CFT Specific Data'!$F$24:$F$39,0),IF(SUM(COUNTIF(F139:F140,F141),COUNTIF(F142:F144,F141))=5,6,IF(SUM(COUNTIF(F139:F140,F141),COUNTIF(F143:F144,F141))=4,5,IF(SUM(COUNTIF(F139:F140,F141),COUNTIF(F144,F141))=3,4,IF(COUNTIF(F139:F140,F141)=2,3,IF(F140=F141,2,1)))))),
IF(COUNTIF(B136:B140,B141)=1,
INDEX('CFT Specific Data'!$G$24:$L$39,MATCH(F141,'CFT Specific Data'!$F$24:$F$39,0),IF(SUM(COUNTIF(F140,F141),COUNTIF(F142:F145,F141))=5,6,IF(SUM(COUNTIF(F140,F141),COUNTIF(F143:F145,F141))=4,5,IF(SUM(COUNTIF(F140,F141),COUNTIF(F144:F145,F141))=3,4,IF(SUM(COUNTIF(F140,F141),COUNTIF(F145,F141))=2,3,IF(F140=F141,2,1)))))),
IF(COUNTIF(B136:B140,B141)=0,
INDEX('CFT Specific Data'!$G$24:$L$39,MATCH(F141,'CFT Specific Data'!$F$24:$F$39,0),IF(COUNTIF(F142:F146,F141)=5,6,IF(COUNTIF(F143:F146,F141)=4,5,IF(COUNTIF(F144:F146,F141)=3,4,IF(COUNTIF(F145:F146,F141)=2,3,IF(F146=F141,2,1)))))))))))),1)</f>
        <v>47.419200000000004</v>
      </c>
      <c r="I141" s="210" t="s">
        <v>348</v>
      </c>
      <c r="J141">
        <v>10</v>
      </c>
      <c r="K141" s="210" t="str">
        <f>VLOOKUP(F141,'CFT Specific Data'!$F$4:$G$19,2,FALSE)</f>
        <v>Barley</v>
      </c>
      <c r="L141" t="str">
        <f t="shared" si="14"/>
        <v>Medium</v>
      </c>
      <c r="M141">
        <f t="shared" si="15"/>
        <v>4.4720000000000004</v>
      </c>
      <c r="N141" t="str">
        <f t="shared" si="16"/>
        <v>1.72 &lt; SOM &lt;= 5.16</v>
      </c>
      <c r="O141" t="s">
        <v>349</v>
      </c>
      <c r="P141" t="s">
        <v>350</v>
      </c>
      <c r="Q141">
        <v>7</v>
      </c>
      <c r="R141" t="str">
        <f t="shared" si="12"/>
        <v>5.5 &lt; pH &lt;= 7.3</v>
      </c>
      <c r="S141" t="s">
        <v>351</v>
      </c>
      <c r="T141" s="210">
        <f t="array" ref="T141">_xlfn.SINGLE(INDEX('Focus Data NFertiliser Rate'!$D$4:$P$19,MATCH(F141,'Focus Data NFertiliser Rate'!$C$4:$C$19,0),_xlfn.SINGLE(_xlfn.IFS(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190</v>
      </c>
      <c r="U141" t="str">
        <f t="shared" si="17"/>
        <v>Apply in solution</v>
      </c>
      <c r="V141" s="210">
        <f t="array" ref="V141">_xlfn.SINGLE(INDEX('№ Fertiliser sprayings'!$D$4:$P$19,MATCH(F141,'№ Fertiliser sprayings'!$C$4:$C$19,0),_xlfn.SINGLE(_xlfn.IFS(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3</v>
      </c>
      <c r="W141" s="264">
        <f t="array" ref="W141">_xlfn.SINGLE(INDEX('Focus Data CFT NSpraying'!$D$4:$P$19,MATCH(F141,'Focus Data CFT NSpraying'!$C$4:$C$19,0),_xlfn.SINGLE(_xlfn.IFS(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2.56</v>
      </c>
      <c r="X141" t="s">
        <v>363</v>
      </c>
      <c r="Y141">
        <v>0</v>
      </c>
      <c r="Z141">
        <v>100</v>
      </c>
      <c r="AA141" t="s">
        <v>352</v>
      </c>
      <c r="AB141" s="226" t="str">
        <f>IF(B141=B140,_xlfn.IFS(
AND(AA141=Lists!$L$8,AA140=Lists!$L$8),Lists!$N$5,
AND(OR(AA141=Lists!$L$5,AA141=Lists!$L$7,AA141=Lists!$L$9,AA141=Lists!$L$10,AA141=Lists!$L$6),OR(AA140=Lists!$L$5,AA140=Lists!$L$7,AA140=Lists!$L$9,AA140=Lists!$L$10,AA140=Lists!$L$6)),Lists!$N$5,
AND(AA141=Lists!$L$8,OR(AA140=Lists!$L$5,AA140=Lists!$L$7,AA140=Lists!$L$9,AA140=Lists!$L$10,AA140=Lists!$L$6)),Lists!$N$6,
AND(OR(AA141=Lists!$L$5,AA141=Lists!$L$6,AA141=Lists!$L$7,AA141=Lists!$L$9,AA141=Lists!$L$10),AA140=Lists!$L$8),Lists!$N$7),
_xlfn.IFS(
AND(AA141=Lists!$L$8,AA146=Lists!$L$8),Lists!$N$5,
AND(OR(AA141=Lists!$L$5,AA141=Lists!$L$7,AA141=Lists!$L$9,AA141=Lists!$L$10,AA141=Lists!$L$6),OR(AA146=Lists!$L$5,AA146=Lists!$L$7,AA146=Lists!$L$9,AA146=Lists!$L$10,AA146=Lists!$L$6)),Lists!$N$5,
AND(AA141=Lists!$L$8,OR(AA146=Lists!$L$5,AA146=Lists!$L$7,AA146=Lists!$L$9,AA146=Lists!$L$10,AA146=Lists!$L$6)),Lists!$N$6,
AND(OR(AA141=Lists!$L$5,AA141=Lists!$L$7,AA141=Lists!$L$9,AA141=Lists!$L$10),AA146=Lists!$L$8),Lists!$N$7))</f>
        <v>no change</v>
      </c>
      <c r="AC141">
        <v>0</v>
      </c>
      <c r="AD141">
        <v>0</v>
      </c>
      <c r="AE141" s="102">
        <f t="array" ref="AE141">IF(OR(ISNUMBER(SEARCH("heavy",A141))=TRUE, ISNUMBER(SEARCH("medium",A141))=TRUE),
(LEN(_xlfn.SINGLE(
INDEX('Focus Data Tillage by farm'!$D$4:$P$9,MATCH(D141,'Focus Data Tillage by farm'!$C$4:$C$9,0),_xlfn.SINGLE(_xlfn.IFS(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-LEN(SUBSTITUTE(_xlfn.SINGLE(
INDEX('Focus Data Tillage by farm'!$D$4:$P$9,MATCH(D141,'Focus Data Tillage by farm'!$C$4:$C$9,0),_xlfn.SINGLE(_xlfn.IFS(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"disc","")))/LEN("disc"),
(LEN(_xlfn.SINGLE(
INDEX('Focus Data Tillage by farm'!$D$12:$P$17,MATCH(D141,'Focus Data Tillage by farm'!$C$12:$C$17,0),_xlfn.SINGLE(_xlfn.IFS(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-LEN(SUBSTITUTE(_xlfn.SINGLE(
INDEX('Focus Data Tillage by farm'!$D$12:$P$17,MATCH(D141,'Focus Data Tillage by farm'!$C$12:$C$17,0),_xlfn.SINGLE(_xlfn.IFS(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"disc","")))/LEN("disc"))</f>
        <v>1</v>
      </c>
      <c r="AF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"field cultivator","")))/LEN("field cultivator"),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"field cultivator","")))/LEN("field cultivator"))</f>
        <v>0</v>
      </c>
      <c r="AG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"grain drill","")))/LEN("grain drill"),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"grain drill","")))/LEN("grain drill"))</f>
        <v>1</v>
      </c>
      <c r="AH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"minimum tillage","")))/LEN("minimum tillage"),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"minimum tillage","")))/LEN("minimum tillage"))</f>
        <v>0</v>
      </c>
      <c r="AI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"row crop planter","")))/LEN("row crop planter"),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"row crop planter","")))/LEN("row crop planter"))</f>
        <v>0</v>
      </c>
      <c r="AJ141" s="102">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"plough","")))/LEN("plough"),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"plough","")))/LEN("plough"))</f>
        <v>0</v>
      </c>
      <c r="AK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harrow","")))/LEN("roller harrow"),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harrow","")))/LEN("roller harrow"))</f>
        <v>0</v>
      </c>
      <c r="AL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packer","")))/LEN("roller packer"),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"roller packer","")))/LEN("roller packer"))</f>
        <v>2</v>
      </c>
      <c r="AM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"rotary hoe","")))/LEN("rotary hoe"),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"rotary hoe","")))/LEN("rotary hoe"))</f>
        <v>0</v>
      </c>
      <c r="AN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"subsoil","")))/LEN("subsoil"),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"subsoil","")))/LEN("subsoil"))</f>
        <v>0</v>
      </c>
      <c r="AO141">
        <f>IF(OR(ISNUMBER(SEARCH("heavy",A141))=TRUE, ISNUMBER(SEARCH("medium",A141))=TRUE),
(LEN(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farm'!$D$4:$P$9,MATCH(D141,'Focus Data Tillage by farm'!$C$4:$C$9,0),_xlfn.IFS(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"tine harrow","")))/LEN("tine harrow"),
(LEN(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-LEN(SUBSTITUTE(
INDEX('Focus Data Tillage by farm'!$D$12:$P$17,MATCH(D141,'Focus Data Tillage by farm'!$C$12:$C$17,0),_xlfn.IFS(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
"tine harrow","")))/LEN("tine harrow"))</f>
        <v>0</v>
      </c>
      <c r="AP141" s="102">
        <f>INDEX('Focus Data NSpraying'!$D$4:$P$19,MATCH(F141,'Focus Data NSpraying'!$C$4:$C$19,0),_xlfn.IFS(
AND(ISNUMBER(SEARCH("H-Dsty.",A141))=TRUE,ISNUMBER(SEARCH("H-Res",A141))=TRUE,ISNUMBER(SEARCH("E.",A141))=TRUE),1,
AND(ISNUMBER(SEARCH("H-Dsty.",A141))=TRUE,ISNUMBER(SEARCH("H-Res",A141))=TRUE,OR(ISNUMBER(SEARCH("N.he",A141))=TRUE,ISNUMBER(SEARCH("N.me",A141))=TRUE,ISNUMBER(SEARCH("N.li",A141))=TRUE)),2,
AND(ISNUMBER(SEARCH("H-Dsty.",A141))=TRUE,ISNUMBER(SEARCH("H-Res",A141))=TRUE,ISNUMBER(SEARCH("C.",A141))=TRUE),3,
AND(ISNUMBER(SEARCH("L-Dsty.",A141))=TRUE,ISNUMBER(SEARCH("H-Res",A141))=TRUE,ISNUMBER(SEARCH("E.",A141))=TRUE),6,
AND(ISNUMBER(SEARCH("L-Dsty.",A141))=TRUE,ISNUMBER(SEARCH("H-Res",A141))=TRUE,OR(ISNUMBER(SEARCH("N.he",A141))=TRUE,ISNUMBER(SEARCH("N.me",A141))=TRUE,ISNUMBER(SEARCH("N.li",A141))=TRUE)),7,
AND(ISNUMBER(SEARCH("L-Dsty.",A141))=TRUE,ISNUMBER(SEARCH("H-Res",A141))=TRUE,ISNUMBER(SEARCH("C.",A141))=TRUE),8,
AND(ISNUMBER(SEARCH("L-Dsty.",A141))=TRUE,ISNUMBER(SEARCH("L-Res",A141))=TRUE,ISNUMBER(SEARCH("E.",A141))=TRUE),11,
AND(ISNUMBER(SEARCH("L-Dsty.",A141))=TRUE,ISNUMBER(SEARCH("L-Res",A141))=TRUE,OR(ISNUMBER(SEARCH("N.he",A141))=TRUE,ISNUMBER(SEARCH("N.me",A141))=TRUE,ISNUMBER(SEARCH("N.li",A141))=TRUE)),12,
AND(ISNUMBER(SEARCH("L-Dsty.",A141))=TRUE,ISNUMBER(SEARCH("L-Res",A141))=TRUE,ISNUMBER(SEARCH("C.",A141))=TRUE),13))</f>
        <v>2</v>
      </c>
    </row>
    <row r="142" spans="1:42" x14ac:dyDescent="0.2">
      <c r="A142" t="s">
        <v>498</v>
      </c>
      <c r="B142" s="210" t="str">
        <f t="array" ref="B142">INDEX(ECOMOD_input_estimate!$A$2:$A$55, MATCH(CFT_input!$A142, ECOMOD_input_estimate!$B:$B, 0))</f>
        <v>FF_15.4</v>
      </c>
      <c r="C142" s="210">
        <v>2020</v>
      </c>
      <c r="D142" s="395" t="s">
        <v>1694</v>
      </c>
      <c r="E142" s="210" t="str">
        <f t="shared" si="13"/>
        <v>C.medium.L-Dsty.L-Res</v>
      </c>
      <c r="F142" s="210" t="str">
        <f t="array" ref="F142">_xlfn.SINGLE(IF(OR(ISNUMBER(SEARCH("heavy",A142))=TRUE,ISNUMBER(SEARCH("medium",A142))=TRUE),
INDEX('Focus Data Crop Rotations'!$D$4:$P$9,MATCH(D142,'Focus Data Crop Rotations'!$C$4:$C$9,0),_xlfn.SINGLE(_xlfn.IFS(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INDEX('Focus Data Crop Rotations'!$D$12:$P$17,MATCH(D142,'Focus Data Crop Rotations'!$C$12:$C$17,0),_xlfn.SINGLE(_xlfn.IFS(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wosr</v>
      </c>
      <c r="G142">
        <v>7.2</v>
      </c>
      <c r="H142" s="227">
        <f>VLOOKUP(F142,'CFT Specific Data'!$F$4:$H$19,3,FALSE)*G142*
IF(B142=B141,
IF(AND(ISNUMBER(SEARCH("wheat",F142))=TRUE,ISNUMBER(SEARCH("Barley",F141))=TRUE),0.89,
IF(AND(ISNUMBER(SEARCH("wheat",F142))=TRUE,F141="setaside"),0.94,
IF(AND(ISNUMBER(SEARCH("barley",F142))=TRUE,ISNUMBER(SEARCH("wheat",F141))=TRUE),0.89,
IF(AND(F142="winterbarley",F141="setaside"),0.94,
IF(AND(F142="sugarbeet",F141="warepotatoes"),0.95,
IF(AND((OR(ISNUMBER(SEARCH("beans",F142)),ISNUMBER(SEARCH("driedpeas",F142)),ISNUMBER(SEARCH("sugarbeet",F142)))=TRUE),ISNUMBER(SEARCH("osr",F141))=TRUE),0,
IF(AND((OR((ISNUMBER(SEARCH("wheat",F142))),ISNUMBER(SEARCH("linseed",F142)),ISNUMBER(SEARCH("driedpeas",F142)),ISNUMBER(SEARCH("osr",F142)))=TRUE),F141="sugarbeet"),0,
IF(AND((OR((ISNUMBER(SEARCH("osr",F142))),ISNUMBER(SEARCH("linseed",F142)))=TRUE),ISNUMBER(SEARCH("beans",F141))=TRUE),0,
IF(AND(F142="wosr",ISNUMBER(SEARCH("linseed",F141))=TRUE),0,
IF(AND(F142="sugarbeet",F141="warepotatoes"),0,
1)))))))))),
IF(AND(ISNUMBER(SEARCH("wheat",F142))=TRUE,ISNUMBER(SEARCH("Barley",F147))=TRUE),0.89,
IF(AND(ISNUMBER(SEARCH("wheat",F142))=TRUE,F147="setaside"),0.94,
IF(AND(ISNUMBER(SEARCH("barley",F142))=TRUE,ISNUMBER(SEARCH("wheat",F147))=TRUE),0.89,
IF(AND(F142="winterbarley",F147="setaside"),0.94,
IF(AND(F142="sugarbeet",F147="warepotatoes"),0.95,
IF(AND((OR(ISNUMBER(SEARCH("beans",F142)),ISNUMBER(SEARCH("driedpeas",F142)),ISNUMBER(SEARCH("sugarbeet",F142)))=TRUE),ISNUMBER(SEARCH("osr",F147))=TRUE),0,
IF(AND((OR((ISNUMBER(SEARCH("wheat",F142))),ISNUMBER(SEARCH("linseed",F142)),ISNUMBER(SEARCH("driedpeas",F142)),ISNUMBER(SEARCH("osr",F142)))=TRUE),F147="sugarbeet"),0,
IF(AND((OR((ISNUMBER(SEARCH("osr",F142))),ISNUMBER(SEARCH("linseed",F142)))=TRUE),ISNUMBER(SEARCH("beans",F147))=TRUE),0,
IF(AND(F142="wosr",ISNUMBER(SEARCH("linseed",F147))=TRUE),0,
IF(AND(F142="sugarbeet",F147="warepotatoes"),0,
1)))))))))))
*IF(OR(ISNUMBER(SEARCH("wheat",F142)),ISNUMBER(SEARCH("barley",F142)),ISNUMBER(SEARCH("driedpeas",F142)),ISNUMBER(SEARCH("warepotatoes",F142)),ISNUMBER(SEARCH("osr",F142)),ISNUMBER(SEARCH("linseed",F142)),ISNUMBER(SEARCH("sugarbeet",F142))),
IF(COUNTIF(B137:B141,B142)=5,
INDEX('CFT Specific Data'!$G$24:$L$39,MATCH(F142,'CFT Specific Data'!$F$24:$F$39,0),IF(COUNTIF(F137:F141,F142)=5,6,IF(COUNTIF(F138:F141,F142)=4,5,IF(COUNTIF(F139:F141,F142)=3,4,IF(COUNTIF(F140:F141,F142)=2,3,IF(F141=F142,2,1)))))),
IF(COUNTIF(B137:B141,B142)=4,
INDEX('CFT Specific Data'!$G$24:$L$39,MATCH(F142,'CFT Specific Data'!$F$24:$F$39,0),IF(SUM(COUNTIF(F138:F141,F142),COUNTIF(F143,F142))=5,6,IF(COUNTIF(F138:F141,F142)=4,5,IF(COUNTIF(F139:F141,F142)=3,4,IF(COUNTIF(F140:F141,F142)=2,3,IF(F141=F142,2,1)))))),
IF(COUNTIF(B137:B141,B142)=3,
INDEX('CFT Specific Data'!$G$24:$L$39,MATCH(F142,'CFT Specific Data'!$F$24:$F$39,0),IF(SUM(COUNTIF(F139:F141,F142),COUNTIF(F143:F144,F142))=5,6,IF(SUM(COUNTIF(F139:F141,F142),COUNTIF(F144,F142))=4,5,IF(COUNTIF(F139:F141,F142)=3,4,IF(COUNTIF(F140:F141,F142)=2,3,IF(F141=F142,2,1)))))),
IF(COUNTIF(B137:B141,B142)=2,
INDEX('CFT Specific Data'!$G$24:$L$39,MATCH(F142,'CFT Specific Data'!$F$24:$F$39,0),IF(SUM(COUNTIF(F140:F141,F142),COUNTIF(F143:F145,F142))=5,6,IF(SUM(COUNTIF(F140:F141,F142),COUNTIF(F144:F145,F142))=4,5,IF(SUM(COUNTIF(F140:F141,F142),COUNTIF(F145,F142))=3,4,IF(COUNTIF(F140:F141,F142)=2,3,IF(F141=F142,2,1)))))),
IF(COUNTIF(B137:B141,B142)=1,
INDEX('CFT Specific Data'!$G$24:$L$39,MATCH(F142,'CFT Specific Data'!$F$24:$F$39,0),IF(SUM(COUNTIF(F141,F142),COUNTIF(F143:F146,F142))=5,6,IF(SUM(COUNTIF(F141,F142),COUNTIF(F144:F146,F142))=4,5,IF(SUM(COUNTIF(F141,F142),COUNTIF(F145:F146,F142))=3,4,IF(SUM(COUNTIF(F141,F142),COUNTIF(F146,F142))=2,3,IF(F141=F142,2,1)))))),
IF(COUNTIF(B137:B141,B142)=0,
INDEX('CFT Specific Data'!$G$24:$L$39,MATCH(F142,'CFT Specific Data'!$F$24:$F$39,0),IF(COUNTIF(F143:F147,F142)=5,6,IF(COUNTIF(F144:F147,F142)=4,5,IF(COUNTIF(F145:F147,F142)=3,4,IF(COUNTIF(F146:F147,F142)=2,3,IF(F147=F142,2,1)))))))))))),1)</f>
        <v>25.2</v>
      </c>
      <c r="I142" s="210" t="s">
        <v>348</v>
      </c>
      <c r="J142">
        <v>10</v>
      </c>
      <c r="K142" s="210" t="str">
        <f>VLOOKUP(F142,'CFT Specific Data'!$F$4:$G$19,2,FALSE)</f>
        <v>Other</v>
      </c>
      <c r="L142" t="str">
        <f t="shared" si="14"/>
        <v>Medium</v>
      </c>
      <c r="M142">
        <f t="shared" si="15"/>
        <v>4.4720000000000004</v>
      </c>
      <c r="N142" t="str">
        <f t="shared" si="16"/>
        <v>1.72 &lt; SOM &lt;= 5.16</v>
      </c>
      <c r="O142" t="s">
        <v>349</v>
      </c>
      <c r="P142" t="s">
        <v>350</v>
      </c>
      <c r="Q142">
        <v>7</v>
      </c>
      <c r="R142" t="str">
        <f t="shared" si="12"/>
        <v>5.5 &lt; pH &lt;= 7.3</v>
      </c>
      <c r="S142" t="s">
        <v>351</v>
      </c>
      <c r="T142" s="210">
        <f t="array" ref="T142">_xlfn.SINGLE(INDEX('Focus Data NFertiliser Rate'!$D$4:$P$19,MATCH(F142,'Focus Data NFertiliser Rate'!$C$4:$C$19,0),_xlfn.SINGLE(_xlfn.IFS(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180</v>
      </c>
      <c r="U142" t="str">
        <f t="shared" si="17"/>
        <v>Apply in solution</v>
      </c>
      <c r="V142" s="210">
        <f t="array" ref="V142">_xlfn.SINGLE(INDEX('№ Fertiliser sprayings'!$D$4:$P$19,MATCH(F142,'№ Fertiliser sprayings'!$C$4:$C$19,0),_xlfn.SINGLE(_xlfn.IFS(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3</v>
      </c>
      <c r="W142" s="264">
        <f t="array" ref="W142">_xlfn.SINGLE(INDEX('Focus Data CFT NSpraying'!$D$4:$P$19,MATCH(F142,'Focus Data CFT NSpraying'!$C$4:$C$19,0),_xlfn.SINGLE(_xlfn.IFS(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1.4</v>
      </c>
      <c r="X142" t="s">
        <v>363</v>
      </c>
      <c r="Y142">
        <v>0</v>
      </c>
      <c r="Z142">
        <v>100</v>
      </c>
      <c r="AA142" t="s">
        <v>352</v>
      </c>
      <c r="AB142" s="226" t="str">
        <f>IF(B142=B141,_xlfn.IFS(
AND(AA142=Lists!$L$8,AA141=Lists!$L$8),Lists!$N$5,
AND(OR(AA142=Lists!$L$5,AA142=Lists!$L$7,AA142=Lists!$L$9,AA142=Lists!$L$10,AA142=Lists!$L$6),OR(AA141=Lists!$L$5,AA141=Lists!$L$7,AA141=Lists!$L$9,AA141=Lists!$L$10,AA141=Lists!$L$6)),Lists!$N$5,
AND(AA142=Lists!$L$8,OR(AA141=Lists!$L$5,AA141=Lists!$L$7,AA141=Lists!$L$9,AA141=Lists!$L$10,AA141=Lists!$L$6)),Lists!$N$6,
AND(OR(AA142=Lists!$L$5,AA142=Lists!$L$6,AA142=Lists!$L$7,AA142=Lists!$L$9,AA142=Lists!$L$10),AA141=Lists!$L$8),Lists!$N$7),
_xlfn.IFS(
AND(AA142=Lists!$L$8,AA147=Lists!$L$8),Lists!$N$5,
AND(OR(AA142=Lists!$L$5,AA142=Lists!$L$7,AA142=Lists!$L$9,AA142=Lists!$L$10,AA142=Lists!$L$6),OR(AA147=Lists!$L$5,AA147=Lists!$L$7,AA147=Lists!$L$9,AA147=Lists!$L$10,AA147=Lists!$L$6)),Lists!$N$5,
AND(AA142=Lists!$L$8,OR(AA147=Lists!$L$5,AA147=Lists!$L$7,AA147=Lists!$L$9,AA147=Lists!$L$10,AA147=Lists!$L$6)),Lists!$N$6,
AND(OR(AA142=Lists!$L$5,AA142=Lists!$L$7,AA142=Lists!$L$9,AA142=Lists!$L$10),AA147=Lists!$L$8),Lists!$N$7))</f>
        <v>no change</v>
      </c>
      <c r="AC142">
        <v>0</v>
      </c>
      <c r="AD142">
        <v>0</v>
      </c>
      <c r="AE142" s="102">
        <f t="array" ref="AE142">IF(OR(ISNUMBER(SEARCH("heavy",A142))=TRUE, ISNUMBER(SEARCH("medium",A142))=TRUE),
(LEN(_xlfn.SINGLE(
INDEX('Focus Data Tillage by farm'!$D$4:$P$9,MATCH(D142,'Focus Data Tillage by farm'!$C$4:$C$9,0),_xlfn.SINGLE(_xlfn.IFS(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-LEN(SUBSTITUTE(_xlfn.SINGLE(
INDEX('Focus Data Tillage by farm'!$D$4:$P$9,MATCH(D142,'Focus Data Tillage by farm'!$C$4:$C$9,0),_xlfn.SINGLE(_xlfn.IFS(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"disc","")))/LEN("disc"),
(LEN(_xlfn.SINGLE(
INDEX('Focus Data Tillage by farm'!$D$12:$P$17,MATCH(D142,'Focus Data Tillage by farm'!$C$12:$C$17,0),_xlfn.SINGLE(_xlfn.IFS(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-LEN(SUBSTITUTE(_xlfn.SINGLE(
INDEX('Focus Data Tillage by farm'!$D$12:$P$17,MATCH(D142,'Focus Data Tillage by farm'!$C$12:$C$17,0),_xlfn.SINGLE(_xlfn.IFS(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"disc","")))/LEN("disc"))</f>
        <v>0</v>
      </c>
      <c r="AF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"field cultivator","")))/LEN("field cultivator"),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"field cultivator","")))/LEN("field cultivator"))</f>
        <v>0</v>
      </c>
      <c r="AG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"grain drill","")))/LEN("grain drill"),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"grain drill","")))/LEN("grain drill"))</f>
        <v>0</v>
      </c>
      <c r="AH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"minimum tillage","")))/LEN("minimum tillage"),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"minimum tillage","")))/LEN("minimum tillage"))</f>
        <v>0</v>
      </c>
      <c r="AI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"row crop planter","")))/LEN("row crop planter"),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"row crop planter","")))/LEN("row crop planter"))</f>
        <v>0</v>
      </c>
      <c r="AJ142" s="10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"plough","")))/LEN("plough"),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"plough","")))/LEN("plough"))</f>
        <v>0</v>
      </c>
      <c r="AK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harrow","")))/LEN("roller harrow"),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harrow","")))/LEN("roller harrow"))</f>
        <v>0</v>
      </c>
      <c r="AL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packer","")))/LEN("roller packer"),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"roller packer","")))/LEN("roller packer"))</f>
        <v>1</v>
      </c>
      <c r="AM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"rotary hoe","")))/LEN("rotary hoe"),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"rotary hoe","")))/LEN("rotary hoe"))</f>
        <v>0</v>
      </c>
      <c r="AN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"subsoil","")))/LEN("subsoil"),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"subsoil","")))/LEN("subsoil"))</f>
        <v>1</v>
      </c>
      <c r="AO142">
        <f>IF(OR(ISNUMBER(SEARCH("heavy",A142))=TRUE, ISNUMBER(SEARCH("medium",A142))=TRUE),
(LEN(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farm'!$D$4:$P$9,MATCH(D142,'Focus Data Tillage by farm'!$C$4:$C$9,0),_xlfn.IFS(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"tine harrow","")))/LEN("tine harrow"),
(LEN(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-LEN(SUBSTITUTE(
INDEX('Focus Data Tillage by farm'!$D$12:$P$17,MATCH(D142,'Focus Data Tillage by farm'!$C$12:$C$17,0),_xlfn.IFS(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
"tine harrow","")))/LEN("tine harrow"))</f>
        <v>0</v>
      </c>
      <c r="AP142" s="102">
        <f>INDEX('Focus Data NSpraying'!$D$4:$P$19,MATCH(F142,'Focus Data NSpraying'!$C$4:$C$19,0),_xlfn.IFS(
AND(ISNUMBER(SEARCH("H-Dsty.",A142))=TRUE,ISNUMBER(SEARCH("H-Res",A142))=TRUE,ISNUMBER(SEARCH("E.",A142))=TRUE),1,
AND(ISNUMBER(SEARCH("H-Dsty.",A142))=TRUE,ISNUMBER(SEARCH("H-Res",A142))=TRUE,OR(ISNUMBER(SEARCH("N.he",A142))=TRUE,ISNUMBER(SEARCH("N.me",A142))=TRUE,ISNUMBER(SEARCH("N.li",A142))=TRUE)),2,
AND(ISNUMBER(SEARCH("H-Dsty.",A142))=TRUE,ISNUMBER(SEARCH("H-Res",A142))=TRUE,ISNUMBER(SEARCH("C.",A142))=TRUE),3,
AND(ISNUMBER(SEARCH("L-Dsty.",A142))=TRUE,ISNUMBER(SEARCH("H-Res",A142))=TRUE,ISNUMBER(SEARCH("E.",A142))=TRUE),6,
AND(ISNUMBER(SEARCH("L-Dsty.",A142))=TRUE,ISNUMBER(SEARCH("H-Res",A142))=TRUE,OR(ISNUMBER(SEARCH("N.he",A142))=TRUE,ISNUMBER(SEARCH("N.me",A142))=TRUE,ISNUMBER(SEARCH("N.li",A142))=TRUE)),7,
AND(ISNUMBER(SEARCH("L-Dsty.",A142))=TRUE,ISNUMBER(SEARCH("H-Res",A142))=TRUE,ISNUMBER(SEARCH("C.",A142))=TRUE),8,
AND(ISNUMBER(SEARCH("L-Dsty.",A142))=TRUE,ISNUMBER(SEARCH("L-Res",A142))=TRUE,ISNUMBER(SEARCH("E.",A142))=TRUE),11,
AND(ISNUMBER(SEARCH("L-Dsty.",A142))=TRUE,ISNUMBER(SEARCH("L-Res",A142))=TRUE,OR(ISNUMBER(SEARCH("N.he",A142))=TRUE,ISNUMBER(SEARCH("N.me",A142))=TRUE,ISNUMBER(SEARCH("N.li",A142))=TRUE)),12,
AND(ISNUMBER(SEARCH("L-Dsty.",A142))=TRUE,ISNUMBER(SEARCH("L-Res",A142))=TRUE,ISNUMBER(SEARCH("C.",A142))=TRUE),13))</f>
        <v>2</v>
      </c>
    </row>
    <row r="143" spans="1:42" x14ac:dyDescent="0.2">
      <c r="A143" t="s">
        <v>498</v>
      </c>
      <c r="B143" s="210" t="str">
        <f t="array" ref="B143">INDEX(ECOMOD_input_estimate!$A$2:$A$55, MATCH(CFT_input!$A143, ECOMOD_input_estimate!$B:$B, 0))</f>
        <v>FF_15.4</v>
      </c>
      <c r="C143" s="210">
        <v>2020</v>
      </c>
      <c r="D143" s="395" t="s">
        <v>1695</v>
      </c>
      <c r="E143" s="210" t="str">
        <f t="shared" si="13"/>
        <v>C.medium.L-Dsty.L-Res</v>
      </c>
      <c r="F143" s="210" t="str">
        <f t="array" ref="F143">_xlfn.SINGLE(IF(OR(ISNUMBER(SEARCH("heavy",A143))=TRUE,ISNUMBER(SEARCH("medium",A143))=TRUE),
INDEX('Focus Data Crop Rotations'!$D$4:$P$9,MATCH(D143,'Focus Data Crop Rotations'!$C$4:$C$9,0),_xlfn.SINGLE(_xlfn.IFS(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INDEX('Focus Data Crop Rotations'!$D$12:$P$17,MATCH(D143,'Focus Data Crop Rotations'!$C$12:$C$17,0),_xlfn.SINGLE(_xlfn.IFS(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winterwheat</v>
      </c>
      <c r="G143">
        <v>7.2</v>
      </c>
      <c r="H143" s="227">
        <f>VLOOKUP(F143,'CFT Specific Data'!$F$4:$H$19,3,FALSE)*G143*
IF(B143=B142,
IF(AND(ISNUMBER(SEARCH("wheat",F143))=TRUE,ISNUMBER(SEARCH("Barley",F142))=TRUE),0.89,
IF(AND(ISNUMBER(SEARCH("wheat",F143))=TRUE,F142="setaside"),0.94,
IF(AND(ISNUMBER(SEARCH("barley",F143))=TRUE,ISNUMBER(SEARCH("wheat",F142))=TRUE),0.89,
IF(AND(F143="winterbarley",F142="setaside"),0.94,
IF(AND(F143="sugarbeet",F142="warepotatoes"),0.95,
IF(AND((OR(ISNUMBER(SEARCH("beans",F143)),ISNUMBER(SEARCH("driedpeas",F143)),ISNUMBER(SEARCH("sugarbeet",F143)))=TRUE),ISNUMBER(SEARCH("osr",F142))=TRUE),0,
IF(AND((OR((ISNUMBER(SEARCH("wheat",F143))),ISNUMBER(SEARCH("linseed",F143)),ISNUMBER(SEARCH("driedpeas",F143)),ISNUMBER(SEARCH("osr",F143)))=TRUE),F142="sugarbeet"),0,
IF(AND((OR((ISNUMBER(SEARCH("osr",F143))),ISNUMBER(SEARCH("linseed",F143)))=TRUE),ISNUMBER(SEARCH("beans",F142))=TRUE),0,
IF(AND(F143="wosr",ISNUMBER(SEARCH("linseed",F142))=TRUE),0,
IF(AND(F143="sugarbeet",F142="warepotatoes"),0,
1)))))))))),
IF(AND(ISNUMBER(SEARCH("wheat",F143))=TRUE,ISNUMBER(SEARCH("Barley",F148))=TRUE),0.89,
IF(AND(ISNUMBER(SEARCH("wheat",F143))=TRUE,F148="setaside"),0.94,
IF(AND(ISNUMBER(SEARCH("barley",F143))=TRUE,ISNUMBER(SEARCH("wheat",F148))=TRUE),0.89,
IF(AND(F143="winterbarley",F148="setaside"),0.94,
IF(AND(F143="sugarbeet",F148="warepotatoes"),0.95,
IF(AND((OR(ISNUMBER(SEARCH("beans",F143)),ISNUMBER(SEARCH("driedpeas",F143)),ISNUMBER(SEARCH("sugarbeet",F143)))=TRUE),ISNUMBER(SEARCH("osr",F148))=TRUE),0,
IF(AND((OR((ISNUMBER(SEARCH("wheat",F143))),ISNUMBER(SEARCH("linseed",F143)),ISNUMBER(SEARCH("driedpeas",F143)),ISNUMBER(SEARCH("osr",F143)))=TRUE),F148="sugarbeet"),0,
IF(AND((OR((ISNUMBER(SEARCH("osr",F143))),ISNUMBER(SEARCH("linseed",F143)))=TRUE),ISNUMBER(SEARCH("beans",F148))=TRUE),0,
IF(AND(F143="wosr",ISNUMBER(SEARCH("linseed",F148))=TRUE),0,
IF(AND(F143="sugarbeet",F148="warepotatoes"),0,
1)))))))))))
*IF(OR(ISNUMBER(SEARCH("wheat",F143)),ISNUMBER(SEARCH("barley",F143)),ISNUMBER(SEARCH("driedpeas",F143)),ISNUMBER(SEARCH("warepotatoes",F143)),ISNUMBER(SEARCH("osr",F143)),ISNUMBER(SEARCH("linseed",F143)),ISNUMBER(SEARCH("sugarbeet",F143))),
IF(COUNTIF(B138:B142,B143)=5,
INDEX('CFT Specific Data'!$G$24:$L$39,MATCH(F143,'CFT Specific Data'!$F$24:$F$39,0),IF(COUNTIF(F138:F142,F143)=5,6,IF(COUNTIF(F139:F142,F143)=4,5,IF(COUNTIF(F140:F142,F143)=3,4,IF(COUNTIF(F141:F142,F143)=2,3,IF(F142=F143,2,1)))))),
IF(COUNTIF(B138:B142,B143)=4,
INDEX('CFT Specific Data'!$G$24:$L$39,MATCH(F143,'CFT Specific Data'!$F$24:$F$39,0),IF(SUM(COUNTIF(F139:F142,F143),COUNTIF(F144,F143))=5,6,IF(COUNTIF(F139:F142,F143)=4,5,IF(COUNTIF(F140:F142,F143)=3,4,IF(COUNTIF(F141:F142,F143)=2,3,IF(F142=F143,2,1)))))),
IF(COUNTIF(B138:B142,B143)=3,
INDEX('CFT Specific Data'!$G$24:$L$39,MATCH(F143,'CFT Specific Data'!$F$24:$F$39,0),IF(SUM(COUNTIF(F140:F142,F143),COUNTIF(F144:F145,F143))=5,6,IF(SUM(COUNTIF(F140:F142,F143),COUNTIF(F145,F143))=4,5,IF(COUNTIF(F140:F142,F143)=3,4,IF(COUNTIF(F141:F142,F143)=2,3,IF(F142=F143,2,1)))))),
IF(COUNTIF(B138:B142,B143)=2,
INDEX('CFT Specific Data'!$G$24:$L$39,MATCH(F143,'CFT Specific Data'!$F$24:$F$39,0),IF(SUM(COUNTIF(F141:F142,F143),COUNTIF(F144:F146,F143))=5,6,IF(SUM(COUNTIF(F141:F142,F143),COUNTIF(F145:F146,F143))=4,5,IF(SUM(COUNTIF(F141:F142,F143),COUNTIF(F146,F143))=3,4,IF(COUNTIF(F141:F142,F143)=2,3,IF(F142=F143,2,1)))))),
IF(COUNTIF(B138:B142,B143)=1,
INDEX('CFT Specific Data'!$G$24:$L$39,MATCH(F143,'CFT Specific Data'!$F$24:$F$39,0),IF(SUM(COUNTIF(F142,F143),COUNTIF(F144:F147,F143))=5,6,IF(SUM(COUNTIF(F142,F143),COUNTIF(F145:F147,F143))=4,5,IF(SUM(COUNTIF(F142,F143),COUNTIF(F146:F147,F143))=3,4,IF(SUM(COUNTIF(F142,F143),COUNTIF(F147,F143))=2,3,IF(F142=F143,2,1)))))),
IF(COUNTIF(B138:B142,B143)=0,
INDEX('CFT Specific Data'!$G$24:$L$39,MATCH(F143,'CFT Specific Data'!$F$24:$F$39,0),IF(COUNTIF(F144:F148,F143)=5,6,IF(COUNTIF(F145:F148,F143)=4,5,IF(COUNTIF(F146:F148,F143)=3,4,IF(COUNTIF(F147:F148,F143)=2,3,IF(F148=F143,2,1)))))))))))),1)</f>
        <v>61.92</v>
      </c>
      <c r="I143" s="210" t="s">
        <v>348</v>
      </c>
      <c r="J143">
        <v>10</v>
      </c>
      <c r="K143" s="210" t="str">
        <f>VLOOKUP(F143,'CFT Specific Data'!$F$4:$G$19,2,FALSE)</f>
        <v>Winter wheat</v>
      </c>
      <c r="L143" t="str">
        <f t="shared" si="14"/>
        <v>Medium</v>
      </c>
      <c r="M143">
        <f t="shared" si="15"/>
        <v>4.4720000000000004</v>
      </c>
      <c r="N143" t="str">
        <f t="shared" si="16"/>
        <v>1.72 &lt; SOM &lt;= 5.16</v>
      </c>
      <c r="O143" t="s">
        <v>349</v>
      </c>
      <c r="P143" t="s">
        <v>350</v>
      </c>
      <c r="Q143">
        <v>7</v>
      </c>
      <c r="R143" t="str">
        <f t="shared" si="12"/>
        <v>5.5 &lt; pH &lt;= 7.3</v>
      </c>
      <c r="S143" t="s">
        <v>351</v>
      </c>
      <c r="T143" s="210">
        <f t="array" ref="T143">_xlfn.SINGLE(INDEX('Focus Data NFertiliser Rate'!$D$4:$P$19,MATCH(F143,'Focus Data NFertiliser Rate'!$C$4:$C$19,0),_xlfn.SINGLE(_xlfn.IFS(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220</v>
      </c>
      <c r="U143" t="str">
        <f t="shared" si="17"/>
        <v>Apply in solution</v>
      </c>
      <c r="V143" s="210">
        <f t="array" ref="V143">_xlfn.SINGLE(INDEX('№ Fertiliser sprayings'!$D$4:$P$19,MATCH(F143,'№ Fertiliser sprayings'!$C$4:$C$19,0),_xlfn.SINGLE(_xlfn.IFS(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3</v>
      </c>
      <c r="W143" s="264">
        <f t="array" ref="W143">_xlfn.SINGLE(INDEX('Focus Data CFT NSpraying'!$D$4:$P$19,MATCH(F143,'Focus Data CFT NSpraying'!$C$4:$C$19,0),_xlfn.SINGLE(_xlfn.IFS(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2.7888000000000002</v>
      </c>
      <c r="X143" t="s">
        <v>363</v>
      </c>
      <c r="Y143">
        <v>0</v>
      </c>
      <c r="Z143">
        <v>100</v>
      </c>
      <c r="AA143" t="s">
        <v>352</v>
      </c>
      <c r="AB143" s="226" t="str">
        <f>IF(B143=B142,_xlfn.IFS(
AND(AA143=Lists!$L$8,AA142=Lists!$L$8),Lists!$N$5,
AND(OR(AA143=Lists!$L$5,AA143=Lists!$L$7,AA143=Lists!$L$9,AA143=Lists!$L$10,AA143=Lists!$L$6),OR(AA142=Lists!$L$5,AA142=Lists!$L$7,AA142=Lists!$L$9,AA142=Lists!$L$10,AA142=Lists!$L$6)),Lists!$N$5,
AND(AA143=Lists!$L$8,OR(AA142=Lists!$L$5,AA142=Lists!$L$7,AA142=Lists!$L$9,AA142=Lists!$L$10,AA142=Lists!$L$6)),Lists!$N$6,
AND(OR(AA143=Lists!$L$5,AA143=Lists!$L$6,AA143=Lists!$L$7,AA143=Lists!$L$9,AA143=Lists!$L$10),AA142=Lists!$L$8),Lists!$N$7),
_xlfn.IFS(
AND(AA143=Lists!$L$8,AA148=Lists!$L$8),Lists!$N$5,
AND(OR(AA143=Lists!$L$5,AA143=Lists!$L$7,AA143=Lists!$L$9,AA143=Lists!$L$10,AA143=Lists!$L$6),OR(AA148=Lists!$L$5,AA148=Lists!$L$7,AA148=Lists!$L$9,AA148=Lists!$L$10,AA148=Lists!$L$6)),Lists!$N$5,
AND(AA143=Lists!$L$8,OR(AA148=Lists!$L$5,AA148=Lists!$L$7,AA148=Lists!$L$9,AA148=Lists!$L$10,AA148=Lists!$L$6)),Lists!$N$6,
AND(OR(AA143=Lists!$L$5,AA143=Lists!$L$7,AA143=Lists!$L$9,AA143=Lists!$L$10),AA148=Lists!$L$8),Lists!$N$7))</f>
        <v>no change</v>
      </c>
      <c r="AC143">
        <v>0</v>
      </c>
      <c r="AD143">
        <v>0</v>
      </c>
      <c r="AE143" s="102">
        <f t="array" ref="AE143">IF(OR(ISNUMBER(SEARCH("heavy",A143))=TRUE, ISNUMBER(SEARCH("medium",A143))=TRUE),
(LEN(_xlfn.SINGLE(
INDEX('Focus Data Tillage by farm'!$D$4:$P$9,MATCH(D143,'Focus Data Tillage by farm'!$C$4:$C$9,0),_xlfn.SINGLE(_xlfn.IFS(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-LEN(SUBSTITUTE(_xlfn.SINGLE(
INDEX('Focus Data Tillage by farm'!$D$4:$P$9,MATCH(D143,'Focus Data Tillage by farm'!$C$4:$C$9,0),_xlfn.SINGLE(_xlfn.IFS(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"disc","")))/LEN("disc"),
(LEN(_xlfn.SINGLE(
INDEX('Focus Data Tillage by farm'!$D$12:$P$17,MATCH(D143,'Focus Data Tillage by farm'!$C$12:$C$17,0),_xlfn.SINGLE(_xlfn.IFS(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-LEN(SUBSTITUTE(_xlfn.SINGLE(
INDEX('Focus Data Tillage by farm'!$D$12:$P$17,MATCH(D143,'Focus Data Tillage by farm'!$C$12:$C$17,0),_xlfn.SINGLE(_xlfn.IFS(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"disc","")))/LEN("disc"))</f>
        <v>1</v>
      </c>
      <c r="AF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"field cultivator","")))/LEN("field cultivator"),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"field cultivator","")))/LEN("field cultivator"))</f>
        <v>0</v>
      </c>
      <c r="AG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"grain drill","")))/LEN("grain drill"),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"grain drill","")))/LEN("grain drill"))</f>
        <v>1</v>
      </c>
      <c r="AH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"minimum tillage","")))/LEN("minimum tillage"),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"minimum tillage","")))/LEN("minimum tillage"))</f>
        <v>0</v>
      </c>
      <c r="AI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"row crop planter","")))/LEN("row crop planter"),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"row crop planter","")))/LEN("row crop planter"))</f>
        <v>0</v>
      </c>
      <c r="AJ143" s="102">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"plough","")))/LEN("plough"),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"plough","")))/LEN("plough"))</f>
        <v>0</v>
      </c>
      <c r="AK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harrow","")))/LEN("roller harrow"),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harrow","")))/LEN("roller harrow"))</f>
        <v>0</v>
      </c>
      <c r="AL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packer","")))/LEN("roller packer"),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"roller packer","")))/LEN("roller packer"))</f>
        <v>2</v>
      </c>
      <c r="AM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"rotary hoe","")))/LEN("rotary hoe"),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"rotary hoe","")))/LEN("rotary hoe"))</f>
        <v>0</v>
      </c>
      <c r="AN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"subsoil","")))/LEN("subsoil"),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"subsoil","")))/LEN("subsoil"))</f>
        <v>0</v>
      </c>
      <c r="AO143">
        <f>IF(OR(ISNUMBER(SEARCH("heavy",A143))=TRUE, ISNUMBER(SEARCH("medium",A143))=TRUE),
(LEN(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farm'!$D$4:$P$9,MATCH(D143,'Focus Data Tillage by farm'!$C$4:$C$9,0),_xlfn.IFS(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"tine harrow","")))/LEN("tine harrow"),
(LEN(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-LEN(SUBSTITUTE(
INDEX('Focus Data Tillage by farm'!$D$12:$P$17,MATCH(D143,'Focus Data Tillage by farm'!$C$12:$C$17,0),_xlfn.IFS(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
"tine harrow","")))/LEN("tine harrow"))</f>
        <v>0</v>
      </c>
      <c r="AP143" s="102">
        <f>INDEX('Focus Data NSpraying'!$D$4:$P$19,MATCH(F143,'Focus Data NSpraying'!$C$4:$C$19,0),_xlfn.IFS(
AND(ISNUMBER(SEARCH("H-Dsty.",A143))=TRUE,ISNUMBER(SEARCH("H-Res",A143))=TRUE,ISNUMBER(SEARCH("E.",A143))=TRUE),1,
AND(ISNUMBER(SEARCH("H-Dsty.",A143))=TRUE,ISNUMBER(SEARCH("H-Res",A143))=TRUE,OR(ISNUMBER(SEARCH("N.he",A143))=TRUE,ISNUMBER(SEARCH("N.me",A143))=TRUE,ISNUMBER(SEARCH("N.li",A143))=TRUE)),2,
AND(ISNUMBER(SEARCH("H-Dsty.",A143))=TRUE,ISNUMBER(SEARCH("H-Res",A143))=TRUE,ISNUMBER(SEARCH("C.",A143))=TRUE),3,
AND(ISNUMBER(SEARCH("L-Dsty.",A143))=TRUE,ISNUMBER(SEARCH("H-Res",A143))=TRUE,ISNUMBER(SEARCH("E.",A143))=TRUE),6,
AND(ISNUMBER(SEARCH("L-Dsty.",A143))=TRUE,ISNUMBER(SEARCH("H-Res",A143))=TRUE,OR(ISNUMBER(SEARCH("N.he",A143))=TRUE,ISNUMBER(SEARCH("N.me",A143))=TRUE,ISNUMBER(SEARCH("N.li",A143))=TRUE)),7,
AND(ISNUMBER(SEARCH("L-Dsty.",A143))=TRUE,ISNUMBER(SEARCH("H-Res",A143))=TRUE,ISNUMBER(SEARCH("C.",A143))=TRUE),8,
AND(ISNUMBER(SEARCH("L-Dsty.",A143))=TRUE,ISNUMBER(SEARCH("L-Res",A143))=TRUE,ISNUMBER(SEARCH("E.",A143))=TRUE),11,
AND(ISNUMBER(SEARCH("L-Dsty.",A143))=TRUE,ISNUMBER(SEARCH("L-Res",A143))=TRUE,OR(ISNUMBER(SEARCH("N.he",A143))=TRUE,ISNUMBER(SEARCH("N.me",A143))=TRUE,ISNUMBER(SEARCH("N.li",A143))=TRUE)),12,
AND(ISNUMBER(SEARCH("L-Dsty.",A143))=TRUE,ISNUMBER(SEARCH("L-Res",A143))=TRUE,ISNUMBER(SEARCH("C.",A143))=TRUE),13))</f>
        <v>3</v>
      </c>
    </row>
    <row r="144" spans="1:42" x14ac:dyDescent="0.2">
      <c r="A144" t="s">
        <v>498</v>
      </c>
      <c r="B144" s="210" t="str">
        <f t="array" ref="B144">INDEX(ECOMOD_input_estimate!$A$2:$A$55, MATCH(CFT_input!$A144, ECOMOD_input_estimate!$B:$B, 0))</f>
        <v>FF_15.4</v>
      </c>
      <c r="C144" s="210">
        <v>2020</v>
      </c>
      <c r="D144" s="395" t="s">
        <v>1696</v>
      </c>
      <c r="E144" s="210" t="str">
        <f t="shared" si="13"/>
        <v>C.medium.L-Dsty.L-Res</v>
      </c>
      <c r="F144" s="210" t="str">
        <f t="array" ref="F144">_xlfn.SINGLE(IF(OR(ISNUMBER(SEARCH("heavy",A144))=TRUE,ISNUMBER(SEARCH("medium",A144))=TRUE),
INDEX('Focus Data Crop Rotations'!$D$4:$P$9,MATCH(D144,'Focus Data Crop Rotations'!$C$4:$C$9,0),_xlfn.SINGLE(_xlfn.IFS(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INDEX('Focus Data Crop Rotations'!$D$12:$P$17,MATCH(D144,'Focus Data Crop Rotations'!$C$12:$C$17,0),_xlfn.SINGLE(_xlfn.IFS(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springbeans</v>
      </c>
      <c r="G144">
        <v>7.2</v>
      </c>
      <c r="H144" s="227">
        <f>VLOOKUP(F144,'CFT Specific Data'!$F$4:$H$19,3,FALSE)*G144*
IF(B144=B143,
IF(AND(ISNUMBER(SEARCH("wheat",F144))=TRUE,ISNUMBER(SEARCH("Barley",F143))=TRUE),0.89,
IF(AND(ISNUMBER(SEARCH("wheat",F144))=TRUE,F143="setaside"),0.94,
IF(AND(ISNUMBER(SEARCH("barley",F144))=TRUE,ISNUMBER(SEARCH("wheat",F143))=TRUE),0.89,
IF(AND(F144="winterbarley",F143="setaside"),0.94,
IF(AND(F144="sugarbeet",F143="warepotatoes"),0.95,
IF(AND((OR(ISNUMBER(SEARCH("beans",F144)),ISNUMBER(SEARCH("driedpeas",F144)),ISNUMBER(SEARCH("sugarbeet",F144)))=TRUE),ISNUMBER(SEARCH("osr",F143))=TRUE),0,
IF(AND((OR((ISNUMBER(SEARCH("wheat",F144))),ISNUMBER(SEARCH("linseed",F144)),ISNUMBER(SEARCH("driedpeas",F144)),ISNUMBER(SEARCH("osr",F144)))=TRUE),F143="sugarbeet"),0,
IF(AND((OR((ISNUMBER(SEARCH("osr",F144))),ISNUMBER(SEARCH("linseed",F144)))=TRUE),ISNUMBER(SEARCH("beans",F143))=TRUE),0,
IF(AND(F144="wosr",ISNUMBER(SEARCH("linseed",F143))=TRUE),0,
IF(AND(F144="sugarbeet",F143="warepotatoes"),0,
1)))))))))),
IF(AND(ISNUMBER(SEARCH("wheat",F144))=TRUE,ISNUMBER(SEARCH("Barley",F149))=TRUE),0.89,
IF(AND(ISNUMBER(SEARCH("wheat",F144))=TRUE,F149="setaside"),0.94,
IF(AND(ISNUMBER(SEARCH("barley",F144))=TRUE,ISNUMBER(SEARCH("wheat",F149))=TRUE),0.89,
IF(AND(F144="winterbarley",F149="setaside"),0.94,
IF(AND(F144="sugarbeet",F149="warepotatoes"),0.95,
IF(AND((OR(ISNUMBER(SEARCH("beans",F144)),ISNUMBER(SEARCH("driedpeas",F144)),ISNUMBER(SEARCH("sugarbeet",F144)))=TRUE),ISNUMBER(SEARCH("osr",F149))=TRUE),0,
IF(AND((OR((ISNUMBER(SEARCH("wheat",F144))),ISNUMBER(SEARCH("linseed",F144)),ISNUMBER(SEARCH("driedpeas",F144)),ISNUMBER(SEARCH("osr",F144)))=TRUE),F149="sugarbeet"),0,
IF(AND((OR((ISNUMBER(SEARCH("osr",F144))),ISNUMBER(SEARCH("linseed",F144)))=TRUE),ISNUMBER(SEARCH("beans",F149))=TRUE),0,
IF(AND(F144="wosr",ISNUMBER(SEARCH("linseed",F149))=TRUE),0,
IF(AND(F144="sugarbeet",F149="warepotatoes"),0,
1)))))))))))
*IF(OR(ISNUMBER(SEARCH("wheat",F144)),ISNUMBER(SEARCH("barley",F144)),ISNUMBER(SEARCH("driedpeas",F144)),ISNUMBER(SEARCH("warepotatoes",F144)),ISNUMBER(SEARCH("osr",F144)),ISNUMBER(SEARCH("linseed",F144)),ISNUMBER(SEARCH("sugarbeet",F144))),
IF(COUNTIF(B139:B143,B144)=5,
INDEX('CFT Specific Data'!$G$24:$L$39,MATCH(F144,'CFT Specific Data'!$F$24:$F$39,0),IF(COUNTIF(F139:F143,F144)=5,6,IF(COUNTIF(F140:F143,F144)=4,5,IF(COUNTIF(F141:F143,F144)=3,4,IF(COUNTIF(F142:F143,F144)=2,3,IF(F143=F144,2,1)))))),
IF(COUNTIF(B139:B143,B144)=4,
INDEX('CFT Specific Data'!$G$24:$L$39,MATCH(F144,'CFT Specific Data'!$F$24:$F$39,0),IF(SUM(COUNTIF(F140:F143,F144),COUNTIF(F145,F144))=5,6,IF(COUNTIF(F140:F143,F144)=4,5,IF(COUNTIF(F141:F143,F144)=3,4,IF(COUNTIF(F142:F143,F144)=2,3,IF(F143=F144,2,1)))))),
IF(COUNTIF(B139:B143,B144)=3,
INDEX('CFT Specific Data'!$G$24:$L$39,MATCH(F144,'CFT Specific Data'!$F$24:$F$39,0),IF(SUM(COUNTIF(F141:F143,F144),COUNTIF(F145:F146,F144))=5,6,IF(SUM(COUNTIF(F141:F143,F144),COUNTIF(F146,F144))=4,5,IF(COUNTIF(F141:F143,F144)=3,4,IF(COUNTIF(F142:F143,F144)=2,3,IF(F143=F144,2,1)))))),
IF(COUNTIF(B139:B143,B144)=2,
INDEX('CFT Specific Data'!$G$24:$L$39,MATCH(F144,'CFT Specific Data'!$F$24:$F$39,0),IF(SUM(COUNTIF(F142:F143,F144),COUNTIF(F145:F147,F144))=5,6,IF(SUM(COUNTIF(F142:F143,F144),COUNTIF(F146:F147,F144))=4,5,IF(SUM(COUNTIF(F142:F143,F144),COUNTIF(F147,F144))=3,4,IF(COUNTIF(F142:F143,F144)=2,3,IF(F143=F144,2,1)))))),
IF(COUNTIF(B139:B143,B144)=1,
INDEX('CFT Specific Data'!$G$24:$L$39,MATCH(F144,'CFT Specific Data'!$F$24:$F$39,0),IF(SUM(COUNTIF(F143,F144),COUNTIF(F145:F148,F144))=5,6,IF(SUM(COUNTIF(F143,F144),COUNTIF(F146:F148,F144))=4,5,IF(SUM(COUNTIF(F143,F144),COUNTIF(F147:F148,F144))=3,4,IF(SUM(COUNTIF(F143,F144),COUNTIF(F148,F144))=2,3,IF(F143=F144,2,1)))))),
IF(COUNTIF(B139:B143,B144)=0,
INDEX('CFT Specific Data'!$G$24:$L$39,MATCH(F144,'CFT Specific Data'!$F$24:$F$39,0),IF(COUNTIF(F145:F149,F144)=5,6,IF(COUNTIF(F146:F149,F144)=4,5,IF(COUNTIF(F147:F149,F144)=3,4,IF(COUNTIF(F148:F149,F144)=2,3,IF(F149=F144,2,1)))))))))))),1)</f>
        <v>28.08</v>
      </c>
      <c r="I144" s="210" t="s">
        <v>348</v>
      </c>
      <c r="J144">
        <v>10</v>
      </c>
      <c r="K144" s="210" t="str">
        <f>VLOOKUP(F144,'CFT Specific Data'!$F$4:$G$19,2,FALSE)</f>
        <v>Other legume</v>
      </c>
      <c r="L144" t="str">
        <f t="shared" si="14"/>
        <v>Medium</v>
      </c>
      <c r="M144">
        <f t="shared" si="15"/>
        <v>4.4720000000000004</v>
      </c>
      <c r="N144" t="str">
        <f t="shared" si="16"/>
        <v>1.72 &lt; SOM &lt;= 5.16</v>
      </c>
      <c r="O144" t="s">
        <v>349</v>
      </c>
      <c r="P144" t="s">
        <v>350</v>
      </c>
      <c r="Q144">
        <v>7</v>
      </c>
      <c r="R144" t="str">
        <f t="shared" si="12"/>
        <v>5.5 &lt; pH &lt;= 7.3</v>
      </c>
      <c r="S144" t="s">
        <v>351</v>
      </c>
      <c r="T144" s="210">
        <f t="array" ref="T144">_xlfn.SINGLE(INDEX('Focus Data NFertiliser Rate'!$D$4:$P$19,MATCH(F144,'Focus Data NFertiliser Rate'!$C$4:$C$19,0),_xlfn.SINGLE(_xlfn.IFS(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0</v>
      </c>
      <c r="U144">
        <f t="shared" si="17"/>
        <v>0</v>
      </c>
      <c r="V144" s="210">
        <f t="array" ref="V144">_xlfn.SINGLE(INDEX('№ Fertiliser sprayings'!$D$4:$P$19,MATCH(F144,'№ Fertiliser sprayings'!$C$4:$C$19,0),_xlfn.SINGLE(_xlfn.IFS(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0</v>
      </c>
      <c r="W144" s="264">
        <f t="array" ref="W144">_xlfn.SINGLE(INDEX('Focus Data CFT NSpraying'!$D$4:$P$19,MATCH(F144,'Focus Data CFT NSpraying'!$C$4:$C$19,0),_xlfn.SINGLE(_xlfn.IFS(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6.4536000000000007</v>
      </c>
      <c r="X144" t="s">
        <v>363</v>
      </c>
      <c r="Y144">
        <v>0</v>
      </c>
      <c r="Z144">
        <v>100</v>
      </c>
      <c r="AA144" t="s">
        <v>352</v>
      </c>
      <c r="AB144" s="226" t="str">
        <f>IF(B144=B143,_xlfn.IFS(
AND(AA144=Lists!$L$8,AA143=Lists!$L$8),Lists!$N$5,
AND(OR(AA144=Lists!$L$5,AA144=Lists!$L$7,AA144=Lists!$L$9,AA144=Lists!$L$10,AA144=Lists!$L$6),OR(AA143=Lists!$L$5,AA143=Lists!$L$7,AA143=Lists!$L$9,AA143=Lists!$L$10,AA143=Lists!$L$6)),Lists!$N$5,
AND(AA144=Lists!$L$8,OR(AA143=Lists!$L$5,AA143=Lists!$L$7,AA143=Lists!$L$9,AA143=Lists!$L$10,AA143=Lists!$L$6)),Lists!$N$6,
AND(OR(AA144=Lists!$L$5,AA144=Lists!$L$6,AA144=Lists!$L$7,AA144=Lists!$L$9,AA144=Lists!$L$10),AA143=Lists!$L$8),Lists!$N$7),
_xlfn.IFS(
AND(AA144=Lists!$L$8,AA149=Lists!$L$8),Lists!$N$5,
AND(OR(AA144=Lists!$L$5,AA144=Lists!$L$7,AA144=Lists!$L$9,AA144=Lists!$L$10,AA144=Lists!$L$6),OR(AA149=Lists!$L$5,AA149=Lists!$L$7,AA149=Lists!$L$9,AA149=Lists!$L$10,AA149=Lists!$L$6)),Lists!$N$5,
AND(AA144=Lists!$L$8,OR(AA149=Lists!$L$5,AA149=Lists!$L$7,AA149=Lists!$L$9,AA149=Lists!$L$10,AA149=Lists!$L$6)),Lists!$N$6,
AND(OR(AA144=Lists!$L$5,AA144=Lists!$L$7,AA144=Lists!$L$9,AA144=Lists!$L$10),AA149=Lists!$L$8),Lists!$N$7))</f>
        <v>no change</v>
      </c>
      <c r="AC144">
        <v>0</v>
      </c>
      <c r="AD144">
        <v>0</v>
      </c>
      <c r="AE144" s="102">
        <f t="array" ref="AE144">IF(OR(ISNUMBER(SEARCH("heavy",A144))=TRUE, ISNUMBER(SEARCH("medium",A144))=TRUE),
(LEN(_xlfn.SINGLE(
INDEX('Focus Data Tillage by farm'!$D$4:$P$9,MATCH(D144,'Focus Data Tillage by farm'!$C$4:$C$9,0),_xlfn.SINGLE(_xlfn.IFS(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-LEN(SUBSTITUTE(_xlfn.SINGLE(
INDEX('Focus Data Tillage by farm'!$D$4:$P$9,MATCH(D144,'Focus Data Tillage by farm'!$C$4:$C$9,0),_xlfn.SINGLE(_xlfn.IFS(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"disc","")))/LEN("disc"),
(LEN(_xlfn.SINGLE(
INDEX('Focus Data Tillage by farm'!$D$12:$P$17,MATCH(D144,'Focus Data Tillage by farm'!$C$12:$C$17,0),_xlfn.SINGLE(_xlfn.IFS(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-LEN(SUBSTITUTE(_xlfn.SINGLE(
INDEX('Focus Data Tillage by farm'!$D$12:$P$17,MATCH(D144,'Focus Data Tillage by farm'!$C$12:$C$17,0),_xlfn.SINGLE(_xlfn.IFS(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"disc","")))/LEN("disc"))</f>
        <v>2</v>
      </c>
      <c r="AF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"field cultivator","")))/LEN("field cultivator"),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"field cultivator","")))/LEN("field cultivator"))</f>
        <v>0</v>
      </c>
      <c r="AG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"grain drill","")))/LEN("grain drill"),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"grain drill","")))/LEN("grain drill"))</f>
        <v>1</v>
      </c>
      <c r="AH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"minimum tillage","")))/LEN("minimum tillage"),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"minimum tillage","")))/LEN("minimum tillage"))</f>
        <v>0</v>
      </c>
      <c r="AI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"row crop planter","")))/LEN("row crop planter"),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"row crop planter","")))/LEN("row crop planter"))</f>
        <v>0</v>
      </c>
      <c r="AJ144" s="102">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"plough","")))/LEN("plough"),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"plough","")))/LEN("plough"))</f>
        <v>0</v>
      </c>
      <c r="AK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harrow","")))/LEN("roller harrow"),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harrow","")))/LEN("roller harrow"))</f>
        <v>0</v>
      </c>
      <c r="AL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packer","")))/LEN("roller packer"),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"roller packer","")))/LEN("roller packer"))</f>
        <v>2</v>
      </c>
      <c r="AM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"rotary hoe","")))/LEN("rotary hoe"),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"rotary hoe","")))/LEN("rotary hoe"))</f>
        <v>0</v>
      </c>
      <c r="AN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"subsoil","")))/LEN("subsoil"),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"subsoil","")))/LEN("subsoil"))</f>
        <v>0</v>
      </c>
      <c r="AO144">
        <f>IF(OR(ISNUMBER(SEARCH("heavy",A144))=TRUE, ISNUMBER(SEARCH("medium",A144))=TRUE),
(LEN(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farm'!$D$4:$P$9,MATCH(D144,'Focus Data Tillage by farm'!$C$4:$C$9,0),_xlfn.IFS(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"tine harrow","")))/LEN("tine harrow"),
(LEN(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-LEN(SUBSTITUTE(
INDEX('Focus Data Tillage by farm'!$D$12:$P$17,MATCH(D144,'Focus Data Tillage by farm'!$C$12:$C$17,0),_xlfn.IFS(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
"tine harrow","")))/LEN("tine harrow"))</f>
        <v>0</v>
      </c>
      <c r="AP144" s="102">
        <f>INDEX('Focus Data NSpraying'!$D$4:$P$19,MATCH(F144,'Focus Data NSpraying'!$C$4:$C$19,0),_xlfn.IFS(
AND(ISNUMBER(SEARCH("H-Dsty.",A144))=TRUE,ISNUMBER(SEARCH("H-Res",A144))=TRUE,ISNUMBER(SEARCH("E.",A144))=TRUE),1,
AND(ISNUMBER(SEARCH("H-Dsty.",A144))=TRUE,ISNUMBER(SEARCH("H-Res",A144))=TRUE,OR(ISNUMBER(SEARCH("N.he",A144))=TRUE,ISNUMBER(SEARCH("N.me",A144))=TRUE,ISNUMBER(SEARCH("N.li",A144))=TRUE)),2,
AND(ISNUMBER(SEARCH("H-Dsty.",A144))=TRUE,ISNUMBER(SEARCH("H-Res",A144))=TRUE,ISNUMBER(SEARCH("C.",A144))=TRUE),3,
AND(ISNUMBER(SEARCH("L-Dsty.",A144))=TRUE,ISNUMBER(SEARCH("H-Res",A144))=TRUE,ISNUMBER(SEARCH("E.",A144))=TRUE),6,
AND(ISNUMBER(SEARCH("L-Dsty.",A144))=TRUE,ISNUMBER(SEARCH("H-Res",A144))=TRUE,OR(ISNUMBER(SEARCH("N.he",A144))=TRUE,ISNUMBER(SEARCH("N.me",A144))=TRUE,ISNUMBER(SEARCH("N.li",A144))=TRUE)),7,
AND(ISNUMBER(SEARCH("L-Dsty.",A144))=TRUE,ISNUMBER(SEARCH("H-Res",A144))=TRUE,ISNUMBER(SEARCH("C.",A144))=TRUE),8,
AND(ISNUMBER(SEARCH("L-Dsty.",A144))=TRUE,ISNUMBER(SEARCH("L-Res",A144))=TRUE,ISNUMBER(SEARCH("E.",A144))=TRUE),11,
AND(ISNUMBER(SEARCH("L-Dsty.",A144))=TRUE,ISNUMBER(SEARCH("L-Res",A144))=TRUE,OR(ISNUMBER(SEARCH("N.he",A144))=TRUE,ISNUMBER(SEARCH("N.me",A144))=TRUE,ISNUMBER(SEARCH("N.li",A144))=TRUE)),12,
AND(ISNUMBER(SEARCH("L-Dsty.",A144))=TRUE,ISNUMBER(SEARCH("L-Res",A144))=TRUE,ISNUMBER(SEARCH("C.",A144))=TRUE),13))</f>
        <v>3</v>
      </c>
    </row>
    <row r="145" spans="1:42" x14ac:dyDescent="0.2">
      <c r="A145" t="s">
        <v>498</v>
      </c>
      <c r="B145" s="210" t="str">
        <f t="array" ref="B145">INDEX(ECOMOD_input_estimate!$A$2:$A$55, MATCH(CFT_input!$A145, ECOMOD_input_estimate!$B:$B, 0))</f>
        <v>FF_15.4</v>
      </c>
      <c r="C145" s="210">
        <v>2020</v>
      </c>
      <c r="D145" s="395" t="s">
        <v>735</v>
      </c>
      <c r="E145" s="210" t="str">
        <f t="shared" si="13"/>
        <v>C.medium.L-Dsty.L-Res</v>
      </c>
      <c r="F145" s="210" t="str">
        <f t="array" ref="F145">_xlfn.SINGLE(IF(OR(ISNUMBER(SEARCH("heavy",A145))=TRUE,ISNUMBER(SEARCH("medium",A145))=TRUE),
INDEX('Focus Data Crop Rotations'!$D$4:$P$9,MATCH(D145,'Focus Data Crop Rotations'!$C$4:$C$9,0),_xlfn.SINGLE(_xlfn.IFS(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INDEX('Focus Data Crop Rotations'!$D$12:$P$17,MATCH(D145,'Focus Data Crop Rotations'!$C$12:$C$17,0),_xlfn.SINGLE(_xlfn.IFS(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winterwheat</v>
      </c>
      <c r="G145">
        <v>7.2</v>
      </c>
      <c r="H145" s="227">
        <f>VLOOKUP(F145,'CFT Specific Data'!$F$4:$H$19,3,FALSE)*G145*
IF(B145=B144,
IF(AND(ISNUMBER(SEARCH("wheat",F145))=TRUE,ISNUMBER(SEARCH("Barley",F144))=TRUE),0.89,
IF(AND(ISNUMBER(SEARCH("wheat",F145))=TRUE,F144="setaside"),0.94,
IF(AND(ISNUMBER(SEARCH("barley",F145))=TRUE,ISNUMBER(SEARCH("wheat",F144))=TRUE),0.89,
IF(AND(F145="winterbarley",F144="setaside"),0.94,
IF(AND(F145="sugarbeet",F144="warepotatoes"),0.95,
IF(AND((OR(ISNUMBER(SEARCH("beans",F145)),ISNUMBER(SEARCH("driedpeas",F145)),ISNUMBER(SEARCH("sugarbeet",F145)))=TRUE),ISNUMBER(SEARCH("osr",F144))=TRUE),0,
IF(AND((OR((ISNUMBER(SEARCH("wheat",F145))),ISNUMBER(SEARCH("linseed",F145)),ISNUMBER(SEARCH("driedpeas",F145)),ISNUMBER(SEARCH("osr",F145)))=TRUE),F144="sugarbeet"),0,
IF(AND((OR((ISNUMBER(SEARCH("osr",F145))),ISNUMBER(SEARCH("linseed",F145)))=TRUE),ISNUMBER(SEARCH("beans",F144))=TRUE),0,
IF(AND(F145="wosr",ISNUMBER(SEARCH("linseed",F144))=TRUE),0,
IF(AND(F145="sugarbeet",F144="warepotatoes"),0,
1)))))))))),
IF(AND(ISNUMBER(SEARCH("wheat",F145))=TRUE,ISNUMBER(SEARCH("Barley",F150))=TRUE),0.89,
IF(AND(ISNUMBER(SEARCH("wheat",F145))=TRUE,F150="setaside"),0.94,
IF(AND(ISNUMBER(SEARCH("barley",F145))=TRUE,ISNUMBER(SEARCH("wheat",F150))=TRUE),0.89,
IF(AND(F145="winterbarley",F150="setaside"),0.94,
IF(AND(F145="sugarbeet",F150="warepotatoes"),0.95,
IF(AND((OR(ISNUMBER(SEARCH("beans",F145)),ISNUMBER(SEARCH("driedpeas",F145)),ISNUMBER(SEARCH("sugarbeet",F145)))=TRUE),ISNUMBER(SEARCH("osr",F150))=TRUE),0,
IF(AND((OR((ISNUMBER(SEARCH("wheat",F145))),ISNUMBER(SEARCH("linseed",F145)),ISNUMBER(SEARCH("driedpeas",F145)),ISNUMBER(SEARCH("osr",F145)))=TRUE),F150="sugarbeet"),0,
IF(AND((OR((ISNUMBER(SEARCH("osr",F145))),ISNUMBER(SEARCH("linseed",F145)))=TRUE),ISNUMBER(SEARCH("beans",F150))=TRUE),0,
IF(AND(F145="wosr",ISNUMBER(SEARCH("linseed",F150))=TRUE),0,
IF(AND(F145="sugarbeet",F150="warepotatoes"),0,
1)))))))))))
*IF(OR(ISNUMBER(SEARCH("wheat",F145)),ISNUMBER(SEARCH("barley",F145)),ISNUMBER(SEARCH("driedpeas",F145)),ISNUMBER(SEARCH("warepotatoes",F145)),ISNUMBER(SEARCH("osr",F145)),ISNUMBER(SEARCH("linseed",F145)),ISNUMBER(SEARCH("sugarbeet",F145))),
IF(COUNTIF(B140:B144,B145)=5,
INDEX('CFT Specific Data'!$G$24:$L$39,MATCH(F145,'CFT Specific Data'!$F$24:$F$39,0),IF(COUNTIF(F140:F144,F145)=5,6,IF(COUNTIF(F141:F144,F145)=4,5,IF(COUNTIF(F142:F144,F145)=3,4,IF(COUNTIF(F143:F144,F145)=2,3,IF(F144=F145,2,1)))))),
IF(COUNTIF(B140:B144,B145)=4,
INDEX('CFT Specific Data'!$G$24:$L$39,MATCH(F145,'CFT Specific Data'!$F$24:$F$39,0),IF(SUM(COUNTIF(F141:F144,F145),COUNTIF(F146,F145))=5,6,IF(COUNTIF(F141:F144,F145)=4,5,IF(COUNTIF(F142:F144,F145)=3,4,IF(COUNTIF(F143:F144,F145)=2,3,IF(F144=F145,2,1)))))),
IF(COUNTIF(B140:B144,B145)=3,
INDEX('CFT Specific Data'!$G$24:$L$39,MATCH(F145,'CFT Specific Data'!$F$24:$F$39,0),IF(SUM(COUNTIF(F142:F144,F145),COUNTIF(F146:F147,F145))=5,6,IF(SUM(COUNTIF(F142:F144,F145),COUNTIF(F147,F145))=4,5,IF(COUNTIF(F142:F144,F145)=3,4,IF(COUNTIF(F143:F144,F145)=2,3,IF(F144=F145,2,1)))))),
IF(COUNTIF(B140:B144,B145)=2,
INDEX('CFT Specific Data'!$G$24:$L$39,MATCH(F145,'CFT Specific Data'!$F$24:$F$39,0),IF(SUM(COUNTIF(F143:F144,F145),COUNTIF(F146:F148,F145))=5,6,IF(SUM(COUNTIF(F143:F144,F145),COUNTIF(F147:F148,F145))=4,5,IF(SUM(COUNTIF(F143:F144,F145),COUNTIF(F148,F145))=3,4,IF(COUNTIF(F143:F144,F145)=2,3,IF(F144=F145,2,1)))))),
IF(COUNTIF(B140:B144,B145)=1,
INDEX('CFT Specific Data'!$G$24:$L$39,MATCH(F145,'CFT Specific Data'!$F$24:$F$39,0),IF(SUM(COUNTIF(F144,F145),COUNTIF(F146:F149,F145))=5,6,IF(SUM(COUNTIF(F144,F145),COUNTIF(F147:F149,F145))=4,5,IF(SUM(COUNTIF(F144,F145),COUNTIF(F148:F149,F145))=3,4,IF(SUM(COUNTIF(F144,F145),COUNTIF(F149,F145))=2,3,IF(F144=F145,2,1)))))),
IF(COUNTIF(B140:B144,B145)=0,
INDEX('CFT Specific Data'!$G$24:$L$39,MATCH(F145,'CFT Specific Data'!$F$24:$F$39,0),IF(COUNTIF(F146:F150,F145)=5,6,IF(COUNTIF(F147:F150,F145)=4,5,IF(COUNTIF(F148:F150,F145)=3,4,IF(COUNTIF(F149:F150,F145)=2,3,IF(F150=F145,2,1)))))))))))),1)</f>
        <v>61.92</v>
      </c>
      <c r="I145" s="210" t="s">
        <v>348</v>
      </c>
      <c r="J145">
        <v>10</v>
      </c>
      <c r="K145" s="210" t="str">
        <f>VLOOKUP(F145,'CFT Specific Data'!$F$4:$G$19,2,FALSE)</f>
        <v>Winter wheat</v>
      </c>
      <c r="L145" t="str">
        <f t="shared" si="14"/>
        <v>Medium</v>
      </c>
      <c r="M145">
        <f t="shared" si="15"/>
        <v>4.4720000000000004</v>
      </c>
      <c r="N145" t="str">
        <f t="shared" si="16"/>
        <v>1.72 &lt; SOM &lt;= 5.16</v>
      </c>
      <c r="O145" t="s">
        <v>349</v>
      </c>
      <c r="P145" t="s">
        <v>350</v>
      </c>
      <c r="Q145">
        <v>7</v>
      </c>
      <c r="R145" t="str">
        <f t="shared" si="12"/>
        <v>5.5 &lt; pH &lt;= 7.3</v>
      </c>
      <c r="S145" t="s">
        <v>351</v>
      </c>
      <c r="T145" s="210">
        <f t="array" ref="T145">_xlfn.SINGLE(INDEX('Focus Data NFertiliser Rate'!$D$4:$P$19,MATCH(F145,'Focus Data NFertiliser Rate'!$C$4:$C$19,0),_xlfn.SINGLE(_xlfn.IFS(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220</v>
      </c>
      <c r="U145" t="str">
        <f t="shared" si="17"/>
        <v>Apply in solution</v>
      </c>
      <c r="V145" s="210">
        <f t="array" ref="V145">_xlfn.SINGLE(INDEX('№ Fertiliser sprayings'!$D$4:$P$19,MATCH(F145,'№ Fertiliser sprayings'!$C$4:$C$19,0),_xlfn.SINGLE(_xlfn.IFS(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3</v>
      </c>
      <c r="W145" s="264">
        <f t="array" ref="W145">_xlfn.SINGLE(INDEX('Focus Data CFT NSpraying'!$D$4:$P$19,MATCH(F145,'Focus Data CFT NSpraying'!$C$4:$C$19,0),_xlfn.SINGLE(_xlfn.IFS(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2.7888000000000002</v>
      </c>
      <c r="X145" t="s">
        <v>363</v>
      </c>
      <c r="Y145">
        <v>0</v>
      </c>
      <c r="Z145">
        <v>100</v>
      </c>
      <c r="AA145" t="s">
        <v>352</v>
      </c>
      <c r="AB145" s="226" t="str">
        <f>IF(B145=B144,_xlfn.IFS(
AND(AA145=Lists!$L$8,AA144=Lists!$L$8),Lists!$N$5,
AND(OR(AA145=Lists!$L$5,AA145=Lists!$L$7,AA145=Lists!$L$9,AA145=Lists!$L$10,AA145=Lists!$L$6),OR(AA144=Lists!$L$5,AA144=Lists!$L$7,AA144=Lists!$L$9,AA144=Lists!$L$10,AA144=Lists!$L$6)),Lists!$N$5,
AND(AA145=Lists!$L$8,OR(AA144=Lists!$L$5,AA144=Lists!$L$7,AA144=Lists!$L$9,AA144=Lists!$L$10,AA144=Lists!$L$6)),Lists!$N$6,
AND(OR(AA145=Lists!$L$5,AA145=Lists!$L$6,AA145=Lists!$L$7,AA145=Lists!$L$9,AA145=Lists!$L$10),AA144=Lists!$L$8),Lists!$N$7),
_xlfn.IFS(
AND(AA145=Lists!$L$8,AA150=Lists!$L$8),Lists!$N$5,
AND(OR(AA145=Lists!$L$5,AA145=Lists!$L$7,AA145=Lists!$L$9,AA145=Lists!$L$10,AA145=Lists!$L$6),OR(AA150=Lists!$L$5,AA150=Lists!$L$7,AA150=Lists!$L$9,AA150=Lists!$L$10,AA150=Lists!$L$6)),Lists!$N$5,
AND(AA145=Lists!$L$8,OR(AA150=Lists!$L$5,AA150=Lists!$L$7,AA150=Lists!$L$9,AA150=Lists!$L$10,AA150=Lists!$L$6)),Lists!$N$6,
AND(OR(AA145=Lists!$L$5,AA145=Lists!$L$7,AA145=Lists!$L$9,AA145=Lists!$L$10),AA150=Lists!$L$8),Lists!$N$7))</f>
        <v>no change</v>
      </c>
      <c r="AC145">
        <v>0</v>
      </c>
      <c r="AD145">
        <v>0</v>
      </c>
      <c r="AE145" s="102">
        <f t="array" ref="AE145">IF(OR(ISNUMBER(SEARCH("heavy",A145))=TRUE, ISNUMBER(SEARCH("medium",A145))=TRUE),
(LEN(_xlfn.SINGLE(
INDEX('Focus Data Tillage by farm'!$D$4:$P$9,MATCH(D145,'Focus Data Tillage by farm'!$C$4:$C$9,0),_xlfn.SINGLE(_xlfn.IFS(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-LEN(SUBSTITUTE(_xlfn.SINGLE(
INDEX('Focus Data Tillage by farm'!$D$4:$P$9,MATCH(D145,'Focus Data Tillage by farm'!$C$4:$C$9,0),_xlfn.SINGLE(_xlfn.IFS(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"disc","")))/LEN("disc"),
(LEN(_xlfn.SINGLE(
INDEX('Focus Data Tillage by farm'!$D$12:$P$17,MATCH(D145,'Focus Data Tillage by farm'!$C$12:$C$17,0),_xlfn.SINGLE(_xlfn.IFS(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-LEN(SUBSTITUTE(_xlfn.SINGLE(
INDEX('Focus Data Tillage by farm'!$D$12:$P$17,MATCH(D145,'Focus Data Tillage by farm'!$C$12:$C$17,0),_xlfn.SINGLE(_xlfn.IFS(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"disc","")))/LEN("disc"))</f>
        <v>1</v>
      </c>
      <c r="AF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"field cultivator","")))/LEN("field cultivator"),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"field cultivator","")))/LEN("field cultivator"))</f>
        <v>0</v>
      </c>
      <c r="AG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"grain drill","")))/LEN("grain drill"),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"grain drill","")))/LEN("grain drill"))</f>
        <v>1</v>
      </c>
      <c r="AH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"minimum tillage","")))/LEN("minimum tillage"),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"minimum tillage","")))/LEN("minimum tillage"))</f>
        <v>0</v>
      </c>
      <c r="AI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"row crop planter","")))/LEN("row crop planter"),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"row crop planter","")))/LEN("row crop planter"))</f>
        <v>0</v>
      </c>
      <c r="AJ145" s="102">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"plough","")))/LEN("plough"),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"plough","")))/LEN("plough"))</f>
        <v>0</v>
      </c>
      <c r="AK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harrow","")))/LEN("roller harrow"),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harrow","")))/LEN("roller harrow"))</f>
        <v>0</v>
      </c>
      <c r="AL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packer","")))/LEN("roller packer"),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"roller packer","")))/LEN("roller packer"))</f>
        <v>2</v>
      </c>
      <c r="AM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"rotary hoe","")))/LEN("rotary hoe"),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"rotary hoe","")))/LEN("rotary hoe"))</f>
        <v>0</v>
      </c>
      <c r="AN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"subsoil","")))/LEN("subsoil"),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"subsoil","")))/LEN("subsoil"))</f>
        <v>0</v>
      </c>
      <c r="AO145">
        <f>IF(OR(ISNUMBER(SEARCH("heavy",A145))=TRUE, ISNUMBER(SEARCH("medium",A145))=TRUE),
(LEN(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farm'!$D$4:$P$9,MATCH(D145,'Focus Data Tillage by farm'!$C$4:$C$9,0),_xlfn.IFS(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"tine harrow","")))/LEN("tine harrow"),
(LEN(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-LEN(SUBSTITUTE(
INDEX('Focus Data Tillage by farm'!$D$12:$P$17,MATCH(D145,'Focus Data Tillage by farm'!$C$12:$C$17,0),_xlfn.IFS(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
"tine harrow","")))/LEN("tine harrow"))</f>
        <v>0</v>
      </c>
      <c r="AP145" s="102">
        <f>INDEX('Focus Data NSpraying'!$D$4:$P$19,MATCH(F145,'Focus Data NSpraying'!$C$4:$C$19,0),_xlfn.IFS(
AND(ISNUMBER(SEARCH("H-Dsty.",A145))=TRUE,ISNUMBER(SEARCH("H-Res",A145))=TRUE,ISNUMBER(SEARCH("E.",A145))=TRUE),1,
AND(ISNUMBER(SEARCH("H-Dsty.",A145))=TRUE,ISNUMBER(SEARCH("H-Res",A145))=TRUE,OR(ISNUMBER(SEARCH("N.he",A145))=TRUE,ISNUMBER(SEARCH("N.me",A145))=TRUE,ISNUMBER(SEARCH("N.li",A145))=TRUE)),2,
AND(ISNUMBER(SEARCH("H-Dsty.",A145))=TRUE,ISNUMBER(SEARCH("H-Res",A145))=TRUE,ISNUMBER(SEARCH("C.",A145))=TRUE),3,
AND(ISNUMBER(SEARCH("L-Dsty.",A145))=TRUE,ISNUMBER(SEARCH("H-Res",A145))=TRUE,ISNUMBER(SEARCH("E.",A145))=TRUE),6,
AND(ISNUMBER(SEARCH("L-Dsty.",A145))=TRUE,ISNUMBER(SEARCH("H-Res",A145))=TRUE,OR(ISNUMBER(SEARCH("N.he",A145))=TRUE,ISNUMBER(SEARCH("N.me",A145))=TRUE,ISNUMBER(SEARCH("N.li",A145))=TRUE)),7,
AND(ISNUMBER(SEARCH("L-Dsty.",A145))=TRUE,ISNUMBER(SEARCH("H-Res",A145))=TRUE,ISNUMBER(SEARCH("C.",A145))=TRUE),8,
AND(ISNUMBER(SEARCH("L-Dsty.",A145))=TRUE,ISNUMBER(SEARCH("L-Res",A145))=TRUE,ISNUMBER(SEARCH("E.",A145))=TRUE),11,
AND(ISNUMBER(SEARCH("L-Dsty.",A145))=TRUE,ISNUMBER(SEARCH("L-Res",A145))=TRUE,OR(ISNUMBER(SEARCH("N.he",A145))=TRUE,ISNUMBER(SEARCH("N.me",A145))=TRUE,ISNUMBER(SEARCH("N.li",A145))=TRUE)),12,
AND(ISNUMBER(SEARCH("L-Dsty.",A145))=TRUE,ISNUMBER(SEARCH("L-Res",A145))=TRUE,ISNUMBER(SEARCH("C.",A145))=TRUE),13))</f>
        <v>3</v>
      </c>
    </row>
    <row r="146" spans="1:42" x14ac:dyDescent="0.2">
      <c r="A146" t="s">
        <v>499</v>
      </c>
      <c r="B146" s="210" t="str">
        <f t="array" ref="B146">INDEX(ECOMOD_input_estimate!$A$2:$A$55, MATCH(CFT_input!$A146, ECOMOD_input_estimate!$B:$B, 0))</f>
        <v>FF_04.2</v>
      </c>
      <c r="C146" s="210">
        <v>2020</v>
      </c>
      <c r="D146" s="395" t="s">
        <v>731</v>
      </c>
      <c r="E146" s="210" t="str">
        <f t="shared" si="13"/>
        <v>C.light.H-Dsty.H-Res</v>
      </c>
      <c r="F146" s="210" t="str">
        <f t="array" ref="F146">_xlfn.SINGLE(IF(OR(ISNUMBER(SEARCH("heavy",A146))=TRUE,ISNUMBER(SEARCH("medium",A146))=TRUE),
INDEX('Focus Data Crop Rotations'!$D$4:$P$9,MATCH(D146,'Focus Data Crop Rotations'!$C$4:$C$9,0),_xlfn.SINGLE(_xlfn.IFS(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INDEX('Focus Data Crop Rotations'!$D$12:$P$17,MATCH(D146,'Focus Data Crop Rotations'!$C$12:$C$17,0),_xlfn.SINGLE(_xlfn.IFS(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winterwheat</v>
      </c>
      <c r="G146">
        <v>7.2</v>
      </c>
      <c r="H146" s="227">
        <f>VLOOKUP(F146,'CFT Specific Data'!$F$4:$H$19,3,FALSE)*G146*
IF(B146=B145,
IF(AND(ISNUMBER(SEARCH("wheat",F146))=TRUE,ISNUMBER(SEARCH("Barley",F145))=TRUE),0.89,
IF(AND(ISNUMBER(SEARCH("wheat",F146))=TRUE,F145="setaside"),0.94,
IF(AND(ISNUMBER(SEARCH("barley",F146))=TRUE,ISNUMBER(SEARCH("wheat",F145))=TRUE),0.89,
IF(AND(F146="winterbarley",F145="setaside"),0.94,
IF(AND(F146="sugarbeet",F145="warepotatoes"),0.95,
IF(AND((OR(ISNUMBER(SEARCH("beans",F146)),ISNUMBER(SEARCH("driedpeas",F146)),ISNUMBER(SEARCH("sugarbeet",F146)))=TRUE),ISNUMBER(SEARCH("osr",F145))=TRUE),0,
IF(AND((OR((ISNUMBER(SEARCH("wheat",F146))),ISNUMBER(SEARCH("linseed",F146)),ISNUMBER(SEARCH("driedpeas",F146)),ISNUMBER(SEARCH("osr",F146)))=TRUE),F145="sugarbeet"),0,
IF(AND((OR((ISNUMBER(SEARCH("osr",F146))),ISNUMBER(SEARCH("linseed",F146)))=TRUE),ISNUMBER(SEARCH("beans",F145))=TRUE),0,
IF(AND(F146="wosr",ISNUMBER(SEARCH("linseed",F145))=TRUE),0,
IF(AND(F146="sugarbeet",F145="warepotatoes"),0,
1)))))))))),
IF(AND(ISNUMBER(SEARCH("wheat",F146))=TRUE,ISNUMBER(SEARCH("Barley",F151))=TRUE),0.89,
IF(AND(ISNUMBER(SEARCH("wheat",F146))=TRUE,F151="setaside"),0.94,
IF(AND(ISNUMBER(SEARCH("barley",F146))=TRUE,ISNUMBER(SEARCH("wheat",F151))=TRUE),0.89,
IF(AND(F146="winterbarley",F151="setaside"),0.94,
IF(AND(F146="sugarbeet",F151="warepotatoes"),0.95,
IF(AND((OR(ISNUMBER(SEARCH("beans",F146)),ISNUMBER(SEARCH("driedpeas",F146)),ISNUMBER(SEARCH("sugarbeet",F146)))=TRUE),ISNUMBER(SEARCH("osr",F151))=TRUE),0,
IF(AND((OR((ISNUMBER(SEARCH("wheat",F146))),ISNUMBER(SEARCH("linseed",F146)),ISNUMBER(SEARCH("driedpeas",F146)),ISNUMBER(SEARCH("osr",F146)))=TRUE),F151="sugarbeet"),0,
IF(AND((OR((ISNUMBER(SEARCH("osr",F146))),ISNUMBER(SEARCH("linseed",F146)))=TRUE),ISNUMBER(SEARCH("beans",F151))=TRUE),0,
IF(AND(F146="wosr",ISNUMBER(SEARCH("linseed",F151))=TRUE),0,
IF(AND(F146="sugarbeet",F151="warepotatoes"),0,
1)))))))))))
*IF(OR(ISNUMBER(SEARCH("wheat",F146)),ISNUMBER(SEARCH("barley",F146)),ISNUMBER(SEARCH("driedpeas",F146)),ISNUMBER(SEARCH("warepotatoes",F146)),ISNUMBER(SEARCH("osr",F146)),ISNUMBER(SEARCH("linseed",F146)),ISNUMBER(SEARCH("sugarbeet",F146))),
IF(COUNTIF(B141:B145,B146)=5,
INDEX('CFT Specific Data'!$G$24:$L$39,MATCH(F146,'CFT Specific Data'!$F$24:$F$39,0),IF(COUNTIF(F141:F145,F146)=5,6,IF(COUNTIF(F142:F145,F146)=4,5,IF(COUNTIF(F143:F145,F146)=3,4,IF(COUNTIF(F144:F145,F146)=2,3,IF(F145=F146,2,1)))))),
IF(COUNTIF(B141:B145,B146)=4,
INDEX('CFT Specific Data'!$G$24:$L$39,MATCH(F146,'CFT Specific Data'!$F$24:$F$39,0),IF(SUM(COUNTIF(F142:F145,F146),COUNTIF(F147,F146))=5,6,IF(COUNTIF(F142:F145,F146)=4,5,IF(COUNTIF(F143:F145,F146)=3,4,IF(COUNTIF(F144:F145,F146)=2,3,IF(F145=F146,2,1)))))),
IF(COUNTIF(B141:B145,B146)=3,
INDEX('CFT Specific Data'!$G$24:$L$39,MATCH(F146,'CFT Specific Data'!$F$24:$F$39,0),IF(SUM(COUNTIF(F143:F145,F146),COUNTIF(F147:F148,F146))=5,6,IF(SUM(COUNTIF(F143:F145,F146),COUNTIF(F148,F146))=4,5,IF(COUNTIF(F143:F145,F146)=3,4,IF(COUNTIF(F144:F145,F146)=2,3,IF(F145=F146,2,1)))))),
IF(COUNTIF(B141:B145,B146)=2,
INDEX('CFT Specific Data'!$G$24:$L$39,MATCH(F146,'CFT Specific Data'!$F$24:$F$39,0),IF(SUM(COUNTIF(F144:F145,F146),COUNTIF(F147:F149,F146))=5,6,IF(SUM(COUNTIF(F144:F145,F146),COUNTIF(F148:F149,F146))=4,5,IF(SUM(COUNTIF(F144:F145,F146),COUNTIF(F149,F146))=3,4,IF(COUNTIF(F144:F145,F146)=2,3,IF(F145=F146,2,1)))))),
IF(COUNTIF(B141:B145,B146)=1,
INDEX('CFT Specific Data'!$G$24:$L$39,MATCH(F146,'CFT Specific Data'!$F$24:$F$39,0),IF(SUM(COUNTIF(F145,F146),COUNTIF(F147:F150,F146))=5,6,IF(SUM(COUNTIF(F145,F146),COUNTIF(F148:F150,F146))=4,5,IF(SUM(COUNTIF(F145,F146),COUNTIF(F149:F150,F146))=3,4,IF(SUM(COUNTIF(F145,F146),COUNTIF(F150,F146))=2,3,IF(F145=F146,2,1)))))),
IF(COUNTIF(B141:B145,B146)=0,
INDEX('CFT Specific Data'!$G$24:$L$39,MATCH(F146,'CFT Specific Data'!$F$24:$F$39,0),IF(COUNTIF(F147:F151,F146)=5,6,IF(COUNTIF(F148:F151,F146)=4,5,IF(COUNTIF(F149:F151,F146)=3,4,IF(COUNTIF(F150:F151,F146)=2,3,IF(F151=F146,2,1)))))))))))),1)</f>
        <v>61.92</v>
      </c>
      <c r="I146" s="210" t="s">
        <v>348</v>
      </c>
      <c r="J146">
        <v>10</v>
      </c>
      <c r="K146" s="210" t="str">
        <f>VLOOKUP(F146,'CFT Specific Data'!$F$4:$G$19,2,FALSE)</f>
        <v>Winter wheat</v>
      </c>
      <c r="L146" t="str">
        <f t="shared" si="14"/>
        <v>Coarse</v>
      </c>
      <c r="M146">
        <f t="shared" si="15"/>
        <v>5.16</v>
      </c>
      <c r="N146" t="str">
        <f t="shared" si="16"/>
        <v>1.72 &lt; SOM &lt;= 5.16</v>
      </c>
      <c r="O146" t="s">
        <v>349</v>
      </c>
      <c r="P146" t="s">
        <v>350</v>
      </c>
      <c r="Q146">
        <v>7</v>
      </c>
      <c r="R146" t="str">
        <f t="shared" si="12"/>
        <v>5.5 &lt; pH &lt;= 7.3</v>
      </c>
      <c r="S146" t="s">
        <v>351</v>
      </c>
      <c r="T146" s="210">
        <f t="array" ref="T146">_xlfn.SINGLE(INDEX('Focus Data NFertiliser Rate'!$D$4:$P$19,MATCH(F146,'Focus Data NFertiliser Rate'!$C$4:$C$19,0),_xlfn.SINGLE(_xlfn.IFS(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250</v>
      </c>
      <c r="U146" t="str">
        <f t="shared" si="17"/>
        <v>Apply in solution</v>
      </c>
      <c r="V146" s="210">
        <f t="array" ref="V146">_xlfn.SINGLE(INDEX('№ Fertiliser sprayings'!$D$4:$P$19,MATCH(F146,'№ Fertiliser sprayings'!$C$4:$C$19,0),_xlfn.SINGLE(_xlfn.IFS(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3</v>
      </c>
      <c r="W146" s="264">
        <f t="array" ref="W146">_xlfn.SINGLE(INDEX('Focus Data CFT NSpraying'!$D$4:$P$19,MATCH(F146,'Focus Data CFT NSpraying'!$C$4:$C$19,0),_xlfn.SINGLE(_xlfn.IFS(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18.175999999999998</v>
      </c>
      <c r="X146" t="s">
        <v>363</v>
      </c>
      <c r="Y146">
        <v>0</v>
      </c>
      <c r="Z146">
        <v>100</v>
      </c>
      <c r="AA146" t="s">
        <v>352</v>
      </c>
      <c r="AB146" s="226" t="str">
        <f>IF(B146=B145,_xlfn.IFS(
AND(AA146=Lists!$L$8,AA145=Lists!$L$8),Lists!$N$5,
AND(OR(AA146=Lists!$L$5,AA146=Lists!$L$7,AA146=Lists!$L$9,AA146=Lists!$L$10,AA146=Lists!$L$6),OR(AA145=Lists!$L$5,AA145=Lists!$L$7,AA145=Lists!$L$9,AA145=Lists!$L$10,AA145=Lists!$L$6)),Lists!$N$5,
AND(AA146=Lists!$L$8,OR(AA145=Lists!$L$5,AA145=Lists!$L$7,AA145=Lists!$L$9,AA145=Lists!$L$10,AA145=Lists!$L$6)),Lists!$N$6,
AND(OR(AA146=Lists!$L$5,AA146=Lists!$L$6,AA146=Lists!$L$7,AA146=Lists!$L$9,AA146=Lists!$L$10),AA145=Lists!$L$8),Lists!$N$7),
_xlfn.IFS(
AND(AA146=Lists!$L$8,AA151=Lists!$L$8),Lists!$N$5,
AND(OR(AA146=Lists!$L$5,AA146=Lists!$L$7,AA146=Lists!$L$9,AA146=Lists!$L$10,AA146=Lists!$L$6),OR(AA151=Lists!$L$5,AA151=Lists!$L$7,AA151=Lists!$L$9,AA151=Lists!$L$10,AA151=Lists!$L$6)),Lists!$N$5,
AND(AA146=Lists!$L$8,OR(AA151=Lists!$L$5,AA151=Lists!$L$7,AA151=Lists!$L$9,AA151=Lists!$L$10,AA151=Lists!$L$6)),Lists!$N$6,
AND(OR(AA146=Lists!$L$5,AA146=Lists!$L$7,AA146=Lists!$L$9,AA146=Lists!$L$10),AA151=Lists!$L$8),Lists!$N$7))</f>
        <v>no change</v>
      </c>
      <c r="AC146">
        <v>0</v>
      </c>
      <c r="AD146">
        <v>0</v>
      </c>
      <c r="AE146" s="102">
        <f t="array" ref="AE146">IF(OR(ISNUMBER(SEARCH("heavy",A146))=TRUE, ISNUMBER(SEARCH("medium",A146))=TRUE),
(LEN(_xlfn.SINGLE(
INDEX('Focus Data Tillage by farm'!$D$4:$P$9,MATCH(D146,'Focus Data Tillage by farm'!$C$4:$C$9,0),_xlfn.SINGLE(_xlfn.IFS(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-LEN(SUBSTITUTE(_xlfn.SINGLE(
INDEX('Focus Data Tillage by farm'!$D$4:$P$9,MATCH(D146,'Focus Data Tillage by farm'!$C$4:$C$9,0),_xlfn.SINGLE(_xlfn.IFS(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"disc","")))/LEN("disc"),
(LEN(_xlfn.SINGLE(
INDEX('Focus Data Tillage by farm'!$D$12:$P$17,MATCH(D146,'Focus Data Tillage by farm'!$C$12:$C$17,0),_xlfn.SINGLE(_xlfn.IFS(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-LEN(SUBSTITUTE(_xlfn.SINGLE(
INDEX('Focus Data Tillage by farm'!$D$12:$P$17,MATCH(D146,'Focus Data Tillage by farm'!$C$12:$C$17,0),_xlfn.SINGLE(_xlfn.IFS(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"disc","")))/LEN("disc"))</f>
        <v>3</v>
      </c>
      <c r="AF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"field cultivator","")))/LEN("field cultivator"),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"field cultivator","")))/LEN("field cultivator"))</f>
        <v>0</v>
      </c>
      <c r="AG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"grain drill","")))/LEN("grain drill"),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"grain drill","")))/LEN("grain drill"))</f>
        <v>1</v>
      </c>
      <c r="AH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"minimum tillage","")))/LEN("minimum tillage"),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"minimum tillage","")))/LEN("minimum tillage"))</f>
        <v>0</v>
      </c>
      <c r="AI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"row crop planter","")))/LEN("row crop planter"),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"row crop planter","")))/LEN("row crop planter"))</f>
        <v>0</v>
      </c>
      <c r="AJ146" s="102">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"plough","")))/LEN("plough"),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"plough","")))/LEN("plough"))</f>
        <v>0</v>
      </c>
      <c r="AK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harrow","")))/LEN("roller harrow"),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harrow","")))/LEN("roller harrow"))</f>
        <v>0</v>
      </c>
      <c r="AL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packer","")))/LEN("roller packer"),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"roller packer","")))/LEN("roller packer"))</f>
        <v>2</v>
      </c>
      <c r="AM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"rotary hoe","")))/LEN("rotary hoe"),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"rotary hoe","")))/LEN("rotary hoe"))</f>
        <v>0</v>
      </c>
      <c r="AN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"subsoil","")))/LEN("subsoil"),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"subsoil","")))/LEN("subsoil"))</f>
        <v>0</v>
      </c>
      <c r="AO146">
        <f>IF(OR(ISNUMBER(SEARCH("heavy",A146))=TRUE, ISNUMBER(SEARCH("medium",A146))=TRUE),
(LEN(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farm'!$D$4:$P$9,MATCH(D146,'Focus Data Tillage by farm'!$C$4:$C$9,0),_xlfn.IFS(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"tine harrow","")))/LEN("tine harrow"),
(LEN(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-LEN(SUBSTITUTE(
INDEX('Focus Data Tillage by farm'!$D$12:$P$17,MATCH(D146,'Focus Data Tillage by farm'!$C$12:$C$17,0),_xlfn.IFS(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
"tine harrow","")))/LEN("tine harrow"))</f>
        <v>0</v>
      </c>
      <c r="AP146" s="102">
        <f>INDEX('Focus Data NSpraying'!$D$4:$P$19,MATCH(F146,'Focus Data NSpraying'!$C$4:$C$19,0),_xlfn.IFS(
AND(ISNUMBER(SEARCH("H-Dsty.",A146))=TRUE,ISNUMBER(SEARCH("H-Res",A146))=TRUE,ISNUMBER(SEARCH("E.",A146))=TRUE),1,
AND(ISNUMBER(SEARCH("H-Dsty.",A146))=TRUE,ISNUMBER(SEARCH("H-Res",A146))=TRUE,OR(ISNUMBER(SEARCH("N.he",A146))=TRUE,ISNUMBER(SEARCH("N.me",A146))=TRUE,ISNUMBER(SEARCH("N.li",A146))=TRUE)),2,
AND(ISNUMBER(SEARCH("H-Dsty.",A146))=TRUE,ISNUMBER(SEARCH("H-Res",A146))=TRUE,ISNUMBER(SEARCH("C.",A146))=TRUE),3,
AND(ISNUMBER(SEARCH("L-Dsty.",A146))=TRUE,ISNUMBER(SEARCH("H-Res",A146))=TRUE,ISNUMBER(SEARCH("E.",A146))=TRUE),6,
AND(ISNUMBER(SEARCH("L-Dsty.",A146))=TRUE,ISNUMBER(SEARCH("H-Res",A146))=TRUE,OR(ISNUMBER(SEARCH("N.he",A146))=TRUE,ISNUMBER(SEARCH("N.me",A146))=TRUE,ISNUMBER(SEARCH("N.li",A146))=TRUE)),7,
AND(ISNUMBER(SEARCH("L-Dsty.",A146))=TRUE,ISNUMBER(SEARCH("H-Res",A146))=TRUE,ISNUMBER(SEARCH("C.",A146))=TRUE),8,
AND(ISNUMBER(SEARCH("L-Dsty.",A146))=TRUE,ISNUMBER(SEARCH("L-Res",A146))=TRUE,ISNUMBER(SEARCH("E.",A146))=TRUE),11,
AND(ISNUMBER(SEARCH("L-Dsty.",A146))=TRUE,ISNUMBER(SEARCH("L-Res",A146))=TRUE,OR(ISNUMBER(SEARCH("N.he",A146))=TRUE,ISNUMBER(SEARCH("N.me",A146))=TRUE,ISNUMBER(SEARCH("N.li",A146))=TRUE)),12,
AND(ISNUMBER(SEARCH("L-Dsty.",A146))=TRUE,ISNUMBER(SEARCH("L-Res",A146))=TRUE,ISNUMBER(SEARCH("C.",A146))=TRUE),13))</f>
        <v>7</v>
      </c>
    </row>
    <row r="147" spans="1:42" x14ac:dyDescent="0.2">
      <c r="A147" t="s">
        <v>499</v>
      </c>
      <c r="B147" s="210" t="str">
        <f t="array" ref="B147">INDEX(ECOMOD_input_estimate!$A$2:$A$55, MATCH(CFT_input!$A147, ECOMOD_input_estimate!$B:$B, 0))</f>
        <v>FF_04.2</v>
      </c>
      <c r="C147" s="210">
        <v>2020</v>
      </c>
      <c r="D147" s="395" t="s">
        <v>730</v>
      </c>
      <c r="E147" s="210" t="str">
        <f t="shared" si="13"/>
        <v>C.light.H-Dsty.H-Res</v>
      </c>
      <c r="F147" s="210" t="str">
        <f t="array" ref="F147">_xlfn.SINGLE(IF(OR(ISNUMBER(SEARCH("heavy",A147))=TRUE,ISNUMBER(SEARCH("medium",A147))=TRUE),
INDEX('Focus Data Crop Rotations'!$D$4:$P$9,MATCH(D147,'Focus Data Crop Rotations'!$C$4:$C$9,0),_xlfn.SINGLE(_xlfn.IFS(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INDEX('Focus Data Crop Rotations'!$D$12:$P$17,MATCH(D147,'Focus Data Crop Rotations'!$C$12:$C$17,0),_xlfn.SINGLE(_xlfn.IFS(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springbarley</v>
      </c>
      <c r="G147">
        <v>7.2</v>
      </c>
      <c r="H147" s="227">
        <f>VLOOKUP(F147,'CFT Specific Data'!$F$4:$H$19,3,FALSE)*G147*
IF(B147=B146,
IF(AND(ISNUMBER(SEARCH("wheat",F147))=TRUE,ISNUMBER(SEARCH("Barley",F146))=TRUE),0.89,
IF(AND(ISNUMBER(SEARCH("wheat",F147))=TRUE,F146="setaside"),0.94,
IF(AND(ISNUMBER(SEARCH("barley",F147))=TRUE,ISNUMBER(SEARCH("wheat",F146))=TRUE),0.89,
IF(AND(F147="winterbarley",F146="setaside"),0.94,
IF(AND(F147="sugarbeet",F146="warepotatoes"),0.95,
IF(AND((OR(ISNUMBER(SEARCH("beans",F147)),ISNUMBER(SEARCH("driedpeas",F147)),ISNUMBER(SEARCH("sugarbeet",F147)))=TRUE),ISNUMBER(SEARCH("osr",F146))=TRUE),0,
IF(AND((OR((ISNUMBER(SEARCH("wheat",F147))),ISNUMBER(SEARCH("linseed",F147)),ISNUMBER(SEARCH("driedpeas",F147)),ISNUMBER(SEARCH("osr",F147)))=TRUE),F146="sugarbeet"),0,
IF(AND((OR((ISNUMBER(SEARCH("osr",F147))),ISNUMBER(SEARCH("linseed",F147)))=TRUE),ISNUMBER(SEARCH("beans",F146))=TRUE),0,
IF(AND(F147="wosr",ISNUMBER(SEARCH("linseed",F146))=TRUE),0,
IF(AND(F147="sugarbeet",F146="warepotatoes"),0,
1)))))))))),
IF(AND(ISNUMBER(SEARCH("wheat",F147))=TRUE,ISNUMBER(SEARCH("Barley",F152))=TRUE),0.89,
IF(AND(ISNUMBER(SEARCH("wheat",F147))=TRUE,F152="setaside"),0.94,
IF(AND(ISNUMBER(SEARCH("barley",F147))=TRUE,ISNUMBER(SEARCH("wheat",F152))=TRUE),0.89,
IF(AND(F147="winterbarley",F152="setaside"),0.94,
IF(AND(F147="sugarbeet",F152="warepotatoes"),0.95,
IF(AND((OR(ISNUMBER(SEARCH("beans",F147)),ISNUMBER(SEARCH("driedpeas",F147)),ISNUMBER(SEARCH("sugarbeet",F147)))=TRUE),ISNUMBER(SEARCH("osr",F152))=TRUE),0,
IF(AND((OR((ISNUMBER(SEARCH("wheat",F147))),ISNUMBER(SEARCH("linseed",F147)),ISNUMBER(SEARCH("driedpeas",F147)),ISNUMBER(SEARCH("osr",F147)))=TRUE),F152="sugarbeet"),0,
IF(AND((OR((ISNUMBER(SEARCH("osr",F147))),ISNUMBER(SEARCH("linseed",F147)))=TRUE),ISNUMBER(SEARCH("beans",F152))=TRUE),0,
IF(AND(F147="wosr",ISNUMBER(SEARCH("linseed",F152))=TRUE),0,
IF(AND(F147="sugarbeet",F152="warepotatoes"),0,
1)))))))))))
*IF(OR(ISNUMBER(SEARCH("wheat",F147)),ISNUMBER(SEARCH("barley",F147)),ISNUMBER(SEARCH("driedpeas",F147)),ISNUMBER(SEARCH("warepotatoes",F147)),ISNUMBER(SEARCH("osr",F147)),ISNUMBER(SEARCH("linseed",F147)),ISNUMBER(SEARCH("sugarbeet",F147))),
IF(COUNTIF(B142:B146,B147)=5,
INDEX('CFT Specific Data'!$G$24:$L$39,MATCH(F147,'CFT Specific Data'!$F$24:$F$39,0),IF(COUNTIF(F142:F146,F147)=5,6,IF(COUNTIF(F143:F146,F147)=4,5,IF(COUNTIF(F144:F146,F147)=3,4,IF(COUNTIF(F145:F146,F147)=2,3,IF(F146=F147,2,1)))))),
IF(COUNTIF(B142:B146,B147)=4,
INDEX('CFT Specific Data'!$G$24:$L$39,MATCH(F147,'CFT Specific Data'!$F$24:$F$39,0),IF(SUM(COUNTIF(F143:F146,F147),COUNTIF(F148,F147))=5,6,IF(COUNTIF(F143:F146,F147)=4,5,IF(COUNTIF(F144:F146,F147)=3,4,IF(COUNTIF(F145:F146,F147)=2,3,IF(F146=F147,2,1)))))),
IF(COUNTIF(B142:B146,B147)=3,
INDEX('CFT Specific Data'!$G$24:$L$39,MATCH(F147,'CFT Specific Data'!$F$24:$F$39,0),IF(SUM(COUNTIF(F144:F146,F147),COUNTIF(F148:F149,F147))=5,6,IF(SUM(COUNTIF(F144:F146,F147),COUNTIF(F149,F147))=4,5,IF(COUNTIF(F144:F146,F147)=3,4,IF(COUNTIF(F145:F146,F147)=2,3,IF(F146=F147,2,1)))))),
IF(COUNTIF(B142:B146,B147)=2,
INDEX('CFT Specific Data'!$G$24:$L$39,MATCH(F147,'CFT Specific Data'!$F$24:$F$39,0),IF(SUM(COUNTIF(F145:F146,F147),COUNTIF(F148:F150,F147))=5,6,IF(SUM(COUNTIF(F145:F146,F147),COUNTIF(F149:F150,F147))=4,5,IF(SUM(COUNTIF(F145:F146,F147),COUNTIF(F150,F147))=3,4,IF(COUNTIF(F145:F146,F147)=2,3,IF(F146=F147,2,1)))))),
IF(COUNTIF(B142:B146,B147)=1,
INDEX('CFT Specific Data'!$G$24:$L$39,MATCH(F147,'CFT Specific Data'!$F$24:$F$39,0),IF(SUM(COUNTIF(F146,F147),COUNTIF(F148:F151,F147))=5,6,IF(SUM(COUNTIF(F146,F147),COUNTIF(F149:F151,F147))=4,5,IF(SUM(COUNTIF(F146,F147),COUNTIF(F150:F151,F147))=3,4,IF(SUM(COUNTIF(F146,F147),COUNTIF(F151,F147))=2,3,IF(F146=F147,2,1)))))),
IF(COUNTIF(B142:B146,B147)=0,
INDEX('CFT Specific Data'!$G$24:$L$39,MATCH(F147,'CFT Specific Data'!$F$24:$F$39,0),IF(COUNTIF(F148:F152,F147)=5,6,IF(COUNTIF(F149:F152,F147)=4,5,IF(COUNTIF(F150:F152,F147)=3,4,IF(COUNTIF(F151:F152,F147)=2,3,IF(F152=F147,2,1)))))))))))),1)</f>
        <v>36.525599999999997</v>
      </c>
      <c r="I147" s="210" t="s">
        <v>348</v>
      </c>
      <c r="J147">
        <v>10</v>
      </c>
      <c r="K147" s="210" t="str">
        <f>VLOOKUP(F147,'CFT Specific Data'!$F$4:$G$19,2,FALSE)</f>
        <v>Barley</v>
      </c>
      <c r="L147" t="str">
        <f t="shared" si="14"/>
        <v>Coarse</v>
      </c>
      <c r="M147">
        <f t="shared" si="15"/>
        <v>5.16</v>
      </c>
      <c r="N147" t="str">
        <f t="shared" si="16"/>
        <v>1.72 &lt; SOM &lt;= 5.16</v>
      </c>
      <c r="O147" t="s">
        <v>349</v>
      </c>
      <c r="P147" t="s">
        <v>350</v>
      </c>
      <c r="Q147">
        <v>7</v>
      </c>
      <c r="R147" t="str">
        <f t="shared" si="12"/>
        <v>5.5 &lt; pH &lt;= 7.3</v>
      </c>
      <c r="S147" t="s">
        <v>351</v>
      </c>
      <c r="T147" s="210">
        <f t="array" ref="T147">_xlfn.SINGLE(INDEX('Focus Data NFertiliser Rate'!$D$4:$P$19,MATCH(F147,'Focus Data NFertiliser Rate'!$C$4:$C$19,0),_xlfn.SINGLE(_xlfn.IFS(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150</v>
      </c>
      <c r="U147" t="str">
        <f t="shared" si="17"/>
        <v>Apply in solution</v>
      </c>
      <c r="V147" s="210">
        <f t="array" ref="V147">_xlfn.SINGLE(INDEX('№ Fertiliser sprayings'!$D$4:$P$19,MATCH(F147,'№ Fertiliser sprayings'!$C$4:$C$19,0),_xlfn.SINGLE(_xlfn.IFS(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1</v>
      </c>
      <c r="W147" s="264">
        <f t="array" ref="W147">_xlfn.SINGLE(INDEX('Focus Data CFT NSpraying'!$D$4:$P$19,MATCH(F147,'Focus Data CFT NSpraying'!$C$4:$C$19,0),_xlfn.SINGLE(_xlfn.IFS(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9.2560000000000002</v>
      </c>
      <c r="X147" t="s">
        <v>363</v>
      </c>
      <c r="Y147">
        <v>0</v>
      </c>
      <c r="Z147">
        <v>100</v>
      </c>
      <c r="AA147" t="s">
        <v>352</v>
      </c>
      <c r="AB147" s="226" t="str">
        <f>IF(B147=B146,_xlfn.IFS(
AND(AA147=Lists!$L$8,AA146=Lists!$L$8),Lists!$N$5,
AND(OR(AA147=Lists!$L$5,AA147=Lists!$L$7,AA147=Lists!$L$9,AA147=Lists!$L$10,AA147=Lists!$L$6),OR(AA146=Lists!$L$5,AA146=Lists!$L$7,AA146=Lists!$L$9,AA146=Lists!$L$10,AA146=Lists!$L$6)),Lists!$N$5,
AND(AA147=Lists!$L$8,OR(AA146=Lists!$L$5,AA146=Lists!$L$7,AA146=Lists!$L$9,AA146=Lists!$L$10,AA146=Lists!$L$6)),Lists!$N$6,
AND(OR(AA147=Lists!$L$5,AA147=Lists!$L$6,AA147=Lists!$L$7,AA147=Lists!$L$9,AA147=Lists!$L$10),AA146=Lists!$L$8),Lists!$N$7),
_xlfn.IFS(
AND(AA147=Lists!$L$8,AA152=Lists!$L$8),Lists!$N$5,
AND(OR(AA147=Lists!$L$5,AA147=Lists!$L$7,AA147=Lists!$L$9,AA147=Lists!$L$10,AA147=Lists!$L$6),OR(AA152=Lists!$L$5,AA152=Lists!$L$7,AA152=Lists!$L$9,AA152=Lists!$L$10,AA152=Lists!$L$6)),Lists!$N$5,
AND(AA147=Lists!$L$8,OR(AA152=Lists!$L$5,AA152=Lists!$L$7,AA152=Lists!$L$9,AA152=Lists!$L$10,AA152=Lists!$L$6)),Lists!$N$6,
AND(OR(AA147=Lists!$L$5,AA147=Lists!$L$7,AA147=Lists!$L$9,AA147=Lists!$L$10),AA152=Lists!$L$8),Lists!$N$7))</f>
        <v>no change</v>
      </c>
      <c r="AC147">
        <v>0</v>
      </c>
      <c r="AD147">
        <v>0</v>
      </c>
      <c r="AE147" s="102">
        <f t="array" ref="AE147">IF(OR(ISNUMBER(SEARCH("heavy",A147))=TRUE, ISNUMBER(SEARCH("medium",A147))=TRUE),
(LEN(_xlfn.SINGLE(
INDEX('Focus Data Tillage by farm'!$D$4:$P$9,MATCH(D147,'Focus Data Tillage by farm'!$C$4:$C$9,0),_xlfn.SINGLE(_xlfn.IFS(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-LEN(SUBSTITUTE(_xlfn.SINGLE(
INDEX('Focus Data Tillage by farm'!$D$4:$P$9,MATCH(D147,'Focus Data Tillage by farm'!$C$4:$C$9,0),_xlfn.SINGLE(_xlfn.IFS(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"disc","")))/LEN("disc"),
(LEN(_xlfn.SINGLE(
INDEX('Focus Data Tillage by farm'!$D$12:$P$17,MATCH(D147,'Focus Data Tillage by farm'!$C$12:$C$17,0),_xlfn.SINGLE(_xlfn.IFS(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-LEN(SUBSTITUTE(_xlfn.SINGLE(
INDEX('Focus Data Tillage by farm'!$D$12:$P$17,MATCH(D147,'Focus Data Tillage by farm'!$C$12:$C$17,0),_xlfn.SINGLE(_xlfn.IFS(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"disc","")))/LEN("disc"))</f>
        <v>4</v>
      </c>
      <c r="AF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"field cultivator","")))/LEN("field cultivator"),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"field cultivator","")))/LEN("field cultivator"))</f>
        <v>0</v>
      </c>
      <c r="AG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"grain drill","")))/LEN("grain drill"),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"grain drill","")))/LEN("grain drill"))</f>
        <v>1</v>
      </c>
      <c r="AH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"minimum tillage","")))/LEN("minimum tillage"),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"minimum tillage","")))/LEN("minimum tillage"))</f>
        <v>0</v>
      </c>
      <c r="AI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"row crop planter","")))/LEN("row crop planter"),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"row crop planter","")))/LEN("row crop planter"))</f>
        <v>0</v>
      </c>
      <c r="AJ147" s="102">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"plough","")))/LEN("plough"),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"plough","")))/LEN("plough"))</f>
        <v>0</v>
      </c>
      <c r="AK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harrow","")))/LEN("roller harrow"),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harrow","")))/LEN("roller harrow"))</f>
        <v>0</v>
      </c>
      <c r="AL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packer","")))/LEN("roller packer"),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"roller packer","")))/LEN("roller packer"))</f>
        <v>2</v>
      </c>
      <c r="AM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"rotary hoe","")))/LEN("rotary hoe"),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"rotary hoe","")))/LEN("rotary hoe"))</f>
        <v>0</v>
      </c>
      <c r="AN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"subsoil","")))/LEN("subsoil"),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"subsoil","")))/LEN("subsoil"))</f>
        <v>0</v>
      </c>
      <c r="AO147">
        <f>IF(OR(ISNUMBER(SEARCH("heavy",A147))=TRUE, ISNUMBER(SEARCH("medium",A147))=TRUE),
(LEN(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farm'!$D$4:$P$9,MATCH(D147,'Focus Data Tillage by farm'!$C$4:$C$9,0),_xlfn.IFS(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"tine harrow","")))/LEN("tine harrow"),
(LEN(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-LEN(SUBSTITUTE(
INDEX('Focus Data Tillage by farm'!$D$12:$P$17,MATCH(D147,'Focus Data Tillage by farm'!$C$12:$C$17,0),_xlfn.IFS(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
"tine harrow","")))/LEN("tine harrow"))</f>
        <v>0</v>
      </c>
      <c r="AP147" s="102">
        <f>INDEX('Focus Data NSpraying'!$D$4:$P$19,MATCH(F147,'Focus Data NSpraying'!$C$4:$C$19,0),_xlfn.IFS(
AND(ISNUMBER(SEARCH("H-Dsty.",A147))=TRUE,ISNUMBER(SEARCH("H-Res",A147))=TRUE,ISNUMBER(SEARCH("E.",A147))=TRUE),1,
AND(ISNUMBER(SEARCH("H-Dsty.",A147))=TRUE,ISNUMBER(SEARCH("H-Res",A147))=TRUE,OR(ISNUMBER(SEARCH("N.he",A147))=TRUE,ISNUMBER(SEARCH("N.me",A147))=TRUE,ISNUMBER(SEARCH("N.li",A147))=TRUE)),2,
AND(ISNUMBER(SEARCH("H-Dsty.",A147))=TRUE,ISNUMBER(SEARCH("H-Res",A147))=TRUE,ISNUMBER(SEARCH("C.",A147))=TRUE),3,
AND(ISNUMBER(SEARCH("L-Dsty.",A147))=TRUE,ISNUMBER(SEARCH("H-Res",A147))=TRUE,ISNUMBER(SEARCH("E.",A147))=TRUE),6,
AND(ISNUMBER(SEARCH("L-Dsty.",A147))=TRUE,ISNUMBER(SEARCH("H-Res",A147))=TRUE,OR(ISNUMBER(SEARCH("N.he",A147))=TRUE,ISNUMBER(SEARCH("N.me",A147))=TRUE,ISNUMBER(SEARCH("N.li",A147))=TRUE)),7,
AND(ISNUMBER(SEARCH("L-Dsty.",A147))=TRUE,ISNUMBER(SEARCH("H-Res",A147))=TRUE,ISNUMBER(SEARCH("C.",A147))=TRUE),8,
AND(ISNUMBER(SEARCH("L-Dsty.",A147))=TRUE,ISNUMBER(SEARCH("L-Res",A147))=TRUE,ISNUMBER(SEARCH("E.",A147))=TRUE),11,
AND(ISNUMBER(SEARCH("L-Dsty.",A147))=TRUE,ISNUMBER(SEARCH("L-Res",A147))=TRUE,OR(ISNUMBER(SEARCH("N.he",A147))=TRUE,ISNUMBER(SEARCH("N.me",A147))=TRUE,ISNUMBER(SEARCH("N.li",A147))=TRUE)),12,
AND(ISNUMBER(SEARCH("L-Dsty.",A147))=TRUE,ISNUMBER(SEARCH("L-Res",A147))=TRUE,ISNUMBER(SEARCH("C.",A147))=TRUE),13))</f>
        <v>6</v>
      </c>
    </row>
    <row r="148" spans="1:42" x14ac:dyDescent="0.2">
      <c r="A148" t="s">
        <v>499</v>
      </c>
      <c r="B148" s="210" t="str">
        <f t="array" ref="B148">INDEX(ECOMOD_input_estimate!$A$2:$A$55, MATCH(CFT_input!$A148, ECOMOD_input_estimate!$B:$B, 0))</f>
        <v>FF_04.2</v>
      </c>
      <c r="C148" s="210">
        <v>2020</v>
      </c>
      <c r="D148" s="395" t="s">
        <v>1694</v>
      </c>
      <c r="E148" s="210" t="str">
        <f t="shared" si="13"/>
        <v>C.light.H-Dsty.H-Res</v>
      </c>
      <c r="F148" s="210" t="str">
        <f t="array" ref="F148">_xlfn.SINGLE(IF(OR(ISNUMBER(SEARCH("heavy",A148))=TRUE,ISNUMBER(SEARCH("medium",A148))=TRUE),
INDEX('Focus Data Crop Rotations'!$D$4:$P$9,MATCH(D148,'Focus Data Crop Rotations'!$C$4:$C$9,0),_xlfn.SINGLE(_xlfn.IFS(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INDEX('Focus Data Crop Rotations'!$D$12:$P$17,MATCH(D148,'Focus Data Crop Rotations'!$C$12:$C$17,0),_xlfn.SINGLE(_xlfn.IFS(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driedpeas</v>
      </c>
      <c r="G148">
        <v>7.2</v>
      </c>
      <c r="H148" s="227">
        <f>VLOOKUP(F148,'CFT Specific Data'!$F$4:$H$19,3,FALSE)*G148*
IF(B148=B147,
IF(AND(ISNUMBER(SEARCH("wheat",F148))=TRUE,ISNUMBER(SEARCH("Barley",F147))=TRUE),0.89,
IF(AND(ISNUMBER(SEARCH("wheat",F148))=TRUE,F147="setaside"),0.94,
IF(AND(ISNUMBER(SEARCH("barley",F148))=TRUE,ISNUMBER(SEARCH("wheat",F147))=TRUE),0.89,
IF(AND(F148="winterbarley",F147="setaside"),0.94,
IF(AND(F148="sugarbeet",F147="warepotatoes"),0.95,
IF(AND((OR(ISNUMBER(SEARCH("beans",F148)),ISNUMBER(SEARCH("driedpeas",F148)),ISNUMBER(SEARCH("sugarbeet",F148)))=TRUE),ISNUMBER(SEARCH("osr",F147))=TRUE),0,
IF(AND((OR((ISNUMBER(SEARCH("wheat",F148))),ISNUMBER(SEARCH("linseed",F148)),ISNUMBER(SEARCH("driedpeas",F148)),ISNUMBER(SEARCH("osr",F148)))=TRUE),F147="sugarbeet"),0,
IF(AND((OR((ISNUMBER(SEARCH("osr",F148))),ISNUMBER(SEARCH("linseed",F148)))=TRUE),ISNUMBER(SEARCH("beans",F147))=TRUE),0,
IF(AND(F148="wosr",ISNUMBER(SEARCH("linseed",F147))=TRUE),0,
IF(AND(F148="sugarbeet",F147="warepotatoes"),0,
1)))))))))),
IF(AND(ISNUMBER(SEARCH("wheat",F148))=TRUE,ISNUMBER(SEARCH("Barley",F153))=TRUE),0.89,
IF(AND(ISNUMBER(SEARCH("wheat",F148))=TRUE,F153="setaside"),0.94,
IF(AND(ISNUMBER(SEARCH("barley",F148))=TRUE,ISNUMBER(SEARCH("wheat",F153))=TRUE),0.89,
IF(AND(F148="winterbarley",F153="setaside"),0.94,
IF(AND(F148="sugarbeet",F153="warepotatoes"),0.95,
IF(AND((OR(ISNUMBER(SEARCH("beans",F148)),ISNUMBER(SEARCH("driedpeas",F148)),ISNUMBER(SEARCH("sugarbeet",F148)))=TRUE),ISNUMBER(SEARCH("osr",F153))=TRUE),0,
IF(AND((OR((ISNUMBER(SEARCH("wheat",F148))),ISNUMBER(SEARCH("linseed",F148)),ISNUMBER(SEARCH("driedpeas",F148)),ISNUMBER(SEARCH("osr",F148)))=TRUE),F153="sugarbeet"),0,
IF(AND((OR((ISNUMBER(SEARCH("osr",F148))),ISNUMBER(SEARCH("linseed",F148)))=TRUE),ISNUMBER(SEARCH("beans",F153))=TRUE),0,
IF(AND(F148="wosr",ISNUMBER(SEARCH("linseed",F153))=TRUE),0,
IF(AND(F148="sugarbeet",F153="warepotatoes"),0,
1)))))))))))
*IF(OR(ISNUMBER(SEARCH("wheat",F148)),ISNUMBER(SEARCH("barley",F148)),ISNUMBER(SEARCH("driedpeas",F148)),ISNUMBER(SEARCH("warepotatoes",F148)),ISNUMBER(SEARCH("osr",F148)),ISNUMBER(SEARCH("linseed",F148)),ISNUMBER(SEARCH("sugarbeet",F148))),
IF(COUNTIF(B143:B147,B148)=5,
INDEX('CFT Specific Data'!$G$24:$L$39,MATCH(F148,'CFT Specific Data'!$F$24:$F$39,0),IF(COUNTIF(F143:F147,F148)=5,6,IF(COUNTIF(F144:F147,F148)=4,5,IF(COUNTIF(F145:F147,F148)=3,4,IF(COUNTIF(F146:F147,F148)=2,3,IF(F147=F148,2,1)))))),
IF(COUNTIF(B143:B147,B148)=4,
INDEX('CFT Specific Data'!$G$24:$L$39,MATCH(F148,'CFT Specific Data'!$F$24:$F$39,0),IF(SUM(COUNTIF(F144:F147,F148),COUNTIF(F149,F148))=5,6,IF(COUNTIF(F144:F147,F148)=4,5,IF(COUNTIF(F145:F147,F148)=3,4,IF(COUNTIF(F146:F147,F148)=2,3,IF(F147=F148,2,1)))))),
IF(COUNTIF(B143:B147,B148)=3,
INDEX('CFT Specific Data'!$G$24:$L$39,MATCH(F148,'CFT Specific Data'!$F$24:$F$39,0),IF(SUM(COUNTIF(F145:F147,F148),COUNTIF(F149:F150,F148))=5,6,IF(SUM(COUNTIF(F145:F147,F148),COUNTIF(F150,F148))=4,5,IF(COUNTIF(F145:F147,F148)=3,4,IF(COUNTIF(F146:F147,F148)=2,3,IF(F147=F148,2,1)))))),
IF(COUNTIF(B143:B147,B148)=2,
INDEX('CFT Specific Data'!$G$24:$L$39,MATCH(F148,'CFT Specific Data'!$F$24:$F$39,0),IF(SUM(COUNTIF(F146:F147,F148),COUNTIF(F149:F151,F148))=5,6,IF(SUM(COUNTIF(F146:F147,F148),COUNTIF(F150:F151,F148))=4,5,IF(SUM(COUNTIF(F146:F147,F148),COUNTIF(F151,F148))=3,4,IF(COUNTIF(F146:F147,F148)=2,3,IF(F147=F148,2,1)))))),
IF(COUNTIF(B143:B147,B148)=1,
INDEX('CFT Specific Data'!$G$24:$L$39,MATCH(F148,'CFT Specific Data'!$F$24:$F$39,0),IF(SUM(COUNTIF(F147,F148),COUNTIF(F149:F152,F148))=5,6,IF(SUM(COUNTIF(F147,F148),COUNTIF(F150:F152,F148))=4,5,IF(SUM(COUNTIF(F147,F148),COUNTIF(F151:F152,F148))=3,4,IF(SUM(COUNTIF(F147,F148),COUNTIF(F152,F148))=2,3,IF(F147=F148,2,1)))))),
IF(COUNTIF(B143:B147,B148)=0,
INDEX('CFT Specific Data'!$G$24:$L$39,MATCH(F148,'CFT Specific Data'!$F$24:$F$39,0),IF(COUNTIF(F149:F153,F148)=5,6,IF(COUNTIF(F150:F153,F148)=4,5,IF(COUNTIF(F151:F153,F148)=3,4,IF(COUNTIF(F152:F153,F148)=2,3,IF(F153=F148,2,1)))))))))))),1)</f>
        <v>28.8</v>
      </c>
      <c r="I148" s="210" t="s">
        <v>348</v>
      </c>
      <c r="J148">
        <v>10</v>
      </c>
      <c r="K148" s="210" t="str">
        <f>VLOOKUP(F148,'CFT Specific Data'!$F$4:$G$19,2,FALSE)</f>
        <v>Other legume</v>
      </c>
      <c r="L148" t="str">
        <f t="shared" si="14"/>
        <v>Coarse</v>
      </c>
      <c r="M148">
        <f t="shared" si="15"/>
        <v>5.16</v>
      </c>
      <c r="N148" t="str">
        <f t="shared" si="16"/>
        <v>1.72 &lt; SOM &lt;= 5.16</v>
      </c>
      <c r="O148" t="s">
        <v>349</v>
      </c>
      <c r="P148" t="s">
        <v>350</v>
      </c>
      <c r="Q148">
        <v>7</v>
      </c>
      <c r="R148" t="str">
        <f t="shared" si="12"/>
        <v>5.5 &lt; pH &lt;= 7.3</v>
      </c>
      <c r="S148" t="s">
        <v>351</v>
      </c>
      <c r="T148" s="210">
        <f t="array" ref="T148">_xlfn.SINGLE(INDEX('Focus Data NFertiliser Rate'!$D$4:$P$19,MATCH(F148,'Focus Data NFertiliser Rate'!$C$4:$C$19,0),_xlfn.SINGLE(_xlfn.IFS(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0</v>
      </c>
      <c r="U148">
        <f t="shared" si="17"/>
        <v>0</v>
      </c>
      <c r="V148" s="210">
        <f t="array" ref="V148">_xlfn.SINGLE(INDEX('№ Fertiliser sprayings'!$D$4:$P$19,MATCH(F148,'№ Fertiliser sprayings'!$C$4:$C$19,0),_xlfn.SINGLE(_xlfn.IFS(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0</v>
      </c>
      <c r="W148" s="264">
        <f t="array" ref="W148">_xlfn.SINGLE(INDEX('Focus Data CFT NSpraying'!$D$4:$P$19,MATCH(F148,'Focus Data CFT NSpraying'!$C$4:$C$19,0),_xlfn.SINGLE(_xlfn.IFS(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10.989600000000001</v>
      </c>
      <c r="X148" t="s">
        <v>363</v>
      </c>
      <c r="Y148">
        <v>0</v>
      </c>
      <c r="Z148">
        <v>100</v>
      </c>
      <c r="AA148" t="s">
        <v>352</v>
      </c>
      <c r="AB148" s="226" t="str">
        <f>IF(B148=B147,_xlfn.IFS(
AND(AA148=Lists!$L$8,AA147=Lists!$L$8),Lists!$N$5,
AND(OR(AA148=Lists!$L$5,AA148=Lists!$L$7,AA148=Lists!$L$9,AA148=Lists!$L$10,AA148=Lists!$L$6),OR(AA147=Lists!$L$5,AA147=Lists!$L$7,AA147=Lists!$L$9,AA147=Lists!$L$10,AA147=Lists!$L$6)),Lists!$N$5,
AND(AA148=Lists!$L$8,OR(AA147=Lists!$L$5,AA147=Lists!$L$7,AA147=Lists!$L$9,AA147=Lists!$L$10,AA147=Lists!$L$6)),Lists!$N$6,
AND(OR(AA148=Lists!$L$5,AA148=Lists!$L$6,AA148=Lists!$L$7,AA148=Lists!$L$9,AA148=Lists!$L$10),AA147=Lists!$L$8),Lists!$N$7),
_xlfn.IFS(
AND(AA148=Lists!$L$8,AA153=Lists!$L$8),Lists!$N$5,
AND(OR(AA148=Lists!$L$5,AA148=Lists!$L$7,AA148=Lists!$L$9,AA148=Lists!$L$10,AA148=Lists!$L$6),OR(AA153=Lists!$L$5,AA153=Lists!$L$7,AA153=Lists!$L$9,AA153=Lists!$L$10,AA153=Lists!$L$6)),Lists!$N$5,
AND(AA148=Lists!$L$8,OR(AA153=Lists!$L$5,AA153=Lists!$L$7,AA153=Lists!$L$9,AA153=Lists!$L$10,AA153=Lists!$L$6)),Lists!$N$6,
AND(OR(AA148=Lists!$L$5,AA148=Lists!$L$7,AA148=Lists!$L$9,AA148=Lists!$L$10),AA153=Lists!$L$8),Lists!$N$7))</f>
        <v>no change</v>
      </c>
      <c r="AC148">
        <v>0</v>
      </c>
      <c r="AD148">
        <v>0</v>
      </c>
      <c r="AE148" s="102">
        <f t="array" ref="AE148">IF(OR(ISNUMBER(SEARCH("heavy",A148))=TRUE, ISNUMBER(SEARCH("medium",A148))=TRUE),
(LEN(_xlfn.SINGLE(
INDEX('Focus Data Tillage by farm'!$D$4:$P$9,MATCH(D148,'Focus Data Tillage by farm'!$C$4:$C$9,0),_xlfn.SINGLE(_xlfn.IFS(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-LEN(SUBSTITUTE(_xlfn.SINGLE(
INDEX('Focus Data Tillage by farm'!$D$4:$P$9,MATCH(D148,'Focus Data Tillage by farm'!$C$4:$C$9,0),_xlfn.SINGLE(_xlfn.IFS(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"disc","")))/LEN("disc"),
(LEN(_xlfn.SINGLE(
INDEX('Focus Data Tillage by farm'!$D$12:$P$17,MATCH(D148,'Focus Data Tillage by farm'!$C$12:$C$17,0),_xlfn.SINGLE(_xlfn.IFS(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-LEN(SUBSTITUTE(_xlfn.SINGLE(
INDEX('Focus Data Tillage by farm'!$D$12:$P$17,MATCH(D148,'Focus Data Tillage by farm'!$C$12:$C$17,0),_xlfn.SINGLE(_xlfn.IFS(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"disc","")))/LEN("disc"))</f>
        <v>4</v>
      </c>
      <c r="AF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"field cultivator","")))/LEN("field cultivator"),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"field cultivator","")))/LEN("field cultivator"))</f>
        <v>0</v>
      </c>
      <c r="AG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"grain drill","")))/LEN("grain drill"),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"grain drill","")))/LEN("grain drill"))</f>
        <v>1</v>
      </c>
      <c r="AH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"minimum tillage","")))/LEN("minimum tillage"),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"minimum tillage","")))/LEN("minimum tillage"))</f>
        <v>0</v>
      </c>
      <c r="AI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"row crop planter","")))/LEN("row crop planter"),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"row crop planter","")))/LEN("row crop planter"))</f>
        <v>0</v>
      </c>
      <c r="AJ148" s="102">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"plough","")))/LEN("plough"),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"plough","")))/LEN("plough"))</f>
        <v>1</v>
      </c>
      <c r="AK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harrow","")))/LEN("roller harrow"),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harrow","")))/LEN("roller harrow"))</f>
        <v>1</v>
      </c>
      <c r="AL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packer","")))/LEN("roller packer"),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"roller packer","")))/LEN("roller packer"))</f>
        <v>2</v>
      </c>
      <c r="AM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"rotary hoe","")))/LEN("rotary hoe"),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"rotary hoe","")))/LEN("rotary hoe"))</f>
        <v>0</v>
      </c>
      <c r="AN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"subsoil","")))/LEN("subsoil"),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"subsoil","")))/LEN("subsoil"))</f>
        <v>0</v>
      </c>
      <c r="AO148">
        <f>IF(OR(ISNUMBER(SEARCH("heavy",A148))=TRUE, ISNUMBER(SEARCH("medium",A148))=TRUE),
(LEN(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farm'!$D$4:$P$9,MATCH(D148,'Focus Data Tillage by farm'!$C$4:$C$9,0),_xlfn.IFS(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"tine harrow","")))/LEN("tine harrow"),
(LEN(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-LEN(SUBSTITUTE(
INDEX('Focus Data Tillage by farm'!$D$12:$P$17,MATCH(D148,'Focus Data Tillage by farm'!$C$12:$C$17,0),_xlfn.IFS(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
"tine harrow","")))/LEN("tine harrow"))</f>
        <v>0</v>
      </c>
      <c r="AP148" s="102">
        <f>INDEX('Focus Data NSpraying'!$D$4:$P$19,MATCH(F148,'Focus Data NSpraying'!$C$4:$C$19,0),_xlfn.IFS(
AND(ISNUMBER(SEARCH("H-Dsty.",A148))=TRUE,ISNUMBER(SEARCH("H-Res",A148))=TRUE,ISNUMBER(SEARCH("E.",A148))=TRUE),1,
AND(ISNUMBER(SEARCH("H-Dsty.",A148))=TRUE,ISNUMBER(SEARCH("H-Res",A148))=TRUE,OR(ISNUMBER(SEARCH("N.he",A148))=TRUE,ISNUMBER(SEARCH("N.me",A148))=TRUE,ISNUMBER(SEARCH("N.li",A148))=TRUE)),2,
AND(ISNUMBER(SEARCH("H-Dsty.",A148))=TRUE,ISNUMBER(SEARCH("H-Res",A148))=TRUE,ISNUMBER(SEARCH("C.",A148))=TRUE),3,
AND(ISNUMBER(SEARCH("L-Dsty.",A148))=TRUE,ISNUMBER(SEARCH("H-Res",A148))=TRUE,ISNUMBER(SEARCH("E.",A148))=TRUE),6,
AND(ISNUMBER(SEARCH("L-Dsty.",A148))=TRUE,ISNUMBER(SEARCH("H-Res",A148))=TRUE,OR(ISNUMBER(SEARCH("N.he",A148))=TRUE,ISNUMBER(SEARCH("N.me",A148))=TRUE,ISNUMBER(SEARCH("N.li",A148))=TRUE)),7,
AND(ISNUMBER(SEARCH("L-Dsty.",A148))=TRUE,ISNUMBER(SEARCH("H-Res",A148))=TRUE,ISNUMBER(SEARCH("C.",A148))=TRUE),8,
AND(ISNUMBER(SEARCH("L-Dsty.",A148))=TRUE,ISNUMBER(SEARCH("L-Res",A148))=TRUE,ISNUMBER(SEARCH("E.",A148))=TRUE),11,
AND(ISNUMBER(SEARCH("L-Dsty.",A148))=TRUE,ISNUMBER(SEARCH("L-Res",A148))=TRUE,OR(ISNUMBER(SEARCH("N.he",A148))=TRUE,ISNUMBER(SEARCH("N.me",A148))=TRUE,ISNUMBER(SEARCH("N.li",A148))=TRUE)),12,
AND(ISNUMBER(SEARCH("L-Dsty.",A148))=TRUE,ISNUMBER(SEARCH("L-Res",A148))=TRUE,ISNUMBER(SEARCH("C.",A148))=TRUE),13))</f>
        <v>6</v>
      </c>
    </row>
    <row r="149" spans="1:42" x14ac:dyDescent="0.2">
      <c r="A149" t="s">
        <v>499</v>
      </c>
      <c r="B149" s="210" t="str">
        <f t="array" ref="B149">INDEX(ECOMOD_input_estimate!$A$2:$A$55, MATCH(CFT_input!$A149, ECOMOD_input_estimate!$B:$B, 0))</f>
        <v>FF_04.2</v>
      </c>
      <c r="C149" s="210">
        <v>2020</v>
      </c>
      <c r="D149" s="395" t="s">
        <v>1695</v>
      </c>
      <c r="E149" s="210" t="str">
        <f t="shared" si="13"/>
        <v>C.light.H-Dsty.H-Res</v>
      </c>
      <c r="F149" s="210" t="str">
        <f t="array" ref="F149">_xlfn.SINGLE(IF(OR(ISNUMBER(SEARCH("heavy",A149))=TRUE,ISNUMBER(SEARCH("medium",A149))=TRUE),
INDEX('Focus Data Crop Rotations'!$D$4:$P$9,MATCH(D149,'Focus Data Crop Rotations'!$C$4:$C$9,0),_xlfn.SINGLE(_xlfn.IFS(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INDEX('Focus Data Crop Rotations'!$D$12:$P$17,MATCH(D149,'Focus Data Crop Rotations'!$C$12:$C$17,0),_xlfn.SINGLE(_xlfn.IFS(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winterwheat</v>
      </c>
      <c r="G149">
        <v>7.2</v>
      </c>
      <c r="H149" s="227">
        <f>VLOOKUP(F149,'CFT Specific Data'!$F$4:$H$19,3,FALSE)*G149*
IF(B149=B148,
IF(AND(ISNUMBER(SEARCH("wheat",F149))=TRUE,ISNUMBER(SEARCH("Barley",F148))=TRUE),0.89,
IF(AND(ISNUMBER(SEARCH("wheat",F149))=TRUE,F148="setaside"),0.94,
IF(AND(ISNUMBER(SEARCH("barley",F149))=TRUE,ISNUMBER(SEARCH("wheat",F148))=TRUE),0.89,
IF(AND(F149="winterbarley",F148="setaside"),0.94,
IF(AND(F149="sugarbeet",F148="warepotatoes"),0.95,
IF(AND((OR(ISNUMBER(SEARCH("beans",F149)),ISNUMBER(SEARCH("driedpeas",F149)),ISNUMBER(SEARCH("sugarbeet",F149)))=TRUE),ISNUMBER(SEARCH("osr",F148))=TRUE),0,
IF(AND((OR((ISNUMBER(SEARCH("wheat",F149))),ISNUMBER(SEARCH("linseed",F149)),ISNUMBER(SEARCH("driedpeas",F149)),ISNUMBER(SEARCH("osr",F149)))=TRUE),F148="sugarbeet"),0,
IF(AND((OR((ISNUMBER(SEARCH("osr",F149))),ISNUMBER(SEARCH("linseed",F149)))=TRUE),ISNUMBER(SEARCH("beans",F148))=TRUE),0,
IF(AND(F149="wosr",ISNUMBER(SEARCH("linseed",F148))=TRUE),0,
IF(AND(F149="sugarbeet",F148="warepotatoes"),0,
1)))))))))),
IF(AND(ISNUMBER(SEARCH("wheat",F149))=TRUE,ISNUMBER(SEARCH("Barley",F154))=TRUE),0.89,
IF(AND(ISNUMBER(SEARCH("wheat",F149))=TRUE,F154="setaside"),0.94,
IF(AND(ISNUMBER(SEARCH("barley",F149))=TRUE,ISNUMBER(SEARCH("wheat",F154))=TRUE),0.89,
IF(AND(F149="winterbarley",F154="setaside"),0.94,
IF(AND(F149="sugarbeet",F154="warepotatoes"),0.95,
IF(AND((OR(ISNUMBER(SEARCH("beans",F149)),ISNUMBER(SEARCH("driedpeas",F149)),ISNUMBER(SEARCH("sugarbeet",F149)))=TRUE),ISNUMBER(SEARCH("osr",F154))=TRUE),0,
IF(AND((OR((ISNUMBER(SEARCH("wheat",F149))),ISNUMBER(SEARCH("linseed",F149)),ISNUMBER(SEARCH("driedpeas",F149)),ISNUMBER(SEARCH("osr",F149)))=TRUE),F154="sugarbeet"),0,
IF(AND((OR((ISNUMBER(SEARCH("osr",F149))),ISNUMBER(SEARCH("linseed",F149)))=TRUE),ISNUMBER(SEARCH("beans",F154))=TRUE),0,
IF(AND(F149="wosr",ISNUMBER(SEARCH("linseed",F154))=TRUE),0,
IF(AND(F149="sugarbeet",F154="warepotatoes"),0,
1)))))))))))
*IF(OR(ISNUMBER(SEARCH("wheat",F149)),ISNUMBER(SEARCH("barley",F149)),ISNUMBER(SEARCH("driedpeas",F149)),ISNUMBER(SEARCH("warepotatoes",F149)),ISNUMBER(SEARCH("osr",F149)),ISNUMBER(SEARCH("linseed",F149)),ISNUMBER(SEARCH("sugarbeet",F149))),
IF(COUNTIF(B144:B148,B149)=5,
INDEX('CFT Specific Data'!$G$24:$L$39,MATCH(F149,'CFT Specific Data'!$F$24:$F$39,0),IF(COUNTIF(F144:F148,F149)=5,6,IF(COUNTIF(F145:F148,F149)=4,5,IF(COUNTIF(F146:F148,F149)=3,4,IF(COUNTIF(F147:F148,F149)=2,3,IF(F148=F149,2,1)))))),
IF(COUNTIF(B144:B148,B149)=4,
INDEX('CFT Specific Data'!$G$24:$L$39,MATCH(F149,'CFT Specific Data'!$F$24:$F$39,0),IF(SUM(COUNTIF(F145:F148,F149),COUNTIF(F150,F149))=5,6,IF(COUNTIF(F145:F148,F149)=4,5,IF(COUNTIF(F146:F148,F149)=3,4,IF(COUNTIF(F147:F148,F149)=2,3,IF(F148=F149,2,1)))))),
IF(COUNTIF(B144:B148,B149)=3,
INDEX('CFT Specific Data'!$G$24:$L$39,MATCH(F149,'CFT Specific Data'!$F$24:$F$39,0),IF(SUM(COUNTIF(F146:F148,F149),COUNTIF(F150:F151,F149))=5,6,IF(SUM(COUNTIF(F146:F148,F149),COUNTIF(F151,F149))=4,5,IF(COUNTIF(F146:F148,F149)=3,4,IF(COUNTIF(F147:F148,F149)=2,3,IF(F148=F149,2,1)))))),
IF(COUNTIF(B144:B148,B149)=2,
INDEX('CFT Specific Data'!$G$24:$L$39,MATCH(F149,'CFT Specific Data'!$F$24:$F$39,0),IF(SUM(COUNTIF(F147:F148,F149),COUNTIF(F150:F152,F149))=5,6,IF(SUM(COUNTIF(F147:F148,F149),COUNTIF(F151:F152,F149))=4,5,IF(SUM(COUNTIF(F147:F148,F149),COUNTIF(F152,F149))=3,4,IF(COUNTIF(F147:F148,F149)=2,3,IF(F148=F149,2,1)))))),
IF(COUNTIF(B144:B148,B149)=1,
INDEX('CFT Specific Data'!$G$24:$L$39,MATCH(F149,'CFT Specific Data'!$F$24:$F$39,0),IF(SUM(COUNTIF(F148,F149),COUNTIF(F150:F153,F149))=5,6,IF(SUM(COUNTIF(F148,F149),COUNTIF(F151:F153,F149))=4,5,IF(SUM(COUNTIF(F148,F149),COUNTIF(F152:F153,F149))=3,4,IF(SUM(COUNTIF(F148,F149),COUNTIF(F153,F149))=2,3,IF(F148=F149,2,1)))))),
IF(COUNTIF(B144:B148,B149)=0,
INDEX('CFT Specific Data'!$G$24:$L$39,MATCH(F149,'CFT Specific Data'!$F$24:$F$39,0),IF(COUNTIF(F150:F154,F149)=5,6,IF(COUNTIF(F151:F154,F149)=4,5,IF(COUNTIF(F152:F154,F149)=3,4,IF(COUNTIF(F153:F154,F149)=2,3,IF(F154=F149,2,1)))))))))))),1)</f>
        <v>61.92</v>
      </c>
      <c r="I149" s="210" t="s">
        <v>348</v>
      </c>
      <c r="J149">
        <v>10</v>
      </c>
      <c r="K149" s="210" t="str">
        <f>VLOOKUP(F149,'CFT Specific Data'!$F$4:$G$19,2,FALSE)</f>
        <v>Winter wheat</v>
      </c>
      <c r="L149" t="str">
        <f t="shared" si="14"/>
        <v>Coarse</v>
      </c>
      <c r="M149">
        <f t="shared" si="15"/>
        <v>5.16</v>
      </c>
      <c r="N149" t="str">
        <f t="shared" si="16"/>
        <v>1.72 &lt; SOM &lt;= 5.16</v>
      </c>
      <c r="O149" t="s">
        <v>349</v>
      </c>
      <c r="P149" t="s">
        <v>350</v>
      </c>
      <c r="Q149">
        <v>7</v>
      </c>
      <c r="R149" t="str">
        <f t="shared" si="12"/>
        <v>5.5 &lt; pH &lt;= 7.3</v>
      </c>
      <c r="S149" t="s">
        <v>351</v>
      </c>
      <c r="T149" s="210">
        <f t="array" ref="T149">_xlfn.SINGLE(INDEX('Focus Data NFertiliser Rate'!$D$4:$P$19,MATCH(F149,'Focus Data NFertiliser Rate'!$C$4:$C$19,0),_xlfn.SINGLE(_xlfn.IFS(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250</v>
      </c>
      <c r="U149" t="str">
        <f t="shared" si="17"/>
        <v>Apply in solution</v>
      </c>
      <c r="V149" s="210">
        <f t="array" ref="V149">_xlfn.SINGLE(INDEX('№ Fertiliser sprayings'!$D$4:$P$19,MATCH(F149,'№ Fertiliser sprayings'!$C$4:$C$19,0),_xlfn.SINGLE(_xlfn.IFS(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3</v>
      </c>
      <c r="W149" s="264">
        <f t="array" ref="W149">_xlfn.SINGLE(INDEX('Focus Data CFT NSpraying'!$D$4:$P$19,MATCH(F149,'Focus Data CFT NSpraying'!$C$4:$C$19,0),_xlfn.SINGLE(_xlfn.IFS(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f>
        <v>18.175999999999998</v>
      </c>
      <c r="X149" t="s">
        <v>363</v>
      </c>
      <c r="Y149">
        <v>0</v>
      </c>
      <c r="Z149">
        <v>100</v>
      </c>
      <c r="AA149" t="s">
        <v>352</v>
      </c>
      <c r="AB149" s="226" t="str">
        <f>IF(B149=B148,_xlfn.IFS(
AND(AA149=Lists!$L$8,AA148=Lists!$L$8),Lists!$N$5,
AND(OR(AA149=Lists!$L$5,AA149=Lists!$L$7,AA149=Lists!$L$9,AA149=Lists!$L$10,AA149=Lists!$L$6),OR(AA148=Lists!$L$5,AA148=Lists!$L$7,AA148=Lists!$L$9,AA148=Lists!$L$10,AA148=Lists!$L$6)),Lists!$N$5,
AND(AA149=Lists!$L$8,OR(AA148=Lists!$L$5,AA148=Lists!$L$7,AA148=Lists!$L$9,AA148=Lists!$L$10,AA148=Lists!$L$6)),Lists!$N$6,
AND(OR(AA149=Lists!$L$5,AA149=Lists!$L$6,AA149=Lists!$L$7,AA149=Lists!$L$9,AA149=Lists!$L$10),AA148=Lists!$L$8),Lists!$N$7),
_xlfn.IFS(
AND(AA149=Lists!$L$8,AA154=Lists!$L$8),Lists!$N$5,
AND(OR(AA149=Lists!$L$5,AA149=Lists!$L$7,AA149=Lists!$L$9,AA149=Lists!$L$10,AA149=Lists!$L$6),OR(AA154=Lists!$L$5,AA154=Lists!$L$7,AA154=Lists!$L$9,AA154=Lists!$L$10,AA154=Lists!$L$6)),Lists!$N$5,
AND(AA149=Lists!$L$8,OR(AA154=Lists!$L$5,AA154=Lists!$L$7,AA154=Lists!$L$9,AA154=Lists!$L$10,AA154=Lists!$L$6)),Lists!$N$6,
AND(OR(AA149=Lists!$L$5,AA149=Lists!$L$7,AA149=Lists!$L$9,AA149=Lists!$L$10),AA154=Lists!$L$8),Lists!$N$7))</f>
        <v>no change</v>
      </c>
      <c r="AC149">
        <v>0</v>
      </c>
      <c r="AD149">
        <v>0</v>
      </c>
      <c r="AE149" s="102">
        <f t="array" ref="AE149">IF(OR(ISNUMBER(SEARCH("heavy",A149))=TRUE, ISNUMBER(SEARCH("medium",A149))=TRUE),
(LEN(_xlfn.SINGLE(
INDEX('Focus Data Tillage by farm'!$D$4:$P$9,MATCH(D149,'Focus Data Tillage by farm'!$C$4:$C$9,0),_xlfn.SINGLE(_xlfn.IFS(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-LEN(SUBSTITUTE(_xlfn.SINGLE(
INDEX('Focus Data Tillage by farm'!$D$4:$P$9,MATCH(D149,'Focus Data Tillage by farm'!$C$4:$C$9,0),_xlfn.SINGLE(_xlfn.IFS(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"disc","")))/LEN("disc"),
(LEN(_xlfn.SINGLE(
INDEX('Focus Data Tillage by farm'!$D$12:$P$17,MATCH(D149,'Focus Data Tillage by farm'!$C$12:$C$17,0),_xlfn.SINGLE(_xlfn.IFS(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-LEN(SUBSTITUTE(_xlfn.SINGLE(
INDEX('Focus Data Tillage by farm'!$D$12:$P$17,MATCH(D149,'Focus Data Tillage by farm'!$C$12:$C$17,0),_xlfn.SINGLE(_xlfn.IFS(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"disc","")))/LEN("disc"))</f>
        <v>1</v>
      </c>
      <c r="AF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"field cultivator","")))/LEN("field cultivator"),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"field cultivator","")))/LEN("field cultivator"))</f>
        <v>0</v>
      </c>
      <c r="AG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"grain drill","")))/LEN("grain drill"),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"grain drill","")))/LEN("grain drill"))</f>
        <v>1</v>
      </c>
      <c r="AH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"minimum tillage","")))/LEN("minimum tillage"),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"minimum tillage","")))/LEN("minimum tillage"))</f>
        <v>0</v>
      </c>
      <c r="AI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"row crop planter","")))/LEN("row crop planter"),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"row crop planter","")))/LEN("row crop planter"))</f>
        <v>0</v>
      </c>
      <c r="AJ149" s="102">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"plough","")))/LEN("plough"),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"plough","")))/LEN("plough"))</f>
        <v>0</v>
      </c>
      <c r="AK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harrow","")))/LEN("roller harrow"),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harrow","")))/LEN("roller harrow"))</f>
        <v>0</v>
      </c>
      <c r="AL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packer","")))/LEN("roller packer"),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"roller packer","")))/LEN("roller packer"))</f>
        <v>2</v>
      </c>
      <c r="AM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"rotary hoe","")))/LEN("rotary hoe"),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"rotary hoe","")))/LEN("rotary hoe"))</f>
        <v>0</v>
      </c>
      <c r="AN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"subsoil","")))/LEN("subsoil"),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"subsoil","")))/LEN("subsoil"))</f>
        <v>0</v>
      </c>
      <c r="AO149">
        <f>IF(OR(ISNUMBER(SEARCH("heavy",A149))=TRUE, ISNUMBER(SEARCH("medium",A149))=TRUE),
(LEN(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farm'!$D$4:$P$9,MATCH(D149,'Focus Data Tillage by farm'!$C$4:$C$9,0),_xlfn.IFS(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"tine harrow","")))/LEN("tine harrow"),
(LEN(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-LEN(SUBSTITUTE(
INDEX('Focus Data Tillage by farm'!$D$12:$P$17,MATCH(D149,'Focus Data Tillage by farm'!$C$12:$C$17,0),_xlfn.IFS(
AND(ISNUMBER(SEARCH("H-Dsty.",A149))=TRUE,ISNUMBER(SEARCH("H-Res",A149))=TRUE,ISNUMBER(SEARCH("E.",A149))=TRUE),1,
AND(ISNUMBER(SEARCH("H-Dsty.",A149))=TRUE,ISNUMBER(SEARCH("H-Res",A149))=TRUE,OR(ISNUMBER(SEARCH("N.he",A149))=TRUE,ISNUMBER(SEARCH("N.me",A149))=TRUE,ISNUMBER(SEARCH("N.li",A149))=TRUE)),2,
AND(ISNUMBER(SEARCH("H-Dsty.",A149))=TRUE,ISNUMBER(SEARCH("H-Res",A149))=TRUE,ISNUMBER(SEARCH("C.",A149))=TRUE),3,
AND(ISNUMBER(SEARCH("L-Dsty.",A149))=TRUE,ISNUMBER(SEARCH("H-Res",A149))=TRUE,ISNUMBER(SEARCH("E.",A149))=TRUE),6,
AND(ISNUMBER(SEARCH("L-Dsty.",A149))=TRUE,ISNUMBER(SEARCH("H-Res",A149))=TRUE,OR(ISNUMBER(SEARCH("N.he",A149))=TRUE,ISNUMBER(SEARCH("N.me",A149))=TRUE,ISNUMBER(SEARCH("N.li",A149))=TRUE)),7,
AND(ISNUMBER(SEARCH("L-Dsty.",A149))=TRUE,ISNUMBER(SEARCH("H-Res",A149))=TRUE,ISNUMBER(SEARCH("C.",A149))=TRUE),8,
AND(ISNUMBER(SEARCH("L-Dsty.",A149))=TRUE,ISNUMBER(SEARCH("L-Res",A149))=TRUE,ISNUMBER(SEARCH("E.",A149))=TRUE),11,
AND(ISNUMBER(SEARCH("L-Dsty.",A149))=TRUE,ISNUMBER(SEARCH("L-Res",A149))=TRUE,OR(ISNUMBER(SEARCH("N.he",A149))=TRUE,ISNUMBER(SEARCH("N.me",A149))=TRUE,ISNUMBER(SEARCH("N.li",A149))=TRUE)),12,
AND(ISNUMBER(SEARCH("L-Dsty.",A149))=TRUE,ISNUMBER(SEARCH("L-Res",A149))=TRUE,ISNUMBER(SEARCH("C.",A149))=TRUE),13)),
"tine harrow","")))/LEN("tine harrow"))</f>
        <v>0</v>
      </c>
      <c r="AP149" s="102">
        <v>5</v>
      </c>
    </row>
    <row r="150" spans="1:42" x14ac:dyDescent="0.2">
      <c r="A150" t="s">
        <v>499</v>
      </c>
      <c r="B150" s="210" t="str">
        <f t="array" ref="B150">INDEX(ECOMOD_input_estimate!$A$2:$A$55, MATCH(CFT_input!$A150, ECOMOD_input_estimate!$B:$B, 0))</f>
        <v>FF_04.2</v>
      </c>
      <c r="C150" s="210">
        <v>2020</v>
      </c>
      <c r="D150" s="395" t="s">
        <v>1696</v>
      </c>
      <c r="E150" s="210" t="str">
        <f t="shared" si="13"/>
        <v>C.light.H-Dsty.H-Res</v>
      </c>
      <c r="F150" s="210" t="str">
        <f t="array" ref="F150">_xlfn.SINGLE(IF(OR(ISNUMBER(SEARCH("heavy",A150))=TRUE,ISNUMBER(SEARCH("medium",A150))=TRUE),
INDEX('Focus Data Crop Rotations'!$D$4:$P$9,MATCH(D150,'Focus Data Crop Rotations'!$C$4:$C$9,0),_xlfn.SINGLE(_xlfn.IFS(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INDEX('Focus Data Crop Rotations'!$D$12:$P$17,MATCH(D150,'Focus Data Crop Rotations'!$C$12:$C$17,0),_xlfn.SINGLE(_xlfn.IFS(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springbarley</v>
      </c>
      <c r="G150">
        <v>7.2</v>
      </c>
      <c r="H150" s="227">
        <f>VLOOKUP(F150,'CFT Specific Data'!$F$4:$H$19,3,FALSE)*G150*
IF(B150=B149,
IF(AND(ISNUMBER(SEARCH("wheat",F150))=TRUE,ISNUMBER(SEARCH("Barley",F149))=TRUE),0.89,
IF(AND(ISNUMBER(SEARCH("wheat",F150))=TRUE,F149="setaside"),0.94,
IF(AND(ISNUMBER(SEARCH("barley",F150))=TRUE,ISNUMBER(SEARCH("wheat",F149))=TRUE),0.89,
IF(AND(F150="winterbarley",F149="setaside"),0.94,
IF(AND(F150="sugarbeet",F149="warepotatoes"),0.95,
IF(AND((OR(ISNUMBER(SEARCH("beans",F150)),ISNUMBER(SEARCH("driedpeas",F150)),ISNUMBER(SEARCH("sugarbeet",F150)))=TRUE),ISNUMBER(SEARCH("osr",F149))=TRUE),0,
IF(AND((OR((ISNUMBER(SEARCH("wheat",F150))),ISNUMBER(SEARCH("linseed",F150)),ISNUMBER(SEARCH("driedpeas",F150)),ISNUMBER(SEARCH("osr",F150)))=TRUE),F149="sugarbeet"),0,
IF(AND((OR((ISNUMBER(SEARCH("osr",F150))),ISNUMBER(SEARCH("linseed",F150)))=TRUE),ISNUMBER(SEARCH("beans",F149))=TRUE),0,
IF(AND(F150="wosr",ISNUMBER(SEARCH("linseed",F149))=TRUE),0,
IF(AND(F150="sugarbeet",F149="warepotatoes"),0,
1)))))))))),
IF(AND(ISNUMBER(SEARCH("wheat",F150))=TRUE,ISNUMBER(SEARCH("Barley",F155))=TRUE),0.89,
IF(AND(ISNUMBER(SEARCH("wheat",F150))=TRUE,F155="setaside"),0.94,
IF(AND(ISNUMBER(SEARCH("barley",F150))=TRUE,ISNUMBER(SEARCH("wheat",F155))=TRUE),0.89,
IF(AND(F150="winterbarley",F155="setaside"),0.94,
IF(AND(F150="sugarbeet",F155="warepotatoes"),0.95,
IF(AND((OR(ISNUMBER(SEARCH("beans",F150)),ISNUMBER(SEARCH("driedpeas",F150)),ISNUMBER(SEARCH("sugarbeet",F150)))=TRUE),ISNUMBER(SEARCH("osr",F155))=TRUE),0,
IF(AND((OR((ISNUMBER(SEARCH("wheat",F150))),ISNUMBER(SEARCH("linseed",F150)),ISNUMBER(SEARCH("driedpeas",F150)),ISNUMBER(SEARCH("osr",F150)))=TRUE),F155="sugarbeet"),0,
IF(AND((OR((ISNUMBER(SEARCH("osr",F150))),ISNUMBER(SEARCH("linseed",F150)))=TRUE),ISNUMBER(SEARCH("beans",F155))=TRUE),0,
IF(AND(F150="wosr",ISNUMBER(SEARCH("linseed",F155))=TRUE),0,
IF(AND(F150="sugarbeet",F155="warepotatoes"),0,
1)))))))))))
*IF(OR(ISNUMBER(SEARCH("wheat",F150)),ISNUMBER(SEARCH("barley",F150)),ISNUMBER(SEARCH("driedpeas",F150)),ISNUMBER(SEARCH("warepotatoes",F150)),ISNUMBER(SEARCH("osr",F150)),ISNUMBER(SEARCH("linseed",F150)),ISNUMBER(SEARCH("sugarbeet",F150))),
IF(COUNTIF(B145:B149,B150)=5,
INDEX('CFT Specific Data'!$G$24:$L$39,MATCH(F150,'CFT Specific Data'!$F$24:$F$39,0),IF(COUNTIF(F145:F149,F150)=5,6,IF(COUNTIF(F146:F149,F150)=4,5,IF(COUNTIF(F147:F149,F150)=3,4,IF(COUNTIF(F148:F149,F150)=2,3,IF(F149=F150,2,1)))))),
IF(COUNTIF(B145:B149,B150)=4,
INDEX('CFT Specific Data'!$G$24:$L$39,MATCH(F150,'CFT Specific Data'!$F$24:$F$39,0),IF(SUM(COUNTIF(F146:F149,F150),COUNTIF(F151,F150))=5,6,IF(COUNTIF(F146:F149,F150)=4,5,IF(COUNTIF(F147:F149,F150)=3,4,IF(COUNTIF(F148:F149,F150)=2,3,IF(F149=F150,2,1)))))),
IF(COUNTIF(B145:B149,B150)=3,
INDEX('CFT Specific Data'!$G$24:$L$39,MATCH(F150,'CFT Specific Data'!$F$24:$F$39,0),IF(SUM(COUNTIF(F147:F149,F150),COUNTIF(F151:F152,F150))=5,6,IF(SUM(COUNTIF(F147:F149,F150),COUNTIF(F152,F150))=4,5,IF(COUNTIF(F147:F149,F150)=3,4,IF(COUNTIF(F148:F149,F150)=2,3,IF(F149=F150,2,1)))))),
IF(COUNTIF(B145:B149,B150)=2,
INDEX('CFT Specific Data'!$G$24:$L$39,MATCH(F150,'CFT Specific Data'!$F$24:$F$39,0),IF(SUM(COUNTIF(F148:F149,F150),COUNTIF(F151:F153,F150))=5,6,IF(SUM(COUNTIF(F148:F149,F150),COUNTIF(F152:F153,F150))=4,5,IF(SUM(COUNTIF(F148:F149,F150),COUNTIF(F153,F150))=3,4,IF(COUNTIF(F148:F149,F150)=2,3,IF(F149=F150,2,1)))))),
IF(COUNTIF(B145:B149,B150)=1,
INDEX('CFT Specific Data'!$G$24:$L$39,MATCH(F150,'CFT Specific Data'!$F$24:$F$39,0),IF(SUM(COUNTIF(F149,F150),COUNTIF(F151:F154,F150))=5,6,IF(SUM(COUNTIF(F149,F150),COUNTIF(F152:F154,F150))=4,5,IF(SUM(COUNTIF(F149,F150),COUNTIF(F153:F154,F150))=3,4,IF(SUM(COUNTIF(F149,F150),COUNTIF(F154,F150))=2,3,IF(F149=F150,2,1)))))),
IF(COUNTIF(B145:B149,B150)=0,
INDEX('CFT Specific Data'!$G$24:$L$39,MATCH(F150,'CFT Specific Data'!$F$24:$F$39,0),IF(COUNTIF(F151:F155,F150)=5,6,IF(COUNTIF(F152:F155,F150)=4,5,IF(COUNTIF(F153:F155,F150)=3,4,IF(COUNTIF(F154:F155,F150)=2,3,IF(F155=F150,2,1)))))))))))),1)</f>
        <v>36.525599999999997</v>
      </c>
      <c r="I150" s="210" t="s">
        <v>348</v>
      </c>
      <c r="J150">
        <v>10</v>
      </c>
      <c r="K150" s="210" t="str">
        <f>VLOOKUP(F150,'CFT Specific Data'!$F$4:$G$19,2,FALSE)</f>
        <v>Barley</v>
      </c>
      <c r="L150" t="str">
        <f t="shared" si="14"/>
        <v>Coarse</v>
      </c>
      <c r="M150">
        <f t="shared" si="15"/>
        <v>5.16</v>
      </c>
      <c r="N150" t="str">
        <f t="shared" si="16"/>
        <v>1.72 &lt; SOM &lt;= 5.16</v>
      </c>
      <c r="O150" t="s">
        <v>349</v>
      </c>
      <c r="P150" t="s">
        <v>350</v>
      </c>
      <c r="Q150">
        <v>7</v>
      </c>
      <c r="R150" t="str">
        <f t="shared" si="12"/>
        <v>5.5 &lt; pH &lt;= 7.3</v>
      </c>
      <c r="S150" t="s">
        <v>351</v>
      </c>
      <c r="T150" s="210">
        <f t="array" ref="T150">_xlfn.SINGLE(INDEX('Focus Data NFertiliser Rate'!$D$4:$P$19,MATCH(F150,'Focus Data NFertiliser Rate'!$C$4:$C$19,0),_xlfn.SINGLE(_xlfn.IFS(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150</v>
      </c>
      <c r="U150" t="str">
        <f t="shared" si="17"/>
        <v>Apply in solution</v>
      </c>
      <c r="V150" s="210">
        <f t="array" ref="V150">_xlfn.SINGLE(INDEX('№ Fertiliser sprayings'!$D$4:$P$19,MATCH(F150,'№ Fertiliser sprayings'!$C$4:$C$19,0),_xlfn.SINGLE(_xlfn.IFS(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1</v>
      </c>
      <c r="W150" s="264">
        <f t="array" ref="W150">_xlfn.SINGLE(INDEX('Focus Data CFT NSpraying'!$D$4:$P$19,MATCH(F150,'Focus Data CFT NSpraying'!$C$4:$C$19,0),_xlfn.SINGLE(_xlfn.IFS(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9.2560000000000002</v>
      </c>
      <c r="X150" t="s">
        <v>363</v>
      </c>
      <c r="Y150">
        <v>0</v>
      </c>
      <c r="Z150">
        <v>100</v>
      </c>
      <c r="AA150" t="s">
        <v>352</v>
      </c>
      <c r="AB150" s="226" t="str">
        <f>IF(B150=B149,_xlfn.IFS(
AND(AA150=Lists!$L$8,AA149=Lists!$L$8),Lists!$N$5,
AND(OR(AA150=Lists!$L$5,AA150=Lists!$L$7,AA150=Lists!$L$9,AA150=Lists!$L$10,AA150=Lists!$L$6),OR(AA149=Lists!$L$5,AA149=Lists!$L$7,AA149=Lists!$L$9,AA149=Lists!$L$10,AA149=Lists!$L$6)),Lists!$N$5,
AND(AA150=Lists!$L$8,OR(AA149=Lists!$L$5,AA149=Lists!$L$7,AA149=Lists!$L$9,AA149=Lists!$L$10,AA149=Lists!$L$6)),Lists!$N$6,
AND(OR(AA150=Lists!$L$5,AA150=Lists!$L$6,AA150=Lists!$L$7,AA150=Lists!$L$9,AA150=Lists!$L$10),AA149=Lists!$L$8),Lists!$N$7),
_xlfn.IFS(
AND(AA150=Lists!$L$8,AA155=Lists!$L$8),Lists!$N$5,
AND(OR(AA150=Lists!$L$5,AA150=Lists!$L$7,AA150=Lists!$L$9,AA150=Lists!$L$10,AA150=Lists!$L$6),OR(AA155=Lists!$L$5,AA155=Lists!$L$7,AA155=Lists!$L$9,AA155=Lists!$L$10,AA155=Lists!$L$6)),Lists!$N$5,
AND(AA150=Lists!$L$8,OR(AA155=Lists!$L$5,AA155=Lists!$L$7,AA155=Lists!$L$9,AA155=Lists!$L$10,AA155=Lists!$L$6)),Lists!$N$6,
AND(OR(AA150=Lists!$L$5,AA150=Lists!$L$7,AA150=Lists!$L$9,AA150=Lists!$L$10),AA155=Lists!$L$8),Lists!$N$7))</f>
        <v>no change</v>
      </c>
      <c r="AC150">
        <v>0</v>
      </c>
      <c r="AD150">
        <v>0</v>
      </c>
      <c r="AE150" s="102">
        <f t="array" ref="AE150">IF(OR(ISNUMBER(SEARCH("heavy",A150))=TRUE, ISNUMBER(SEARCH("medium",A150))=TRUE),
(LEN(_xlfn.SINGLE(
INDEX('Focus Data Tillage by farm'!$D$4:$P$9,MATCH(D150,'Focus Data Tillage by farm'!$C$4:$C$9,0),_xlfn.SINGLE(_xlfn.IFS(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-LEN(SUBSTITUTE(_xlfn.SINGLE(
INDEX('Focus Data Tillage by farm'!$D$4:$P$9,MATCH(D150,'Focus Data Tillage by farm'!$C$4:$C$9,0),_xlfn.SINGLE(_xlfn.IFS(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"disc","")))/LEN("disc"),
(LEN(_xlfn.SINGLE(
INDEX('Focus Data Tillage by farm'!$D$12:$P$17,MATCH(D150,'Focus Data Tillage by farm'!$C$12:$C$17,0),_xlfn.SINGLE(_xlfn.IFS(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-LEN(SUBSTITUTE(_xlfn.SINGLE(
INDEX('Focus Data Tillage by farm'!$D$12:$P$17,MATCH(D150,'Focus Data Tillage by farm'!$C$12:$C$17,0),_xlfn.SINGLE(_xlfn.IFS(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"disc","")))/LEN("disc"))</f>
        <v>4</v>
      </c>
      <c r="AF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"field cultivator","")))/LEN("field cultivator"),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"field cultivator","")))/LEN("field cultivator"))</f>
        <v>0</v>
      </c>
      <c r="AG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"grain drill","")))/LEN("grain drill"),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"grain drill","")))/LEN("grain drill"))</f>
        <v>1</v>
      </c>
      <c r="AH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"minimum tillage","")))/LEN("minimum tillage"),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"minimum tillage","")))/LEN("minimum tillage"))</f>
        <v>0</v>
      </c>
      <c r="AI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"row crop planter","")))/LEN("row crop planter"),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"row crop planter","")))/LEN("row crop planter"))</f>
        <v>0</v>
      </c>
      <c r="AJ150" s="102">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"plough","")))/LEN("plough"),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"plough","")))/LEN("plough"))</f>
        <v>0</v>
      </c>
      <c r="AK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harrow","")))/LEN("roller harrow"),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harrow","")))/LEN("roller harrow"))</f>
        <v>0</v>
      </c>
      <c r="AL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packer","")))/LEN("roller packer"),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"roller packer","")))/LEN("roller packer"))</f>
        <v>2</v>
      </c>
      <c r="AM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"rotary hoe","")))/LEN("rotary hoe"),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"rotary hoe","")))/LEN("rotary hoe"))</f>
        <v>0</v>
      </c>
      <c r="AN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"subsoil","")))/LEN("subsoil"),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"subsoil","")))/LEN("subsoil"))</f>
        <v>0</v>
      </c>
      <c r="AO150">
        <f>IF(OR(ISNUMBER(SEARCH("heavy",A150))=TRUE, ISNUMBER(SEARCH("medium",A150))=TRUE),
(LEN(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farm'!$D$4:$P$9,MATCH(D150,'Focus Data Tillage by farm'!$C$4:$C$9,0),_xlfn.IFS(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"tine harrow","")))/LEN("tine harrow"),
(LEN(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-LEN(SUBSTITUTE(
INDEX('Focus Data Tillage by farm'!$D$12:$P$17,MATCH(D150,'Focus Data Tillage by farm'!$C$12:$C$17,0),_xlfn.IFS(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
"tine harrow","")))/LEN("tine harrow"))</f>
        <v>0</v>
      </c>
      <c r="AP150" s="102">
        <f>INDEX('Focus Data NSpraying'!$D$4:$P$19,MATCH(F150,'Focus Data NSpraying'!$C$4:$C$19,0),_xlfn.IFS(
AND(ISNUMBER(SEARCH("H-Dsty.",A150))=TRUE,ISNUMBER(SEARCH("H-Res",A150))=TRUE,ISNUMBER(SEARCH("E.",A150))=TRUE),1,
AND(ISNUMBER(SEARCH("H-Dsty.",A150))=TRUE,ISNUMBER(SEARCH("H-Res",A150))=TRUE,OR(ISNUMBER(SEARCH("N.he",A150))=TRUE,ISNUMBER(SEARCH("N.me",A150))=TRUE,ISNUMBER(SEARCH("N.li",A150))=TRUE)),2,
AND(ISNUMBER(SEARCH("H-Dsty.",A150))=TRUE,ISNUMBER(SEARCH("H-Res",A150))=TRUE,ISNUMBER(SEARCH("C.",A150))=TRUE),3,
AND(ISNUMBER(SEARCH("L-Dsty.",A150))=TRUE,ISNUMBER(SEARCH("H-Res",A150))=TRUE,ISNUMBER(SEARCH("E.",A150))=TRUE),6,
AND(ISNUMBER(SEARCH("L-Dsty.",A150))=TRUE,ISNUMBER(SEARCH("H-Res",A150))=TRUE,OR(ISNUMBER(SEARCH("N.he",A150))=TRUE,ISNUMBER(SEARCH("N.me",A150))=TRUE,ISNUMBER(SEARCH("N.li",A150))=TRUE)),7,
AND(ISNUMBER(SEARCH("L-Dsty.",A150))=TRUE,ISNUMBER(SEARCH("H-Res",A150))=TRUE,ISNUMBER(SEARCH("C.",A150))=TRUE),8,
AND(ISNUMBER(SEARCH("L-Dsty.",A150))=TRUE,ISNUMBER(SEARCH("L-Res",A150))=TRUE,ISNUMBER(SEARCH("E.",A150))=TRUE),11,
AND(ISNUMBER(SEARCH("L-Dsty.",A150))=TRUE,ISNUMBER(SEARCH("L-Res",A150))=TRUE,OR(ISNUMBER(SEARCH("N.he",A150))=TRUE,ISNUMBER(SEARCH("N.me",A150))=TRUE,ISNUMBER(SEARCH("N.li",A150))=TRUE)),12,
AND(ISNUMBER(SEARCH("L-Dsty.",A150))=TRUE,ISNUMBER(SEARCH("L-Res",A150))=TRUE,ISNUMBER(SEARCH("C.",A150))=TRUE),13))</f>
        <v>6</v>
      </c>
    </row>
    <row r="151" spans="1:42" x14ac:dyDescent="0.2">
      <c r="A151" t="s">
        <v>499</v>
      </c>
      <c r="B151" s="210" t="str">
        <f t="array" ref="B151">INDEX(ECOMOD_input_estimate!$A$2:$A$55, MATCH(CFT_input!$A151, ECOMOD_input_estimate!$B:$B, 0))</f>
        <v>FF_04.2</v>
      </c>
      <c r="C151" s="210">
        <v>2020</v>
      </c>
      <c r="D151" s="395" t="s">
        <v>735</v>
      </c>
      <c r="E151" s="210" t="str">
        <f t="shared" si="13"/>
        <v>C.light.H-Dsty.H-Res</v>
      </c>
      <c r="F151" s="210" t="str">
        <f t="array" ref="F151">_xlfn.SINGLE(IF(OR(ISNUMBER(SEARCH("heavy",A151))=TRUE,ISNUMBER(SEARCH("medium",A151))=TRUE),
INDEX('Focus Data Crop Rotations'!$D$4:$P$9,MATCH(D151,'Focus Data Crop Rotations'!$C$4:$C$9,0),_xlfn.SINGLE(_xlfn.IFS(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INDEX('Focus Data Crop Rotations'!$D$12:$P$17,MATCH(D151,'Focus Data Crop Rotations'!$C$12:$C$17,0),_xlfn.SINGLE(_xlfn.IFS(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wosr</v>
      </c>
      <c r="G151">
        <v>7.2</v>
      </c>
      <c r="H151" s="227">
        <f>VLOOKUP(F151,'CFT Specific Data'!$F$4:$H$19,3,FALSE)*G151*
IF(B151=B150,
IF(AND(ISNUMBER(SEARCH("wheat",F151))=TRUE,ISNUMBER(SEARCH("Barley",F150))=TRUE),0.89,
IF(AND(ISNUMBER(SEARCH("wheat",F151))=TRUE,F150="setaside"),0.94,
IF(AND(ISNUMBER(SEARCH("barley",F151))=TRUE,ISNUMBER(SEARCH("wheat",F150))=TRUE),0.89,
IF(AND(F151="winterbarley",F150="setaside"),0.94,
IF(AND(F151="sugarbeet",F150="warepotatoes"),0.95,
IF(AND((OR(ISNUMBER(SEARCH("beans",F151)),ISNUMBER(SEARCH("driedpeas",F151)),ISNUMBER(SEARCH("sugarbeet",F151)))=TRUE),ISNUMBER(SEARCH("osr",F150))=TRUE),0,
IF(AND((OR((ISNUMBER(SEARCH("wheat",F151))),ISNUMBER(SEARCH("linseed",F151)),ISNUMBER(SEARCH("driedpeas",F151)),ISNUMBER(SEARCH("osr",F151)))=TRUE),F150="sugarbeet"),0,
IF(AND((OR((ISNUMBER(SEARCH("osr",F151))),ISNUMBER(SEARCH("linseed",F151)))=TRUE),ISNUMBER(SEARCH("beans",F150))=TRUE),0,
IF(AND(F151="wosr",ISNUMBER(SEARCH("linseed",F150))=TRUE),0,
IF(AND(F151="sugarbeet",F150="warepotatoes"),0,
1)))))))))),
IF(AND(ISNUMBER(SEARCH("wheat",F151))=TRUE,ISNUMBER(SEARCH("Barley",F156))=TRUE),0.89,
IF(AND(ISNUMBER(SEARCH("wheat",F151))=TRUE,F156="setaside"),0.94,
IF(AND(ISNUMBER(SEARCH("barley",F151))=TRUE,ISNUMBER(SEARCH("wheat",F156))=TRUE),0.89,
IF(AND(F151="winterbarley",F156="setaside"),0.94,
IF(AND(F151="sugarbeet",F156="warepotatoes"),0.95,
IF(AND((OR(ISNUMBER(SEARCH("beans",F151)),ISNUMBER(SEARCH("driedpeas",F151)),ISNUMBER(SEARCH("sugarbeet",F151)))=TRUE),ISNUMBER(SEARCH("osr",F156))=TRUE),0,
IF(AND((OR((ISNUMBER(SEARCH("wheat",F151))),ISNUMBER(SEARCH("linseed",F151)),ISNUMBER(SEARCH("driedpeas",F151)),ISNUMBER(SEARCH("osr",F151)))=TRUE),F156="sugarbeet"),0,
IF(AND((OR((ISNUMBER(SEARCH("osr",F151))),ISNUMBER(SEARCH("linseed",F151)))=TRUE),ISNUMBER(SEARCH("beans",F156))=TRUE),0,
IF(AND(F151="wosr",ISNUMBER(SEARCH("linseed",F156))=TRUE),0,
IF(AND(F151="sugarbeet",F156="warepotatoes"),0,
1)))))))))))
*IF(OR(ISNUMBER(SEARCH("wheat",F151)),ISNUMBER(SEARCH("barley",F151)),ISNUMBER(SEARCH("driedpeas",F151)),ISNUMBER(SEARCH("warepotatoes",F151)),ISNUMBER(SEARCH("osr",F151)),ISNUMBER(SEARCH("linseed",F151)),ISNUMBER(SEARCH("sugarbeet",F151))),
IF(COUNTIF(B146:B150,B151)=5,
INDEX('CFT Specific Data'!$G$24:$L$39,MATCH(F151,'CFT Specific Data'!$F$24:$F$39,0),IF(COUNTIF(F146:F150,F151)=5,6,IF(COUNTIF(F147:F150,F151)=4,5,IF(COUNTIF(F148:F150,F151)=3,4,IF(COUNTIF(F149:F150,F151)=2,3,IF(F150=F151,2,1)))))),
IF(COUNTIF(B146:B150,B151)=4,
INDEX('CFT Specific Data'!$G$24:$L$39,MATCH(F151,'CFT Specific Data'!$F$24:$F$39,0),IF(SUM(COUNTIF(F147:F150,F151),COUNTIF(F152,F151))=5,6,IF(COUNTIF(F147:F150,F151)=4,5,IF(COUNTIF(F148:F150,F151)=3,4,IF(COUNTIF(F149:F150,F151)=2,3,IF(F150=F151,2,1)))))),
IF(COUNTIF(B146:B150,B151)=3,
INDEX('CFT Specific Data'!$G$24:$L$39,MATCH(F151,'CFT Specific Data'!$F$24:$F$39,0),IF(SUM(COUNTIF(F148:F150,F151),COUNTIF(F152:F153,F151))=5,6,IF(SUM(COUNTIF(F148:F150,F151),COUNTIF(F153,F151))=4,5,IF(COUNTIF(F148:F150,F151)=3,4,IF(COUNTIF(F149:F150,F151)=2,3,IF(F150=F151,2,1)))))),
IF(COUNTIF(B146:B150,B151)=2,
INDEX('CFT Specific Data'!$G$24:$L$39,MATCH(F151,'CFT Specific Data'!$F$24:$F$39,0),IF(SUM(COUNTIF(F149:F150,F151),COUNTIF(F152:F154,F151))=5,6,IF(SUM(COUNTIF(F149:F150,F151),COUNTIF(F153:F154,F151))=4,5,IF(SUM(COUNTIF(F149:F150,F151),COUNTIF(F154,F151))=3,4,IF(COUNTIF(F149:F150,F151)=2,3,IF(F150=F151,2,1)))))),
IF(COUNTIF(B146:B150,B151)=1,
INDEX('CFT Specific Data'!$G$24:$L$39,MATCH(F151,'CFT Specific Data'!$F$24:$F$39,0),IF(SUM(COUNTIF(F150,F151),COUNTIF(F152:F155,F151))=5,6,IF(SUM(COUNTIF(F150,F151),COUNTIF(F153:F155,F151))=4,5,IF(SUM(COUNTIF(F150,F151),COUNTIF(F154:F155,F151))=3,4,IF(SUM(COUNTIF(F150,F151),COUNTIF(F155,F151))=2,3,IF(F150=F151,2,1)))))),
IF(COUNTIF(B146:B150,B151)=0,
INDEX('CFT Specific Data'!$G$24:$L$39,MATCH(F151,'CFT Specific Data'!$F$24:$F$39,0),IF(COUNTIF(F152:F156,F151)=5,6,IF(COUNTIF(F153:F156,F151)=4,5,IF(COUNTIF(F154:F156,F151)=3,4,IF(COUNTIF(F155:F156,F151)=2,3,IF(F156=F151,2,1)))))))))))),1)</f>
        <v>25.2</v>
      </c>
      <c r="I151" s="210" t="s">
        <v>348</v>
      </c>
      <c r="J151">
        <v>10</v>
      </c>
      <c r="K151" s="210" t="str">
        <f>VLOOKUP(F151,'CFT Specific Data'!$F$4:$G$19,2,FALSE)</f>
        <v>Other</v>
      </c>
      <c r="L151" t="str">
        <f t="shared" si="14"/>
        <v>Coarse</v>
      </c>
      <c r="M151">
        <f t="shared" si="15"/>
        <v>5.16</v>
      </c>
      <c r="N151" t="str">
        <f t="shared" si="16"/>
        <v>1.72 &lt; SOM &lt;= 5.16</v>
      </c>
      <c r="O151" t="s">
        <v>349</v>
      </c>
      <c r="P151" t="s">
        <v>350</v>
      </c>
      <c r="Q151">
        <v>7</v>
      </c>
      <c r="R151" t="str">
        <f t="shared" si="12"/>
        <v>5.5 &lt; pH &lt;= 7.3</v>
      </c>
      <c r="S151" t="s">
        <v>351</v>
      </c>
      <c r="T151" s="210">
        <f t="array" ref="T151">_xlfn.SINGLE(INDEX('Focus Data NFertiliser Rate'!$D$4:$P$19,MATCH(F151,'Focus Data NFertiliser Rate'!$C$4:$C$19,0),_xlfn.SINGLE(_xlfn.IFS(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180</v>
      </c>
      <c r="U151" t="str">
        <f t="shared" si="17"/>
        <v>Apply in solution</v>
      </c>
      <c r="V151" s="210">
        <f t="array" ref="V151">_xlfn.SINGLE(INDEX('№ Fertiliser sprayings'!$D$4:$P$19,MATCH(F151,'№ Fertiliser sprayings'!$C$4:$C$19,0),_xlfn.SINGLE(_xlfn.IFS(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3</v>
      </c>
      <c r="W151" s="264">
        <f t="array" ref="W151">_xlfn.SINGLE(INDEX('Focus Data CFT NSpraying'!$D$4:$P$19,MATCH(F151,'Focus Data CFT NSpraying'!$C$4:$C$19,0),_xlfn.SINGLE(_xlfn.IFS(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3.1</v>
      </c>
      <c r="X151" t="s">
        <v>363</v>
      </c>
      <c r="Y151">
        <v>0</v>
      </c>
      <c r="Z151">
        <v>100</v>
      </c>
      <c r="AA151" t="s">
        <v>352</v>
      </c>
      <c r="AB151" s="226" t="str">
        <f>IF(B151=B150,_xlfn.IFS(
AND(AA151=Lists!$L$8,AA150=Lists!$L$8),Lists!$N$5,
AND(OR(AA151=Lists!$L$5,AA151=Lists!$L$7,AA151=Lists!$L$9,AA151=Lists!$L$10,AA151=Lists!$L$6),OR(AA150=Lists!$L$5,AA150=Lists!$L$7,AA150=Lists!$L$9,AA150=Lists!$L$10,AA150=Lists!$L$6)),Lists!$N$5,
AND(AA151=Lists!$L$8,OR(AA150=Lists!$L$5,AA150=Lists!$L$7,AA150=Lists!$L$9,AA150=Lists!$L$10,AA150=Lists!$L$6)),Lists!$N$6,
AND(OR(AA151=Lists!$L$5,AA151=Lists!$L$6,AA151=Lists!$L$7,AA151=Lists!$L$9,AA151=Lists!$L$10),AA150=Lists!$L$8),Lists!$N$7),
_xlfn.IFS(
AND(AA151=Lists!$L$8,AA156=Lists!$L$8),Lists!$N$5,
AND(OR(AA151=Lists!$L$5,AA151=Lists!$L$7,AA151=Lists!$L$9,AA151=Lists!$L$10,AA151=Lists!$L$6),OR(AA156=Lists!$L$5,AA156=Lists!$L$7,AA156=Lists!$L$9,AA156=Lists!$L$10,AA156=Lists!$L$6)),Lists!$N$5,
AND(AA151=Lists!$L$8,OR(AA156=Lists!$L$5,AA156=Lists!$L$7,AA156=Lists!$L$9,AA156=Lists!$L$10,AA156=Lists!$L$6)),Lists!$N$6,
AND(OR(AA151=Lists!$L$5,AA151=Lists!$L$7,AA151=Lists!$L$9,AA151=Lists!$L$10),AA156=Lists!$L$8),Lists!$N$7))</f>
        <v>no change</v>
      </c>
      <c r="AC151">
        <v>0</v>
      </c>
      <c r="AD151">
        <v>0</v>
      </c>
      <c r="AE151" s="102">
        <f t="array" ref="AE151">IF(OR(ISNUMBER(SEARCH("heavy",A151))=TRUE, ISNUMBER(SEARCH("medium",A151))=TRUE),
(LEN(_xlfn.SINGLE(
INDEX('Focus Data Tillage by farm'!$D$4:$P$9,MATCH(D151,'Focus Data Tillage by farm'!$C$4:$C$9,0),_xlfn.SINGLE(_xlfn.IFS(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-LEN(SUBSTITUTE(_xlfn.SINGLE(
INDEX('Focus Data Tillage by farm'!$D$4:$P$9,MATCH(D151,'Focus Data Tillage by farm'!$C$4:$C$9,0),_xlfn.SINGLE(_xlfn.IFS(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"disc","")))/LEN("disc"),
(LEN(_xlfn.SINGLE(
INDEX('Focus Data Tillage by farm'!$D$12:$P$17,MATCH(D151,'Focus Data Tillage by farm'!$C$12:$C$17,0),_xlfn.SINGLE(_xlfn.IFS(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-LEN(SUBSTITUTE(_xlfn.SINGLE(
INDEX('Focus Data Tillage by farm'!$D$12:$P$17,MATCH(D151,'Focus Data Tillage by farm'!$C$12:$C$17,0),_xlfn.SINGLE(_xlfn.IFS(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"disc","")))/LEN("disc"))</f>
        <v>0</v>
      </c>
      <c r="AF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"field cultivator","")))/LEN("field cultivator"),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"field cultivator","")))/LEN("field cultivator"))</f>
        <v>0</v>
      </c>
      <c r="AG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"grain drill","")))/LEN("grain drill"),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"grain drill","")))/LEN("grain drill"))</f>
        <v>0</v>
      </c>
      <c r="AH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"minimum tillage","")))/LEN("minimum tillage"),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"minimum tillage","")))/LEN("minimum tillage"))</f>
        <v>1</v>
      </c>
      <c r="AI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"row crop planter","")))/LEN("row crop planter"),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"row crop planter","")))/LEN("row crop planter"))</f>
        <v>0</v>
      </c>
      <c r="AJ151" s="102">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"plough","")))/LEN("plough"),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"plough","")))/LEN("plough"))</f>
        <v>0</v>
      </c>
      <c r="AK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harrow","")))/LEN("roller harrow"),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harrow","")))/LEN("roller harrow"))</f>
        <v>0</v>
      </c>
      <c r="AL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packer","")))/LEN("roller packer"),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"roller packer","")))/LEN("roller packer"))</f>
        <v>1</v>
      </c>
      <c r="AM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"rotary hoe","")))/LEN("rotary hoe"),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"rotary hoe","")))/LEN("rotary hoe"))</f>
        <v>0</v>
      </c>
      <c r="AN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"subsoil","")))/LEN("subsoil"),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"subsoil","")))/LEN("subsoil"))</f>
        <v>0</v>
      </c>
      <c r="AO151">
        <f>IF(OR(ISNUMBER(SEARCH("heavy",A151))=TRUE, ISNUMBER(SEARCH("medium",A151))=TRUE),
(LEN(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farm'!$D$4:$P$9,MATCH(D151,'Focus Data Tillage by farm'!$C$4:$C$9,0),_xlfn.IFS(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"tine harrow","")))/LEN("tine harrow"),
(LEN(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-LEN(SUBSTITUTE(
INDEX('Focus Data Tillage by farm'!$D$12:$P$17,MATCH(D151,'Focus Data Tillage by farm'!$C$12:$C$17,0),_xlfn.IFS(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
"tine harrow","")))/LEN("tine harrow"))</f>
        <v>0</v>
      </c>
      <c r="AP151" s="102">
        <f>INDEX('Focus Data NSpraying'!$D$4:$P$19,MATCH(F151,'Focus Data NSpraying'!$C$4:$C$19,0),_xlfn.IFS(
AND(ISNUMBER(SEARCH("H-Dsty.",A151))=TRUE,ISNUMBER(SEARCH("H-Res",A151))=TRUE,ISNUMBER(SEARCH("E.",A151))=TRUE),1,
AND(ISNUMBER(SEARCH("H-Dsty.",A151))=TRUE,ISNUMBER(SEARCH("H-Res",A151))=TRUE,OR(ISNUMBER(SEARCH("N.he",A151))=TRUE,ISNUMBER(SEARCH("N.me",A151))=TRUE,ISNUMBER(SEARCH("N.li",A151))=TRUE)),2,
AND(ISNUMBER(SEARCH("H-Dsty.",A151))=TRUE,ISNUMBER(SEARCH("H-Res",A151))=TRUE,ISNUMBER(SEARCH("C.",A151))=TRUE),3,
AND(ISNUMBER(SEARCH("L-Dsty.",A151))=TRUE,ISNUMBER(SEARCH("H-Res",A151))=TRUE,ISNUMBER(SEARCH("E.",A151))=TRUE),6,
AND(ISNUMBER(SEARCH("L-Dsty.",A151))=TRUE,ISNUMBER(SEARCH("H-Res",A151))=TRUE,OR(ISNUMBER(SEARCH("N.he",A151))=TRUE,ISNUMBER(SEARCH("N.me",A151))=TRUE,ISNUMBER(SEARCH("N.li",A151))=TRUE)),7,
AND(ISNUMBER(SEARCH("L-Dsty.",A151))=TRUE,ISNUMBER(SEARCH("H-Res",A151))=TRUE,ISNUMBER(SEARCH("C.",A151))=TRUE),8,
AND(ISNUMBER(SEARCH("L-Dsty.",A151))=TRUE,ISNUMBER(SEARCH("L-Res",A151))=TRUE,ISNUMBER(SEARCH("E.",A151))=TRUE),11,
AND(ISNUMBER(SEARCH("L-Dsty.",A151))=TRUE,ISNUMBER(SEARCH("L-Res",A151))=TRUE,OR(ISNUMBER(SEARCH("N.he",A151))=TRUE,ISNUMBER(SEARCH("N.me",A151))=TRUE,ISNUMBER(SEARCH("N.li",A151))=TRUE)),12,
AND(ISNUMBER(SEARCH("L-Dsty.",A151))=TRUE,ISNUMBER(SEARCH("L-Res",A151))=TRUE,ISNUMBER(SEARCH("C.",A151))=TRUE),13))</f>
        <v>4</v>
      </c>
    </row>
    <row r="152" spans="1:42" x14ac:dyDescent="0.2">
      <c r="A152" t="s">
        <v>500</v>
      </c>
      <c r="B152" s="210" t="str">
        <f t="array" ref="B152">INDEX(ECOMOD_input_estimate!$A$2:$A$55, MATCH(CFT_input!$A152, ECOMOD_input_estimate!$B:$B, 0))</f>
        <v>FF_10.2</v>
      </c>
      <c r="C152" s="210">
        <v>2020</v>
      </c>
      <c r="D152" s="395" t="s">
        <v>731</v>
      </c>
      <c r="E152" s="210" t="str">
        <f t="shared" si="13"/>
        <v>C.light.L-Dsty.H-Res</v>
      </c>
      <c r="F152" s="210" t="str">
        <f t="array" ref="F152">_xlfn.SINGLE(IF(OR(ISNUMBER(SEARCH("heavy",A152))=TRUE,ISNUMBER(SEARCH("medium",A152))=TRUE),
INDEX('Focus Data Crop Rotations'!$D$4:$P$9,MATCH(D152,'Focus Data Crop Rotations'!$C$4:$C$9,0),_xlfn.SINGLE(_xlfn.IFS(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INDEX('Focus Data Crop Rotations'!$D$12:$P$17,MATCH(D152,'Focus Data Crop Rotations'!$C$12:$C$17,0),_xlfn.SINGLE(_xlfn.IFS(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winterwheat</v>
      </c>
      <c r="G152">
        <v>7.2</v>
      </c>
      <c r="H152" s="227">
        <f>VLOOKUP(F152,'CFT Specific Data'!$F$4:$H$19,3,FALSE)*G152*
IF(B152=B151,
IF(AND(ISNUMBER(SEARCH("wheat",F152))=TRUE,ISNUMBER(SEARCH("Barley",F151))=TRUE),0.89,
IF(AND(ISNUMBER(SEARCH("wheat",F152))=TRUE,F151="setaside"),0.94,
IF(AND(ISNUMBER(SEARCH("barley",F152))=TRUE,ISNUMBER(SEARCH("wheat",F151))=TRUE),0.89,
IF(AND(F152="winterbarley",F151="setaside"),0.94,
IF(AND(F152="sugarbeet",F151="warepotatoes"),0.95,
IF(AND((OR(ISNUMBER(SEARCH("beans",F152)),ISNUMBER(SEARCH("driedpeas",F152)),ISNUMBER(SEARCH("sugarbeet",F152)))=TRUE),ISNUMBER(SEARCH("osr",F151))=TRUE),0,
IF(AND((OR((ISNUMBER(SEARCH("wheat",F152))),ISNUMBER(SEARCH("linseed",F152)),ISNUMBER(SEARCH("driedpeas",F152)),ISNUMBER(SEARCH("osr",F152)))=TRUE),F151="sugarbeet"),0,
IF(AND((OR((ISNUMBER(SEARCH("osr",F152))),ISNUMBER(SEARCH("linseed",F152)))=TRUE),ISNUMBER(SEARCH("beans",F151))=TRUE),0,
IF(AND(F152="wosr",ISNUMBER(SEARCH("linseed",F151))=TRUE),0,
IF(AND(F152="sugarbeet",F151="warepotatoes"),0,
1)))))))))),
IF(AND(ISNUMBER(SEARCH("wheat",F152))=TRUE,ISNUMBER(SEARCH("Barley",F157))=TRUE),0.89,
IF(AND(ISNUMBER(SEARCH("wheat",F152))=TRUE,F157="setaside"),0.94,
IF(AND(ISNUMBER(SEARCH("barley",F152))=TRUE,ISNUMBER(SEARCH("wheat",F157))=TRUE),0.89,
IF(AND(F152="winterbarley",F157="setaside"),0.94,
IF(AND(F152="sugarbeet",F157="warepotatoes"),0.95,
IF(AND((OR(ISNUMBER(SEARCH("beans",F152)),ISNUMBER(SEARCH("driedpeas",F152)),ISNUMBER(SEARCH("sugarbeet",F152)))=TRUE),ISNUMBER(SEARCH("osr",F157))=TRUE),0,
IF(AND((OR((ISNUMBER(SEARCH("wheat",F152))),ISNUMBER(SEARCH("linseed",F152)),ISNUMBER(SEARCH("driedpeas",F152)),ISNUMBER(SEARCH("osr",F152)))=TRUE),F157="sugarbeet"),0,
IF(AND((OR((ISNUMBER(SEARCH("osr",F152))),ISNUMBER(SEARCH("linseed",F152)))=TRUE),ISNUMBER(SEARCH("beans",F157))=TRUE),0,
IF(AND(F152="wosr",ISNUMBER(SEARCH("linseed",F157))=TRUE),0,
IF(AND(F152="sugarbeet",F157="warepotatoes"),0,
1)))))))))))
*IF(OR(ISNUMBER(SEARCH("wheat",F152)),ISNUMBER(SEARCH("barley",F152)),ISNUMBER(SEARCH("driedpeas",F152)),ISNUMBER(SEARCH("warepotatoes",F152)),ISNUMBER(SEARCH("osr",F152)),ISNUMBER(SEARCH("linseed",F152)),ISNUMBER(SEARCH("sugarbeet",F152))),
IF(COUNTIF(B147:B151,B152)=5,
INDEX('CFT Specific Data'!$G$24:$L$39,MATCH(F152,'CFT Specific Data'!$F$24:$F$39,0),IF(COUNTIF(F147:F151,F152)=5,6,IF(COUNTIF(F148:F151,F152)=4,5,IF(COUNTIF(F149:F151,F152)=3,4,IF(COUNTIF(F150:F151,F152)=2,3,IF(F151=F152,2,1)))))),
IF(COUNTIF(B147:B151,B152)=4,
INDEX('CFT Specific Data'!$G$24:$L$39,MATCH(F152,'CFT Specific Data'!$F$24:$F$39,0),IF(SUM(COUNTIF(F148:F151,F152),COUNTIF(F153,F152))=5,6,IF(COUNTIF(F148:F151,F152)=4,5,IF(COUNTIF(F149:F151,F152)=3,4,IF(COUNTIF(F150:F151,F152)=2,3,IF(F151=F152,2,1)))))),
IF(COUNTIF(B147:B151,B152)=3,
INDEX('CFT Specific Data'!$G$24:$L$39,MATCH(F152,'CFT Specific Data'!$F$24:$F$39,0),IF(SUM(COUNTIF(F149:F151,F152),COUNTIF(F153:F154,F152))=5,6,IF(SUM(COUNTIF(F149:F151,F152),COUNTIF(F154,F152))=4,5,IF(COUNTIF(F149:F151,F152)=3,4,IF(COUNTIF(F150:F151,F152)=2,3,IF(F151=F152,2,1)))))),
IF(COUNTIF(B147:B151,B152)=2,
INDEX('CFT Specific Data'!$G$24:$L$39,MATCH(F152,'CFT Specific Data'!$F$24:$F$39,0),IF(SUM(COUNTIF(F150:F151,F152),COUNTIF(F153:F155,F152))=5,6,IF(SUM(COUNTIF(F150:F151,F152),COUNTIF(F154:F155,F152))=4,5,IF(SUM(COUNTIF(F150:F151,F152),COUNTIF(F155,F152))=3,4,IF(COUNTIF(F150:F151,F152)=2,3,IF(F151=F152,2,1)))))),
IF(COUNTIF(B147:B151,B152)=1,
INDEX('CFT Specific Data'!$G$24:$L$39,MATCH(F152,'CFT Specific Data'!$F$24:$F$39,0),IF(SUM(COUNTIF(F151,F152),COUNTIF(F153:F156,F152))=5,6,IF(SUM(COUNTIF(F151,F152),COUNTIF(F154:F156,F152))=4,5,IF(SUM(COUNTIF(F151,F152),COUNTIF(F155:F156,F152))=3,4,IF(SUM(COUNTIF(F151,F152),COUNTIF(F156,F152))=2,3,IF(F151=F152,2,1)))))),
IF(COUNTIF(B147:B151,B152)=0,
INDEX('CFT Specific Data'!$G$24:$L$39,MATCH(F152,'CFT Specific Data'!$F$24:$F$39,0),IF(COUNTIF(F153:F157,F152)=5,6,IF(COUNTIF(F154:F157,F152)=4,5,IF(COUNTIF(F155:F157,F152)=3,4,IF(COUNTIF(F156:F157,F152)=2,3,IF(F157=F152,2,1)))))))))))),1)</f>
        <v>61.92</v>
      </c>
      <c r="I152" s="210" t="s">
        <v>348</v>
      </c>
      <c r="J152">
        <v>10</v>
      </c>
      <c r="K152" s="210" t="str">
        <f>VLOOKUP(F152,'CFT Specific Data'!$F$4:$G$19,2,FALSE)</f>
        <v>Winter wheat</v>
      </c>
      <c r="L152" t="str">
        <f t="shared" si="14"/>
        <v>Coarse</v>
      </c>
      <c r="M152">
        <f t="shared" si="15"/>
        <v>5.16</v>
      </c>
      <c r="N152" t="str">
        <f t="shared" si="16"/>
        <v>1.72 &lt; SOM &lt;= 5.16</v>
      </c>
      <c r="O152" t="s">
        <v>349</v>
      </c>
      <c r="P152" t="s">
        <v>350</v>
      </c>
      <c r="Q152">
        <v>7</v>
      </c>
      <c r="R152" t="str">
        <f t="shared" si="12"/>
        <v>5.5 &lt; pH &lt;= 7.3</v>
      </c>
      <c r="S152" t="s">
        <v>351</v>
      </c>
      <c r="T152" s="210">
        <f t="array" ref="T152">_xlfn.SINGLE(INDEX('Focus Data NFertiliser Rate'!$D$4:$P$19,MATCH(F152,'Focus Data NFertiliser Rate'!$C$4:$C$19,0),_xlfn.SINGLE(_xlfn.IFS(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220</v>
      </c>
      <c r="U152" t="str">
        <f t="shared" si="17"/>
        <v>Apply in solution</v>
      </c>
      <c r="V152" s="210">
        <f t="array" ref="V152">_xlfn.SINGLE(INDEX('№ Fertiliser sprayings'!$D$4:$P$19,MATCH(F152,'№ Fertiliser sprayings'!$C$4:$C$19,0),_xlfn.SINGLE(_xlfn.IFS(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3</v>
      </c>
      <c r="W152" s="264">
        <f t="array" ref="W152">_xlfn.SINGLE(INDEX('Focus Data CFT NSpraying'!$D$4:$P$19,MATCH(F152,'Focus Data CFT NSpraying'!$C$4:$C$19,0),_xlfn.SINGLE(_xlfn.IFS(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5.7560000000000002</v>
      </c>
      <c r="X152" t="s">
        <v>363</v>
      </c>
      <c r="Y152">
        <v>0</v>
      </c>
      <c r="Z152">
        <v>100</v>
      </c>
      <c r="AA152" t="s">
        <v>352</v>
      </c>
      <c r="AB152" s="226" t="str">
        <f>IF(B152=B151,_xlfn.IFS(
AND(AA152=Lists!$L$8,AA151=Lists!$L$8),Lists!$N$5,
AND(OR(AA152=Lists!$L$5,AA152=Lists!$L$7,AA152=Lists!$L$9,AA152=Lists!$L$10,AA152=Lists!$L$6),OR(AA151=Lists!$L$5,AA151=Lists!$L$7,AA151=Lists!$L$9,AA151=Lists!$L$10,AA151=Lists!$L$6)),Lists!$N$5,
AND(AA152=Lists!$L$8,OR(AA151=Lists!$L$5,AA151=Lists!$L$7,AA151=Lists!$L$9,AA151=Lists!$L$10,AA151=Lists!$L$6)),Lists!$N$6,
AND(OR(AA152=Lists!$L$5,AA152=Lists!$L$6,AA152=Lists!$L$7,AA152=Lists!$L$9,AA152=Lists!$L$10),AA151=Lists!$L$8),Lists!$N$7),
_xlfn.IFS(
AND(AA152=Lists!$L$8,AA157=Lists!$L$8),Lists!$N$5,
AND(OR(AA152=Lists!$L$5,AA152=Lists!$L$7,AA152=Lists!$L$9,AA152=Lists!$L$10,AA152=Lists!$L$6),OR(AA157=Lists!$L$5,AA157=Lists!$L$7,AA157=Lists!$L$9,AA157=Lists!$L$10,AA157=Lists!$L$6)),Lists!$N$5,
AND(AA152=Lists!$L$8,OR(AA157=Lists!$L$5,AA157=Lists!$L$7,AA157=Lists!$L$9,AA157=Lists!$L$10,AA157=Lists!$L$6)),Lists!$N$6,
AND(OR(AA152=Lists!$L$5,AA152=Lists!$L$7,AA152=Lists!$L$9,AA152=Lists!$L$10),AA157=Lists!$L$8),Lists!$N$7))</f>
        <v>no change</v>
      </c>
      <c r="AC152">
        <v>0</v>
      </c>
      <c r="AD152">
        <v>0</v>
      </c>
      <c r="AE152" s="102">
        <f t="array" ref="AE152">IF(OR(ISNUMBER(SEARCH("heavy",A152))=TRUE, ISNUMBER(SEARCH("medium",A152))=TRUE),
(LEN(_xlfn.SINGLE(
INDEX('Focus Data Tillage by farm'!$D$4:$P$9,MATCH(D152,'Focus Data Tillage by farm'!$C$4:$C$9,0),_xlfn.SINGLE(_xlfn.IFS(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-LEN(SUBSTITUTE(_xlfn.SINGLE(
INDEX('Focus Data Tillage by farm'!$D$4:$P$9,MATCH(D152,'Focus Data Tillage by farm'!$C$4:$C$9,0),_xlfn.SINGLE(_xlfn.IFS(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"disc","")))/LEN("disc"),
(LEN(_xlfn.SINGLE(
INDEX('Focus Data Tillage by farm'!$D$12:$P$17,MATCH(D152,'Focus Data Tillage by farm'!$C$12:$C$17,0),_xlfn.SINGLE(_xlfn.IFS(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-LEN(SUBSTITUTE(_xlfn.SINGLE(
INDEX('Focus Data Tillage by farm'!$D$12:$P$17,MATCH(D152,'Focus Data Tillage by farm'!$C$12:$C$17,0),_xlfn.SINGLE(_xlfn.IFS(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"disc","")))/LEN("disc"))</f>
        <v>2</v>
      </c>
      <c r="AF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"field cultivator","")))/LEN("field cultivator"),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"field cultivator","")))/LEN("field cultivator"))</f>
        <v>0</v>
      </c>
      <c r="AG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"grain drill","")))/LEN("grain drill"),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"grain drill","")))/LEN("grain drill"))</f>
        <v>1</v>
      </c>
      <c r="AH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"minimum tillage","")))/LEN("minimum tillage"),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"minimum tillage","")))/LEN("minimum tillage"))</f>
        <v>0</v>
      </c>
      <c r="AI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"row crop planter","")))/LEN("row crop planter"),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"row crop planter","")))/LEN("row crop planter"))</f>
        <v>0</v>
      </c>
      <c r="AJ152" s="10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"plough","")))/LEN("plough"),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"plough","")))/LEN("plough"))</f>
        <v>1</v>
      </c>
      <c r="AK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harrow","")))/LEN("roller harrow"),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harrow","")))/LEN("roller harrow"))</f>
        <v>1</v>
      </c>
      <c r="AL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packer","")))/LEN("roller packer"),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"roller packer","")))/LEN("roller packer"))</f>
        <v>2</v>
      </c>
      <c r="AM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"rotary hoe","")))/LEN("rotary hoe"),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"rotary hoe","")))/LEN("rotary hoe"))</f>
        <v>0</v>
      </c>
      <c r="AN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"subsoil","")))/LEN("subsoil"),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"subsoil","")))/LEN("subsoil"))</f>
        <v>0</v>
      </c>
      <c r="AO152">
        <f>IF(OR(ISNUMBER(SEARCH("heavy",A152))=TRUE, ISNUMBER(SEARCH("medium",A152))=TRUE),
(LEN(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farm'!$D$4:$P$9,MATCH(D152,'Focus Data Tillage by farm'!$C$4:$C$9,0),_xlfn.IFS(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"tine harrow","")))/LEN("tine harrow"),
(LEN(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-LEN(SUBSTITUTE(
INDEX('Focus Data Tillage by farm'!$D$12:$P$17,MATCH(D152,'Focus Data Tillage by farm'!$C$12:$C$17,0),_xlfn.IFS(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
"tine harrow","")))/LEN("tine harrow"))</f>
        <v>0</v>
      </c>
      <c r="AP152" s="102">
        <f>INDEX('Focus Data NSpraying'!$D$4:$P$19,MATCH(F152,'Focus Data NSpraying'!$C$4:$C$19,0),_xlfn.IFS(
AND(ISNUMBER(SEARCH("H-Dsty.",A152))=TRUE,ISNUMBER(SEARCH("H-Res",A152))=TRUE,ISNUMBER(SEARCH("E.",A152))=TRUE),1,
AND(ISNUMBER(SEARCH("H-Dsty.",A152))=TRUE,ISNUMBER(SEARCH("H-Res",A152))=TRUE,OR(ISNUMBER(SEARCH("N.he",A152))=TRUE,ISNUMBER(SEARCH("N.me",A152))=TRUE,ISNUMBER(SEARCH("N.li",A152))=TRUE)),2,
AND(ISNUMBER(SEARCH("H-Dsty.",A152))=TRUE,ISNUMBER(SEARCH("H-Res",A152))=TRUE,ISNUMBER(SEARCH("C.",A152))=TRUE),3,
AND(ISNUMBER(SEARCH("L-Dsty.",A152))=TRUE,ISNUMBER(SEARCH("H-Res",A152))=TRUE,ISNUMBER(SEARCH("E.",A152))=TRUE),6,
AND(ISNUMBER(SEARCH("L-Dsty.",A152))=TRUE,ISNUMBER(SEARCH("H-Res",A152))=TRUE,OR(ISNUMBER(SEARCH("N.he",A152))=TRUE,ISNUMBER(SEARCH("N.me",A152))=TRUE,ISNUMBER(SEARCH("N.li",A152))=TRUE)),7,
AND(ISNUMBER(SEARCH("L-Dsty.",A152))=TRUE,ISNUMBER(SEARCH("H-Res",A152))=TRUE,ISNUMBER(SEARCH("C.",A152))=TRUE),8,
AND(ISNUMBER(SEARCH("L-Dsty.",A152))=TRUE,ISNUMBER(SEARCH("L-Res",A152))=TRUE,ISNUMBER(SEARCH("E.",A152))=TRUE),11,
AND(ISNUMBER(SEARCH("L-Dsty.",A152))=TRUE,ISNUMBER(SEARCH("L-Res",A152))=TRUE,OR(ISNUMBER(SEARCH("N.he",A152))=TRUE,ISNUMBER(SEARCH("N.me",A152))=TRUE,ISNUMBER(SEARCH("N.li",A152))=TRUE)),12,
AND(ISNUMBER(SEARCH("L-Dsty.",A152))=TRUE,ISNUMBER(SEARCH("L-Res",A152))=TRUE,ISNUMBER(SEARCH("C.",A152))=TRUE),13))</f>
        <v>5</v>
      </c>
    </row>
    <row r="153" spans="1:42" x14ac:dyDescent="0.2">
      <c r="A153" t="s">
        <v>500</v>
      </c>
      <c r="B153" s="210" t="str">
        <f t="array" ref="B153">INDEX(ECOMOD_input_estimate!$A$2:$A$55, MATCH(CFT_input!$A153, ECOMOD_input_estimate!$B:$B, 0))</f>
        <v>FF_10.2</v>
      </c>
      <c r="C153" s="210">
        <v>2020</v>
      </c>
      <c r="D153" s="395" t="s">
        <v>730</v>
      </c>
      <c r="E153" s="210" t="str">
        <f t="shared" si="13"/>
        <v>C.light.L-Dsty.H-Res</v>
      </c>
      <c r="F153" s="210" t="str">
        <f t="array" ref="F153">_xlfn.SINGLE(IF(OR(ISNUMBER(SEARCH("heavy",A153))=TRUE,ISNUMBER(SEARCH("medium",A153))=TRUE),
INDEX('Focus Data Crop Rotations'!$D$4:$P$9,MATCH(D153,'Focus Data Crop Rotations'!$C$4:$C$9,0),_xlfn.SINGLE(_xlfn.IFS(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INDEX('Focus Data Crop Rotations'!$D$12:$P$17,MATCH(D153,'Focus Data Crop Rotations'!$C$12:$C$17,0),_xlfn.SINGLE(_xlfn.IFS(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springbarley</v>
      </c>
      <c r="G153">
        <v>7.2</v>
      </c>
      <c r="H153" s="227">
        <f>VLOOKUP(F153,'CFT Specific Data'!$F$4:$H$19,3,FALSE)*G153*
IF(B153=B152,
IF(AND(ISNUMBER(SEARCH("wheat",F153))=TRUE,ISNUMBER(SEARCH("Barley",F152))=TRUE),0.89,
IF(AND(ISNUMBER(SEARCH("wheat",F153))=TRUE,F152="setaside"),0.94,
IF(AND(ISNUMBER(SEARCH("barley",F153))=TRUE,ISNUMBER(SEARCH("wheat",F152))=TRUE),0.89,
IF(AND(F153="winterbarley",F152="setaside"),0.94,
IF(AND(F153="sugarbeet",F152="warepotatoes"),0.95,
IF(AND((OR(ISNUMBER(SEARCH("beans",F153)),ISNUMBER(SEARCH("driedpeas",F153)),ISNUMBER(SEARCH("sugarbeet",F153)))=TRUE),ISNUMBER(SEARCH("osr",F152))=TRUE),0,
IF(AND((OR((ISNUMBER(SEARCH("wheat",F153))),ISNUMBER(SEARCH("linseed",F153)),ISNUMBER(SEARCH("driedpeas",F153)),ISNUMBER(SEARCH("osr",F153)))=TRUE),F152="sugarbeet"),0,
IF(AND((OR((ISNUMBER(SEARCH("osr",F153))),ISNUMBER(SEARCH("linseed",F153)))=TRUE),ISNUMBER(SEARCH("beans",F152))=TRUE),0,
IF(AND(F153="wosr",ISNUMBER(SEARCH("linseed",F152))=TRUE),0,
IF(AND(F153="sugarbeet",F152="warepotatoes"),0,
1)))))))))),
IF(AND(ISNUMBER(SEARCH("wheat",F153))=TRUE,ISNUMBER(SEARCH("Barley",F158))=TRUE),0.89,
IF(AND(ISNUMBER(SEARCH("wheat",F153))=TRUE,F158="setaside"),0.94,
IF(AND(ISNUMBER(SEARCH("barley",F153))=TRUE,ISNUMBER(SEARCH("wheat",F158))=TRUE),0.89,
IF(AND(F153="winterbarley",F158="setaside"),0.94,
IF(AND(F153="sugarbeet",F158="warepotatoes"),0.95,
IF(AND((OR(ISNUMBER(SEARCH("beans",F153)),ISNUMBER(SEARCH("driedpeas",F153)),ISNUMBER(SEARCH("sugarbeet",F153)))=TRUE),ISNUMBER(SEARCH("osr",F158))=TRUE),0,
IF(AND((OR((ISNUMBER(SEARCH("wheat",F153))),ISNUMBER(SEARCH("linseed",F153)),ISNUMBER(SEARCH("driedpeas",F153)),ISNUMBER(SEARCH("osr",F153)))=TRUE),F158="sugarbeet"),0,
IF(AND((OR((ISNUMBER(SEARCH("osr",F153))),ISNUMBER(SEARCH("linseed",F153)))=TRUE),ISNUMBER(SEARCH("beans",F158))=TRUE),0,
IF(AND(F153="wosr",ISNUMBER(SEARCH("linseed",F158))=TRUE),0,
IF(AND(F153="sugarbeet",F158="warepotatoes"),0,
1)))))))))))
*IF(OR(ISNUMBER(SEARCH("wheat",F153)),ISNUMBER(SEARCH("barley",F153)),ISNUMBER(SEARCH("driedpeas",F153)),ISNUMBER(SEARCH("warepotatoes",F153)),ISNUMBER(SEARCH("osr",F153)),ISNUMBER(SEARCH("linseed",F153)),ISNUMBER(SEARCH("sugarbeet",F153))),
IF(COUNTIF(B148:B152,B153)=5,
INDEX('CFT Specific Data'!$G$24:$L$39,MATCH(F153,'CFT Specific Data'!$F$24:$F$39,0),IF(COUNTIF(F148:F152,F153)=5,6,IF(COUNTIF(F149:F152,F153)=4,5,IF(COUNTIF(F150:F152,F153)=3,4,IF(COUNTIF(F151:F152,F153)=2,3,IF(F152=F153,2,1)))))),
IF(COUNTIF(B148:B152,B153)=4,
INDEX('CFT Specific Data'!$G$24:$L$39,MATCH(F153,'CFT Specific Data'!$F$24:$F$39,0),IF(SUM(COUNTIF(F149:F152,F153),COUNTIF(F154,F153))=5,6,IF(COUNTIF(F149:F152,F153)=4,5,IF(COUNTIF(F150:F152,F153)=3,4,IF(COUNTIF(F151:F152,F153)=2,3,IF(F152=F153,2,1)))))),
IF(COUNTIF(B148:B152,B153)=3,
INDEX('CFT Specific Data'!$G$24:$L$39,MATCH(F153,'CFT Specific Data'!$F$24:$F$39,0),IF(SUM(COUNTIF(F150:F152,F153),COUNTIF(F154:F155,F153))=5,6,IF(SUM(COUNTIF(F150:F152,F153),COUNTIF(F155,F153))=4,5,IF(COUNTIF(F150:F152,F153)=3,4,IF(COUNTIF(F151:F152,F153)=2,3,IF(F152=F153,2,1)))))),
IF(COUNTIF(B148:B152,B153)=2,
INDEX('CFT Specific Data'!$G$24:$L$39,MATCH(F153,'CFT Specific Data'!$F$24:$F$39,0),IF(SUM(COUNTIF(F151:F152,F153),COUNTIF(F154:F156,F153))=5,6,IF(SUM(COUNTIF(F151:F152,F153),COUNTIF(F155:F156,F153))=4,5,IF(SUM(COUNTIF(F151:F152,F153),COUNTIF(F156,F153))=3,4,IF(COUNTIF(F151:F152,F153)=2,3,IF(F152=F153,2,1)))))),
IF(COUNTIF(B148:B152,B153)=1,
INDEX('CFT Specific Data'!$G$24:$L$39,MATCH(F153,'CFT Specific Data'!$F$24:$F$39,0),IF(SUM(COUNTIF(F152,F153),COUNTIF(F154:F157,F153))=5,6,IF(SUM(COUNTIF(F152,F153),COUNTIF(F155:F157,F153))=4,5,IF(SUM(COUNTIF(F152,F153),COUNTIF(F156:F157,F153))=3,4,IF(SUM(COUNTIF(F152,F153),COUNTIF(F157,F153))=2,3,IF(F152=F153,2,1)))))),
IF(COUNTIF(B148:B152,B153)=0,
INDEX('CFT Specific Data'!$G$24:$L$39,MATCH(F153,'CFT Specific Data'!$F$24:$F$39,0),IF(COUNTIF(F154:F158,F153)=5,6,IF(COUNTIF(F155:F158,F153)=4,5,IF(COUNTIF(F156:F158,F153)=3,4,IF(COUNTIF(F157:F158,F153)=2,3,IF(F158=F153,2,1)))))))))))),1)</f>
        <v>36.525599999999997</v>
      </c>
      <c r="I153" s="210" t="s">
        <v>348</v>
      </c>
      <c r="J153">
        <v>10</v>
      </c>
      <c r="K153" s="210" t="str">
        <f>VLOOKUP(F153,'CFT Specific Data'!$F$4:$G$19,2,FALSE)</f>
        <v>Barley</v>
      </c>
      <c r="L153" t="str">
        <f t="shared" si="14"/>
        <v>Coarse</v>
      </c>
      <c r="M153">
        <f t="shared" si="15"/>
        <v>5.16</v>
      </c>
      <c r="N153" t="str">
        <f t="shared" si="16"/>
        <v>1.72 &lt; SOM &lt;= 5.16</v>
      </c>
      <c r="O153" t="s">
        <v>349</v>
      </c>
      <c r="P153" t="s">
        <v>350</v>
      </c>
      <c r="Q153">
        <v>7</v>
      </c>
      <c r="R153" t="str">
        <f t="shared" si="12"/>
        <v>5.5 &lt; pH &lt;= 7.3</v>
      </c>
      <c r="S153" t="s">
        <v>351</v>
      </c>
      <c r="T153" s="210">
        <f t="array" ref="T153">_xlfn.SINGLE(INDEX('Focus Data NFertiliser Rate'!$D$4:$P$19,MATCH(F153,'Focus Data NFertiliser Rate'!$C$4:$C$19,0),_xlfn.SINGLE(_xlfn.IFS(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110</v>
      </c>
      <c r="U153" t="str">
        <f t="shared" si="17"/>
        <v>Apply in solution</v>
      </c>
      <c r="V153" s="210">
        <f t="array" ref="V153">_xlfn.SINGLE(INDEX('№ Fertiliser sprayings'!$D$4:$P$19,MATCH(F153,'№ Fertiliser sprayings'!$C$4:$C$19,0),_xlfn.SINGLE(_xlfn.IFS(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1</v>
      </c>
      <c r="W153" s="264">
        <f t="array" ref="W153">_xlfn.SINGLE(INDEX('Focus Data CFT NSpraying'!$D$4:$P$19,MATCH(F153,'Focus Data CFT NSpraying'!$C$4:$C$19,0),_xlfn.SINGLE(_xlfn.IFS(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6.16</v>
      </c>
      <c r="X153" t="s">
        <v>363</v>
      </c>
      <c r="Y153">
        <v>0</v>
      </c>
      <c r="Z153">
        <v>100</v>
      </c>
      <c r="AA153" t="s">
        <v>352</v>
      </c>
      <c r="AB153" s="226" t="str">
        <f>IF(B153=B152,_xlfn.IFS(
AND(AA153=Lists!$L$8,AA152=Lists!$L$8),Lists!$N$5,
AND(OR(AA153=Lists!$L$5,AA153=Lists!$L$7,AA153=Lists!$L$9,AA153=Lists!$L$10,AA153=Lists!$L$6),OR(AA152=Lists!$L$5,AA152=Lists!$L$7,AA152=Lists!$L$9,AA152=Lists!$L$10,AA152=Lists!$L$6)),Lists!$N$5,
AND(AA153=Lists!$L$8,OR(AA152=Lists!$L$5,AA152=Lists!$L$7,AA152=Lists!$L$9,AA152=Lists!$L$10,AA152=Lists!$L$6)),Lists!$N$6,
AND(OR(AA153=Lists!$L$5,AA153=Lists!$L$6,AA153=Lists!$L$7,AA153=Lists!$L$9,AA153=Lists!$L$10),AA152=Lists!$L$8),Lists!$N$7),
_xlfn.IFS(
AND(AA153=Lists!$L$8,AA158=Lists!$L$8),Lists!$N$5,
AND(OR(AA153=Lists!$L$5,AA153=Lists!$L$7,AA153=Lists!$L$9,AA153=Lists!$L$10,AA153=Lists!$L$6),OR(AA158=Lists!$L$5,AA158=Lists!$L$7,AA158=Lists!$L$9,AA158=Lists!$L$10,AA158=Lists!$L$6)),Lists!$N$5,
AND(AA153=Lists!$L$8,OR(AA158=Lists!$L$5,AA158=Lists!$L$7,AA158=Lists!$L$9,AA158=Lists!$L$10,AA158=Lists!$L$6)),Lists!$N$6,
AND(OR(AA153=Lists!$L$5,AA153=Lists!$L$7,AA153=Lists!$L$9,AA153=Lists!$L$10),AA158=Lists!$L$8),Lists!$N$7))</f>
        <v>no change</v>
      </c>
      <c r="AC153">
        <v>0</v>
      </c>
      <c r="AD153">
        <v>0</v>
      </c>
      <c r="AE153" s="102">
        <f t="array" ref="AE153">IF(OR(ISNUMBER(SEARCH("heavy",A153))=TRUE, ISNUMBER(SEARCH("medium",A153))=TRUE),
(LEN(_xlfn.SINGLE(
INDEX('Focus Data Tillage by farm'!$D$4:$P$9,MATCH(D153,'Focus Data Tillage by farm'!$C$4:$C$9,0),_xlfn.SINGLE(_xlfn.IFS(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-LEN(SUBSTITUTE(_xlfn.SINGLE(
INDEX('Focus Data Tillage by farm'!$D$4:$P$9,MATCH(D153,'Focus Data Tillage by farm'!$C$4:$C$9,0),_xlfn.SINGLE(_xlfn.IFS(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"disc","")))/LEN("disc"),
(LEN(_xlfn.SINGLE(
INDEX('Focus Data Tillage by farm'!$D$12:$P$17,MATCH(D153,'Focus Data Tillage by farm'!$C$12:$C$17,0),_xlfn.SINGLE(_xlfn.IFS(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-LEN(SUBSTITUTE(_xlfn.SINGLE(
INDEX('Focus Data Tillage by farm'!$D$12:$P$17,MATCH(D153,'Focus Data Tillage by farm'!$C$12:$C$17,0),_xlfn.SINGLE(_xlfn.IFS(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"disc","")))/LEN("disc"))</f>
        <v>4</v>
      </c>
      <c r="AF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"field cultivator","")))/LEN("field cultivator"),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"field cultivator","")))/LEN("field cultivator"))</f>
        <v>0</v>
      </c>
      <c r="AG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"grain drill","")))/LEN("grain drill"),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"grain drill","")))/LEN("grain drill"))</f>
        <v>0</v>
      </c>
      <c r="AH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"minimum tillage","")))/LEN("minimum tillage"),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"minimum tillage","")))/LEN("minimum tillage"))</f>
        <v>1</v>
      </c>
      <c r="AI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"row crop planter","")))/LEN("row crop planter"),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"row crop planter","")))/LEN("row crop planter"))</f>
        <v>0</v>
      </c>
      <c r="AJ153" s="102">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"plough","")))/LEN("plough"),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"plough","")))/LEN("plough"))</f>
        <v>0</v>
      </c>
      <c r="AK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harrow","")))/LEN("roller harrow"),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harrow","")))/LEN("roller harrow"))</f>
        <v>0</v>
      </c>
      <c r="AL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packer","")))/LEN("roller packer"),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"roller packer","")))/LEN("roller packer"))</f>
        <v>2</v>
      </c>
      <c r="AM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"rotary hoe","")))/LEN("rotary hoe"),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"rotary hoe","")))/LEN("rotary hoe"))</f>
        <v>0</v>
      </c>
      <c r="AN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"subsoil","")))/LEN("subsoil"),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"subsoil","")))/LEN("subsoil"))</f>
        <v>0</v>
      </c>
      <c r="AO153">
        <f>IF(OR(ISNUMBER(SEARCH("heavy",A153))=TRUE, ISNUMBER(SEARCH("medium",A153))=TRUE),
(LEN(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farm'!$D$4:$P$9,MATCH(D153,'Focus Data Tillage by farm'!$C$4:$C$9,0),_xlfn.IFS(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"tine harrow","")))/LEN("tine harrow"),
(LEN(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-LEN(SUBSTITUTE(
INDEX('Focus Data Tillage by farm'!$D$12:$P$17,MATCH(D153,'Focus Data Tillage by farm'!$C$12:$C$17,0),_xlfn.IFS(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
"tine harrow","")))/LEN("tine harrow"))</f>
        <v>0</v>
      </c>
      <c r="AP153" s="102">
        <f>INDEX('Focus Data NSpraying'!$D$4:$P$19,MATCH(F153,'Focus Data NSpraying'!$C$4:$C$19,0),_xlfn.IFS(
AND(ISNUMBER(SEARCH("H-Dsty.",A153))=TRUE,ISNUMBER(SEARCH("H-Res",A153))=TRUE,ISNUMBER(SEARCH("E.",A153))=TRUE),1,
AND(ISNUMBER(SEARCH("H-Dsty.",A153))=TRUE,ISNUMBER(SEARCH("H-Res",A153))=TRUE,OR(ISNUMBER(SEARCH("N.he",A153))=TRUE,ISNUMBER(SEARCH("N.me",A153))=TRUE,ISNUMBER(SEARCH("N.li",A153))=TRUE)),2,
AND(ISNUMBER(SEARCH("H-Dsty.",A153))=TRUE,ISNUMBER(SEARCH("H-Res",A153))=TRUE,ISNUMBER(SEARCH("C.",A153))=TRUE),3,
AND(ISNUMBER(SEARCH("L-Dsty.",A153))=TRUE,ISNUMBER(SEARCH("H-Res",A153))=TRUE,ISNUMBER(SEARCH("E.",A153))=TRUE),6,
AND(ISNUMBER(SEARCH("L-Dsty.",A153))=TRUE,ISNUMBER(SEARCH("H-Res",A153))=TRUE,OR(ISNUMBER(SEARCH("N.he",A153))=TRUE,ISNUMBER(SEARCH("N.me",A153))=TRUE,ISNUMBER(SEARCH("N.li",A153))=TRUE)),7,
AND(ISNUMBER(SEARCH("L-Dsty.",A153))=TRUE,ISNUMBER(SEARCH("H-Res",A153))=TRUE,ISNUMBER(SEARCH("C.",A153))=TRUE),8,
AND(ISNUMBER(SEARCH("L-Dsty.",A153))=TRUE,ISNUMBER(SEARCH("L-Res",A153))=TRUE,ISNUMBER(SEARCH("E.",A153))=TRUE),11,
AND(ISNUMBER(SEARCH("L-Dsty.",A153))=TRUE,ISNUMBER(SEARCH("L-Res",A153))=TRUE,OR(ISNUMBER(SEARCH("N.he",A153))=TRUE,ISNUMBER(SEARCH("N.me",A153))=TRUE,ISNUMBER(SEARCH("N.li",A153))=TRUE)),12,
AND(ISNUMBER(SEARCH("L-Dsty.",A153))=TRUE,ISNUMBER(SEARCH("L-Res",A153))=TRUE,ISNUMBER(SEARCH("C.",A153))=TRUE),13))</f>
        <v>5</v>
      </c>
    </row>
    <row r="154" spans="1:42" x14ac:dyDescent="0.2">
      <c r="A154" t="s">
        <v>500</v>
      </c>
      <c r="B154" s="210" t="str">
        <f t="array" ref="B154">INDEX(ECOMOD_input_estimate!$A$2:$A$55, MATCH(CFT_input!$A154, ECOMOD_input_estimate!$B:$B, 0))</f>
        <v>FF_10.2</v>
      </c>
      <c r="C154" s="210">
        <v>2020</v>
      </c>
      <c r="D154" s="395" t="s">
        <v>1694</v>
      </c>
      <c r="E154" s="210" t="str">
        <f t="shared" si="13"/>
        <v>C.light.L-Dsty.H-Res</v>
      </c>
      <c r="F154" s="210" t="str">
        <f t="array" ref="F154">_xlfn.SINGLE(IF(OR(ISNUMBER(SEARCH("heavy",A154))=TRUE,ISNUMBER(SEARCH("medium",A154))=TRUE),
INDEX('Focus Data Crop Rotations'!$D$4:$P$9,MATCH(D154,'Focus Data Crop Rotations'!$C$4:$C$9,0),_xlfn.SINGLE(_xlfn.IFS(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INDEX('Focus Data Crop Rotations'!$D$12:$P$17,MATCH(D154,'Focus Data Crop Rotations'!$C$12:$C$17,0),_xlfn.SINGLE(_xlfn.IFS(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wosr</v>
      </c>
      <c r="G154">
        <v>7.2</v>
      </c>
      <c r="H154" s="227">
        <f>VLOOKUP(F154,'CFT Specific Data'!$F$4:$H$19,3,FALSE)*G154*
IF(B154=B153,
IF(AND(ISNUMBER(SEARCH("wheat",F154))=TRUE,ISNUMBER(SEARCH("Barley",F153))=TRUE),0.89,
IF(AND(ISNUMBER(SEARCH("wheat",F154))=TRUE,F153="setaside"),0.94,
IF(AND(ISNUMBER(SEARCH("barley",F154))=TRUE,ISNUMBER(SEARCH("wheat",F153))=TRUE),0.89,
IF(AND(F154="winterbarley",F153="setaside"),0.94,
IF(AND(F154="sugarbeet",F153="warepotatoes"),0.95,
IF(AND((OR(ISNUMBER(SEARCH("beans",F154)),ISNUMBER(SEARCH("driedpeas",F154)),ISNUMBER(SEARCH("sugarbeet",F154)))=TRUE),ISNUMBER(SEARCH("osr",F153))=TRUE),0,
IF(AND((OR((ISNUMBER(SEARCH("wheat",F154))),ISNUMBER(SEARCH("linseed",F154)),ISNUMBER(SEARCH("driedpeas",F154)),ISNUMBER(SEARCH("osr",F154)))=TRUE),F153="sugarbeet"),0,
IF(AND((OR((ISNUMBER(SEARCH("osr",F154))),ISNUMBER(SEARCH("linseed",F154)))=TRUE),ISNUMBER(SEARCH("beans",F153))=TRUE),0,
IF(AND(F154="wosr",ISNUMBER(SEARCH("linseed",F153))=TRUE),0,
IF(AND(F154="sugarbeet",F153="warepotatoes"),0,
1)))))))))),
IF(AND(ISNUMBER(SEARCH("wheat",F154))=TRUE,ISNUMBER(SEARCH("Barley",F159))=TRUE),0.89,
IF(AND(ISNUMBER(SEARCH("wheat",F154))=TRUE,F159="setaside"),0.94,
IF(AND(ISNUMBER(SEARCH("barley",F154))=TRUE,ISNUMBER(SEARCH("wheat",F159))=TRUE),0.89,
IF(AND(F154="winterbarley",F159="setaside"),0.94,
IF(AND(F154="sugarbeet",F159="warepotatoes"),0.95,
IF(AND((OR(ISNUMBER(SEARCH("beans",F154)),ISNUMBER(SEARCH("driedpeas",F154)),ISNUMBER(SEARCH("sugarbeet",F154)))=TRUE),ISNUMBER(SEARCH("osr",F159))=TRUE),0,
IF(AND((OR((ISNUMBER(SEARCH("wheat",F154))),ISNUMBER(SEARCH("linseed",F154)),ISNUMBER(SEARCH("driedpeas",F154)),ISNUMBER(SEARCH("osr",F154)))=TRUE),F159="sugarbeet"),0,
IF(AND((OR((ISNUMBER(SEARCH("osr",F154))),ISNUMBER(SEARCH("linseed",F154)))=TRUE),ISNUMBER(SEARCH("beans",F159))=TRUE),0,
IF(AND(F154="wosr",ISNUMBER(SEARCH("linseed",F159))=TRUE),0,
IF(AND(F154="sugarbeet",F159="warepotatoes"),0,
1)))))))))))
*IF(OR(ISNUMBER(SEARCH("wheat",F154)),ISNUMBER(SEARCH("barley",F154)),ISNUMBER(SEARCH("driedpeas",F154)),ISNUMBER(SEARCH("warepotatoes",F154)),ISNUMBER(SEARCH("osr",F154)),ISNUMBER(SEARCH("linseed",F154)),ISNUMBER(SEARCH("sugarbeet",F154))),
IF(COUNTIF(B149:B153,B154)=5,
INDEX('CFT Specific Data'!$G$24:$L$39,MATCH(F154,'CFT Specific Data'!$F$24:$F$39,0),IF(COUNTIF(F149:F153,F154)=5,6,IF(COUNTIF(F150:F153,F154)=4,5,IF(COUNTIF(F151:F153,F154)=3,4,IF(COUNTIF(F152:F153,F154)=2,3,IF(F153=F154,2,1)))))),
IF(COUNTIF(B149:B153,B154)=4,
INDEX('CFT Specific Data'!$G$24:$L$39,MATCH(F154,'CFT Specific Data'!$F$24:$F$39,0),IF(SUM(COUNTIF(F150:F153,F154),COUNTIF(F155,F154))=5,6,IF(COUNTIF(F150:F153,F154)=4,5,IF(COUNTIF(F151:F153,F154)=3,4,IF(COUNTIF(F152:F153,F154)=2,3,IF(F153=F154,2,1)))))),
IF(COUNTIF(B149:B153,B154)=3,
INDEX('CFT Specific Data'!$G$24:$L$39,MATCH(F154,'CFT Specific Data'!$F$24:$F$39,0),IF(SUM(COUNTIF(F151:F153,F154),COUNTIF(F155:F156,F154))=5,6,IF(SUM(COUNTIF(F151:F153,F154),COUNTIF(F156,F154))=4,5,IF(COUNTIF(F151:F153,F154)=3,4,IF(COUNTIF(F152:F153,F154)=2,3,IF(F153=F154,2,1)))))),
IF(COUNTIF(B149:B153,B154)=2,
INDEX('CFT Specific Data'!$G$24:$L$39,MATCH(F154,'CFT Specific Data'!$F$24:$F$39,0),IF(SUM(COUNTIF(F152:F153,F154),COUNTIF(F155:F157,F154))=5,6,IF(SUM(COUNTIF(F152:F153,F154),COUNTIF(F156:F157,F154))=4,5,IF(SUM(COUNTIF(F152:F153,F154),COUNTIF(F157,F154))=3,4,IF(COUNTIF(F152:F153,F154)=2,3,IF(F153=F154,2,1)))))),
IF(COUNTIF(B149:B153,B154)=1,
INDEX('CFT Specific Data'!$G$24:$L$39,MATCH(F154,'CFT Specific Data'!$F$24:$F$39,0),IF(SUM(COUNTIF(F153,F154),COUNTIF(F155:F158,F154))=5,6,IF(SUM(COUNTIF(F153,F154),COUNTIF(F156:F158,F154))=4,5,IF(SUM(COUNTIF(F153,F154),COUNTIF(F157:F158,F154))=3,4,IF(SUM(COUNTIF(F153,F154),COUNTIF(F158,F154))=2,3,IF(F153=F154,2,1)))))),
IF(COUNTIF(B149:B153,B154)=0,
INDEX('CFT Specific Data'!$G$24:$L$39,MATCH(F154,'CFT Specific Data'!$F$24:$F$39,0),IF(COUNTIF(F155:F159,F154)=5,6,IF(COUNTIF(F156:F159,F154)=4,5,IF(COUNTIF(F157:F159,F154)=3,4,IF(COUNTIF(F158:F159,F154)=2,3,IF(F159=F154,2,1)))))))))))),1)</f>
        <v>25.2</v>
      </c>
      <c r="I154" s="210" t="s">
        <v>348</v>
      </c>
      <c r="J154">
        <v>10</v>
      </c>
      <c r="K154" s="210" t="str">
        <f>VLOOKUP(F154,'CFT Specific Data'!$F$4:$G$19,2,FALSE)</f>
        <v>Other</v>
      </c>
      <c r="L154" t="str">
        <f t="shared" si="14"/>
        <v>Coarse</v>
      </c>
      <c r="M154">
        <f t="shared" si="15"/>
        <v>5.16</v>
      </c>
      <c r="N154" t="str">
        <f t="shared" si="16"/>
        <v>1.72 &lt; SOM &lt;= 5.16</v>
      </c>
      <c r="O154" t="s">
        <v>349</v>
      </c>
      <c r="P154" t="s">
        <v>350</v>
      </c>
      <c r="Q154">
        <v>7</v>
      </c>
      <c r="R154" t="str">
        <f t="shared" si="12"/>
        <v>5.5 &lt; pH &lt;= 7.3</v>
      </c>
      <c r="S154" t="s">
        <v>351</v>
      </c>
      <c r="T154" s="210">
        <f t="array" ref="T154">_xlfn.SINGLE(INDEX('Focus Data NFertiliser Rate'!$D$4:$P$19,MATCH(F154,'Focus Data NFertiliser Rate'!$C$4:$C$19,0),_xlfn.SINGLE(_xlfn.IFS(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180</v>
      </c>
      <c r="U154" t="str">
        <f t="shared" si="17"/>
        <v>Apply in solution</v>
      </c>
      <c r="V154" s="210">
        <f t="array" ref="V154">_xlfn.SINGLE(INDEX('№ Fertiliser sprayings'!$D$4:$P$19,MATCH(F154,'№ Fertiliser sprayings'!$C$4:$C$19,0),_xlfn.SINGLE(_xlfn.IFS(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3</v>
      </c>
      <c r="W154" s="264">
        <f t="array" ref="W154">_xlfn.SINGLE(INDEX('Focus Data CFT NSpraying'!$D$4:$P$19,MATCH(F154,'Focus Data CFT NSpraying'!$C$4:$C$19,0),_xlfn.SINGLE(_xlfn.IFS(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6.94</v>
      </c>
      <c r="X154" t="s">
        <v>363</v>
      </c>
      <c r="Y154">
        <v>0</v>
      </c>
      <c r="Z154">
        <v>100</v>
      </c>
      <c r="AA154" t="s">
        <v>352</v>
      </c>
      <c r="AB154" s="226" t="str">
        <f>IF(B154=B153,_xlfn.IFS(
AND(AA154=Lists!$L$8,AA153=Lists!$L$8),Lists!$N$5,
AND(OR(AA154=Lists!$L$5,AA154=Lists!$L$7,AA154=Lists!$L$9,AA154=Lists!$L$10,AA154=Lists!$L$6),OR(AA153=Lists!$L$5,AA153=Lists!$L$7,AA153=Lists!$L$9,AA153=Lists!$L$10,AA153=Lists!$L$6)),Lists!$N$5,
AND(AA154=Lists!$L$8,OR(AA153=Lists!$L$5,AA153=Lists!$L$7,AA153=Lists!$L$9,AA153=Lists!$L$10,AA153=Lists!$L$6)),Lists!$N$6,
AND(OR(AA154=Lists!$L$5,AA154=Lists!$L$6,AA154=Lists!$L$7,AA154=Lists!$L$9,AA154=Lists!$L$10),AA153=Lists!$L$8),Lists!$N$7),
_xlfn.IFS(
AND(AA154=Lists!$L$8,AA159=Lists!$L$8),Lists!$N$5,
AND(OR(AA154=Lists!$L$5,AA154=Lists!$L$7,AA154=Lists!$L$9,AA154=Lists!$L$10,AA154=Lists!$L$6),OR(AA159=Lists!$L$5,AA159=Lists!$L$7,AA159=Lists!$L$9,AA159=Lists!$L$10,AA159=Lists!$L$6)),Lists!$N$5,
AND(AA154=Lists!$L$8,OR(AA159=Lists!$L$5,AA159=Lists!$L$7,AA159=Lists!$L$9,AA159=Lists!$L$10,AA159=Lists!$L$6)),Lists!$N$6,
AND(OR(AA154=Lists!$L$5,AA154=Lists!$L$7,AA154=Lists!$L$9,AA154=Lists!$L$10),AA159=Lists!$L$8),Lists!$N$7))</f>
        <v>no change</v>
      </c>
      <c r="AC154">
        <v>0</v>
      </c>
      <c r="AD154">
        <v>0</v>
      </c>
      <c r="AE154" s="102">
        <f t="array" ref="AE154">IF(OR(ISNUMBER(SEARCH("heavy",A154))=TRUE, ISNUMBER(SEARCH("medium",A154))=TRUE),
(LEN(_xlfn.SINGLE(
INDEX('Focus Data Tillage by farm'!$D$4:$P$9,MATCH(D154,'Focus Data Tillage by farm'!$C$4:$C$9,0),_xlfn.SINGLE(_xlfn.IFS(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-LEN(SUBSTITUTE(_xlfn.SINGLE(
INDEX('Focus Data Tillage by farm'!$D$4:$P$9,MATCH(D154,'Focus Data Tillage by farm'!$C$4:$C$9,0),_xlfn.SINGLE(_xlfn.IFS(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"disc","")))/LEN("disc"),
(LEN(_xlfn.SINGLE(
INDEX('Focus Data Tillage by farm'!$D$12:$P$17,MATCH(D154,'Focus Data Tillage by farm'!$C$12:$C$17,0),_xlfn.SINGLE(_xlfn.IFS(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-LEN(SUBSTITUTE(_xlfn.SINGLE(
INDEX('Focus Data Tillage by farm'!$D$12:$P$17,MATCH(D154,'Focus Data Tillage by farm'!$C$12:$C$17,0),_xlfn.SINGLE(_xlfn.IFS(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"disc","")))/LEN("disc"))</f>
        <v>0</v>
      </c>
      <c r="AF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"field cultivator","")))/LEN("field cultivator"),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"field cultivator","")))/LEN("field cultivator"))</f>
        <v>0</v>
      </c>
      <c r="AG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"grain drill","")))/LEN("grain drill"),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"grain drill","")))/LEN("grain drill"))</f>
        <v>0</v>
      </c>
      <c r="AH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"minimum tillage","")))/LEN("minimum tillage"),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"minimum tillage","")))/LEN("minimum tillage"))</f>
        <v>1</v>
      </c>
      <c r="AI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"row crop planter","")))/LEN("row crop planter"),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"row crop planter","")))/LEN("row crop planter"))</f>
        <v>0</v>
      </c>
      <c r="AJ154" s="102">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"plough","")))/LEN("plough"),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"plough","")))/LEN("plough"))</f>
        <v>0</v>
      </c>
      <c r="AK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harrow","")))/LEN("roller harrow"),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harrow","")))/LEN("roller harrow"))</f>
        <v>0</v>
      </c>
      <c r="AL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packer","")))/LEN("roller packer"),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"roller packer","")))/LEN("roller packer"))</f>
        <v>1</v>
      </c>
      <c r="AM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"rotary hoe","")))/LEN("rotary hoe"),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"rotary hoe","")))/LEN("rotary hoe"))</f>
        <v>0</v>
      </c>
      <c r="AN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"subsoil","")))/LEN("subsoil"),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"subsoil","")))/LEN("subsoil"))</f>
        <v>0</v>
      </c>
      <c r="AO154">
        <f>IF(OR(ISNUMBER(SEARCH("heavy",A154))=TRUE, ISNUMBER(SEARCH("medium",A154))=TRUE),
(LEN(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farm'!$D$4:$P$9,MATCH(D154,'Focus Data Tillage by farm'!$C$4:$C$9,0),_xlfn.IFS(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"tine harrow","")))/LEN("tine harrow"),
(LEN(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-LEN(SUBSTITUTE(
INDEX('Focus Data Tillage by farm'!$D$12:$P$17,MATCH(D154,'Focus Data Tillage by farm'!$C$12:$C$17,0),_xlfn.IFS(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
"tine harrow","")))/LEN("tine harrow"))</f>
        <v>0</v>
      </c>
      <c r="AP154" s="102">
        <f>INDEX('Focus Data NSpraying'!$D$4:$P$19,MATCH(F154,'Focus Data NSpraying'!$C$4:$C$19,0),_xlfn.IFS(
AND(ISNUMBER(SEARCH("H-Dsty.",A154))=TRUE,ISNUMBER(SEARCH("H-Res",A154))=TRUE,ISNUMBER(SEARCH("E.",A154))=TRUE),1,
AND(ISNUMBER(SEARCH("H-Dsty.",A154))=TRUE,ISNUMBER(SEARCH("H-Res",A154))=TRUE,OR(ISNUMBER(SEARCH("N.he",A154))=TRUE,ISNUMBER(SEARCH("N.me",A154))=TRUE,ISNUMBER(SEARCH("N.li",A154))=TRUE)),2,
AND(ISNUMBER(SEARCH("H-Dsty.",A154))=TRUE,ISNUMBER(SEARCH("H-Res",A154))=TRUE,ISNUMBER(SEARCH("C.",A154))=TRUE),3,
AND(ISNUMBER(SEARCH("L-Dsty.",A154))=TRUE,ISNUMBER(SEARCH("H-Res",A154))=TRUE,ISNUMBER(SEARCH("E.",A154))=TRUE),6,
AND(ISNUMBER(SEARCH("L-Dsty.",A154))=TRUE,ISNUMBER(SEARCH("H-Res",A154))=TRUE,OR(ISNUMBER(SEARCH("N.he",A154))=TRUE,ISNUMBER(SEARCH("N.me",A154))=TRUE,ISNUMBER(SEARCH("N.li",A154))=TRUE)),7,
AND(ISNUMBER(SEARCH("L-Dsty.",A154))=TRUE,ISNUMBER(SEARCH("H-Res",A154))=TRUE,ISNUMBER(SEARCH("C.",A154))=TRUE),8,
AND(ISNUMBER(SEARCH("L-Dsty.",A154))=TRUE,ISNUMBER(SEARCH("L-Res",A154))=TRUE,ISNUMBER(SEARCH("E.",A154))=TRUE),11,
AND(ISNUMBER(SEARCH("L-Dsty.",A154))=TRUE,ISNUMBER(SEARCH("L-Res",A154))=TRUE,OR(ISNUMBER(SEARCH("N.he",A154))=TRUE,ISNUMBER(SEARCH("N.me",A154))=TRUE,ISNUMBER(SEARCH("N.li",A154))=TRUE)),12,
AND(ISNUMBER(SEARCH("L-Dsty.",A154))=TRUE,ISNUMBER(SEARCH("L-Res",A154))=TRUE,ISNUMBER(SEARCH("C.",A154))=TRUE),13))</f>
        <v>4</v>
      </c>
    </row>
    <row r="155" spans="1:42" x14ac:dyDescent="0.2">
      <c r="A155" t="s">
        <v>500</v>
      </c>
      <c r="B155" s="210" t="str">
        <f t="array" ref="B155">INDEX(ECOMOD_input_estimate!$A$2:$A$55, MATCH(CFT_input!$A155, ECOMOD_input_estimate!$B:$B, 0))</f>
        <v>FF_10.2</v>
      </c>
      <c r="C155" s="210">
        <v>2020</v>
      </c>
      <c r="D155" s="395" t="s">
        <v>1695</v>
      </c>
      <c r="E155" s="210" t="str">
        <f t="shared" si="13"/>
        <v>C.light.L-Dsty.H-Res</v>
      </c>
      <c r="F155" s="210" t="str">
        <f t="array" ref="F155">_xlfn.SINGLE(IF(OR(ISNUMBER(SEARCH("heavy",A155))=TRUE,ISNUMBER(SEARCH("medium",A155))=TRUE),
INDEX('Focus Data Crop Rotations'!$D$4:$P$9,MATCH(D155,'Focus Data Crop Rotations'!$C$4:$C$9,0),_xlfn.SINGLE(_xlfn.IFS(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INDEX('Focus Data Crop Rotations'!$D$12:$P$17,MATCH(D155,'Focus Data Crop Rotations'!$C$12:$C$17,0),_xlfn.SINGLE(_xlfn.IFS(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winterwheat</v>
      </c>
      <c r="G155">
        <v>7.2</v>
      </c>
      <c r="H155" s="227">
        <f>VLOOKUP(F155,'CFT Specific Data'!$F$4:$H$19,3,FALSE)*G155*
IF(B155=B154,
IF(AND(ISNUMBER(SEARCH("wheat",F155))=TRUE,ISNUMBER(SEARCH("Barley",F154))=TRUE),0.89,
IF(AND(ISNUMBER(SEARCH("wheat",F155))=TRUE,F154="setaside"),0.94,
IF(AND(ISNUMBER(SEARCH("barley",F155))=TRUE,ISNUMBER(SEARCH("wheat",F154))=TRUE),0.89,
IF(AND(F155="winterbarley",F154="setaside"),0.94,
IF(AND(F155="sugarbeet",F154="warepotatoes"),0.95,
IF(AND((OR(ISNUMBER(SEARCH("beans",F155)),ISNUMBER(SEARCH("driedpeas",F155)),ISNUMBER(SEARCH("sugarbeet",F155)))=TRUE),ISNUMBER(SEARCH("osr",F154))=TRUE),0,
IF(AND((OR((ISNUMBER(SEARCH("wheat",F155))),ISNUMBER(SEARCH("linseed",F155)),ISNUMBER(SEARCH("driedpeas",F155)),ISNUMBER(SEARCH("osr",F155)))=TRUE),F154="sugarbeet"),0,
IF(AND((OR((ISNUMBER(SEARCH("osr",F155))),ISNUMBER(SEARCH("linseed",F155)))=TRUE),ISNUMBER(SEARCH("beans",F154))=TRUE),0,
IF(AND(F155="wosr",ISNUMBER(SEARCH("linseed",F154))=TRUE),0,
IF(AND(F155="sugarbeet",F154="warepotatoes"),0,
1)))))))))),
IF(AND(ISNUMBER(SEARCH("wheat",F155))=TRUE,ISNUMBER(SEARCH("Barley",F160))=TRUE),0.89,
IF(AND(ISNUMBER(SEARCH("wheat",F155))=TRUE,F160="setaside"),0.94,
IF(AND(ISNUMBER(SEARCH("barley",F155))=TRUE,ISNUMBER(SEARCH("wheat",F160))=TRUE),0.89,
IF(AND(F155="winterbarley",F160="setaside"),0.94,
IF(AND(F155="sugarbeet",F160="warepotatoes"),0.95,
IF(AND((OR(ISNUMBER(SEARCH("beans",F155)),ISNUMBER(SEARCH("driedpeas",F155)),ISNUMBER(SEARCH("sugarbeet",F155)))=TRUE),ISNUMBER(SEARCH("osr",F160))=TRUE),0,
IF(AND((OR((ISNUMBER(SEARCH("wheat",F155))),ISNUMBER(SEARCH("linseed",F155)),ISNUMBER(SEARCH("driedpeas",F155)),ISNUMBER(SEARCH("osr",F155)))=TRUE),F160="sugarbeet"),0,
IF(AND((OR((ISNUMBER(SEARCH("osr",F155))),ISNUMBER(SEARCH("linseed",F155)))=TRUE),ISNUMBER(SEARCH("beans",F160))=TRUE),0,
IF(AND(F155="wosr",ISNUMBER(SEARCH("linseed",F160))=TRUE),0,
IF(AND(F155="sugarbeet",F160="warepotatoes"),0,
1)))))))))))
*IF(OR(ISNUMBER(SEARCH("wheat",F155)),ISNUMBER(SEARCH("barley",F155)),ISNUMBER(SEARCH("driedpeas",F155)),ISNUMBER(SEARCH("warepotatoes",F155)),ISNUMBER(SEARCH("osr",F155)),ISNUMBER(SEARCH("linseed",F155)),ISNUMBER(SEARCH("sugarbeet",F155))),
IF(COUNTIF(B150:B154,B155)=5,
INDEX('CFT Specific Data'!$G$24:$L$39,MATCH(F155,'CFT Specific Data'!$F$24:$F$39,0),IF(COUNTIF(F150:F154,F155)=5,6,IF(COUNTIF(F151:F154,F155)=4,5,IF(COUNTIF(F152:F154,F155)=3,4,IF(COUNTIF(F153:F154,F155)=2,3,IF(F154=F155,2,1)))))),
IF(COUNTIF(B150:B154,B155)=4,
INDEX('CFT Specific Data'!$G$24:$L$39,MATCH(F155,'CFT Specific Data'!$F$24:$F$39,0),IF(SUM(COUNTIF(F151:F154,F155),COUNTIF(F156,F155))=5,6,IF(COUNTIF(F151:F154,F155)=4,5,IF(COUNTIF(F152:F154,F155)=3,4,IF(COUNTIF(F153:F154,F155)=2,3,IF(F154=F155,2,1)))))),
IF(COUNTIF(B150:B154,B155)=3,
INDEX('CFT Specific Data'!$G$24:$L$39,MATCH(F155,'CFT Specific Data'!$F$24:$F$39,0),IF(SUM(COUNTIF(F152:F154,F155),COUNTIF(F156:F157,F155))=5,6,IF(SUM(COUNTIF(F152:F154,F155),COUNTIF(F157,F155))=4,5,IF(COUNTIF(F152:F154,F155)=3,4,IF(COUNTIF(F153:F154,F155)=2,3,IF(F154=F155,2,1)))))),
IF(COUNTIF(B150:B154,B155)=2,
INDEX('CFT Specific Data'!$G$24:$L$39,MATCH(F155,'CFT Specific Data'!$F$24:$F$39,0),IF(SUM(COUNTIF(F153:F154,F155),COUNTIF(F156:F158,F155))=5,6,IF(SUM(COUNTIF(F153:F154,F155),COUNTIF(F157:F158,F155))=4,5,IF(SUM(COUNTIF(F153:F154,F155),COUNTIF(F158,F155))=3,4,IF(COUNTIF(F153:F154,F155)=2,3,IF(F154=F155,2,1)))))),
IF(COUNTIF(B150:B154,B155)=1,
INDEX('CFT Specific Data'!$G$24:$L$39,MATCH(F155,'CFT Specific Data'!$F$24:$F$39,0),IF(SUM(COUNTIF(F154,F155),COUNTIF(F156:F159,F155))=5,6,IF(SUM(COUNTIF(F154,F155),COUNTIF(F157:F159,F155))=4,5,IF(SUM(COUNTIF(F154,F155),COUNTIF(F158:F159,F155))=3,4,IF(SUM(COUNTIF(F154,F155),COUNTIF(F159,F155))=2,3,IF(F154=F155,2,1)))))),
IF(COUNTIF(B150:B154,B155)=0,
INDEX('CFT Specific Data'!$G$24:$L$39,MATCH(F155,'CFT Specific Data'!$F$24:$F$39,0),IF(COUNTIF(F156:F160,F155)=5,6,IF(COUNTIF(F157:F160,F155)=4,5,IF(COUNTIF(F158:F160,F155)=3,4,IF(COUNTIF(F159:F160,F155)=2,3,IF(F160=F155,2,1)))))))))))),1)</f>
        <v>61.92</v>
      </c>
      <c r="I155" s="210" t="s">
        <v>348</v>
      </c>
      <c r="J155">
        <v>10</v>
      </c>
      <c r="K155" s="210" t="str">
        <f>VLOOKUP(F155,'CFT Specific Data'!$F$4:$G$19,2,FALSE)</f>
        <v>Winter wheat</v>
      </c>
      <c r="L155" t="str">
        <f t="shared" si="14"/>
        <v>Coarse</v>
      </c>
      <c r="M155">
        <f t="shared" si="15"/>
        <v>5.16</v>
      </c>
      <c r="N155" t="str">
        <f t="shared" si="16"/>
        <v>1.72 &lt; SOM &lt;= 5.16</v>
      </c>
      <c r="O155" t="s">
        <v>349</v>
      </c>
      <c r="P155" t="s">
        <v>350</v>
      </c>
      <c r="Q155">
        <v>7</v>
      </c>
      <c r="R155" t="str">
        <f t="shared" si="12"/>
        <v>5.5 &lt; pH &lt;= 7.3</v>
      </c>
      <c r="S155" t="s">
        <v>351</v>
      </c>
      <c r="T155" s="210">
        <f t="array" ref="T155">_xlfn.SINGLE(INDEX('Focus Data NFertiliser Rate'!$D$4:$P$19,MATCH(F155,'Focus Data NFertiliser Rate'!$C$4:$C$19,0),_xlfn.SINGLE(_xlfn.IFS(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220</v>
      </c>
      <c r="U155" t="str">
        <f t="shared" si="17"/>
        <v>Apply in solution</v>
      </c>
      <c r="V155" s="210">
        <f t="array" ref="V155">_xlfn.SINGLE(INDEX('№ Fertiliser sprayings'!$D$4:$P$19,MATCH(F155,'№ Fertiliser sprayings'!$C$4:$C$19,0),_xlfn.SINGLE(_xlfn.IFS(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3</v>
      </c>
      <c r="W155" s="264">
        <f t="array" ref="W155">_xlfn.SINGLE(INDEX('Focus Data CFT NSpraying'!$D$4:$P$19,MATCH(F155,'Focus Data CFT NSpraying'!$C$4:$C$19,0),_xlfn.SINGLE(_xlfn.IFS(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5.7560000000000002</v>
      </c>
      <c r="X155" t="s">
        <v>363</v>
      </c>
      <c r="Y155">
        <v>0</v>
      </c>
      <c r="Z155">
        <v>100</v>
      </c>
      <c r="AA155" t="s">
        <v>352</v>
      </c>
      <c r="AB155" s="226" t="str">
        <f>IF(B155=B154,_xlfn.IFS(
AND(AA155=Lists!$L$8,AA154=Lists!$L$8),Lists!$N$5,
AND(OR(AA155=Lists!$L$5,AA155=Lists!$L$7,AA155=Lists!$L$9,AA155=Lists!$L$10,AA155=Lists!$L$6),OR(AA154=Lists!$L$5,AA154=Lists!$L$7,AA154=Lists!$L$9,AA154=Lists!$L$10,AA154=Lists!$L$6)),Lists!$N$5,
AND(AA155=Lists!$L$8,OR(AA154=Lists!$L$5,AA154=Lists!$L$7,AA154=Lists!$L$9,AA154=Lists!$L$10,AA154=Lists!$L$6)),Lists!$N$6,
AND(OR(AA155=Lists!$L$5,AA155=Lists!$L$6,AA155=Lists!$L$7,AA155=Lists!$L$9,AA155=Lists!$L$10),AA154=Lists!$L$8),Lists!$N$7),
_xlfn.IFS(
AND(AA155=Lists!$L$8,AA160=Lists!$L$8),Lists!$N$5,
AND(OR(AA155=Lists!$L$5,AA155=Lists!$L$7,AA155=Lists!$L$9,AA155=Lists!$L$10,AA155=Lists!$L$6),OR(AA160=Lists!$L$5,AA160=Lists!$L$7,AA160=Lists!$L$9,AA160=Lists!$L$10,AA160=Lists!$L$6)),Lists!$N$5,
AND(AA155=Lists!$L$8,OR(AA160=Lists!$L$5,AA160=Lists!$L$7,AA160=Lists!$L$9,AA160=Lists!$L$10,AA160=Lists!$L$6)),Lists!$N$6,
AND(OR(AA155=Lists!$L$5,AA155=Lists!$L$7,AA155=Lists!$L$9,AA155=Lists!$L$10),AA160=Lists!$L$8),Lists!$N$7))</f>
        <v>no change</v>
      </c>
      <c r="AC155">
        <v>0</v>
      </c>
      <c r="AD155">
        <v>0</v>
      </c>
      <c r="AE155" s="102">
        <f t="array" ref="AE155">IF(OR(ISNUMBER(SEARCH("heavy",A155))=TRUE, ISNUMBER(SEARCH("medium",A155))=TRUE),
(LEN(_xlfn.SINGLE(
INDEX('Focus Data Tillage by farm'!$D$4:$P$9,MATCH(D155,'Focus Data Tillage by farm'!$C$4:$C$9,0),_xlfn.SINGLE(_xlfn.IFS(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-LEN(SUBSTITUTE(_xlfn.SINGLE(
INDEX('Focus Data Tillage by farm'!$D$4:$P$9,MATCH(D155,'Focus Data Tillage by farm'!$C$4:$C$9,0),_xlfn.SINGLE(_xlfn.IFS(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"disc","")))/LEN("disc"),
(LEN(_xlfn.SINGLE(
INDEX('Focus Data Tillage by farm'!$D$12:$P$17,MATCH(D155,'Focus Data Tillage by farm'!$C$12:$C$17,0),_xlfn.SINGLE(_xlfn.IFS(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-LEN(SUBSTITUTE(_xlfn.SINGLE(
INDEX('Focus Data Tillage by farm'!$D$12:$P$17,MATCH(D155,'Focus Data Tillage by farm'!$C$12:$C$17,0),_xlfn.SINGLE(_xlfn.IFS(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"disc","")))/LEN("disc"))</f>
        <v>2</v>
      </c>
      <c r="AF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"field cultivator","")))/LEN("field cultivator"),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"field cultivator","")))/LEN("field cultivator"))</f>
        <v>0</v>
      </c>
      <c r="AG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"grain drill","")))/LEN("grain drill"),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"grain drill","")))/LEN("grain drill"))</f>
        <v>1</v>
      </c>
      <c r="AH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"minimum tillage","")))/LEN("minimum tillage"),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"minimum tillage","")))/LEN("minimum tillage"))</f>
        <v>0</v>
      </c>
      <c r="AI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"row crop planter","")))/LEN("row crop planter"),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"row crop planter","")))/LEN("row crop planter"))</f>
        <v>0</v>
      </c>
      <c r="AJ155" s="102">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"plough","")))/LEN("plough"),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"plough","")))/LEN("plough"))</f>
        <v>0</v>
      </c>
      <c r="AK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harrow","")))/LEN("roller harrow"),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harrow","")))/LEN("roller harrow"))</f>
        <v>0</v>
      </c>
      <c r="AL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packer","")))/LEN("roller packer"),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"roller packer","")))/LEN("roller packer"))</f>
        <v>2</v>
      </c>
      <c r="AM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"rotary hoe","")))/LEN("rotary hoe"),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"rotary hoe","")))/LEN("rotary hoe"))</f>
        <v>0</v>
      </c>
      <c r="AN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"subsoil","")))/LEN("subsoil"),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"subsoil","")))/LEN("subsoil"))</f>
        <v>0</v>
      </c>
      <c r="AO155">
        <f>IF(OR(ISNUMBER(SEARCH("heavy",A155))=TRUE, ISNUMBER(SEARCH("medium",A155))=TRUE),
(LEN(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farm'!$D$4:$P$9,MATCH(D155,'Focus Data Tillage by farm'!$C$4:$C$9,0),_xlfn.IFS(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"tine harrow","")))/LEN("tine harrow"),
(LEN(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-LEN(SUBSTITUTE(
INDEX('Focus Data Tillage by farm'!$D$12:$P$17,MATCH(D155,'Focus Data Tillage by farm'!$C$12:$C$17,0),_xlfn.IFS(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
"tine harrow","")))/LEN("tine harrow"))</f>
        <v>0</v>
      </c>
      <c r="AP155" s="102">
        <f>INDEX('Focus Data NSpraying'!$D$4:$P$19,MATCH(F155,'Focus Data NSpraying'!$C$4:$C$19,0),_xlfn.IFS(
AND(ISNUMBER(SEARCH("H-Dsty.",A155))=TRUE,ISNUMBER(SEARCH("H-Res",A155))=TRUE,ISNUMBER(SEARCH("E.",A155))=TRUE),1,
AND(ISNUMBER(SEARCH("H-Dsty.",A155))=TRUE,ISNUMBER(SEARCH("H-Res",A155))=TRUE,OR(ISNUMBER(SEARCH("N.he",A155))=TRUE,ISNUMBER(SEARCH("N.me",A155))=TRUE,ISNUMBER(SEARCH("N.li",A155))=TRUE)),2,
AND(ISNUMBER(SEARCH("H-Dsty.",A155))=TRUE,ISNUMBER(SEARCH("H-Res",A155))=TRUE,ISNUMBER(SEARCH("C.",A155))=TRUE),3,
AND(ISNUMBER(SEARCH("L-Dsty.",A155))=TRUE,ISNUMBER(SEARCH("H-Res",A155))=TRUE,ISNUMBER(SEARCH("E.",A155))=TRUE),6,
AND(ISNUMBER(SEARCH("L-Dsty.",A155))=TRUE,ISNUMBER(SEARCH("H-Res",A155))=TRUE,OR(ISNUMBER(SEARCH("N.he",A155))=TRUE,ISNUMBER(SEARCH("N.me",A155))=TRUE,ISNUMBER(SEARCH("N.li",A155))=TRUE)),7,
AND(ISNUMBER(SEARCH("L-Dsty.",A155))=TRUE,ISNUMBER(SEARCH("H-Res",A155))=TRUE,ISNUMBER(SEARCH("C.",A155))=TRUE),8,
AND(ISNUMBER(SEARCH("L-Dsty.",A155))=TRUE,ISNUMBER(SEARCH("L-Res",A155))=TRUE,ISNUMBER(SEARCH("E.",A155))=TRUE),11,
AND(ISNUMBER(SEARCH("L-Dsty.",A155))=TRUE,ISNUMBER(SEARCH("L-Res",A155))=TRUE,OR(ISNUMBER(SEARCH("N.he",A155))=TRUE,ISNUMBER(SEARCH("N.me",A155))=TRUE,ISNUMBER(SEARCH("N.li",A155))=TRUE)),12,
AND(ISNUMBER(SEARCH("L-Dsty.",A155))=TRUE,ISNUMBER(SEARCH("L-Res",A155))=TRUE,ISNUMBER(SEARCH("C.",A155))=TRUE),13))</f>
        <v>5</v>
      </c>
    </row>
    <row r="156" spans="1:42" x14ac:dyDescent="0.2">
      <c r="A156" t="s">
        <v>500</v>
      </c>
      <c r="B156" s="210" t="str">
        <f t="array" ref="B156">INDEX(ECOMOD_input_estimate!$A$2:$A$55, MATCH(CFT_input!$A156, ECOMOD_input_estimate!$B:$B, 0))</f>
        <v>FF_10.2</v>
      </c>
      <c r="C156" s="210">
        <v>2020</v>
      </c>
      <c r="D156" s="395" t="s">
        <v>1696</v>
      </c>
      <c r="E156" s="210" t="str">
        <f t="shared" si="13"/>
        <v>C.light.L-Dsty.H-Res</v>
      </c>
      <c r="F156" s="210" t="str">
        <f t="array" ref="F156">_xlfn.SINGLE(IF(OR(ISNUMBER(SEARCH("heavy",A156))=TRUE,ISNUMBER(SEARCH("medium",A156))=TRUE),
INDEX('Focus Data Crop Rotations'!$D$4:$P$9,MATCH(D156,'Focus Data Crop Rotations'!$C$4:$C$9,0),_xlfn.SINGLE(_xlfn.IFS(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INDEX('Focus Data Crop Rotations'!$D$12:$P$17,MATCH(D156,'Focus Data Crop Rotations'!$C$12:$C$17,0),_xlfn.SINGLE(_xlfn.IFS(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springbarley</v>
      </c>
      <c r="G156">
        <v>7.2</v>
      </c>
      <c r="H156" s="227">
        <f>VLOOKUP(F156,'CFT Specific Data'!$F$4:$H$19,3,FALSE)*G156*
IF(B156=B155,
IF(AND(ISNUMBER(SEARCH("wheat",F156))=TRUE,ISNUMBER(SEARCH("Barley",F155))=TRUE),0.89,
IF(AND(ISNUMBER(SEARCH("wheat",F156))=TRUE,F155="setaside"),0.94,
IF(AND(ISNUMBER(SEARCH("barley",F156))=TRUE,ISNUMBER(SEARCH("wheat",F155))=TRUE),0.89,
IF(AND(F156="winterbarley",F155="setaside"),0.94,
IF(AND(F156="sugarbeet",F155="warepotatoes"),0.95,
IF(AND((OR(ISNUMBER(SEARCH("beans",F156)),ISNUMBER(SEARCH("driedpeas",F156)),ISNUMBER(SEARCH("sugarbeet",F156)))=TRUE),ISNUMBER(SEARCH("osr",F155))=TRUE),0,
IF(AND((OR((ISNUMBER(SEARCH("wheat",F156))),ISNUMBER(SEARCH("linseed",F156)),ISNUMBER(SEARCH("driedpeas",F156)),ISNUMBER(SEARCH("osr",F156)))=TRUE),F155="sugarbeet"),0,
IF(AND((OR((ISNUMBER(SEARCH("osr",F156))),ISNUMBER(SEARCH("linseed",F156)))=TRUE),ISNUMBER(SEARCH("beans",F155))=TRUE),0,
IF(AND(F156="wosr",ISNUMBER(SEARCH("linseed",F155))=TRUE),0,
IF(AND(F156="sugarbeet",F155="warepotatoes"),0,
1)))))))))),
IF(AND(ISNUMBER(SEARCH("wheat",F156))=TRUE,ISNUMBER(SEARCH("Barley",F161))=TRUE),0.89,
IF(AND(ISNUMBER(SEARCH("wheat",F156))=TRUE,F161="setaside"),0.94,
IF(AND(ISNUMBER(SEARCH("barley",F156))=TRUE,ISNUMBER(SEARCH("wheat",F161))=TRUE),0.89,
IF(AND(F156="winterbarley",F161="setaside"),0.94,
IF(AND(F156="sugarbeet",F161="warepotatoes"),0.95,
IF(AND((OR(ISNUMBER(SEARCH("beans",F156)),ISNUMBER(SEARCH("driedpeas",F156)),ISNUMBER(SEARCH("sugarbeet",F156)))=TRUE),ISNUMBER(SEARCH("osr",F161))=TRUE),0,
IF(AND((OR((ISNUMBER(SEARCH("wheat",F156))),ISNUMBER(SEARCH("linseed",F156)),ISNUMBER(SEARCH("driedpeas",F156)),ISNUMBER(SEARCH("osr",F156)))=TRUE),F161="sugarbeet"),0,
IF(AND((OR((ISNUMBER(SEARCH("osr",F156))),ISNUMBER(SEARCH("linseed",F156)))=TRUE),ISNUMBER(SEARCH("beans",F161))=TRUE),0,
IF(AND(F156="wosr",ISNUMBER(SEARCH("linseed",F161))=TRUE),0,
IF(AND(F156="sugarbeet",F161="warepotatoes"),0,
1)))))))))))
*IF(OR(ISNUMBER(SEARCH("wheat",F156)),ISNUMBER(SEARCH("barley",F156)),ISNUMBER(SEARCH("driedpeas",F156)),ISNUMBER(SEARCH("warepotatoes",F156)),ISNUMBER(SEARCH("osr",F156)),ISNUMBER(SEARCH("linseed",F156)),ISNUMBER(SEARCH("sugarbeet",F156))),
IF(COUNTIF(B151:B155,B156)=5,
INDEX('CFT Specific Data'!$G$24:$L$39,MATCH(F156,'CFT Specific Data'!$F$24:$F$39,0),IF(COUNTIF(F151:F155,F156)=5,6,IF(COUNTIF(F152:F155,F156)=4,5,IF(COUNTIF(F153:F155,F156)=3,4,IF(COUNTIF(F154:F155,F156)=2,3,IF(F155=F156,2,1)))))),
IF(COUNTIF(B151:B155,B156)=4,
INDEX('CFT Specific Data'!$G$24:$L$39,MATCH(F156,'CFT Specific Data'!$F$24:$F$39,0),IF(SUM(COUNTIF(F152:F155,F156),COUNTIF(F157,F156))=5,6,IF(COUNTIF(F152:F155,F156)=4,5,IF(COUNTIF(F153:F155,F156)=3,4,IF(COUNTIF(F154:F155,F156)=2,3,IF(F155=F156,2,1)))))),
IF(COUNTIF(B151:B155,B156)=3,
INDEX('CFT Specific Data'!$G$24:$L$39,MATCH(F156,'CFT Specific Data'!$F$24:$F$39,0),IF(SUM(COUNTIF(F153:F155,F156),COUNTIF(F157:F158,F156))=5,6,IF(SUM(COUNTIF(F153:F155,F156),COUNTIF(F158,F156))=4,5,IF(COUNTIF(F153:F155,F156)=3,4,IF(COUNTIF(F154:F155,F156)=2,3,IF(F155=F156,2,1)))))),
IF(COUNTIF(B151:B155,B156)=2,
INDEX('CFT Specific Data'!$G$24:$L$39,MATCH(F156,'CFT Specific Data'!$F$24:$F$39,0),IF(SUM(COUNTIF(F154:F155,F156),COUNTIF(F157:F159,F156))=5,6,IF(SUM(COUNTIF(F154:F155,F156),COUNTIF(F158:F159,F156))=4,5,IF(SUM(COUNTIF(F154:F155,F156),COUNTIF(F159,F156))=3,4,IF(COUNTIF(F154:F155,F156)=2,3,IF(F155=F156,2,1)))))),
IF(COUNTIF(B151:B155,B156)=1,
INDEX('CFT Specific Data'!$G$24:$L$39,MATCH(F156,'CFT Specific Data'!$F$24:$F$39,0),IF(SUM(COUNTIF(F155,F156),COUNTIF(F157:F160,F156))=5,6,IF(SUM(COUNTIF(F155,F156),COUNTIF(F158:F160,F156))=4,5,IF(SUM(COUNTIF(F155,F156),COUNTIF(F159:F160,F156))=3,4,IF(SUM(COUNTIF(F155,F156),COUNTIF(F160,F156))=2,3,IF(F155=F156,2,1)))))),
IF(COUNTIF(B151:B155,B156)=0,
INDEX('CFT Specific Data'!$G$24:$L$39,MATCH(F156,'CFT Specific Data'!$F$24:$F$39,0),IF(COUNTIF(F157:F161,F156)=5,6,IF(COUNTIF(F158:F161,F156)=4,5,IF(COUNTIF(F159:F161,F156)=3,4,IF(COUNTIF(F160:F161,F156)=2,3,IF(F161=F156,2,1)))))))))))),1)</f>
        <v>36.525599999999997</v>
      </c>
      <c r="I156" s="210" t="s">
        <v>348</v>
      </c>
      <c r="J156">
        <v>10</v>
      </c>
      <c r="K156" s="210" t="str">
        <f>VLOOKUP(F156,'CFT Specific Data'!$F$4:$G$19,2,FALSE)</f>
        <v>Barley</v>
      </c>
      <c r="L156" t="str">
        <f>IF(ISNUMBER(SEARCH("heavy",$A156))=TRUE,"Fine",
IF(ISNUMBER(SEARCH("medium",$A156))=TRUE,"Medium",
IF(ISNUMBER(SEARCH("light",$A156))=TRUE,"Coarse")))</f>
        <v>Coarse</v>
      </c>
      <c r="M156">
        <f>IF($L156="Fine",3.4*1.72,
IF($L156="Medium",2.6*1.72,
IF($L156="Coarse",3*1.72)))</f>
        <v>5.16</v>
      </c>
      <c r="N156" t="str">
        <f t="shared" si="16"/>
        <v>1.72 &lt; SOM &lt;= 5.16</v>
      </c>
      <c r="O156" t="s">
        <v>349</v>
      </c>
      <c r="P156" t="s">
        <v>350</v>
      </c>
      <c r="Q156">
        <v>7</v>
      </c>
      <c r="R156" t="str">
        <f>IF(AND(Q156&gt;5.4,Q156&lt;=7.3),"5.5 &lt; pH &lt;= 7.3",
IF(AND(Q156&gt;7.3,Q156&lt;=8.5),"7.3 &lt; pH &lt;= 8.5"))</f>
        <v>5.5 &lt; pH &lt;= 7.3</v>
      </c>
      <c r="S156" t="s">
        <v>351</v>
      </c>
      <c r="T156" s="210">
        <f t="array" ref="T156">_xlfn.SINGLE(INDEX('Focus Data NFertiliser Rate'!$D$4:$P$19,MATCH(F156,'Focus Data NFertiliser Rate'!$C$4:$C$19,0),_xlfn.SINGLE(_xlfn.IFS(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110</v>
      </c>
      <c r="U156" t="str">
        <f t="shared" si="17"/>
        <v>Apply in solution</v>
      </c>
      <c r="V156" s="210">
        <f t="array" ref="V156">_xlfn.SINGLE(INDEX('№ Fertiliser sprayings'!$D$4:$P$19,MATCH(F156,'№ Fertiliser sprayings'!$C$4:$C$19,0),_xlfn.SINGLE(_xlfn.IFS(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1</v>
      </c>
      <c r="W156" s="264">
        <f t="array" ref="W156">_xlfn.SINGLE(INDEX('Focus Data CFT NSpraying'!$D$4:$P$19,MATCH(F156,'Focus Data CFT NSpraying'!$C$4:$C$19,0),_xlfn.SINGLE(_xlfn.IFS(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6.16</v>
      </c>
      <c r="X156" t="s">
        <v>363</v>
      </c>
      <c r="Y156">
        <v>0</v>
      </c>
      <c r="Z156">
        <v>100</v>
      </c>
      <c r="AA156" t="s">
        <v>352</v>
      </c>
      <c r="AB156" s="226" t="str">
        <f>IF(B156=B155,_xlfn.IFS(
AND(AA156=Lists!$L$8,AA155=Lists!$L$8),Lists!$N$5,
AND(OR(AA156=Lists!$L$5,AA156=Lists!$L$7,AA156=Lists!$L$9,AA156=Lists!$L$10,AA156=Lists!$L$6),OR(AA155=Lists!$L$5,AA155=Lists!$L$7,AA155=Lists!$L$9,AA155=Lists!$L$10,AA155=Lists!$L$6)),Lists!$N$5,
AND(AA156=Lists!$L$8,OR(AA155=Lists!$L$5,AA155=Lists!$L$7,AA155=Lists!$L$9,AA155=Lists!$L$10,AA155=Lists!$L$6)),Lists!$N$6,
AND(OR(AA156=Lists!$L$5,AA156=Lists!$L$6,AA156=Lists!$L$7,AA156=Lists!$L$9,AA156=Lists!$L$10),AA155=Lists!$L$8),Lists!$N$7),
_xlfn.IFS(
AND(AA156=Lists!$L$8,AA161=Lists!$L$8),Lists!$N$5,
AND(OR(AA156=Lists!$L$5,AA156=Lists!$L$7,AA156=Lists!$L$9,AA156=Lists!$L$10,AA156=Lists!$L$6),OR(AA161=Lists!$L$5,AA161=Lists!$L$7,AA161=Lists!$L$9,AA161=Lists!$L$10,AA161=Lists!$L$6)),Lists!$N$5,
AND(AA156=Lists!$L$8,OR(AA161=Lists!$L$5,AA161=Lists!$L$7,AA161=Lists!$L$9,AA161=Lists!$L$10,AA161=Lists!$L$6)),Lists!$N$6,
AND(OR(AA156=Lists!$L$5,AA156=Lists!$L$7,AA156=Lists!$L$9,AA156=Lists!$L$10),AA161=Lists!$L$8),Lists!$N$7))</f>
        <v>no change</v>
      </c>
      <c r="AC156">
        <v>0</v>
      </c>
      <c r="AD156">
        <v>0</v>
      </c>
      <c r="AE156" s="102">
        <f t="array" ref="AE156">IF(OR(ISNUMBER(SEARCH("heavy",A156))=TRUE, ISNUMBER(SEARCH("medium",A156))=TRUE),
(LEN(_xlfn.SINGLE(
INDEX('Focus Data Tillage by farm'!$D$4:$P$9,MATCH(D156,'Focus Data Tillage by farm'!$C$4:$C$9,0),_xlfn.SINGLE(_xlfn.IFS(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-LEN(SUBSTITUTE(_xlfn.SINGLE(
INDEX('Focus Data Tillage by farm'!$D$4:$P$9,MATCH(D156,'Focus Data Tillage by farm'!$C$4:$C$9,0),_xlfn.SINGLE(_xlfn.IFS(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"disc","")))/LEN("disc"),
(LEN(_xlfn.SINGLE(
INDEX('Focus Data Tillage by farm'!$D$12:$P$17,MATCH(D156,'Focus Data Tillage by farm'!$C$12:$C$17,0),_xlfn.SINGLE(_xlfn.IFS(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-LEN(SUBSTITUTE(_xlfn.SINGLE(
INDEX('Focus Data Tillage by farm'!$D$12:$P$17,MATCH(D156,'Focus Data Tillage by farm'!$C$12:$C$17,0),_xlfn.SINGLE(_xlfn.IFS(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"disc","")))/LEN("disc"))</f>
        <v>4</v>
      </c>
      <c r="AF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"field cultivator","")))/LEN("field cultivator"),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"field cultivator","")))/LEN("field cultivator"))</f>
        <v>0</v>
      </c>
      <c r="AG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"grain drill","")))/LEN("grain drill"),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"grain drill","")))/LEN("grain drill"))</f>
        <v>0</v>
      </c>
      <c r="AH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"minimum tillage","")))/LEN("minimum tillage"),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"minimum tillage","")))/LEN("minimum tillage"))</f>
        <v>1</v>
      </c>
      <c r="AI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"row crop planter","")))/LEN("row crop planter"),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"row crop planter","")))/LEN("row crop planter"))</f>
        <v>0</v>
      </c>
      <c r="AJ156" s="102">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"plough","")))/LEN("plough"),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"plough","")))/LEN("plough"))</f>
        <v>0</v>
      </c>
      <c r="AK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harrow","")))/LEN("roller harrow"),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harrow","")))/LEN("roller harrow"))</f>
        <v>0</v>
      </c>
      <c r="AL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packer","")))/LEN("roller packer"),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"roller packer","")))/LEN("roller packer"))</f>
        <v>2</v>
      </c>
      <c r="AM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"rotary hoe","")))/LEN("rotary hoe"),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"rotary hoe","")))/LEN("rotary hoe"))</f>
        <v>0</v>
      </c>
      <c r="AN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"subsoil","")))/LEN("subsoil"),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"subsoil","")))/LEN("subsoil"))</f>
        <v>0</v>
      </c>
      <c r="AO156">
        <f>IF(OR(ISNUMBER(SEARCH("heavy",A156))=TRUE, ISNUMBER(SEARCH("medium",A156))=TRUE),
(LEN(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farm'!$D$4:$P$9,MATCH(D156,'Focus Data Tillage by farm'!$C$4:$C$9,0),_xlfn.IFS(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"tine harrow","")))/LEN("tine harrow"),
(LEN(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-LEN(SUBSTITUTE(
INDEX('Focus Data Tillage by farm'!$D$12:$P$17,MATCH(D156,'Focus Data Tillage by farm'!$C$12:$C$17,0),_xlfn.IFS(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
"tine harrow","")))/LEN("tine harrow"))</f>
        <v>0</v>
      </c>
      <c r="AP156" s="102">
        <f>INDEX('Focus Data NSpraying'!$D$4:$P$19,MATCH(F156,'Focus Data NSpraying'!$C$4:$C$19,0),_xlfn.IFS(
AND(ISNUMBER(SEARCH("H-Dsty.",A156))=TRUE,ISNUMBER(SEARCH("H-Res",A156))=TRUE,ISNUMBER(SEARCH("E.",A156))=TRUE),1,
AND(ISNUMBER(SEARCH("H-Dsty.",A156))=TRUE,ISNUMBER(SEARCH("H-Res",A156))=TRUE,OR(ISNUMBER(SEARCH("N.he",A156))=TRUE,ISNUMBER(SEARCH("N.me",A156))=TRUE,ISNUMBER(SEARCH("N.li",A156))=TRUE)),2,
AND(ISNUMBER(SEARCH("H-Dsty.",A156))=TRUE,ISNUMBER(SEARCH("H-Res",A156))=TRUE,ISNUMBER(SEARCH("C.",A156))=TRUE),3,
AND(ISNUMBER(SEARCH("L-Dsty.",A156))=TRUE,ISNUMBER(SEARCH("H-Res",A156))=TRUE,ISNUMBER(SEARCH("E.",A156))=TRUE),6,
AND(ISNUMBER(SEARCH("L-Dsty.",A156))=TRUE,ISNUMBER(SEARCH("H-Res",A156))=TRUE,OR(ISNUMBER(SEARCH("N.he",A156))=TRUE,ISNUMBER(SEARCH("N.me",A156))=TRUE,ISNUMBER(SEARCH("N.li",A156))=TRUE)),7,
AND(ISNUMBER(SEARCH("L-Dsty.",A156))=TRUE,ISNUMBER(SEARCH("H-Res",A156))=TRUE,ISNUMBER(SEARCH("C.",A156))=TRUE),8,
AND(ISNUMBER(SEARCH("L-Dsty.",A156))=TRUE,ISNUMBER(SEARCH("L-Res",A156))=TRUE,ISNUMBER(SEARCH("E.",A156))=TRUE),11,
AND(ISNUMBER(SEARCH("L-Dsty.",A156))=TRUE,ISNUMBER(SEARCH("L-Res",A156))=TRUE,OR(ISNUMBER(SEARCH("N.he",A156))=TRUE,ISNUMBER(SEARCH("N.me",A156))=TRUE,ISNUMBER(SEARCH("N.li",A156))=TRUE)),12,
AND(ISNUMBER(SEARCH("L-Dsty.",A156))=TRUE,ISNUMBER(SEARCH("L-Res",A156))=TRUE,ISNUMBER(SEARCH("C.",A156))=TRUE),13))</f>
        <v>5</v>
      </c>
    </row>
    <row r="157" spans="1:42" x14ac:dyDescent="0.2">
      <c r="A157" t="s">
        <v>500</v>
      </c>
      <c r="B157" s="210" t="str">
        <f t="array" ref="B157">INDEX(ECOMOD_input_estimate!$A$2:$A$55, MATCH(CFT_input!$A157, ECOMOD_input_estimate!$B:$B, 0))</f>
        <v>FF_10.2</v>
      </c>
      <c r="C157" s="210">
        <v>2020</v>
      </c>
      <c r="D157" s="395" t="s">
        <v>735</v>
      </c>
      <c r="E157" s="210" t="str">
        <f t="shared" si="13"/>
        <v>C.light.L-Dsty.H-Res</v>
      </c>
      <c r="F157" s="210" t="str">
        <f t="array" ref="F157">_xlfn.SINGLE(IF(OR(ISNUMBER(SEARCH("heavy",A157))=TRUE,ISNUMBER(SEARCH("medium",A157))=TRUE),
INDEX('Focus Data Crop Rotations'!$D$4:$P$9,MATCH(D157,'Focus Data Crop Rotations'!$C$4:$C$9,0),_xlfn.SINGLE(_xlfn.IFS(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INDEX('Focus Data Crop Rotations'!$D$12:$P$17,MATCH(D157,'Focus Data Crop Rotations'!$C$12:$C$17,0),_xlfn.SINGLE(_xlfn.IFS(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wosr</v>
      </c>
      <c r="G157">
        <v>7.2</v>
      </c>
      <c r="H157" s="227">
        <f>VLOOKUP(F157,'CFT Specific Data'!$F$4:$H$19,3,FALSE)*G157*
IF(B157=B156,
IF(AND(ISNUMBER(SEARCH("wheat",F157))=TRUE,ISNUMBER(SEARCH("Barley",F156))=TRUE),0.89,
IF(AND(ISNUMBER(SEARCH("wheat",F157))=TRUE,F156="setaside"),0.94,
IF(AND(ISNUMBER(SEARCH("barley",F157))=TRUE,ISNUMBER(SEARCH("wheat",F156))=TRUE),0.89,
IF(AND(F157="winterbarley",F156="setaside"),0.94,
IF(AND(F157="sugarbeet",F156="warepotatoes"),0.95,
IF(AND((OR(ISNUMBER(SEARCH("beans",F157)),ISNUMBER(SEARCH("driedpeas",F157)),ISNUMBER(SEARCH("sugarbeet",F157)))=TRUE),ISNUMBER(SEARCH("osr",F156))=TRUE),0,
IF(AND((OR((ISNUMBER(SEARCH("wheat",F157))),ISNUMBER(SEARCH("linseed",F157)),ISNUMBER(SEARCH("driedpeas",F157)),ISNUMBER(SEARCH("osr",F157)))=TRUE),F156="sugarbeet"),0,
IF(AND((OR((ISNUMBER(SEARCH("osr",F157))),ISNUMBER(SEARCH("linseed",F157)))=TRUE),ISNUMBER(SEARCH("beans",F156))=TRUE),0,
IF(AND(F157="wosr",ISNUMBER(SEARCH("linseed",F156))=TRUE),0,
IF(AND(F157="sugarbeet",F156="warepotatoes"),0,
1)))))))))),
IF(AND(ISNUMBER(SEARCH("wheat",F157))=TRUE,ISNUMBER(SEARCH("Barley",F162))=TRUE),0.89,
IF(AND(ISNUMBER(SEARCH("wheat",F157))=TRUE,F162="setaside"),0.94,
IF(AND(ISNUMBER(SEARCH("barley",F157))=TRUE,ISNUMBER(SEARCH("wheat",F162))=TRUE),0.89,
IF(AND(F157="winterbarley",F162="setaside"),0.94,
IF(AND(F157="sugarbeet",F162="warepotatoes"),0.95,
IF(AND((OR(ISNUMBER(SEARCH("beans",F157)),ISNUMBER(SEARCH("driedpeas",F157)),ISNUMBER(SEARCH("sugarbeet",F157)))=TRUE),ISNUMBER(SEARCH("osr",F162))=TRUE),0,
IF(AND((OR((ISNUMBER(SEARCH("wheat",F157))),ISNUMBER(SEARCH("linseed",F157)),ISNUMBER(SEARCH("driedpeas",F157)),ISNUMBER(SEARCH("osr",F157)))=TRUE),F162="sugarbeet"),0,
IF(AND((OR((ISNUMBER(SEARCH("osr",F157))),ISNUMBER(SEARCH("linseed",F157)))=TRUE),ISNUMBER(SEARCH("beans",F162))=TRUE),0,
IF(AND(F157="wosr",ISNUMBER(SEARCH("linseed",F162))=TRUE),0,
IF(AND(F157="sugarbeet",F162="warepotatoes"),0,
1)))))))))))
*IF(OR(ISNUMBER(SEARCH("wheat",F157)),ISNUMBER(SEARCH("barley",F157)),ISNUMBER(SEARCH("driedpeas",F157)),ISNUMBER(SEARCH("warepotatoes",F157)),ISNUMBER(SEARCH("osr",F157)),ISNUMBER(SEARCH("linseed",F157)),ISNUMBER(SEARCH("sugarbeet",F157))),
IF(COUNTIF(B152:B156,B157)=5,
INDEX('CFT Specific Data'!$G$24:$L$39,MATCH(F157,'CFT Specific Data'!$F$24:$F$39,0),IF(COUNTIF(F152:F156,F157)=5,6,IF(COUNTIF(F153:F156,F157)=4,5,IF(COUNTIF(F154:F156,F157)=3,4,IF(COUNTIF(F155:F156,F157)=2,3,IF(F156=F157,2,1)))))),
IF(COUNTIF(B152:B156,B157)=4,
INDEX('CFT Specific Data'!$G$24:$L$39,MATCH(F157,'CFT Specific Data'!$F$24:$F$39,0),IF(SUM(COUNTIF(F153:F156,F157),COUNTIF(F158,F157))=5,6,IF(COUNTIF(F153:F156,F157)=4,5,IF(COUNTIF(F154:F156,F157)=3,4,IF(COUNTIF(F155:F156,F157)=2,3,IF(F156=F157,2,1)))))),
IF(COUNTIF(B152:B156,B157)=3,
INDEX('CFT Specific Data'!$G$24:$L$39,MATCH(F157,'CFT Specific Data'!$F$24:$F$39,0),IF(SUM(COUNTIF(F154:F156,F157),COUNTIF(F158:F159,F157))=5,6,IF(SUM(COUNTIF(F154:F156,F157),COUNTIF(F159,F157))=4,5,IF(COUNTIF(F154:F156,F157)=3,4,IF(COUNTIF(F155:F156,F157)=2,3,IF(F156=F157,2,1)))))),
IF(COUNTIF(B152:B156,B157)=2,
INDEX('CFT Specific Data'!$G$24:$L$39,MATCH(F157,'CFT Specific Data'!$F$24:$F$39,0),IF(SUM(COUNTIF(F155:F156,F157),COUNTIF(F158:F160,F157))=5,6,IF(SUM(COUNTIF(F155:F156,F157),COUNTIF(F159:F160,F157))=4,5,IF(SUM(COUNTIF(F155:F156,F157),COUNTIF(F160,F157))=3,4,IF(COUNTIF(F155:F156,F157)=2,3,IF(F156=F157,2,1)))))),
IF(COUNTIF(B152:B156,B157)=1,
INDEX('CFT Specific Data'!$G$24:$L$39,MATCH(F157,'CFT Specific Data'!$F$24:$F$39,0),IF(SUM(COUNTIF(F156,F157),COUNTIF(F158:F161,F157))=5,6,IF(SUM(COUNTIF(F156,F157),COUNTIF(F159:F161,F157))=4,5,IF(SUM(COUNTIF(F156,F157),COUNTIF(F160:F161,F157))=3,4,IF(SUM(COUNTIF(F156,F157),COUNTIF(F161,F157))=2,3,IF(F156=F157,2,1)))))),
IF(COUNTIF(B152:B156,B157)=0,
INDEX('CFT Specific Data'!$G$24:$L$39,MATCH(F157,'CFT Specific Data'!$F$24:$F$39,0),IF(COUNTIF(F158:F162,F157)=5,6,IF(COUNTIF(F159:F162,F157)=4,5,IF(COUNTIF(F160:F162,F157)=3,4,IF(COUNTIF(F161:F162,F157)=2,3,IF(F162=F157,2,1)))))))))))),1)</f>
        <v>25.2</v>
      </c>
      <c r="I157" s="210" t="s">
        <v>348</v>
      </c>
      <c r="J157">
        <v>10</v>
      </c>
      <c r="K157" s="210" t="str">
        <f>VLOOKUP(F157,'CFT Specific Data'!$F$4:$G$19,2,FALSE)</f>
        <v>Other</v>
      </c>
      <c r="L157" t="str">
        <f t="shared" ref="L157:L163" si="18">IF(ISNUMBER(SEARCH("heavy",$A157))=TRUE,"Fine",
IF(ISNUMBER(SEARCH("medium",$A157))=TRUE,"Medium",
IF(ISNUMBER(SEARCH("light",$A157))=TRUE,"Coarse")))</f>
        <v>Coarse</v>
      </c>
      <c r="M157">
        <f t="shared" ref="M157:M163" si="19">IF($L157="Fine",3.4*1.72,
IF($L157="Medium",2.6*1.72,
IF($L157="Coarse",3*1.72)))</f>
        <v>5.16</v>
      </c>
      <c r="N157" t="str">
        <f t="shared" si="16"/>
        <v>1.72 &lt; SOM &lt;= 5.16</v>
      </c>
      <c r="O157" t="s">
        <v>349</v>
      </c>
      <c r="P157" t="s">
        <v>350</v>
      </c>
      <c r="Q157">
        <v>7</v>
      </c>
      <c r="R157" t="str">
        <f>IF(AND(Q157&gt;5.4,Q157&lt;=7.3),"5.5 &lt; pH &lt;= 7.3",
IF(AND(Q157&gt;7.3,Q157&lt;=8.5),"7.3 &lt; pH &lt;= 8.5"))</f>
        <v>5.5 &lt; pH &lt;= 7.3</v>
      </c>
      <c r="S157" t="s">
        <v>351</v>
      </c>
      <c r="T157" s="210">
        <f t="array" ref="T157">_xlfn.SINGLE(INDEX('Focus Data NFertiliser Rate'!$D$4:$P$19,MATCH(F157,'Focus Data NFertiliser Rate'!$C$4:$C$19,0),_xlfn.SINGLE(_xlfn.IFS(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180</v>
      </c>
      <c r="U157" t="str">
        <f t="shared" si="17"/>
        <v>Apply in solution</v>
      </c>
      <c r="V157" s="210">
        <f t="array" ref="V157">_xlfn.SINGLE(INDEX('№ Fertiliser sprayings'!$D$4:$P$19,MATCH(F157,'№ Fertiliser sprayings'!$C$4:$C$19,0),_xlfn.SINGLE(_xlfn.IFS(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3</v>
      </c>
      <c r="W157" s="264">
        <f t="array" ref="W157">_xlfn.SINGLE(INDEX('Focus Data CFT NSpraying'!$D$4:$P$19,MATCH(F157,'Focus Data CFT NSpraying'!$C$4:$C$19,0),_xlfn.SINGLE(_xlfn.IFS(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6.94</v>
      </c>
      <c r="X157" t="s">
        <v>363</v>
      </c>
      <c r="Y157">
        <v>0</v>
      </c>
      <c r="Z157">
        <v>100</v>
      </c>
      <c r="AA157" t="s">
        <v>352</v>
      </c>
      <c r="AB157" s="226" t="str">
        <f>IF(B157=B156,_xlfn.IFS(
AND(AA157=Lists!$L$8,AA156=Lists!$L$8),Lists!$N$5,
AND(OR(AA157=Lists!$L$5,AA157=Lists!$L$7,AA157=Lists!$L$9,AA157=Lists!$L$10,AA157=Lists!$L$6),OR(AA156=Lists!$L$5,AA156=Lists!$L$7,AA156=Lists!$L$9,AA156=Lists!$L$10,AA156=Lists!$L$6)),Lists!$N$5,
AND(AA157=Lists!$L$8,OR(AA156=Lists!$L$5,AA156=Lists!$L$7,AA156=Lists!$L$9,AA156=Lists!$L$10,AA156=Lists!$L$6)),Lists!$N$6,
AND(OR(AA157=Lists!$L$5,AA157=Lists!$L$6,AA157=Lists!$L$7,AA157=Lists!$L$9,AA157=Lists!$L$10),AA156=Lists!$L$8),Lists!$N$7),
_xlfn.IFS(
AND(AA157=Lists!$L$8,AA162=Lists!$L$8),Lists!$N$5,
AND(OR(AA157=Lists!$L$5,AA157=Lists!$L$7,AA157=Lists!$L$9,AA157=Lists!$L$10,AA157=Lists!$L$6),OR(AA162=Lists!$L$5,AA162=Lists!$L$7,AA162=Lists!$L$9,AA162=Lists!$L$10,AA162=Lists!$L$6)),Lists!$N$5,
AND(AA157=Lists!$L$8,OR(AA162=Lists!$L$5,AA162=Lists!$L$7,AA162=Lists!$L$9,AA162=Lists!$L$10,AA162=Lists!$L$6)),Lists!$N$6,
AND(OR(AA157=Lists!$L$5,AA157=Lists!$L$7,AA157=Lists!$L$9,AA157=Lists!$L$10),AA162=Lists!$L$8),Lists!$N$7))</f>
        <v>no change</v>
      </c>
      <c r="AC157">
        <v>0</v>
      </c>
      <c r="AD157">
        <v>0</v>
      </c>
      <c r="AE157" s="102">
        <f t="array" ref="AE157">IF(OR(ISNUMBER(SEARCH("heavy",A157))=TRUE, ISNUMBER(SEARCH("medium",A157))=TRUE),
(LEN(_xlfn.SINGLE(
INDEX('Focus Data Tillage by farm'!$D$4:$P$9,MATCH(D157,'Focus Data Tillage by farm'!$C$4:$C$9,0),_xlfn.SINGLE(_xlfn.IFS(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-LEN(SUBSTITUTE(_xlfn.SINGLE(
INDEX('Focus Data Tillage by farm'!$D$4:$P$9,MATCH(D157,'Focus Data Tillage by farm'!$C$4:$C$9,0),_xlfn.SINGLE(_xlfn.IFS(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"disc","")))/LEN("disc"),
(LEN(_xlfn.SINGLE(
INDEX('Focus Data Tillage by farm'!$D$12:$P$17,MATCH(D157,'Focus Data Tillage by farm'!$C$12:$C$17,0),_xlfn.SINGLE(_xlfn.IFS(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-LEN(SUBSTITUTE(_xlfn.SINGLE(
INDEX('Focus Data Tillage by farm'!$D$12:$P$17,MATCH(D157,'Focus Data Tillage by farm'!$C$12:$C$17,0),_xlfn.SINGLE(_xlfn.IFS(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"disc","")))/LEN("disc"))</f>
        <v>0</v>
      </c>
      <c r="AF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"field cultivator","")))/LEN("field cultivator"),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"field cultivator","")))/LEN("field cultivator"))</f>
        <v>0</v>
      </c>
      <c r="AG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"grain drill","")))/LEN("grain drill"),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"grain drill","")))/LEN("grain drill"))</f>
        <v>0</v>
      </c>
      <c r="AH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"minimum tillage","")))/LEN("minimum tillage"),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"minimum tillage","")))/LEN("minimum tillage"))</f>
        <v>1</v>
      </c>
      <c r="AI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"row crop planter","")))/LEN("row crop planter"),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"row crop planter","")))/LEN("row crop planter"))</f>
        <v>0</v>
      </c>
      <c r="AJ157" s="102">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"plough","")))/LEN("plough"),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"plough","")))/LEN("plough"))</f>
        <v>0</v>
      </c>
      <c r="AK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harrow","")))/LEN("roller harrow"),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harrow","")))/LEN("roller harrow"))</f>
        <v>0</v>
      </c>
      <c r="AL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packer","")))/LEN("roller packer"),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"roller packer","")))/LEN("roller packer"))</f>
        <v>1</v>
      </c>
      <c r="AM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"rotary hoe","")))/LEN("rotary hoe"),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"rotary hoe","")))/LEN("rotary hoe"))</f>
        <v>0</v>
      </c>
      <c r="AN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"subsoil","")))/LEN("subsoil"),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"subsoil","")))/LEN("subsoil"))</f>
        <v>0</v>
      </c>
      <c r="AO157">
        <f>IF(OR(ISNUMBER(SEARCH("heavy",A157))=TRUE, ISNUMBER(SEARCH("medium",A157))=TRUE),
(LEN(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farm'!$D$4:$P$9,MATCH(D157,'Focus Data Tillage by farm'!$C$4:$C$9,0),_xlfn.IFS(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"tine harrow","")))/LEN("tine harrow"),
(LEN(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-LEN(SUBSTITUTE(
INDEX('Focus Data Tillage by farm'!$D$12:$P$17,MATCH(D157,'Focus Data Tillage by farm'!$C$12:$C$17,0),_xlfn.IFS(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
"tine harrow","")))/LEN("tine harrow"))</f>
        <v>0</v>
      </c>
      <c r="AP157" s="102">
        <f>INDEX('Focus Data NSpraying'!$D$4:$P$19,MATCH(F157,'Focus Data NSpraying'!$C$4:$C$19,0),_xlfn.IFS(
AND(ISNUMBER(SEARCH("H-Dsty.",A157))=TRUE,ISNUMBER(SEARCH("H-Res",A157))=TRUE,ISNUMBER(SEARCH("E.",A157))=TRUE),1,
AND(ISNUMBER(SEARCH("H-Dsty.",A157))=TRUE,ISNUMBER(SEARCH("H-Res",A157))=TRUE,OR(ISNUMBER(SEARCH("N.he",A157))=TRUE,ISNUMBER(SEARCH("N.me",A157))=TRUE,ISNUMBER(SEARCH("N.li",A157))=TRUE)),2,
AND(ISNUMBER(SEARCH("H-Dsty.",A157))=TRUE,ISNUMBER(SEARCH("H-Res",A157))=TRUE,ISNUMBER(SEARCH("C.",A157))=TRUE),3,
AND(ISNUMBER(SEARCH("L-Dsty.",A157))=TRUE,ISNUMBER(SEARCH("H-Res",A157))=TRUE,ISNUMBER(SEARCH("E.",A157))=TRUE),6,
AND(ISNUMBER(SEARCH("L-Dsty.",A157))=TRUE,ISNUMBER(SEARCH("H-Res",A157))=TRUE,OR(ISNUMBER(SEARCH("N.he",A157))=TRUE,ISNUMBER(SEARCH("N.me",A157))=TRUE,ISNUMBER(SEARCH("N.li",A157))=TRUE)),7,
AND(ISNUMBER(SEARCH("L-Dsty.",A157))=TRUE,ISNUMBER(SEARCH("H-Res",A157))=TRUE,ISNUMBER(SEARCH("C.",A157))=TRUE),8,
AND(ISNUMBER(SEARCH("L-Dsty.",A157))=TRUE,ISNUMBER(SEARCH("L-Res",A157))=TRUE,ISNUMBER(SEARCH("E.",A157))=TRUE),11,
AND(ISNUMBER(SEARCH("L-Dsty.",A157))=TRUE,ISNUMBER(SEARCH("L-Res",A157))=TRUE,OR(ISNUMBER(SEARCH("N.he",A157))=TRUE,ISNUMBER(SEARCH("N.me",A157))=TRUE,ISNUMBER(SEARCH("N.li",A157))=TRUE)),12,
AND(ISNUMBER(SEARCH("L-Dsty.",A157))=TRUE,ISNUMBER(SEARCH("L-Res",A157))=TRUE,ISNUMBER(SEARCH("C.",A157))=TRUE),13))</f>
        <v>4</v>
      </c>
    </row>
    <row r="158" spans="1:42" x14ac:dyDescent="0.2">
      <c r="A158" t="s">
        <v>501</v>
      </c>
      <c r="B158" s="210" t="str">
        <f t="array" ref="B158">INDEX(ECOMOD_input_estimate!$A$2:$A$55, MATCH(CFT_input!$A158, ECOMOD_input_estimate!$B:$B, 0))</f>
        <v>FF_16.2</v>
      </c>
      <c r="C158" s="210">
        <v>2020</v>
      </c>
      <c r="D158" s="395" t="s">
        <v>731</v>
      </c>
      <c r="E158" s="210" t="str">
        <f t="shared" si="13"/>
        <v>C.light.L-Dsty.L-Res</v>
      </c>
      <c r="F158" s="210" t="str">
        <f t="array" ref="F158">_xlfn.SINGLE(IF(OR(ISNUMBER(SEARCH("heavy",A158))=TRUE,ISNUMBER(SEARCH("medium",A158))=TRUE),
INDEX('Focus Data Crop Rotations'!$D$4:$P$9,MATCH(D158,'Focus Data Crop Rotations'!$C$4:$C$9,0),_xlfn.SINGLE(_xlfn.IFS(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INDEX('Focus Data Crop Rotations'!$D$12:$P$17,MATCH(D158,'Focus Data Crop Rotations'!$C$12:$C$17,0),_xlfn.SINGLE(_xlfn.IFS(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winterwheat</v>
      </c>
      <c r="G158">
        <v>7.2</v>
      </c>
      <c r="H158" s="227">
        <f>VLOOKUP(F158,'CFT Specific Data'!$F$4:$H$19,3,FALSE)*G158*
IF(B158=B157,
IF(AND(ISNUMBER(SEARCH("wheat",F158))=TRUE,ISNUMBER(SEARCH("Barley",F157))=TRUE),0.89,
IF(AND(ISNUMBER(SEARCH("wheat",F158))=TRUE,F157="setaside"),0.94,
IF(AND(ISNUMBER(SEARCH("barley",F158))=TRUE,ISNUMBER(SEARCH("wheat",F157))=TRUE),0.89,
IF(AND(F158="winterbarley",F157="setaside"),0.94,
IF(AND(F158="sugarbeet",F157="warepotatoes"),0.95,
IF(AND((OR(ISNUMBER(SEARCH("beans",F158)),ISNUMBER(SEARCH("driedpeas",F158)),ISNUMBER(SEARCH("sugarbeet",F158)))=TRUE),ISNUMBER(SEARCH("osr",F157))=TRUE),0,
IF(AND((OR((ISNUMBER(SEARCH("wheat",F158))),ISNUMBER(SEARCH("linseed",F158)),ISNUMBER(SEARCH("driedpeas",F158)),ISNUMBER(SEARCH("osr",F158)))=TRUE),F157="sugarbeet"),0,
IF(AND((OR((ISNUMBER(SEARCH("osr",F158))),ISNUMBER(SEARCH("linseed",F158)))=TRUE),ISNUMBER(SEARCH("beans",F157))=TRUE),0,
IF(AND(F158="wosr",ISNUMBER(SEARCH("linseed",F157))=TRUE),0,
IF(AND(F158="sugarbeet",F157="warepotatoes"),0,
1)))))))))),
IF(AND(ISNUMBER(SEARCH("wheat",F158))=TRUE,ISNUMBER(SEARCH("Barley",F163))=TRUE),0.89,
IF(AND(ISNUMBER(SEARCH("wheat",F158))=TRUE,F163="setaside"),0.94,
IF(AND(ISNUMBER(SEARCH("barley",F158))=TRUE,ISNUMBER(SEARCH("wheat",F163))=TRUE),0.89,
IF(AND(F158="winterbarley",F163="setaside"),0.94,
IF(AND(F158="sugarbeet",F163="warepotatoes"),0.95,
IF(AND((OR(ISNUMBER(SEARCH("beans",F158)),ISNUMBER(SEARCH("driedpeas",F158)),ISNUMBER(SEARCH("sugarbeet",F158)))=TRUE),ISNUMBER(SEARCH("osr",F163))=TRUE),0,
IF(AND((OR((ISNUMBER(SEARCH("wheat",F158))),ISNUMBER(SEARCH("linseed",F158)),ISNUMBER(SEARCH("driedpeas",F158)),ISNUMBER(SEARCH("osr",F158)))=TRUE),F163="sugarbeet"),0,
IF(AND((OR((ISNUMBER(SEARCH("osr",F158))),ISNUMBER(SEARCH("linseed",F158)))=TRUE),ISNUMBER(SEARCH("beans",F163))=TRUE),0,
IF(AND(F158="wosr",ISNUMBER(SEARCH("linseed",F163))=TRUE),0,
IF(AND(F158="sugarbeet",F163="warepotatoes"),0,
1)))))))))))
*IF(OR(ISNUMBER(SEARCH("wheat",F158)),ISNUMBER(SEARCH("barley",F158)),ISNUMBER(SEARCH("driedpeas",F158)),ISNUMBER(SEARCH("warepotatoes",F158)),ISNUMBER(SEARCH("osr",F158)),ISNUMBER(SEARCH("linseed",F158)),ISNUMBER(SEARCH("sugarbeet",F158))),
IF(COUNTIF(B153:B157,B158)=5,
INDEX('CFT Specific Data'!$G$24:$L$39,MATCH(F158,'CFT Specific Data'!$F$24:$F$39,0),IF(COUNTIF(F153:F157,F158)=5,6,IF(COUNTIF(F154:F157,F158)=4,5,IF(COUNTIF(F155:F157,F158)=3,4,IF(COUNTIF(F156:F157,F158)=2,3,IF(F157=F158,2,1)))))),
IF(COUNTIF(B153:B157,B158)=4,
INDEX('CFT Specific Data'!$G$24:$L$39,MATCH(F158,'CFT Specific Data'!$F$24:$F$39,0),IF(SUM(COUNTIF(F154:F157,F158),COUNTIF(F159,F158))=5,6,IF(COUNTIF(F154:F157,F158)=4,5,IF(COUNTIF(F155:F157,F158)=3,4,IF(COUNTIF(F156:F157,F158)=2,3,IF(F157=F158,2,1)))))),
IF(COUNTIF(B153:B157,B158)=3,
INDEX('CFT Specific Data'!$G$24:$L$39,MATCH(F158,'CFT Specific Data'!$F$24:$F$39,0),IF(SUM(COUNTIF(F155:F157,F158),COUNTIF(F159:F160,F158))=5,6,IF(SUM(COUNTIF(F155:F157,F158),COUNTIF(F160,F158))=4,5,IF(COUNTIF(F155:F157,F158)=3,4,IF(COUNTIF(F156:F157,F158)=2,3,IF(F157=F158,2,1)))))),
IF(COUNTIF(B153:B157,B158)=2,
INDEX('CFT Specific Data'!$G$24:$L$39,MATCH(F158,'CFT Specific Data'!$F$24:$F$39,0),IF(SUM(COUNTIF(F156:F157,F158),COUNTIF(F159:F161,F158))=5,6,IF(SUM(COUNTIF(F156:F157,F158),COUNTIF(F160:F161,F158))=4,5,IF(SUM(COUNTIF(F156:F157,F158),COUNTIF(F161,F158))=3,4,IF(COUNTIF(F156:F157,F158)=2,3,IF(F157=F158,2,1)))))),
IF(COUNTIF(B153:B157,B158)=1,
INDEX('CFT Specific Data'!$G$24:$L$39,MATCH(F158,'CFT Specific Data'!$F$24:$F$39,0),IF(SUM(COUNTIF(F157,F158),COUNTIF(F159:F162,F158))=5,6,IF(SUM(COUNTIF(F157,F158),COUNTIF(F160:F162,F158))=4,5,IF(SUM(COUNTIF(F157,F158),COUNTIF(F161:F162,F158))=3,4,IF(SUM(COUNTIF(F157,F158),COUNTIF(F162,F158))=2,3,IF(F157=F158,2,1)))))),
IF(COUNTIF(B153:B157,B158)=0,
INDEX('CFT Specific Data'!$G$24:$L$39,MATCH(F158,'CFT Specific Data'!$F$24:$F$39,0),IF(COUNTIF(F159:F163,F158)=5,6,IF(COUNTIF(F160:F163,F158)=4,5,IF(COUNTIF(F161:F163,F158)=3,4,IF(COUNTIF(F162:F163,F158)=2,3,IF(F163=F158,2,1)))))))))))),1)</f>
        <v>55.728000000000002</v>
      </c>
      <c r="I158" s="210" t="s">
        <v>348</v>
      </c>
      <c r="J158">
        <v>10</v>
      </c>
      <c r="K158" s="210" t="str">
        <f>VLOOKUP(F158,'CFT Specific Data'!$F$4:$G$19,2,FALSE)</f>
        <v>Winter wheat</v>
      </c>
      <c r="L158" t="str">
        <f t="shared" si="18"/>
        <v>Coarse</v>
      </c>
      <c r="M158">
        <f t="shared" si="19"/>
        <v>5.16</v>
      </c>
      <c r="N158" t="str">
        <f t="shared" si="16"/>
        <v>1.72 &lt; SOM &lt;= 5.16</v>
      </c>
      <c r="O158" t="s">
        <v>349</v>
      </c>
      <c r="P158" t="s">
        <v>350</v>
      </c>
      <c r="Q158">
        <v>7</v>
      </c>
      <c r="R158" t="str">
        <f t="shared" ref="R158:R163" si="20">IF(AND(Q158&gt;5.4,Q158&lt;=7.3),"5.5 &lt; pH &lt;= 7.3",
IF(AND(Q158&gt;7.3,Q158&lt;=8.5),"7.3 &lt; pH &lt;= 8.5"))</f>
        <v>5.5 &lt; pH &lt;= 7.3</v>
      </c>
      <c r="S158" t="s">
        <v>351</v>
      </c>
      <c r="T158" s="210">
        <f t="array" ref="T158">_xlfn.SINGLE(INDEX('Focus Data NFertiliser Rate'!$D$4:$P$19,MATCH(F158,'Focus Data NFertiliser Rate'!$C$4:$C$19,0),_xlfn.SINGLE(_xlfn.IFS(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220</v>
      </c>
      <c r="U158" t="str">
        <f t="shared" si="17"/>
        <v>Apply in solution</v>
      </c>
      <c r="V158" s="210">
        <f t="array" ref="V158">_xlfn.SINGLE(INDEX('№ Fertiliser sprayings'!$D$4:$P$19,MATCH(F158,'№ Fertiliser sprayings'!$C$4:$C$19,0),_xlfn.SINGLE(_xlfn.IFS(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3</v>
      </c>
      <c r="W158" s="264">
        <f t="array" ref="W158">_xlfn.SINGLE(INDEX('Focus Data CFT NSpraying'!$D$4:$P$19,MATCH(F158,'Focus Data CFT NSpraying'!$C$4:$C$19,0),_xlfn.SINGLE(_xlfn.IFS(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2.7888000000000002</v>
      </c>
      <c r="X158" t="s">
        <v>363</v>
      </c>
      <c r="Y158">
        <v>0</v>
      </c>
      <c r="Z158">
        <v>100</v>
      </c>
      <c r="AA158" t="s">
        <v>352</v>
      </c>
      <c r="AB158" s="226" t="str">
        <f>IF(B158=B157,_xlfn.IFS(
AND(AA158=Lists!$L$8,AA157=Lists!$L$8),Lists!$N$5,
AND(OR(AA158=Lists!$L$5,AA158=Lists!$L$7,AA158=Lists!$L$9,AA158=Lists!$L$10,AA158=Lists!$L$6),OR(AA157=Lists!$L$5,AA157=Lists!$L$7,AA157=Lists!$L$9,AA157=Lists!$L$10,AA157=Lists!$L$6)),Lists!$N$5,
AND(AA158=Lists!$L$8,OR(AA157=Lists!$L$5,AA157=Lists!$L$7,AA157=Lists!$L$9,AA157=Lists!$L$10,AA157=Lists!$L$6)),Lists!$N$6,
AND(OR(AA158=Lists!$L$5,AA158=Lists!$L$6,AA158=Lists!$L$7,AA158=Lists!$L$9,AA158=Lists!$L$10),AA157=Lists!$L$8),Lists!$N$7),
_xlfn.IFS(
AND(AA158=Lists!$L$8,AA163=Lists!$L$8),Lists!$N$5,
AND(OR(AA158=Lists!$L$5,AA158=Lists!$L$7,AA158=Lists!$L$9,AA158=Lists!$L$10,AA158=Lists!$L$6),OR(AA163=Lists!$L$5,AA163=Lists!$L$7,AA163=Lists!$L$9,AA163=Lists!$L$10,AA163=Lists!$L$6)),Lists!$N$5,
AND(AA158=Lists!$L$8,OR(AA163=Lists!$L$5,AA163=Lists!$L$7,AA163=Lists!$L$9,AA163=Lists!$L$10,AA163=Lists!$L$6)),Lists!$N$6,
AND(OR(AA158=Lists!$L$5,AA158=Lists!$L$7,AA158=Lists!$L$9,AA158=Lists!$L$10),AA163=Lists!$L$8),Lists!$N$7))</f>
        <v>no change</v>
      </c>
      <c r="AC158">
        <v>0</v>
      </c>
      <c r="AD158">
        <v>0</v>
      </c>
      <c r="AE158" s="102">
        <f t="array" ref="AE158">IF(OR(ISNUMBER(SEARCH("heavy",A158))=TRUE, ISNUMBER(SEARCH("medium",A158))=TRUE),
(LEN(_xlfn.SINGLE(
INDEX('Focus Data Tillage by farm'!$D$4:$P$9,MATCH(D158,'Focus Data Tillage by farm'!$C$4:$C$9,0),_xlfn.SINGLE(_xlfn.IFS(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-LEN(SUBSTITUTE(_xlfn.SINGLE(
INDEX('Focus Data Tillage by farm'!$D$4:$P$9,MATCH(D158,'Focus Data Tillage by farm'!$C$4:$C$9,0),_xlfn.SINGLE(_xlfn.IFS(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"disc","")))/LEN("disc"),
(LEN(_xlfn.SINGLE(
INDEX('Focus Data Tillage by farm'!$D$12:$P$17,MATCH(D158,'Focus Data Tillage by farm'!$C$12:$C$17,0),_xlfn.SINGLE(_xlfn.IFS(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-LEN(SUBSTITUTE(_xlfn.SINGLE(
INDEX('Focus Data Tillage by farm'!$D$12:$P$17,MATCH(D158,'Focus Data Tillage by farm'!$C$12:$C$17,0),_xlfn.SINGLE(_xlfn.IFS(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"disc","")))/LEN("disc"))</f>
        <v>1</v>
      </c>
      <c r="AF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"field cultivator","")))/LEN("field cultivator"),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"field cultivator","")))/LEN("field cultivator"))</f>
        <v>0</v>
      </c>
      <c r="AG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"grain drill","")))/LEN("grain drill"),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"grain drill","")))/LEN("grain drill"))</f>
        <v>1</v>
      </c>
      <c r="AH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"minimum tillage","")))/LEN("minimum tillage"),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"minimum tillage","")))/LEN("minimum tillage"))</f>
        <v>0</v>
      </c>
      <c r="AI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"row crop planter","")))/LEN("row crop planter"),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"row crop planter","")))/LEN("row crop planter"))</f>
        <v>0</v>
      </c>
      <c r="AJ158" s="102">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"plough","")))/LEN("plough"),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"plough","")))/LEN("plough"))</f>
        <v>0</v>
      </c>
      <c r="AK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harrow","")))/LEN("roller harrow"),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harrow","")))/LEN("roller harrow"))</f>
        <v>0</v>
      </c>
      <c r="AL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packer","")))/LEN("roller packer"),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"roller packer","")))/LEN("roller packer"))</f>
        <v>2</v>
      </c>
      <c r="AM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"rotary hoe","")))/LEN("rotary hoe"),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"rotary hoe","")))/LEN("rotary hoe"))</f>
        <v>0</v>
      </c>
      <c r="AN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"subsoil","")))/LEN("subsoil"),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"subsoil","")))/LEN("subsoil"))</f>
        <v>0</v>
      </c>
      <c r="AO158">
        <f>IF(OR(ISNUMBER(SEARCH("heavy",A158))=TRUE, ISNUMBER(SEARCH("medium",A158))=TRUE),
(LEN(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farm'!$D$4:$P$9,MATCH(D158,'Focus Data Tillage by farm'!$C$4:$C$9,0),_xlfn.IFS(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"tine harrow","")))/LEN("tine harrow"),
(LEN(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-LEN(SUBSTITUTE(
INDEX('Focus Data Tillage by farm'!$D$12:$P$17,MATCH(D158,'Focus Data Tillage by farm'!$C$12:$C$17,0),_xlfn.IFS(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
"tine harrow","")))/LEN("tine harrow"))</f>
        <v>0</v>
      </c>
      <c r="AP158" s="102">
        <f>INDEX('Focus Data NSpraying'!$D$4:$P$19,MATCH(F158,'Focus Data NSpraying'!$C$4:$C$19,0),_xlfn.IFS(
AND(ISNUMBER(SEARCH("H-Dsty.",A158))=TRUE,ISNUMBER(SEARCH("H-Res",A158))=TRUE,ISNUMBER(SEARCH("E.",A158))=TRUE),1,
AND(ISNUMBER(SEARCH("H-Dsty.",A158))=TRUE,ISNUMBER(SEARCH("H-Res",A158))=TRUE,OR(ISNUMBER(SEARCH("N.he",A158))=TRUE,ISNUMBER(SEARCH("N.me",A158))=TRUE,ISNUMBER(SEARCH("N.li",A158))=TRUE)),2,
AND(ISNUMBER(SEARCH("H-Dsty.",A158))=TRUE,ISNUMBER(SEARCH("H-Res",A158))=TRUE,ISNUMBER(SEARCH("C.",A158))=TRUE),3,
AND(ISNUMBER(SEARCH("L-Dsty.",A158))=TRUE,ISNUMBER(SEARCH("H-Res",A158))=TRUE,ISNUMBER(SEARCH("E.",A158))=TRUE),6,
AND(ISNUMBER(SEARCH("L-Dsty.",A158))=TRUE,ISNUMBER(SEARCH("H-Res",A158))=TRUE,OR(ISNUMBER(SEARCH("N.he",A158))=TRUE,ISNUMBER(SEARCH("N.me",A158))=TRUE,ISNUMBER(SEARCH("N.li",A158))=TRUE)),7,
AND(ISNUMBER(SEARCH("L-Dsty.",A158))=TRUE,ISNUMBER(SEARCH("H-Res",A158))=TRUE,ISNUMBER(SEARCH("C.",A158))=TRUE),8,
AND(ISNUMBER(SEARCH("L-Dsty.",A158))=TRUE,ISNUMBER(SEARCH("L-Res",A158))=TRUE,ISNUMBER(SEARCH("E.",A158))=TRUE),11,
AND(ISNUMBER(SEARCH("L-Dsty.",A158))=TRUE,ISNUMBER(SEARCH("L-Res",A158))=TRUE,OR(ISNUMBER(SEARCH("N.he",A158))=TRUE,ISNUMBER(SEARCH("N.me",A158))=TRUE,ISNUMBER(SEARCH("N.li",A158))=TRUE)),12,
AND(ISNUMBER(SEARCH("L-Dsty.",A158))=TRUE,ISNUMBER(SEARCH("L-Res",A158))=TRUE,ISNUMBER(SEARCH("C.",A158))=TRUE),13))</f>
        <v>3</v>
      </c>
    </row>
    <row r="159" spans="1:42" x14ac:dyDescent="0.2">
      <c r="A159" t="s">
        <v>501</v>
      </c>
      <c r="B159" s="210" t="str">
        <f t="array" ref="B159">INDEX(ECOMOD_input_estimate!$A$2:$A$55, MATCH(CFT_input!$A159, ECOMOD_input_estimate!$B:$B, 0))</f>
        <v>FF_16.2</v>
      </c>
      <c r="C159" s="210">
        <v>2020</v>
      </c>
      <c r="D159" s="395" t="s">
        <v>730</v>
      </c>
      <c r="E159" s="210" t="str">
        <f t="shared" si="13"/>
        <v>C.light.L-Dsty.L-Res</v>
      </c>
      <c r="F159" s="210" t="str">
        <f t="array" ref="F159">_xlfn.SINGLE(IF(OR(ISNUMBER(SEARCH("heavy",A159))=TRUE,ISNUMBER(SEARCH("medium",A159))=TRUE),
INDEX('Focus Data Crop Rotations'!$D$4:$P$9,MATCH(D159,'Focus Data Crop Rotations'!$C$4:$C$9,0),_xlfn.SINGLE(_xlfn.IFS(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INDEX('Focus Data Crop Rotations'!$D$12:$P$17,MATCH(D159,'Focus Data Crop Rotations'!$C$12:$C$17,0),_xlfn.SINGLE(_xlfn.IFS(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winterbarley</v>
      </c>
      <c r="G159">
        <v>7.2</v>
      </c>
      <c r="H159" s="227">
        <f>VLOOKUP(F159,'CFT Specific Data'!$F$4:$H$19,3,FALSE)*G159*
IF(B159=B158,
IF(AND(ISNUMBER(SEARCH("wheat",F159))=TRUE,ISNUMBER(SEARCH("Barley",F158))=TRUE),0.89,
IF(AND(ISNUMBER(SEARCH("wheat",F159))=TRUE,F158="setaside"),0.94,
IF(AND(ISNUMBER(SEARCH("barley",F159))=TRUE,ISNUMBER(SEARCH("wheat",F158))=TRUE),0.89,
IF(AND(F159="winterbarley",F158="setaside"),0.94,
IF(AND(F159="sugarbeet",F158="warepotatoes"),0.95,
IF(AND((OR(ISNUMBER(SEARCH("beans",F159)),ISNUMBER(SEARCH("driedpeas",F159)),ISNUMBER(SEARCH("sugarbeet",F159)))=TRUE),ISNUMBER(SEARCH("osr",F158))=TRUE),0,
IF(AND((OR((ISNUMBER(SEARCH("wheat",F159))),ISNUMBER(SEARCH("linseed",F159)),ISNUMBER(SEARCH("driedpeas",F159)),ISNUMBER(SEARCH("osr",F159)))=TRUE),F158="sugarbeet"),0,
IF(AND((OR((ISNUMBER(SEARCH("osr",F159))),ISNUMBER(SEARCH("linseed",F159)))=TRUE),ISNUMBER(SEARCH("beans",F158))=TRUE),0,
IF(AND(F159="wosr",ISNUMBER(SEARCH("linseed",F158))=TRUE),0,
IF(AND(F159="sugarbeet",F158="warepotatoes"),0,
1)))))))))),
IF(AND(ISNUMBER(SEARCH("wheat",F159))=TRUE,ISNUMBER(SEARCH("Barley",#REF!))=TRUE),0.89,
IF(AND(ISNUMBER(SEARCH("wheat",F159))=TRUE,#REF!="setaside"),0.94,
IF(AND(ISNUMBER(SEARCH("barley",F159))=TRUE,ISNUMBER(SEARCH("wheat",#REF!))=TRUE),0.89,
IF(AND(F159="winterbarley",#REF!="setaside"),0.94,
IF(AND(F159="sugarbeet",#REF!="warepotatoes"),0.95,
IF(AND((OR(ISNUMBER(SEARCH("beans",F159)),ISNUMBER(SEARCH("driedpeas",F159)),ISNUMBER(SEARCH("sugarbeet",F159)))=TRUE),ISNUMBER(SEARCH("osr",#REF!))=TRUE),0,
IF(AND((OR((ISNUMBER(SEARCH("wheat",F159))),ISNUMBER(SEARCH("linseed",F159)),ISNUMBER(SEARCH("driedpeas",F159)),ISNUMBER(SEARCH("osr",F159)))=TRUE),#REF!="sugarbeet"),0,
IF(AND((OR((ISNUMBER(SEARCH("osr",F159))),ISNUMBER(SEARCH("linseed",F159)))=TRUE),ISNUMBER(SEARCH("beans",#REF!))=TRUE),0,
IF(AND(F159="wosr",ISNUMBER(SEARCH("linseed",#REF!))=TRUE),0,
IF(AND(F159="sugarbeet",#REF!="warepotatoes"),0,
1)))))))))))
*IF(OR(ISNUMBER(SEARCH("wheat",F159)),ISNUMBER(SEARCH("barley",F159)),ISNUMBER(SEARCH("driedpeas",F159)),ISNUMBER(SEARCH("warepotatoes",F159)),ISNUMBER(SEARCH("osr",F159)),ISNUMBER(SEARCH("linseed",F159)),ISNUMBER(SEARCH("sugarbeet",F159))),
IF(COUNTIF(B154:B158,B159)=5,
INDEX('CFT Specific Data'!$G$24:$L$39,MATCH(F159,'CFT Specific Data'!$F$24:$F$39,0),IF(COUNTIF(F154:F158,F159)=5,6,IF(COUNTIF(F155:F158,F159)=4,5,IF(COUNTIF(F156:F158,F159)=3,4,IF(COUNTIF(F157:F158,F159)=2,3,IF(F158=F159,2,1)))))),
IF(COUNTIF(B154:B158,B159)=4,
INDEX('CFT Specific Data'!$G$24:$L$39,MATCH(F159,'CFT Specific Data'!$F$24:$F$39,0),IF(SUM(COUNTIF(F155:F158,F159),COUNTIF(F160,F159))=5,6,IF(COUNTIF(F155:F158,F159)=4,5,IF(COUNTIF(F156:F158,F159)=3,4,IF(COUNTIF(F157:F158,F159)=2,3,IF(F158=F159,2,1)))))),
IF(COUNTIF(B154:B158,B159)=3,
INDEX('CFT Specific Data'!$G$24:$L$39,MATCH(F159,'CFT Specific Data'!$F$24:$F$39,0),IF(SUM(COUNTIF(F156:F158,F159),COUNTIF(F160:F161,F159))=5,6,IF(SUM(COUNTIF(F156:F158,F159),COUNTIF(F161,F159))=4,5,IF(COUNTIF(F156:F158,F159)=3,4,IF(COUNTIF(F157:F158,F159)=2,3,IF(F158=F159,2,1)))))),
IF(COUNTIF(B154:B158,B159)=2,
INDEX('CFT Specific Data'!$G$24:$L$39,MATCH(F159,'CFT Specific Data'!$F$24:$F$39,0),IF(SUM(COUNTIF(F157:F158,F159),COUNTIF(F160:F162,F159))=5,6,IF(SUM(COUNTIF(F157:F158,F159),COUNTIF(F161:F162,F159))=4,5,IF(SUM(COUNTIF(F157:F158,F159),COUNTIF(F162,F159))=3,4,IF(COUNTIF(F157:F158,F159)=2,3,IF(F158=F159,2,1)))))),
IF(COUNTIF(B154:B158,B159)=1,
INDEX('CFT Specific Data'!$G$24:$L$39,MATCH(F159,'CFT Specific Data'!$F$24:$F$39,0),IF(SUM(COUNTIF(F158,F159),COUNTIF(F160:F163,F159))=5,6,IF(SUM(COUNTIF(F158,F159),COUNTIF(F161:F163,F159))=4,5,IF(SUM(COUNTIF(F158,F159),COUNTIF(F162:F163,F159))=3,4,IF(SUM(COUNTIF(F158,F159),COUNTIF(F163,F159))=2,3,IF(F158=F159,2,1)))))),
IF(COUNTIF(B154:B158,B159)=0,
INDEX('CFT Specific Data'!$G$24:$L$39,MATCH(F159,'CFT Specific Data'!$F$24:$F$39,0),IF(COUNTIF(F160:F163,F159)=5,6,IF(COUNTIF(F161:F163,F159)=4,5,IF(COUNTIF(F162:F163,F159)=3,4,IF(COUNTIF(F163:F163,F159)=2,3,IF(#REF!=F159,2,1)))))))))))),1)</f>
        <v>47.419200000000004</v>
      </c>
      <c r="I159" s="210" t="s">
        <v>348</v>
      </c>
      <c r="J159">
        <v>10</v>
      </c>
      <c r="K159" s="210" t="str">
        <f>VLOOKUP(F159,'CFT Specific Data'!$F$4:$G$19,2,FALSE)</f>
        <v>Barley</v>
      </c>
      <c r="L159" t="str">
        <f t="shared" si="18"/>
        <v>Coarse</v>
      </c>
      <c r="M159">
        <f t="shared" si="19"/>
        <v>5.16</v>
      </c>
      <c r="N159" t="str">
        <f t="shared" si="16"/>
        <v>1.72 &lt; SOM &lt;= 5.16</v>
      </c>
      <c r="O159" t="s">
        <v>349</v>
      </c>
      <c r="P159" t="s">
        <v>350</v>
      </c>
      <c r="Q159">
        <v>7</v>
      </c>
      <c r="R159" t="str">
        <f t="shared" si="20"/>
        <v>5.5 &lt; pH &lt;= 7.3</v>
      </c>
      <c r="S159" t="s">
        <v>351</v>
      </c>
      <c r="T159" s="210">
        <f t="array" ref="T159">_xlfn.SINGLE(INDEX('Focus Data NFertiliser Rate'!$D$4:$P$19,MATCH(F159,'Focus Data NFertiliser Rate'!$C$4:$C$19,0),_xlfn.SINGLE(_xlfn.IFS(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190</v>
      </c>
      <c r="U159" t="str">
        <f t="shared" si="17"/>
        <v>Apply in solution</v>
      </c>
      <c r="V159" s="210">
        <f t="array" ref="V159">_xlfn.SINGLE(INDEX('№ Fertiliser sprayings'!$D$4:$P$19,MATCH(F159,'№ Fertiliser sprayings'!$C$4:$C$19,0),_xlfn.SINGLE(_xlfn.IFS(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3</v>
      </c>
      <c r="W159" s="264">
        <f t="array" ref="W159">_xlfn.SINGLE(INDEX('Focus Data CFT NSpraying'!$D$4:$P$19,MATCH(F159,'Focus Data CFT NSpraying'!$C$4:$C$19,0),_xlfn.SINGLE(_xlfn.IFS(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2.56</v>
      </c>
      <c r="X159" t="s">
        <v>363</v>
      </c>
      <c r="Y159">
        <v>0</v>
      </c>
      <c r="Z159">
        <v>100</v>
      </c>
      <c r="AA159" t="s">
        <v>352</v>
      </c>
      <c r="AB159" s="226" t="str">
        <f>IF(B159=B158,_xlfn.IFS(
AND(AA159=Lists!$L$8,AA158=Lists!$L$8),Lists!$N$5,
AND(OR(AA159=Lists!$L$5,AA159=Lists!$L$7,AA159=Lists!$L$9,AA159=Lists!$L$10,AA159=Lists!$L$6),OR(AA158=Lists!$L$5,AA158=Lists!$L$7,AA158=Lists!$L$9,AA158=Lists!$L$10,AA158=Lists!$L$6)),Lists!$N$5,
AND(AA159=Lists!$L$8,OR(AA158=Lists!$L$5,AA158=Lists!$L$7,AA158=Lists!$L$9,AA158=Lists!$L$10,AA158=Lists!$L$6)),Lists!$N$6,
AND(OR(AA159=Lists!$L$5,AA159=Lists!$L$6,AA159=Lists!$L$7,AA159=Lists!$L$9,AA159=Lists!$L$10),AA158=Lists!$L$8),Lists!$N$7),
_xlfn.IFS(
AND(AA159=Lists!$L$8,#REF!=Lists!$L$8),Lists!$N$5,
AND(OR(AA159=Lists!$L$5,AA159=Lists!$L$7,AA159=Lists!$L$9,AA159=Lists!$L$10,AA159=Lists!$L$6),OR(#REF!=Lists!$L$5,#REF!=Lists!$L$7,#REF!=Lists!$L$9,#REF!=Lists!$L$10,#REF!=Lists!$L$6)),Lists!$N$5,
AND(AA159=Lists!$L$8,OR(#REF!=Lists!$L$5,#REF!=Lists!$L$7,#REF!=Lists!$L$9,#REF!=Lists!$L$10,#REF!=Lists!$L$6)),Lists!$N$6,
AND(OR(AA159=Lists!$L$5,AA159=Lists!$L$7,AA159=Lists!$L$9,AA159=Lists!$L$10),#REF!=Lists!$L$8),Lists!$N$7))</f>
        <v>no change</v>
      </c>
      <c r="AC159">
        <v>0</v>
      </c>
      <c r="AD159">
        <v>0</v>
      </c>
      <c r="AE159" s="102">
        <f t="array" ref="AE159">IF(OR(ISNUMBER(SEARCH("heavy",A159))=TRUE, ISNUMBER(SEARCH("medium",A159))=TRUE),
(LEN(_xlfn.SINGLE(
INDEX('Focus Data Tillage by farm'!$D$4:$P$9,MATCH(D159,'Focus Data Tillage by farm'!$C$4:$C$9,0),_xlfn.SINGLE(_xlfn.IFS(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-LEN(SUBSTITUTE(_xlfn.SINGLE(
INDEX('Focus Data Tillage by farm'!$D$4:$P$9,MATCH(D159,'Focus Data Tillage by farm'!$C$4:$C$9,0),_xlfn.SINGLE(_xlfn.IFS(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"disc","")))/LEN("disc"),
(LEN(_xlfn.SINGLE(
INDEX('Focus Data Tillage by farm'!$D$12:$P$17,MATCH(D159,'Focus Data Tillage by farm'!$C$12:$C$17,0),_xlfn.SINGLE(_xlfn.IFS(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-LEN(SUBSTITUTE(_xlfn.SINGLE(
INDEX('Focus Data Tillage by farm'!$D$12:$P$17,MATCH(D159,'Focus Data Tillage by farm'!$C$12:$C$17,0),_xlfn.SINGLE(_xlfn.IFS(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"disc","")))/LEN("disc"))</f>
        <v>1</v>
      </c>
      <c r="AF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"field cultivator","")))/LEN("field cultivator"),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"field cultivator","")))/LEN("field cultivator"))</f>
        <v>0</v>
      </c>
      <c r="AG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"grain drill","")))/LEN("grain drill"),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"grain drill","")))/LEN("grain drill"))</f>
        <v>1</v>
      </c>
      <c r="AH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"minimum tillage","")))/LEN("minimum tillage"),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"minimum tillage","")))/LEN("minimum tillage"))</f>
        <v>0</v>
      </c>
      <c r="AI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"row crop planter","")))/LEN("row crop planter"),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"row crop planter","")))/LEN("row crop planter"))</f>
        <v>0</v>
      </c>
      <c r="AJ159" s="102">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"plough","")))/LEN("plough"),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"plough","")))/LEN("plough"))</f>
        <v>0</v>
      </c>
      <c r="AK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harrow","")))/LEN("roller harrow"),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harrow","")))/LEN("roller harrow"))</f>
        <v>0</v>
      </c>
      <c r="AL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packer","")))/LEN("roller packer"),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"roller packer","")))/LEN("roller packer"))</f>
        <v>2</v>
      </c>
      <c r="AM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"rotary hoe","")))/LEN("rotary hoe"),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"rotary hoe","")))/LEN("rotary hoe"))</f>
        <v>0</v>
      </c>
      <c r="AN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"subsoil","")))/LEN("subsoil"),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"subsoil","")))/LEN("subsoil"))</f>
        <v>0</v>
      </c>
      <c r="AO159">
        <f>IF(OR(ISNUMBER(SEARCH("heavy",A159))=TRUE, ISNUMBER(SEARCH("medium",A159))=TRUE),
(LEN(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farm'!$D$4:$P$9,MATCH(D159,'Focus Data Tillage by farm'!$C$4:$C$9,0),_xlfn.IFS(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"tine harrow","")))/LEN("tine harrow"),
(LEN(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-LEN(SUBSTITUTE(
INDEX('Focus Data Tillage by farm'!$D$12:$P$17,MATCH(D159,'Focus Data Tillage by farm'!$C$12:$C$17,0),_xlfn.IFS(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
"tine harrow","")))/LEN("tine harrow"))</f>
        <v>0</v>
      </c>
      <c r="AP159" s="102">
        <f>INDEX('Focus Data NSpraying'!$D$4:$P$19,MATCH(F159,'Focus Data NSpraying'!$C$4:$C$19,0),_xlfn.IFS(
AND(ISNUMBER(SEARCH("H-Dsty.",A159))=TRUE,ISNUMBER(SEARCH("H-Res",A159))=TRUE,ISNUMBER(SEARCH("E.",A159))=TRUE),1,
AND(ISNUMBER(SEARCH("H-Dsty.",A159))=TRUE,ISNUMBER(SEARCH("H-Res",A159))=TRUE,OR(ISNUMBER(SEARCH("N.he",A159))=TRUE,ISNUMBER(SEARCH("N.me",A159))=TRUE,ISNUMBER(SEARCH("N.li",A159))=TRUE)),2,
AND(ISNUMBER(SEARCH("H-Dsty.",A159))=TRUE,ISNUMBER(SEARCH("H-Res",A159))=TRUE,ISNUMBER(SEARCH("C.",A159))=TRUE),3,
AND(ISNUMBER(SEARCH("L-Dsty.",A159))=TRUE,ISNUMBER(SEARCH("H-Res",A159))=TRUE,ISNUMBER(SEARCH("E.",A159))=TRUE),6,
AND(ISNUMBER(SEARCH("L-Dsty.",A159))=TRUE,ISNUMBER(SEARCH("H-Res",A159))=TRUE,OR(ISNUMBER(SEARCH("N.he",A159))=TRUE,ISNUMBER(SEARCH("N.me",A159))=TRUE,ISNUMBER(SEARCH("N.li",A159))=TRUE)),7,
AND(ISNUMBER(SEARCH("L-Dsty.",A159))=TRUE,ISNUMBER(SEARCH("H-Res",A159))=TRUE,ISNUMBER(SEARCH("C.",A159))=TRUE),8,
AND(ISNUMBER(SEARCH("L-Dsty.",A159))=TRUE,ISNUMBER(SEARCH("L-Res",A159))=TRUE,ISNUMBER(SEARCH("E.",A159))=TRUE),11,
AND(ISNUMBER(SEARCH("L-Dsty.",A159))=TRUE,ISNUMBER(SEARCH("L-Res",A159))=TRUE,OR(ISNUMBER(SEARCH("N.he",A159))=TRUE,ISNUMBER(SEARCH("N.me",A159))=TRUE,ISNUMBER(SEARCH("N.li",A159))=TRUE)),12,
AND(ISNUMBER(SEARCH("L-Dsty.",A159))=TRUE,ISNUMBER(SEARCH("L-Res",A159))=TRUE,ISNUMBER(SEARCH("C.",A159))=TRUE),13))</f>
        <v>2</v>
      </c>
    </row>
    <row r="160" spans="1:42" x14ac:dyDescent="0.2">
      <c r="A160" t="s">
        <v>501</v>
      </c>
      <c r="B160" s="210" t="str">
        <f t="array" ref="B160">INDEX(ECOMOD_input_estimate!$A$2:$A$55, MATCH(CFT_input!$A160, ECOMOD_input_estimate!$B:$B, 0))</f>
        <v>FF_16.2</v>
      </c>
      <c r="C160" s="210">
        <v>2020</v>
      </c>
      <c r="D160" s="395" t="s">
        <v>1694</v>
      </c>
      <c r="E160" s="210" t="str">
        <f t="shared" si="13"/>
        <v>C.light.L-Dsty.L-Res</v>
      </c>
      <c r="F160" s="210" t="str">
        <f t="array" ref="F160">_xlfn.SINGLE(IF(OR(ISNUMBER(SEARCH("heavy",A160))=TRUE,ISNUMBER(SEARCH("medium",A160))=TRUE),
INDEX('Focus Data Crop Rotations'!$D$4:$P$9,MATCH(D160,'Focus Data Crop Rotations'!$C$4:$C$9,0),_xlfn.SINGLE(_xlfn.IFS(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INDEX('Focus Data Crop Rotations'!$D$12:$P$17,MATCH(D160,'Focus Data Crop Rotations'!$C$12:$C$17,0),_xlfn.SINGLE(_xlfn.IFS(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wosr</v>
      </c>
      <c r="G160">
        <v>7.2</v>
      </c>
      <c r="H160" s="227">
        <f>VLOOKUP(F160,'CFT Specific Data'!$F$4:$H$19,3,FALSE)*G160*
IF(B160=B159,
IF(AND(ISNUMBER(SEARCH("wheat",F160))=TRUE,ISNUMBER(SEARCH("Barley",F159))=TRUE),0.89,
IF(AND(ISNUMBER(SEARCH("wheat",F160))=TRUE,F159="setaside"),0.94,
IF(AND(ISNUMBER(SEARCH("barley",F160))=TRUE,ISNUMBER(SEARCH("wheat",F159))=TRUE),0.89,
IF(AND(F160="winterbarley",F159="setaside"),0.94,
IF(AND(F160="sugarbeet",F159="warepotatoes"),0.95,
IF(AND((OR(ISNUMBER(SEARCH("beans",F160)),ISNUMBER(SEARCH("driedpeas",F160)),ISNUMBER(SEARCH("sugarbeet",F160)))=TRUE),ISNUMBER(SEARCH("osr",F159))=TRUE),0,
IF(AND((OR((ISNUMBER(SEARCH("wheat",F160))),ISNUMBER(SEARCH("linseed",F160)),ISNUMBER(SEARCH("driedpeas",F160)),ISNUMBER(SEARCH("osr",F160)))=TRUE),F159="sugarbeet"),0,
IF(AND((OR((ISNUMBER(SEARCH("osr",F160))),ISNUMBER(SEARCH("linseed",F160)))=TRUE),ISNUMBER(SEARCH("beans",F159))=TRUE),0,
IF(AND(F160="wosr",ISNUMBER(SEARCH("linseed",F159))=TRUE),0,
IF(AND(F160="sugarbeet",F159="warepotatoes"),0,
1)))))))))),
IF(AND(ISNUMBER(SEARCH("wheat",F160))=TRUE,ISNUMBER(SEARCH("Barley",#REF!))=TRUE),0.89,
IF(AND(ISNUMBER(SEARCH("wheat",F160))=TRUE,#REF!="setaside"),0.94,
IF(AND(ISNUMBER(SEARCH("barley",F160))=TRUE,ISNUMBER(SEARCH("wheat",#REF!))=TRUE),0.89,
IF(AND(F160="winterbarley",#REF!="setaside"),0.94,
IF(AND(F160="sugarbeet",#REF!="warepotatoes"),0.95,
IF(AND((OR(ISNUMBER(SEARCH("beans",F160)),ISNUMBER(SEARCH("driedpeas",F160)),ISNUMBER(SEARCH("sugarbeet",F160)))=TRUE),ISNUMBER(SEARCH("osr",#REF!))=TRUE),0,
IF(AND((OR((ISNUMBER(SEARCH("wheat",F160))),ISNUMBER(SEARCH("linseed",F160)),ISNUMBER(SEARCH("driedpeas",F160)),ISNUMBER(SEARCH("osr",F160)))=TRUE),#REF!="sugarbeet"),0,
IF(AND((OR((ISNUMBER(SEARCH("osr",F160))),ISNUMBER(SEARCH("linseed",F160)))=TRUE),ISNUMBER(SEARCH("beans",#REF!))=TRUE),0,
IF(AND(F160="wosr",ISNUMBER(SEARCH("linseed",#REF!))=TRUE),0,
IF(AND(F160="sugarbeet",#REF!="warepotatoes"),0,
1)))))))))))
*IF(OR(ISNUMBER(SEARCH("wheat",F160)),ISNUMBER(SEARCH("barley",F160)),ISNUMBER(SEARCH("driedpeas",F160)),ISNUMBER(SEARCH("warepotatoes",F160)),ISNUMBER(SEARCH("osr",F160)),ISNUMBER(SEARCH("linseed",F160)),ISNUMBER(SEARCH("sugarbeet",F160))),
IF(COUNTIF(B155:B159,B160)=5,
INDEX('CFT Specific Data'!$G$24:$L$39,MATCH(F160,'CFT Specific Data'!$F$24:$F$39,0),IF(COUNTIF(F155:F159,F160)=5,6,IF(COUNTIF(F156:F159,F160)=4,5,IF(COUNTIF(F157:F159,F160)=3,4,IF(COUNTIF(F158:F159,F160)=2,3,IF(F159=F160,2,1)))))),
IF(COUNTIF(B155:B159,B160)=4,
INDEX('CFT Specific Data'!$G$24:$L$39,MATCH(F160,'CFT Specific Data'!$F$24:$F$39,0),IF(SUM(COUNTIF(F156:F159,F160),COUNTIF(F161,F160))=5,6,IF(COUNTIF(F156:F159,F160)=4,5,IF(COUNTIF(F157:F159,F160)=3,4,IF(COUNTIF(F158:F159,F160)=2,3,IF(F159=F160,2,1)))))),
IF(COUNTIF(B155:B159,B160)=3,
INDEX('CFT Specific Data'!$G$24:$L$39,MATCH(F160,'CFT Specific Data'!$F$24:$F$39,0),IF(SUM(COUNTIF(F157:F159,F160),COUNTIF(F161:F162,F160))=5,6,IF(SUM(COUNTIF(F157:F159,F160),COUNTIF(F162,F160))=4,5,IF(COUNTIF(F157:F159,F160)=3,4,IF(COUNTIF(F158:F159,F160)=2,3,IF(F159=F160,2,1)))))),
IF(COUNTIF(B155:B159,B160)=2,
INDEX('CFT Specific Data'!$G$24:$L$39,MATCH(F160,'CFT Specific Data'!$F$24:$F$39,0),IF(SUM(COUNTIF(F158:F159,F160),COUNTIF(F161:F163,F160))=5,6,IF(SUM(COUNTIF(F158:F159,F160),COUNTIF(F162:F163,F160))=4,5,IF(SUM(COUNTIF(F158:F159,F160),COUNTIF(F163,F160))=3,4,IF(COUNTIF(F158:F159,F160)=2,3,IF(F159=F160,2,1)))))),
IF(COUNTIF(B155:B159,B160)=1,
INDEX('CFT Specific Data'!$G$24:$L$39,MATCH(F160,'CFT Specific Data'!$F$24:$F$39,0),IF(SUM(COUNTIF(F159,F160),COUNTIF(F161:F163,F160))=5,6,IF(SUM(COUNTIF(F159,F160),COUNTIF(F162:F163,F160))=4,5,IF(SUM(COUNTIF(F159,F160),COUNTIF(F163:F163,F160))=3,4,IF(SUM(COUNTIF(F159,F160),COUNTIF(#REF!,F160))=2,3,IF(F159=F160,2,1)))))),
IF(COUNTIF(B155:B159,B160)=0,
INDEX('CFT Specific Data'!$G$24:$L$39,MATCH(F160,'CFT Specific Data'!$F$24:$F$39,0),IF(COUNTIF(F161:F163,F160)=5,6,IF(COUNTIF(F162:F163,F160)=4,5,IF(COUNTIF(F163:F163,F160)=3,4,IF(COUNTIF(#REF!,F160)=2,3,IF(#REF!=F160,2,1)))))))))))),1)</f>
        <v>25.2</v>
      </c>
      <c r="I160" s="210" t="s">
        <v>348</v>
      </c>
      <c r="J160">
        <v>10</v>
      </c>
      <c r="K160" s="210" t="str">
        <f>VLOOKUP(F160,'CFT Specific Data'!$F$4:$G$19,2,FALSE)</f>
        <v>Other</v>
      </c>
      <c r="L160" t="str">
        <f t="shared" si="18"/>
        <v>Coarse</v>
      </c>
      <c r="M160">
        <f t="shared" si="19"/>
        <v>5.16</v>
      </c>
      <c r="N160" t="str">
        <f t="shared" si="16"/>
        <v>1.72 &lt; SOM &lt;= 5.16</v>
      </c>
      <c r="O160" t="s">
        <v>349</v>
      </c>
      <c r="P160" t="s">
        <v>350</v>
      </c>
      <c r="Q160">
        <v>7</v>
      </c>
      <c r="R160" t="str">
        <f t="shared" si="20"/>
        <v>5.5 &lt; pH &lt;= 7.3</v>
      </c>
      <c r="S160" t="s">
        <v>351</v>
      </c>
      <c r="T160" s="210">
        <f t="array" ref="T160">_xlfn.SINGLE(INDEX('Focus Data NFertiliser Rate'!$D$4:$P$19,MATCH(F160,'Focus Data NFertiliser Rate'!$C$4:$C$19,0),_xlfn.SINGLE(_xlfn.IFS(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180</v>
      </c>
      <c r="U160" t="str">
        <f t="shared" si="17"/>
        <v>Apply in solution</v>
      </c>
      <c r="V160" s="210">
        <f t="array" ref="V160">_xlfn.SINGLE(INDEX('№ Fertiliser sprayings'!$D$4:$P$19,MATCH(F160,'№ Fertiliser sprayings'!$C$4:$C$19,0),_xlfn.SINGLE(_xlfn.IFS(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3</v>
      </c>
      <c r="W160" s="264">
        <f t="array" ref="W160">_xlfn.SINGLE(INDEX('Focus Data CFT NSpraying'!$D$4:$P$19,MATCH(F160,'Focus Data CFT NSpraying'!$C$4:$C$19,0),_xlfn.SINGLE(_xlfn.IFS(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1.4</v>
      </c>
      <c r="X160" t="s">
        <v>363</v>
      </c>
      <c r="Y160">
        <v>0</v>
      </c>
      <c r="Z160">
        <v>100</v>
      </c>
      <c r="AA160" t="s">
        <v>352</v>
      </c>
      <c r="AB160" s="226" t="str">
        <f>IF(B160=B159,_xlfn.IFS(
AND(AA160=Lists!$L$8,AA159=Lists!$L$8),Lists!$N$5,
AND(OR(AA160=Lists!$L$5,AA160=Lists!$L$7,AA160=Lists!$L$9,AA160=Lists!$L$10,AA160=Lists!$L$6),OR(AA159=Lists!$L$5,AA159=Lists!$L$7,AA159=Lists!$L$9,AA159=Lists!$L$10,AA159=Lists!$L$6)),Lists!$N$5,
AND(AA160=Lists!$L$8,OR(AA159=Lists!$L$5,AA159=Lists!$L$7,AA159=Lists!$L$9,AA159=Lists!$L$10,AA159=Lists!$L$6)),Lists!$N$6,
AND(OR(AA160=Lists!$L$5,AA160=Lists!$L$6,AA160=Lists!$L$7,AA160=Lists!$L$9,AA160=Lists!$L$10),AA159=Lists!$L$8),Lists!$N$7),
_xlfn.IFS(
AND(AA160=Lists!$L$8,AA164=Lists!$L$8),Lists!$N$5,
AND(OR(AA160=Lists!$L$5,AA160=Lists!$L$7,AA160=Lists!$L$9,AA160=Lists!$L$10,AA160=Lists!$L$6),OR(AA164=Lists!$L$5,AA164=Lists!$L$7,AA164=Lists!$L$9,AA164=Lists!$L$10,AA164=Lists!$L$6)),Lists!$N$5,
AND(AA160=Lists!$L$8,OR(AA164=Lists!$L$5,AA164=Lists!$L$7,AA164=Lists!$L$9,AA164=Lists!$L$10,AA164=Lists!$L$6)),Lists!$N$6,
AND(OR(AA160=Lists!$L$5,AA160=Lists!$L$7,AA160=Lists!$L$9,AA160=Lists!$L$10),AA164=Lists!$L$8),Lists!$N$7))</f>
        <v>no change</v>
      </c>
      <c r="AC160">
        <v>0</v>
      </c>
      <c r="AD160">
        <v>0</v>
      </c>
      <c r="AE160" s="102">
        <f t="array" ref="AE160">IF(OR(ISNUMBER(SEARCH("heavy",A160))=TRUE, ISNUMBER(SEARCH("medium",A160))=TRUE),
(LEN(_xlfn.SINGLE(
INDEX('Focus Data Tillage by farm'!$D$4:$P$9,MATCH(D160,'Focus Data Tillage by farm'!$C$4:$C$9,0),_xlfn.SINGLE(_xlfn.IFS(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-LEN(SUBSTITUTE(_xlfn.SINGLE(
INDEX('Focus Data Tillage by farm'!$D$4:$P$9,MATCH(D160,'Focus Data Tillage by farm'!$C$4:$C$9,0),_xlfn.SINGLE(_xlfn.IFS(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"disc","")))/LEN("disc"),
(LEN(_xlfn.SINGLE(
INDEX('Focus Data Tillage by farm'!$D$12:$P$17,MATCH(D160,'Focus Data Tillage by farm'!$C$12:$C$17,0),_xlfn.SINGLE(_xlfn.IFS(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-LEN(SUBSTITUTE(_xlfn.SINGLE(
INDEX('Focus Data Tillage by farm'!$D$12:$P$17,MATCH(D160,'Focus Data Tillage by farm'!$C$12:$C$17,0),_xlfn.SINGLE(_xlfn.IFS(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"disc","")))/LEN("disc"))</f>
        <v>0</v>
      </c>
      <c r="AF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"field cultivator","")))/LEN("field cultivator"),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"field cultivator","")))/LEN("field cultivator"))</f>
        <v>0</v>
      </c>
      <c r="AG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"grain drill","")))/LEN("grain drill"),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"grain drill","")))/LEN("grain drill"))</f>
        <v>0</v>
      </c>
      <c r="AH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"minimum tillage","")))/LEN("minimum tillage"),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"minimum tillage","")))/LEN("minimum tillage"))</f>
        <v>0</v>
      </c>
      <c r="AI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"row crop planter","")))/LEN("row crop planter"),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"row crop planter","")))/LEN("row crop planter"))</f>
        <v>0</v>
      </c>
      <c r="AJ160" s="102">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"plough","")))/LEN("plough"),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"plough","")))/LEN("plough"))</f>
        <v>0</v>
      </c>
      <c r="AK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harrow","")))/LEN("roller harrow"),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harrow","")))/LEN("roller harrow"))</f>
        <v>0</v>
      </c>
      <c r="AL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packer","")))/LEN("roller packer"),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"roller packer","")))/LEN("roller packer"))</f>
        <v>1</v>
      </c>
      <c r="AM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"rotary hoe","")))/LEN("rotary hoe"),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"rotary hoe","")))/LEN("rotary hoe"))</f>
        <v>0</v>
      </c>
      <c r="AN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"subsoil","")))/LEN("subsoil"),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"subsoil","")))/LEN("subsoil"))</f>
        <v>1</v>
      </c>
      <c r="AO160">
        <f>IF(OR(ISNUMBER(SEARCH("heavy",A160))=TRUE, ISNUMBER(SEARCH("medium",A160))=TRUE),
(LEN(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farm'!$D$4:$P$9,MATCH(D160,'Focus Data Tillage by farm'!$C$4:$C$9,0),_xlfn.IFS(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"tine harrow","")))/LEN("tine harrow"),
(LEN(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-LEN(SUBSTITUTE(
INDEX('Focus Data Tillage by farm'!$D$12:$P$17,MATCH(D160,'Focus Data Tillage by farm'!$C$12:$C$17,0),_xlfn.IFS(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
"tine harrow","")))/LEN("tine harrow"))</f>
        <v>0</v>
      </c>
      <c r="AP160" s="102">
        <f>INDEX('Focus Data NSpraying'!$D$4:$P$19,MATCH(F160,'Focus Data NSpraying'!$C$4:$C$19,0),_xlfn.IFS(
AND(ISNUMBER(SEARCH("H-Dsty.",A160))=TRUE,ISNUMBER(SEARCH("H-Res",A160))=TRUE,ISNUMBER(SEARCH("E.",A160))=TRUE),1,
AND(ISNUMBER(SEARCH("H-Dsty.",A160))=TRUE,ISNUMBER(SEARCH("H-Res",A160))=TRUE,OR(ISNUMBER(SEARCH("N.he",A160))=TRUE,ISNUMBER(SEARCH("N.me",A160))=TRUE,ISNUMBER(SEARCH("N.li",A160))=TRUE)),2,
AND(ISNUMBER(SEARCH("H-Dsty.",A160))=TRUE,ISNUMBER(SEARCH("H-Res",A160))=TRUE,ISNUMBER(SEARCH("C.",A160))=TRUE),3,
AND(ISNUMBER(SEARCH("L-Dsty.",A160))=TRUE,ISNUMBER(SEARCH("H-Res",A160))=TRUE,ISNUMBER(SEARCH("E.",A160))=TRUE),6,
AND(ISNUMBER(SEARCH("L-Dsty.",A160))=TRUE,ISNUMBER(SEARCH("H-Res",A160))=TRUE,OR(ISNUMBER(SEARCH("N.he",A160))=TRUE,ISNUMBER(SEARCH("N.me",A160))=TRUE,ISNUMBER(SEARCH("N.li",A160))=TRUE)),7,
AND(ISNUMBER(SEARCH("L-Dsty.",A160))=TRUE,ISNUMBER(SEARCH("H-Res",A160))=TRUE,ISNUMBER(SEARCH("C.",A160))=TRUE),8,
AND(ISNUMBER(SEARCH("L-Dsty.",A160))=TRUE,ISNUMBER(SEARCH("L-Res",A160))=TRUE,ISNUMBER(SEARCH("E.",A160))=TRUE),11,
AND(ISNUMBER(SEARCH("L-Dsty.",A160))=TRUE,ISNUMBER(SEARCH("L-Res",A160))=TRUE,OR(ISNUMBER(SEARCH("N.he",A160))=TRUE,ISNUMBER(SEARCH("N.me",A160))=TRUE,ISNUMBER(SEARCH("N.li",A160))=TRUE)),12,
AND(ISNUMBER(SEARCH("L-Dsty.",A160))=TRUE,ISNUMBER(SEARCH("L-Res",A160))=TRUE,ISNUMBER(SEARCH("C.",A160))=TRUE),13))</f>
        <v>2</v>
      </c>
    </row>
    <row r="161" spans="1:42" x14ac:dyDescent="0.2">
      <c r="A161" t="s">
        <v>501</v>
      </c>
      <c r="B161" s="210" t="str">
        <f t="array" ref="B161">INDEX(ECOMOD_input_estimate!$A$2:$A$55, MATCH(CFT_input!$A161, ECOMOD_input_estimate!$B:$B, 0))</f>
        <v>FF_16.2</v>
      </c>
      <c r="C161" s="210">
        <v>2020</v>
      </c>
      <c r="D161" s="395" t="s">
        <v>1695</v>
      </c>
      <c r="E161" s="210" t="str">
        <f t="shared" si="13"/>
        <v>C.light.L-Dsty.L-Res</v>
      </c>
      <c r="F161" s="210" t="str">
        <f t="array" ref="F161">_xlfn.SINGLE(IF(OR(ISNUMBER(SEARCH("heavy",A161))=TRUE,ISNUMBER(SEARCH("medium",A161))=TRUE),
INDEX('Focus Data Crop Rotations'!$D$4:$P$9,MATCH(D161,'Focus Data Crop Rotations'!$C$4:$C$9,0),_xlfn.SINGLE(_xlfn.IFS(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INDEX('Focus Data Crop Rotations'!$D$12:$P$17,MATCH(D161,'Focus Data Crop Rotations'!$C$12:$C$17,0),_xlfn.SINGLE(_xlfn.IFS(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winterwheat</v>
      </c>
      <c r="G161">
        <v>7.2</v>
      </c>
      <c r="H161" s="227">
        <f>VLOOKUP(F161,'CFT Specific Data'!$F$4:$H$19,3,FALSE)*G161*
IF(B161=B160,
IF(AND(ISNUMBER(SEARCH("wheat",F161))=TRUE,ISNUMBER(SEARCH("Barley",F160))=TRUE),0.89,
IF(AND(ISNUMBER(SEARCH("wheat",F161))=TRUE,F160="setaside"),0.94,
IF(AND(ISNUMBER(SEARCH("barley",F161))=TRUE,ISNUMBER(SEARCH("wheat",F160))=TRUE),0.89,
IF(AND(F161="winterbarley",F160="setaside"),0.94,
IF(AND(F161="sugarbeet",F160="warepotatoes"),0.95,
IF(AND((OR(ISNUMBER(SEARCH("beans",F161)),ISNUMBER(SEARCH("driedpeas",F161)),ISNUMBER(SEARCH("sugarbeet",F161)))=TRUE),ISNUMBER(SEARCH("osr",F160))=TRUE),0,
IF(AND((OR((ISNUMBER(SEARCH("wheat",F161))),ISNUMBER(SEARCH("linseed",F161)),ISNUMBER(SEARCH("driedpeas",F161)),ISNUMBER(SEARCH("osr",F161)))=TRUE),F160="sugarbeet"),0,
IF(AND((OR((ISNUMBER(SEARCH("osr",F161))),ISNUMBER(SEARCH("linseed",F161)))=TRUE),ISNUMBER(SEARCH("beans",F160))=TRUE),0,
IF(AND(F161="wosr",ISNUMBER(SEARCH("linseed",F160))=TRUE),0,
IF(AND(F161="sugarbeet",F160="warepotatoes"),0,
1)))))))))),
IF(AND(ISNUMBER(SEARCH("wheat",F161))=TRUE,ISNUMBER(SEARCH("Barley",#REF!))=TRUE),0.89,
IF(AND(ISNUMBER(SEARCH("wheat",F161))=TRUE,#REF!="setaside"),0.94,
IF(AND(ISNUMBER(SEARCH("barley",F161))=TRUE,ISNUMBER(SEARCH("wheat",#REF!))=TRUE),0.89,
IF(AND(F161="winterbarley",#REF!="setaside"),0.94,
IF(AND(F161="sugarbeet",#REF!="warepotatoes"),0.95,
IF(AND((OR(ISNUMBER(SEARCH("beans",F161)),ISNUMBER(SEARCH("driedpeas",F161)),ISNUMBER(SEARCH("sugarbeet",F161)))=TRUE),ISNUMBER(SEARCH("osr",#REF!))=TRUE),0,
IF(AND((OR((ISNUMBER(SEARCH("wheat",F161))),ISNUMBER(SEARCH("linseed",F161)),ISNUMBER(SEARCH("driedpeas",F161)),ISNUMBER(SEARCH("osr",F161)))=TRUE),#REF!="sugarbeet"),0,
IF(AND((OR((ISNUMBER(SEARCH("osr",F161))),ISNUMBER(SEARCH("linseed",F161)))=TRUE),ISNUMBER(SEARCH("beans",#REF!))=TRUE),0,
IF(AND(F161="wosr",ISNUMBER(SEARCH("linseed",#REF!))=TRUE),0,
IF(AND(F161="sugarbeet",#REF!="warepotatoes"),0,
1)))))))))))
*IF(OR(ISNUMBER(SEARCH("wheat",F161)),ISNUMBER(SEARCH("barley",F161)),ISNUMBER(SEARCH("driedpeas",F161)),ISNUMBER(SEARCH("warepotatoes",F161)),ISNUMBER(SEARCH("osr",F161)),ISNUMBER(SEARCH("linseed",F161)),ISNUMBER(SEARCH("sugarbeet",F161))),
IF(COUNTIF(B156:B160,B161)=5,
INDEX('CFT Specific Data'!$G$24:$L$39,MATCH(F161,'CFT Specific Data'!$F$24:$F$39,0),IF(COUNTIF(F156:F160,F161)=5,6,IF(COUNTIF(F157:F160,F161)=4,5,IF(COUNTIF(F158:F160,F161)=3,4,IF(COUNTIF(F159:F160,F161)=2,3,IF(F160=F161,2,1)))))),
IF(COUNTIF(B156:B160,B161)=4,
INDEX('CFT Specific Data'!$G$24:$L$39,MATCH(F161,'CFT Specific Data'!$F$24:$F$39,0),IF(SUM(COUNTIF(F157:F160,F161),COUNTIF(F162,F161))=5,6,IF(COUNTIF(F157:F160,F161)=4,5,IF(COUNTIF(F158:F160,F161)=3,4,IF(COUNTIF(F159:F160,F161)=2,3,IF(F160=F161,2,1)))))),
IF(COUNTIF(B156:B160,B161)=3,
INDEX('CFT Specific Data'!$G$24:$L$39,MATCH(F161,'CFT Specific Data'!$F$24:$F$39,0),IF(SUM(COUNTIF(F158:F160,F161),COUNTIF(F162:F163,F161))=5,6,IF(SUM(COUNTIF(F158:F160,F161),COUNTIF(F163,F161))=4,5,IF(COUNTIF(F158:F160,F161)=3,4,IF(COUNTIF(F159:F160,F161)=2,3,IF(F160=F161,2,1)))))),
IF(COUNTIF(B156:B160,B161)=2,
INDEX('CFT Specific Data'!$G$24:$L$39,MATCH(F161,'CFT Specific Data'!$F$24:$F$39,0),IF(SUM(COUNTIF(F159:F160,F161),COUNTIF(F162:F163,F161))=5,6,IF(SUM(COUNTIF(F159:F160,F161),COUNTIF(F163:F163,F161))=4,5,IF(SUM(COUNTIF(F159:F160,F161),COUNTIF(#REF!,F161))=3,4,IF(COUNTIF(F159:F160,F161)=2,3,IF(F160=F161,2,1)))))),
IF(COUNTIF(B156:B160,B161)=1,
INDEX('CFT Specific Data'!$G$24:$L$39,MATCH(F161,'CFT Specific Data'!$F$24:$F$39,0),IF(SUM(COUNTIF(F160,F161),COUNTIF(F162:F163,F161))=5,6,IF(SUM(COUNTIF(F160,F161),COUNTIF(F163:F163,F161))=4,5,IF(SUM(COUNTIF(F160,F161),COUNTIF(#REF!,F161))=3,4,IF(SUM(COUNTIF(F160,F161),COUNTIF(#REF!,F161))=2,3,IF(F160=F161,2,1)))))),
IF(COUNTIF(B156:B160,B161)=0,
INDEX('CFT Specific Data'!$G$24:$L$39,MATCH(F161,'CFT Specific Data'!$F$24:$F$39,0),IF(COUNTIF(F162:F163,F161)=5,6,IF(COUNTIF(F163:F163,F161)=4,5,IF(COUNTIF(#REF!,F161)=3,4,IF(COUNTIF(#REF!,F161)=2,3,IF(#REF!=F161,2,1)))))))))))),1)</f>
        <v>61.92</v>
      </c>
      <c r="I161" s="210" t="s">
        <v>348</v>
      </c>
      <c r="J161">
        <v>10</v>
      </c>
      <c r="K161" s="210" t="str">
        <f>VLOOKUP(F161,'CFT Specific Data'!$F$4:$G$19,2,FALSE)</f>
        <v>Winter wheat</v>
      </c>
      <c r="L161" t="str">
        <f t="shared" si="18"/>
        <v>Coarse</v>
      </c>
      <c r="M161">
        <f t="shared" si="19"/>
        <v>5.16</v>
      </c>
      <c r="N161" t="str">
        <f t="shared" si="16"/>
        <v>1.72 &lt; SOM &lt;= 5.16</v>
      </c>
      <c r="O161" t="s">
        <v>349</v>
      </c>
      <c r="P161" t="s">
        <v>350</v>
      </c>
      <c r="Q161">
        <v>7</v>
      </c>
      <c r="R161" t="str">
        <f t="shared" si="20"/>
        <v>5.5 &lt; pH &lt;= 7.3</v>
      </c>
      <c r="S161" t="s">
        <v>351</v>
      </c>
      <c r="T161" s="210">
        <f t="array" ref="T161">_xlfn.SINGLE(INDEX('Focus Data NFertiliser Rate'!$D$4:$P$19,MATCH(F161,'Focus Data NFertiliser Rate'!$C$4:$C$19,0),_xlfn.SINGLE(_xlfn.IFS(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220</v>
      </c>
      <c r="U161" t="str">
        <f t="shared" si="17"/>
        <v>Apply in solution</v>
      </c>
      <c r="V161" s="210">
        <f t="array" ref="V161">_xlfn.SINGLE(INDEX('№ Fertiliser sprayings'!$D$4:$P$19,MATCH(F161,'№ Fertiliser sprayings'!$C$4:$C$19,0),_xlfn.SINGLE(_xlfn.IFS(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3</v>
      </c>
      <c r="W161" s="264">
        <f t="array" ref="W161">_xlfn.SINGLE(INDEX('Focus Data CFT NSpraying'!$D$4:$P$19,MATCH(F161,'Focus Data CFT NSpraying'!$C$4:$C$19,0),_xlfn.SINGLE(_xlfn.IFS(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2.7888000000000002</v>
      </c>
      <c r="X161" t="s">
        <v>363</v>
      </c>
      <c r="Y161">
        <v>0</v>
      </c>
      <c r="Z161">
        <v>100</v>
      </c>
      <c r="AA161" t="s">
        <v>352</v>
      </c>
      <c r="AB161" s="226" t="str">
        <f>IF(B161=B160,_xlfn.IFS(
AND(AA161=Lists!$L$8,AA160=Lists!$L$8),Lists!$N$5,
AND(OR(AA161=Lists!$L$5,AA161=Lists!$L$7,AA161=Lists!$L$9,AA161=Lists!$L$10,AA161=Lists!$L$6),OR(AA160=Lists!$L$5,AA160=Lists!$L$7,AA160=Lists!$L$9,AA160=Lists!$L$10,AA160=Lists!$L$6)),Lists!$N$5,
AND(AA161=Lists!$L$8,OR(AA160=Lists!$L$5,AA160=Lists!$L$7,AA160=Lists!$L$9,AA160=Lists!$L$10,AA160=Lists!$L$6)),Lists!$N$6,
AND(OR(AA161=Lists!$L$5,AA161=Lists!$L$6,AA161=Lists!$L$7,AA161=Lists!$L$9,AA161=Lists!$L$10),AA160=Lists!$L$8),Lists!$N$7),
_xlfn.IFS(
AND(AA161=Lists!$L$8,AA165=Lists!$L$8),Lists!$N$5,
AND(OR(AA161=Lists!$L$5,AA161=Lists!$L$7,AA161=Lists!$L$9,AA161=Lists!$L$10,AA161=Lists!$L$6),OR(AA165=Lists!$L$5,AA165=Lists!$L$7,AA165=Lists!$L$9,AA165=Lists!$L$10,AA165=Lists!$L$6)),Lists!$N$5,
AND(AA161=Lists!$L$8,OR(AA165=Lists!$L$5,AA165=Lists!$L$7,AA165=Lists!$L$9,AA165=Lists!$L$10,AA165=Lists!$L$6)),Lists!$N$6,
AND(OR(AA161=Lists!$L$5,AA161=Lists!$L$7,AA161=Lists!$L$9,AA161=Lists!$L$10),AA165=Lists!$L$8),Lists!$N$7))</f>
        <v>no change</v>
      </c>
      <c r="AC161">
        <v>0</v>
      </c>
      <c r="AD161">
        <v>0</v>
      </c>
      <c r="AE161" s="102">
        <f t="array" ref="AE161">IF(OR(ISNUMBER(SEARCH("heavy",A161))=TRUE, ISNUMBER(SEARCH("medium",A161))=TRUE),
(LEN(_xlfn.SINGLE(
INDEX('Focus Data Tillage by farm'!$D$4:$P$9,MATCH(D161,'Focus Data Tillage by farm'!$C$4:$C$9,0),_xlfn.SINGLE(_xlfn.IFS(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-LEN(SUBSTITUTE(_xlfn.SINGLE(
INDEX('Focus Data Tillage by farm'!$D$4:$P$9,MATCH(D161,'Focus Data Tillage by farm'!$C$4:$C$9,0),_xlfn.SINGLE(_xlfn.IFS(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"disc","")))/LEN("disc"),
(LEN(_xlfn.SINGLE(
INDEX('Focus Data Tillage by farm'!$D$12:$P$17,MATCH(D161,'Focus Data Tillage by farm'!$C$12:$C$17,0),_xlfn.SINGLE(_xlfn.IFS(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-LEN(SUBSTITUTE(_xlfn.SINGLE(
INDEX('Focus Data Tillage by farm'!$D$12:$P$17,MATCH(D161,'Focus Data Tillage by farm'!$C$12:$C$17,0),_xlfn.SINGLE(_xlfn.IFS(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"disc","")))/LEN("disc"))</f>
        <v>1</v>
      </c>
      <c r="AF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"field cultivator","")))/LEN("field cultivator"),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"field cultivator","")))/LEN("field cultivator"))</f>
        <v>0</v>
      </c>
      <c r="AG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"grain drill","")))/LEN("grain drill"),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"grain drill","")))/LEN("grain drill"))</f>
        <v>1</v>
      </c>
      <c r="AH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"minimum tillage","")))/LEN("minimum tillage"),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"minimum tillage","")))/LEN("minimum tillage"))</f>
        <v>0</v>
      </c>
      <c r="AI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"row crop planter","")))/LEN("row crop planter"),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"row crop planter","")))/LEN("row crop planter"))</f>
        <v>0</v>
      </c>
      <c r="AJ161" s="102">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"plough","")))/LEN("plough"),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"plough","")))/LEN("plough"))</f>
        <v>0</v>
      </c>
      <c r="AK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harrow","")))/LEN("roller harrow"),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harrow","")))/LEN("roller harrow"))</f>
        <v>0</v>
      </c>
      <c r="AL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packer","")))/LEN("roller packer"),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"roller packer","")))/LEN("roller packer"))</f>
        <v>2</v>
      </c>
      <c r="AM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"rotary hoe","")))/LEN("rotary hoe"),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"rotary hoe","")))/LEN("rotary hoe"))</f>
        <v>0</v>
      </c>
      <c r="AN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"subsoil","")))/LEN("subsoil"),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"subsoil","")))/LEN("subsoil"))</f>
        <v>0</v>
      </c>
      <c r="AO161">
        <f>IF(OR(ISNUMBER(SEARCH("heavy",A161))=TRUE, ISNUMBER(SEARCH("medium",A161))=TRUE),
(LEN(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farm'!$D$4:$P$9,MATCH(D161,'Focus Data Tillage by farm'!$C$4:$C$9,0),_xlfn.IFS(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"tine harrow","")))/LEN("tine harrow"),
(LEN(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-LEN(SUBSTITUTE(
INDEX('Focus Data Tillage by farm'!$D$12:$P$17,MATCH(D161,'Focus Data Tillage by farm'!$C$12:$C$17,0),_xlfn.IFS(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
"tine harrow","")))/LEN("tine harrow"))</f>
        <v>0</v>
      </c>
      <c r="AP161" s="102">
        <f>INDEX('Focus Data NSpraying'!$D$4:$P$19,MATCH(F161,'Focus Data NSpraying'!$C$4:$C$19,0),_xlfn.IFS(
AND(ISNUMBER(SEARCH("H-Dsty.",A161))=TRUE,ISNUMBER(SEARCH("H-Res",A161))=TRUE,ISNUMBER(SEARCH("E.",A161))=TRUE),1,
AND(ISNUMBER(SEARCH("H-Dsty.",A161))=TRUE,ISNUMBER(SEARCH("H-Res",A161))=TRUE,OR(ISNUMBER(SEARCH("N.he",A161))=TRUE,ISNUMBER(SEARCH("N.me",A161))=TRUE,ISNUMBER(SEARCH("N.li",A161))=TRUE)),2,
AND(ISNUMBER(SEARCH("H-Dsty.",A161))=TRUE,ISNUMBER(SEARCH("H-Res",A161))=TRUE,ISNUMBER(SEARCH("C.",A161))=TRUE),3,
AND(ISNUMBER(SEARCH("L-Dsty.",A161))=TRUE,ISNUMBER(SEARCH("H-Res",A161))=TRUE,ISNUMBER(SEARCH("E.",A161))=TRUE),6,
AND(ISNUMBER(SEARCH("L-Dsty.",A161))=TRUE,ISNUMBER(SEARCH("H-Res",A161))=TRUE,OR(ISNUMBER(SEARCH("N.he",A161))=TRUE,ISNUMBER(SEARCH("N.me",A161))=TRUE,ISNUMBER(SEARCH("N.li",A161))=TRUE)),7,
AND(ISNUMBER(SEARCH("L-Dsty.",A161))=TRUE,ISNUMBER(SEARCH("H-Res",A161))=TRUE,ISNUMBER(SEARCH("C.",A161))=TRUE),8,
AND(ISNUMBER(SEARCH("L-Dsty.",A161))=TRUE,ISNUMBER(SEARCH("L-Res",A161))=TRUE,ISNUMBER(SEARCH("E.",A161))=TRUE),11,
AND(ISNUMBER(SEARCH("L-Dsty.",A161))=TRUE,ISNUMBER(SEARCH("L-Res",A161))=TRUE,OR(ISNUMBER(SEARCH("N.he",A161))=TRUE,ISNUMBER(SEARCH("N.me",A161))=TRUE,ISNUMBER(SEARCH("N.li",A161))=TRUE)),12,
AND(ISNUMBER(SEARCH("L-Dsty.",A161))=TRUE,ISNUMBER(SEARCH("L-Res",A161))=TRUE,ISNUMBER(SEARCH("C.",A161))=TRUE),13))</f>
        <v>3</v>
      </c>
    </row>
    <row r="162" spans="1:42" x14ac:dyDescent="0.2">
      <c r="A162" t="s">
        <v>501</v>
      </c>
      <c r="B162" s="210" t="str">
        <f t="array" ref="B162">INDEX(ECOMOD_input_estimate!$A$2:$A$55, MATCH(CFT_input!$A162, ECOMOD_input_estimate!$B:$B, 0))</f>
        <v>FF_16.2</v>
      </c>
      <c r="C162" s="210">
        <v>2020</v>
      </c>
      <c r="D162" s="395" t="s">
        <v>1696</v>
      </c>
      <c r="E162" s="210" t="str">
        <f t="shared" si="13"/>
        <v>C.light.L-Dsty.L-Res</v>
      </c>
      <c r="F162" s="210" t="str">
        <f t="array" ref="F162">_xlfn.SINGLE(IF(OR(ISNUMBER(SEARCH("heavy",A162))=TRUE,ISNUMBER(SEARCH("medium",A162))=TRUE),
INDEX('Focus Data Crop Rotations'!$D$4:$P$9,MATCH(D162,'Focus Data Crop Rotations'!$C$4:$C$9,0),_xlfn.SINGLE(_xlfn.IFS(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INDEX('Focus Data Crop Rotations'!$D$12:$P$17,MATCH(D162,'Focus Data Crop Rotations'!$C$12:$C$17,0),_xlfn.SINGLE(_xlfn.IFS(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driedpeas</v>
      </c>
      <c r="G162">
        <v>7.2</v>
      </c>
      <c r="H162" s="227">
        <f>VLOOKUP(F162,'CFT Specific Data'!$F$4:$H$19,3,FALSE)*G162*
IF(B162=B161,
IF(AND(ISNUMBER(SEARCH("wheat",F162))=TRUE,ISNUMBER(SEARCH("Barley",F161))=TRUE),0.89,
IF(AND(ISNUMBER(SEARCH("wheat",F162))=TRUE,F161="setaside"),0.94,
IF(AND(ISNUMBER(SEARCH("barley",F162))=TRUE,ISNUMBER(SEARCH("wheat",F161))=TRUE),0.89,
IF(AND(F162="winterbarley",F161="setaside"),0.94,
IF(AND(F162="sugarbeet",F161="warepotatoes"),0.95,
IF(AND((OR(ISNUMBER(SEARCH("beans",F162)),ISNUMBER(SEARCH("driedpeas",F162)),ISNUMBER(SEARCH("sugarbeet",F162)))=TRUE),ISNUMBER(SEARCH("osr",F161))=TRUE),0,
IF(AND((OR((ISNUMBER(SEARCH("wheat",F162))),ISNUMBER(SEARCH("linseed",F162)),ISNUMBER(SEARCH("driedpeas",F162)),ISNUMBER(SEARCH("osr",F162)))=TRUE),F161="sugarbeet"),0,
IF(AND((OR((ISNUMBER(SEARCH("osr",F162))),ISNUMBER(SEARCH("linseed",F162)))=TRUE),ISNUMBER(SEARCH("beans",F161))=TRUE),0,
IF(AND(F162="wosr",ISNUMBER(SEARCH("linseed",F161))=TRUE),0,
IF(AND(F162="sugarbeet",F161="warepotatoes"),0,
1)))))))))),
IF(AND(ISNUMBER(SEARCH("wheat",F162))=TRUE,ISNUMBER(SEARCH("Barley",#REF!))=TRUE),0.89,
IF(AND(ISNUMBER(SEARCH("wheat",F162))=TRUE,#REF!="setaside"),0.94,
IF(AND(ISNUMBER(SEARCH("barley",F162))=TRUE,ISNUMBER(SEARCH("wheat",#REF!))=TRUE),0.89,
IF(AND(F162="winterbarley",#REF!="setaside"),0.94,
IF(AND(F162="sugarbeet",#REF!="warepotatoes"),0.95,
IF(AND((OR(ISNUMBER(SEARCH("beans",F162)),ISNUMBER(SEARCH("driedpeas",F162)),ISNUMBER(SEARCH("sugarbeet",F162)))=TRUE),ISNUMBER(SEARCH("osr",#REF!))=TRUE),0,
IF(AND((OR((ISNUMBER(SEARCH("wheat",F162))),ISNUMBER(SEARCH("linseed",F162)),ISNUMBER(SEARCH("driedpeas",F162)),ISNUMBER(SEARCH("osr",F162)))=TRUE),#REF!="sugarbeet"),0,
IF(AND((OR((ISNUMBER(SEARCH("osr",F162))),ISNUMBER(SEARCH("linseed",F162)))=TRUE),ISNUMBER(SEARCH("beans",#REF!))=TRUE),0,
IF(AND(F162="wosr",ISNUMBER(SEARCH("linseed",#REF!))=TRUE),0,
IF(AND(F162="sugarbeet",#REF!="warepotatoes"),0,
1)))))))))))
*IF(OR(ISNUMBER(SEARCH("wheat",F162)),ISNUMBER(SEARCH("barley",F162)),ISNUMBER(SEARCH("driedpeas",F162)),ISNUMBER(SEARCH("warepotatoes",F162)),ISNUMBER(SEARCH("osr",F162)),ISNUMBER(SEARCH("linseed",F162)),ISNUMBER(SEARCH("sugarbeet",F162))),
IF(COUNTIF(B157:B161,B162)=5,
INDEX('CFT Specific Data'!$G$24:$L$39,MATCH(F162,'CFT Specific Data'!$F$24:$F$39,0),IF(COUNTIF(F157:F161,F162)=5,6,IF(COUNTIF(F158:F161,F162)=4,5,IF(COUNTIF(F159:F161,F162)=3,4,IF(COUNTIF(F160:F161,F162)=2,3,IF(F161=F162,2,1)))))),
IF(COUNTIF(B157:B161,B162)=4,
INDEX('CFT Specific Data'!$G$24:$L$39,MATCH(F162,'CFT Specific Data'!$F$24:$F$39,0),IF(SUM(COUNTIF(F158:F161,F162),COUNTIF(F163,F162))=5,6,IF(COUNTIF(F158:F161,F162)=4,5,IF(COUNTIF(F159:F161,F162)=3,4,IF(COUNTIF(F160:F161,F162)=2,3,IF(F161=F162,2,1)))))),
IF(COUNTIF(B157:B161,B162)=3,
INDEX('CFT Specific Data'!$G$24:$L$39,MATCH(F162,'CFT Specific Data'!$F$24:$F$39,0),IF(SUM(COUNTIF(F159:F161,F162),COUNTIF(F163:F163,F162))=5,6,IF(SUM(COUNTIF(F159:F161,F162),COUNTIF(#REF!,F162))=4,5,IF(COUNTIF(F159:F161,F162)=3,4,IF(COUNTIF(F160:F161,F162)=2,3,IF(F161=F162,2,1)))))),
IF(COUNTIF(B157:B161,B162)=2,
INDEX('CFT Specific Data'!$G$24:$L$39,MATCH(F162,'CFT Specific Data'!$F$24:$F$39,0),IF(SUM(COUNTIF(F160:F161,F162),COUNTIF(F163:F163,F162))=5,6,IF(SUM(COUNTIF(F160:F161,F162),COUNTIF(#REF!,F162))=4,5,IF(SUM(COUNTIF(F160:F161,F162),COUNTIF(#REF!,F162))=3,4,IF(COUNTIF(F160:F161,F162)=2,3,IF(F161=F162,2,1)))))),
IF(COUNTIF(B157:B161,B162)=1,
INDEX('CFT Specific Data'!$G$24:$L$39,MATCH(F162,'CFT Specific Data'!$F$24:$F$39,0),IF(SUM(COUNTIF(F161,F162),COUNTIF(F163:F163,F162))=5,6,IF(SUM(COUNTIF(F161,F162),COUNTIF(#REF!,F162))=4,5,IF(SUM(COUNTIF(F161,F162),COUNTIF(#REF!,F162))=3,4,IF(SUM(COUNTIF(F161,F162),COUNTIF(#REF!,F162))=2,3,IF(F161=F162,2,1)))))),
IF(COUNTIF(B157:B161,B162)=0,
INDEX('CFT Specific Data'!$G$24:$L$39,MATCH(F162,'CFT Specific Data'!$F$24:$F$39,0),IF(COUNTIF(F163:F163,F162)=5,6,IF(COUNTIF(#REF!,F162)=4,5,IF(COUNTIF(#REF!,F162)=3,4,IF(COUNTIF(#REF!,F162)=2,3,IF(#REF!=F162,2,1)))))))))))),1)</f>
        <v>28.8</v>
      </c>
      <c r="I162" s="210" t="s">
        <v>348</v>
      </c>
      <c r="J162">
        <v>10</v>
      </c>
      <c r="K162" s="210" t="str">
        <f>VLOOKUP(F162,'CFT Specific Data'!$F$4:$G$19,2,FALSE)</f>
        <v>Other legume</v>
      </c>
      <c r="L162" t="str">
        <f t="shared" si="18"/>
        <v>Coarse</v>
      </c>
      <c r="M162">
        <f t="shared" si="19"/>
        <v>5.16</v>
      </c>
      <c r="N162" t="str">
        <f t="shared" si="16"/>
        <v>1.72 &lt; SOM &lt;= 5.16</v>
      </c>
      <c r="O162" t="s">
        <v>349</v>
      </c>
      <c r="P162" t="s">
        <v>350</v>
      </c>
      <c r="Q162">
        <v>7</v>
      </c>
      <c r="R162" t="str">
        <f t="shared" si="20"/>
        <v>5.5 &lt; pH &lt;= 7.3</v>
      </c>
      <c r="S162" t="s">
        <v>351</v>
      </c>
      <c r="T162" s="210">
        <f t="array" ref="T162">_xlfn.SINGLE(INDEX('Focus Data NFertiliser Rate'!$D$4:$P$19,MATCH(F162,'Focus Data NFertiliser Rate'!$C$4:$C$19,0),_xlfn.SINGLE(_xlfn.IFS(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0</v>
      </c>
      <c r="U162">
        <f t="shared" si="17"/>
        <v>0</v>
      </c>
      <c r="V162" s="210">
        <f t="array" ref="V162">_xlfn.SINGLE(INDEX('№ Fertiliser sprayings'!$D$4:$P$19,MATCH(F162,'№ Fertiliser sprayings'!$C$4:$C$19,0),_xlfn.SINGLE(_xlfn.IFS(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0</v>
      </c>
      <c r="W162" s="264">
        <f t="array" ref="W162">_xlfn.SINGLE(INDEX('Focus Data CFT NSpraying'!$D$4:$P$19,MATCH(F162,'Focus Data CFT NSpraying'!$C$4:$C$19,0),_xlfn.SINGLE(_xlfn.IFS(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6.6696</v>
      </c>
      <c r="X162" t="s">
        <v>363</v>
      </c>
      <c r="Y162">
        <v>0</v>
      </c>
      <c r="Z162">
        <v>100</v>
      </c>
      <c r="AA162" t="s">
        <v>352</v>
      </c>
      <c r="AB162" s="226" t="str">
        <f>IF(B162=B161,_xlfn.IFS(
AND(AA162=Lists!$L$8,AA161=Lists!$L$8),Lists!$N$5,
AND(OR(AA162=Lists!$L$5,AA162=Lists!$L$7,AA162=Lists!$L$9,AA162=Lists!$L$10,AA162=Lists!$L$6),OR(AA161=Lists!$L$5,AA161=Lists!$L$7,AA161=Lists!$L$9,AA161=Lists!$L$10,AA161=Lists!$L$6)),Lists!$N$5,
AND(AA162=Lists!$L$8,OR(AA161=Lists!$L$5,AA161=Lists!$L$7,AA161=Lists!$L$9,AA161=Lists!$L$10,AA161=Lists!$L$6)),Lists!$N$6,
AND(OR(AA162=Lists!$L$5,AA162=Lists!$L$6,AA162=Lists!$L$7,AA162=Lists!$L$9,AA162=Lists!$L$10),AA161=Lists!$L$8),Lists!$N$7),
_xlfn.IFS(
AND(AA162=Lists!$L$8,AA166=Lists!$L$8),Lists!$N$5,
AND(OR(AA162=Lists!$L$5,AA162=Lists!$L$7,AA162=Lists!$L$9,AA162=Lists!$L$10,AA162=Lists!$L$6),OR(AA166=Lists!$L$5,AA166=Lists!$L$7,AA166=Lists!$L$9,AA166=Lists!$L$10,AA166=Lists!$L$6)),Lists!$N$5,
AND(AA162=Lists!$L$8,OR(AA166=Lists!$L$5,AA166=Lists!$L$7,AA166=Lists!$L$9,AA166=Lists!$L$10,AA166=Lists!$L$6)),Lists!$N$6,
AND(OR(AA162=Lists!$L$5,AA162=Lists!$L$7,AA162=Lists!$L$9,AA162=Lists!$L$10),AA166=Lists!$L$8),Lists!$N$7))</f>
        <v>no change</v>
      </c>
      <c r="AC162">
        <v>0</v>
      </c>
      <c r="AD162">
        <v>0</v>
      </c>
      <c r="AE162" s="102">
        <f t="array" ref="AE162">IF(OR(ISNUMBER(SEARCH("heavy",A162))=TRUE, ISNUMBER(SEARCH("medium",A162))=TRUE),
(LEN(_xlfn.SINGLE(
INDEX('Focus Data Tillage by farm'!$D$4:$P$9,MATCH(D162,'Focus Data Tillage by farm'!$C$4:$C$9,0),_xlfn.SINGLE(_xlfn.IFS(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-LEN(SUBSTITUTE(_xlfn.SINGLE(
INDEX('Focus Data Tillage by farm'!$D$4:$P$9,MATCH(D162,'Focus Data Tillage by farm'!$C$4:$C$9,0),_xlfn.SINGLE(_xlfn.IFS(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"disc","")))/LEN("disc"),
(LEN(_xlfn.SINGLE(
INDEX('Focus Data Tillage by farm'!$D$12:$P$17,MATCH(D162,'Focus Data Tillage by farm'!$C$12:$C$17,0),_xlfn.SINGLE(_xlfn.IFS(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-LEN(SUBSTITUTE(_xlfn.SINGLE(
INDEX('Focus Data Tillage by farm'!$D$12:$P$17,MATCH(D162,'Focus Data Tillage by farm'!$C$12:$C$17,0),_xlfn.SINGLE(_xlfn.IFS(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"disc","")))/LEN("disc"))</f>
        <v>2</v>
      </c>
      <c r="AF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"field cultivator","")))/LEN("field cultivator"),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"field cultivator","")))/LEN("field cultivator"))</f>
        <v>0</v>
      </c>
      <c r="AG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"grain drill","")))/LEN("grain drill"),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"grain drill","")))/LEN("grain drill"))</f>
        <v>1</v>
      </c>
      <c r="AH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"minimum tillage","")))/LEN("minimum tillage"),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"minimum tillage","")))/LEN("minimum tillage"))</f>
        <v>0</v>
      </c>
      <c r="AI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"row crop planter","")))/LEN("row crop planter"),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"row crop planter","")))/LEN("row crop planter"))</f>
        <v>0</v>
      </c>
      <c r="AJ162" s="10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"plough","")))/LEN("plough"),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"plough","")))/LEN("plough"))</f>
        <v>0</v>
      </c>
      <c r="AK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harrow","")))/LEN("roller harrow"),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harrow","")))/LEN("roller harrow"))</f>
        <v>0</v>
      </c>
      <c r="AL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packer","")))/LEN("roller packer"),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"roller packer","")))/LEN("roller packer"))</f>
        <v>2</v>
      </c>
      <c r="AM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"rotary hoe","")))/LEN("rotary hoe"),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"rotary hoe","")))/LEN("rotary hoe"))</f>
        <v>0</v>
      </c>
      <c r="AN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"subsoil","")))/LEN("subsoil"),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"subsoil","")))/LEN("subsoil"))</f>
        <v>0</v>
      </c>
      <c r="AO162">
        <f>IF(OR(ISNUMBER(SEARCH("heavy",A162))=TRUE, ISNUMBER(SEARCH("medium",A162))=TRUE),
(LEN(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farm'!$D$4:$P$9,MATCH(D162,'Focus Data Tillage by farm'!$C$4:$C$9,0),_xlfn.IFS(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"tine harrow","")))/LEN("tine harrow"),
(LEN(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-LEN(SUBSTITUTE(
INDEX('Focus Data Tillage by farm'!$D$12:$P$17,MATCH(D162,'Focus Data Tillage by farm'!$C$12:$C$17,0),_xlfn.IFS(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
"tine harrow","")))/LEN("tine harrow"))</f>
        <v>0</v>
      </c>
      <c r="AP162" s="102">
        <f>INDEX('Focus Data NSpraying'!$D$4:$P$19,MATCH(F162,'Focus Data NSpraying'!$C$4:$C$19,0),_xlfn.IFS(
AND(ISNUMBER(SEARCH("H-Dsty.",A162))=TRUE,ISNUMBER(SEARCH("H-Res",A162))=TRUE,ISNUMBER(SEARCH("E.",A162))=TRUE),1,
AND(ISNUMBER(SEARCH("H-Dsty.",A162))=TRUE,ISNUMBER(SEARCH("H-Res",A162))=TRUE,OR(ISNUMBER(SEARCH("N.he",A162))=TRUE,ISNUMBER(SEARCH("N.me",A162))=TRUE,ISNUMBER(SEARCH("N.li",A162))=TRUE)),2,
AND(ISNUMBER(SEARCH("H-Dsty.",A162))=TRUE,ISNUMBER(SEARCH("H-Res",A162))=TRUE,ISNUMBER(SEARCH("C.",A162))=TRUE),3,
AND(ISNUMBER(SEARCH("L-Dsty.",A162))=TRUE,ISNUMBER(SEARCH("H-Res",A162))=TRUE,ISNUMBER(SEARCH("E.",A162))=TRUE),6,
AND(ISNUMBER(SEARCH("L-Dsty.",A162))=TRUE,ISNUMBER(SEARCH("H-Res",A162))=TRUE,OR(ISNUMBER(SEARCH("N.he",A162))=TRUE,ISNUMBER(SEARCH("N.me",A162))=TRUE,ISNUMBER(SEARCH("N.li",A162))=TRUE)),7,
AND(ISNUMBER(SEARCH("L-Dsty.",A162))=TRUE,ISNUMBER(SEARCH("H-Res",A162))=TRUE,ISNUMBER(SEARCH("C.",A162))=TRUE),8,
AND(ISNUMBER(SEARCH("L-Dsty.",A162))=TRUE,ISNUMBER(SEARCH("L-Res",A162))=TRUE,ISNUMBER(SEARCH("E.",A162))=TRUE),11,
AND(ISNUMBER(SEARCH("L-Dsty.",A162))=TRUE,ISNUMBER(SEARCH("L-Res",A162))=TRUE,OR(ISNUMBER(SEARCH("N.he",A162))=TRUE,ISNUMBER(SEARCH("N.me",A162))=TRUE,ISNUMBER(SEARCH("N.li",A162))=TRUE)),12,
AND(ISNUMBER(SEARCH("L-Dsty.",A162))=TRUE,ISNUMBER(SEARCH("L-Res",A162))=TRUE,ISNUMBER(SEARCH("C.",A162))=TRUE),13))</f>
        <v>3</v>
      </c>
    </row>
    <row r="163" spans="1:42" x14ac:dyDescent="0.2">
      <c r="A163" t="s">
        <v>501</v>
      </c>
      <c r="B163" s="210" t="str">
        <f t="array" ref="B163">INDEX(ECOMOD_input_estimate!$A$2:$A$55, MATCH(CFT_input!$A163, ECOMOD_input_estimate!$B:$B, 0))</f>
        <v>FF_16.2</v>
      </c>
      <c r="C163" s="210">
        <v>2020</v>
      </c>
      <c r="D163" s="395" t="s">
        <v>735</v>
      </c>
      <c r="E163" s="210" t="str">
        <f t="shared" si="13"/>
        <v>C.light.L-Dsty.L-Res</v>
      </c>
      <c r="F163" s="210" t="str">
        <f t="array" ref="F163">_xlfn.SINGLE(IF(OR(ISNUMBER(SEARCH("heavy",A163))=TRUE,ISNUMBER(SEARCH("medium",A163))=TRUE),
INDEX('Focus Data Crop Rotations'!$D$4:$P$9,MATCH(D163,'Focus Data Crop Rotations'!$C$4:$C$9,0),_xlfn.SINGLE(_xlfn.IFS(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INDEX('Focus Data Crop Rotations'!$D$12:$P$17,MATCH(D163,'Focus Data Crop Rotations'!$C$12:$C$17,0),_xlfn.SINGLE(_xlfn.IFS(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winterwheat</v>
      </c>
      <c r="G163">
        <v>7.2</v>
      </c>
      <c r="H163" s="227">
        <f>VLOOKUP(F163,'CFT Specific Data'!$F$4:$H$19,3,FALSE)*G163*
IF(B163=B162,
IF(AND(ISNUMBER(SEARCH("wheat",F163))=TRUE,ISNUMBER(SEARCH("Barley",F162))=TRUE),0.89,
IF(AND(ISNUMBER(SEARCH("wheat",F163))=TRUE,F162="setaside"),0.94,
IF(AND(ISNUMBER(SEARCH("barley",F163))=TRUE,ISNUMBER(SEARCH("wheat",F162))=TRUE),0.89,
IF(AND(F163="winterbarley",F162="setaside"),0.94,
IF(AND(F163="sugarbeet",F162="warepotatoes"),0.95,
IF(AND((OR(ISNUMBER(SEARCH("beans",F163)),ISNUMBER(SEARCH("driedpeas",F163)),ISNUMBER(SEARCH("sugarbeet",F163)))=TRUE),ISNUMBER(SEARCH("osr",F162))=TRUE),0,
IF(AND((OR((ISNUMBER(SEARCH("wheat",F163))),ISNUMBER(SEARCH("linseed",F163)),ISNUMBER(SEARCH("driedpeas",F163)),ISNUMBER(SEARCH("osr",F163)))=TRUE),F162="sugarbeet"),0,
IF(AND((OR((ISNUMBER(SEARCH("osr",F163))),ISNUMBER(SEARCH("linseed",F163)))=TRUE),ISNUMBER(SEARCH("beans",F162))=TRUE),0,
IF(AND(F163="wosr",ISNUMBER(SEARCH("linseed",F162))=TRUE),0,
IF(AND(F163="sugarbeet",F162="warepotatoes"),0,
1)))))))))),
IF(AND(ISNUMBER(SEARCH("wheat",F163))=TRUE,ISNUMBER(SEARCH("Barley",#REF!))=TRUE),0.89,
IF(AND(ISNUMBER(SEARCH("wheat",F163))=TRUE,#REF!="setaside"),0.94,
IF(AND(ISNUMBER(SEARCH("barley",F163))=TRUE,ISNUMBER(SEARCH("wheat",#REF!))=TRUE),0.89,
IF(AND(F163="winterbarley",#REF!="setaside"),0.94,
IF(AND(F163="sugarbeet",#REF!="warepotatoes"),0.95,
IF(AND((OR(ISNUMBER(SEARCH("beans",F163)),ISNUMBER(SEARCH("driedpeas",F163)),ISNUMBER(SEARCH("sugarbeet",F163)))=TRUE),ISNUMBER(SEARCH("osr",#REF!))=TRUE),0,
IF(AND((OR((ISNUMBER(SEARCH("wheat",F163))),ISNUMBER(SEARCH("linseed",F163)),ISNUMBER(SEARCH("driedpeas",F163)),ISNUMBER(SEARCH("osr",F163)))=TRUE),#REF!="sugarbeet"),0,
IF(AND((OR((ISNUMBER(SEARCH("osr",F163))),ISNUMBER(SEARCH("linseed",F163)))=TRUE),ISNUMBER(SEARCH("beans",#REF!))=TRUE),0,
IF(AND(F163="wosr",ISNUMBER(SEARCH("linseed",#REF!))=TRUE),0,
IF(AND(F163="sugarbeet",#REF!="warepotatoes"),0,
1)))))))))))
*IF(OR(ISNUMBER(SEARCH("wheat",F163)),ISNUMBER(SEARCH("barley",F163)),ISNUMBER(SEARCH("driedpeas",F163)),ISNUMBER(SEARCH("warepotatoes",F163)),ISNUMBER(SEARCH("osr",F163)),ISNUMBER(SEARCH("linseed",F163)),ISNUMBER(SEARCH("sugarbeet",F163))),
IF(COUNTIF(B158:B162,B163)=5,
INDEX('CFT Specific Data'!$G$24:$L$39,MATCH(F163,'CFT Specific Data'!$F$24:$F$39,0),IF(COUNTIF(F158:F162,F163)=5,6,IF(COUNTIF(F159:F162,F163)=4,5,IF(COUNTIF(F160:F162,F163)=3,4,IF(COUNTIF(F161:F162,F163)=2,3,IF(F162=F163,2,1)))))),
IF(COUNTIF(B158:B162,B163)=4,
INDEX('CFT Specific Data'!$G$24:$L$39,MATCH(F163,'CFT Specific Data'!$F$24:$F$39,0),IF(SUM(COUNTIF(F159:F162,F163),COUNTIF(#REF!,F163))=5,6,IF(COUNTIF(F159:F162,F163)=4,5,IF(COUNTIF(F160:F162,F163)=3,4,IF(COUNTIF(F161:F162,F163)=2,3,IF(F162=F163,2,1)))))),
IF(COUNTIF(B158:B162,B163)=3,
INDEX('CFT Specific Data'!$G$24:$L$39,MATCH(F163,'CFT Specific Data'!$F$24:$F$39,0),IF(SUM(COUNTIF(F160:F162,F163),COUNTIF(#REF!,F163))=5,6,IF(SUM(COUNTIF(F160:F162,F163),COUNTIF(#REF!,F163))=4,5,IF(COUNTIF(F160:F162,F163)=3,4,IF(COUNTIF(F161:F162,F163)=2,3,IF(F162=F163,2,1)))))),
IF(COUNTIF(B158:B162,B163)=2,
INDEX('CFT Specific Data'!$G$24:$L$39,MATCH(F163,'CFT Specific Data'!$F$24:$F$39,0),IF(SUM(COUNTIF(F161:F162,F163),COUNTIF(#REF!,F163))=5,6,IF(SUM(COUNTIF(F161:F162,F163),COUNTIF(#REF!,F163))=4,5,IF(SUM(COUNTIF(F161:F162,F163),COUNTIF(#REF!,F163))=3,4,IF(COUNTIF(F161:F162,F163)=2,3,IF(F162=F163,2,1)))))),
IF(COUNTIF(B158:B162,B163)=1,
INDEX('CFT Specific Data'!$G$24:$L$39,MATCH(F163,'CFT Specific Data'!$F$24:$F$39,0),IF(SUM(COUNTIF(F162,F163),COUNTIF(#REF!,F163))=5,6,IF(SUM(COUNTIF(F162,F163),COUNTIF(#REF!,F163))=4,5,IF(SUM(COUNTIF(F162,F163),COUNTIF(#REF!,F163))=3,4,IF(SUM(COUNTIF(F162,F163),COUNTIF(#REF!,F163))=2,3,IF(F162=F163,2,1)))))),
IF(COUNTIF(B158:B162,B163)=0,
INDEX('CFT Specific Data'!$G$24:$L$39,MATCH(F163,'CFT Specific Data'!$F$24:$F$39,0),IF(COUNTIF(#REF!,F163)=5,6,IF(COUNTIF(#REF!,F163)=4,5,IF(COUNTIF(#REF!,F163)=3,4,IF(COUNTIF(#REF!,F163)=2,3,IF(#REF!=F163,2,1)))))))))))),1)</f>
        <v>61.92</v>
      </c>
      <c r="I163" s="210" t="s">
        <v>348</v>
      </c>
      <c r="J163">
        <v>10</v>
      </c>
      <c r="K163" s="210" t="str">
        <f>VLOOKUP(F163,'CFT Specific Data'!$F$4:$G$19,2,FALSE)</f>
        <v>Winter wheat</v>
      </c>
      <c r="L163" t="str">
        <f t="shared" si="18"/>
        <v>Coarse</v>
      </c>
      <c r="M163">
        <f t="shared" si="19"/>
        <v>5.16</v>
      </c>
      <c r="N163" t="str">
        <f t="shared" si="16"/>
        <v>1.72 &lt; SOM &lt;= 5.16</v>
      </c>
      <c r="O163" t="s">
        <v>349</v>
      </c>
      <c r="P163" t="s">
        <v>350</v>
      </c>
      <c r="Q163">
        <v>7</v>
      </c>
      <c r="R163" t="str">
        <f t="shared" si="20"/>
        <v>5.5 &lt; pH &lt;= 7.3</v>
      </c>
      <c r="S163" t="s">
        <v>351</v>
      </c>
      <c r="T163" s="210">
        <f t="array" ref="T163">_xlfn.SINGLE(INDEX('Focus Data NFertiliser Rate'!$D$4:$P$19,MATCH(F163,'Focus Data NFertiliser Rate'!$C$4:$C$19,0),_xlfn.SINGLE(_xlfn.IFS(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220</v>
      </c>
      <c r="U163" t="str">
        <f t="shared" si="17"/>
        <v>Apply in solution</v>
      </c>
      <c r="V163" s="210">
        <f t="array" ref="V163">_xlfn.SINGLE(INDEX('№ Fertiliser sprayings'!$D$4:$P$19,MATCH(F163,'№ Fertiliser sprayings'!$C$4:$C$19,0),_xlfn.SINGLE(_xlfn.IFS(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3</v>
      </c>
      <c r="W163" s="264">
        <f t="array" ref="W163">_xlfn.SINGLE(INDEX('Focus Data CFT NSpraying'!$D$4:$P$19,MATCH(F163,'Focus Data CFT NSpraying'!$C$4:$C$19,0),_xlfn.SINGLE(_xlfn.IFS(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2.7888000000000002</v>
      </c>
      <c r="X163" t="s">
        <v>363</v>
      </c>
      <c r="Y163">
        <v>0</v>
      </c>
      <c r="Z163">
        <v>100</v>
      </c>
      <c r="AA163" t="s">
        <v>352</v>
      </c>
      <c r="AB163" s="226" t="str">
        <f>IF(B163=B162,_xlfn.IFS(
AND(AA163=Lists!$L$8,AA162=Lists!$L$8),Lists!$N$5,
AND(OR(AA163=Lists!$L$5,AA163=Lists!$L$7,AA163=Lists!$L$9,AA163=Lists!$L$10,AA163=Lists!$L$6),OR(AA162=Lists!$L$5,AA162=Lists!$L$7,AA162=Lists!$L$9,AA162=Lists!$L$10,AA162=Lists!$L$6)),Lists!$N$5,
AND(AA163=Lists!$L$8,OR(AA162=Lists!$L$5,AA162=Lists!$L$7,AA162=Lists!$L$9,AA162=Lists!$L$10,AA162=Lists!$L$6)),Lists!$N$6,
AND(OR(AA163=Lists!$L$5,AA163=Lists!$L$6,AA163=Lists!$L$7,AA163=Lists!$L$9,AA163=Lists!$L$10),AA162=Lists!$L$8),Lists!$N$7),
_xlfn.IFS(
AND(AA163=Lists!$L$8,AA167=Lists!$L$8),Lists!$N$5,
AND(OR(AA163=Lists!$L$5,AA163=Lists!$L$7,AA163=Lists!$L$9,AA163=Lists!$L$10,AA163=Lists!$L$6),OR(AA167=Lists!$L$5,AA167=Lists!$L$7,AA167=Lists!$L$9,AA167=Lists!$L$10,AA167=Lists!$L$6)),Lists!$N$5,
AND(AA163=Lists!$L$8,OR(AA167=Lists!$L$5,AA167=Lists!$L$7,AA167=Lists!$L$9,AA167=Lists!$L$10,AA167=Lists!$L$6)),Lists!$N$6,
AND(OR(AA163=Lists!$L$5,AA163=Lists!$L$7,AA163=Lists!$L$9,AA163=Lists!$L$10),AA167=Lists!$L$8),Lists!$N$7))</f>
        <v>no change</v>
      </c>
      <c r="AC163">
        <v>0</v>
      </c>
      <c r="AD163">
        <v>0</v>
      </c>
      <c r="AE163" s="102">
        <f t="array" ref="AE163">IF(OR(ISNUMBER(SEARCH("heavy",A163))=TRUE, ISNUMBER(SEARCH("medium",A163))=TRUE),
(LEN(_xlfn.SINGLE(
INDEX('Focus Data Tillage by farm'!$D$4:$P$9,MATCH(D163,'Focus Data Tillage by farm'!$C$4:$C$9,0),_xlfn.SINGLE(_xlfn.IFS(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-LEN(SUBSTITUTE(_xlfn.SINGLE(
INDEX('Focus Data Tillage by farm'!$D$4:$P$9,MATCH(D163,'Focus Data Tillage by farm'!$C$4:$C$9,0),_xlfn.SINGLE(_xlfn.IFS(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"disc","")))/LEN("disc"),
(LEN(_xlfn.SINGLE(
INDEX('Focus Data Tillage by farm'!$D$12:$P$17,MATCH(D163,'Focus Data Tillage by farm'!$C$12:$C$17,0),_xlfn.SINGLE(_xlfn.IFS(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-LEN(SUBSTITUTE(_xlfn.SINGLE(
INDEX('Focus Data Tillage by farm'!$D$12:$P$17,MATCH(D163,'Focus Data Tillage by farm'!$C$12:$C$17,0),_xlfn.SINGLE(_xlfn.IFS(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"disc","")))/LEN("disc"))</f>
        <v>1</v>
      </c>
      <c r="AF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"field cultivator","")))/LEN("field cultivator"),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"field cultivator","")))/LEN("field cultivator"))</f>
        <v>0</v>
      </c>
      <c r="AG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"grain drill","")))/LEN("grain drill"),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"grain drill","")))/LEN("grain drill"))</f>
        <v>1</v>
      </c>
      <c r="AH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"minimum tillage","")))/LEN("minimum tillage"),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"minimum tillage","")))/LEN("minimum tillage"))</f>
        <v>0</v>
      </c>
      <c r="AI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"row crop planter","")))/LEN("row crop planter"),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"row crop planter","")))/LEN("row crop planter"))</f>
        <v>0</v>
      </c>
      <c r="AJ163" s="102">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"plough","")))/LEN("plough"),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"plough","")))/LEN("plough"))</f>
        <v>0</v>
      </c>
      <c r="AK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harrow","")))/LEN("roller harrow"),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harrow","")))/LEN("roller harrow"))</f>
        <v>0</v>
      </c>
      <c r="AL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packer","")))/LEN("roller packer"),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"roller packer","")))/LEN("roller packer"))</f>
        <v>2</v>
      </c>
      <c r="AM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"rotary hoe","")))/LEN("rotary hoe"),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"rotary hoe","")))/LEN("rotary hoe"))</f>
        <v>0</v>
      </c>
      <c r="AN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"subsoil","")))/LEN("subsoil"),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"subsoil","")))/LEN("subsoil"))</f>
        <v>0</v>
      </c>
      <c r="AO163">
        <f>IF(OR(ISNUMBER(SEARCH("heavy",A163))=TRUE, ISNUMBER(SEARCH("medium",A163))=TRUE),
(LEN(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farm'!$D$4:$P$9,MATCH(D163,'Focus Data Tillage by farm'!$C$4:$C$9,0),_xlfn.IFS(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"tine harrow","")))/LEN("tine harrow"),
(LEN(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-LEN(SUBSTITUTE(
INDEX('Focus Data Tillage by farm'!$D$12:$P$17,MATCH(D163,'Focus Data Tillage by farm'!$C$12:$C$17,0),_xlfn.IFS(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
"tine harrow","")))/LEN("tine harrow"))</f>
        <v>0</v>
      </c>
      <c r="AP163" s="102">
        <f>INDEX('Focus Data NSpraying'!$D$4:$P$19,MATCH(F163,'Focus Data NSpraying'!$C$4:$C$19,0),_xlfn.IFS(
AND(ISNUMBER(SEARCH("H-Dsty.",A163))=TRUE,ISNUMBER(SEARCH("H-Res",A163))=TRUE,ISNUMBER(SEARCH("E.",A163))=TRUE),1,
AND(ISNUMBER(SEARCH("H-Dsty.",A163))=TRUE,ISNUMBER(SEARCH("H-Res",A163))=TRUE,OR(ISNUMBER(SEARCH("N.he",A163))=TRUE,ISNUMBER(SEARCH("N.me",A163))=TRUE,ISNUMBER(SEARCH("N.li",A163))=TRUE)),2,
AND(ISNUMBER(SEARCH("H-Dsty.",A163))=TRUE,ISNUMBER(SEARCH("H-Res",A163))=TRUE,ISNUMBER(SEARCH("C.",A163))=TRUE),3,
AND(ISNUMBER(SEARCH("L-Dsty.",A163))=TRUE,ISNUMBER(SEARCH("H-Res",A163))=TRUE,ISNUMBER(SEARCH("E.",A163))=TRUE),6,
AND(ISNUMBER(SEARCH("L-Dsty.",A163))=TRUE,ISNUMBER(SEARCH("H-Res",A163))=TRUE,OR(ISNUMBER(SEARCH("N.he",A163))=TRUE,ISNUMBER(SEARCH("N.me",A163))=TRUE,ISNUMBER(SEARCH("N.li",A163))=TRUE)),7,
AND(ISNUMBER(SEARCH("L-Dsty.",A163))=TRUE,ISNUMBER(SEARCH("H-Res",A163))=TRUE,ISNUMBER(SEARCH("C.",A163))=TRUE),8,
AND(ISNUMBER(SEARCH("L-Dsty.",A163))=TRUE,ISNUMBER(SEARCH("L-Res",A163))=TRUE,ISNUMBER(SEARCH("E.",A163))=TRUE),11,
AND(ISNUMBER(SEARCH("L-Dsty.",A163))=TRUE,ISNUMBER(SEARCH("L-Res",A163))=TRUE,OR(ISNUMBER(SEARCH("N.he",A163))=TRUE,ISNUMBER(SEARCH("N.me",A163))=TRUE,ISNUMBER(SEARCH("N.li",A163))=TRUE)),12,
AND(ISNUMBER(SEARCH("L-Dsty.",A163))=TRUE,ISNUMBER(SEARCH("L-Res",A163))=TRUE,ISNUMBER(SEARCH("C.",A163))=TRUE),13))</f>
        <v>3</v>
      </c>
    </row>
  </sheetData>
  <autoFilter ref="A1:AP163" xr:uid="{9138EA39-A904-4852-BA9E-EA5021AA39E3}"/>
  <phoneticPr fontId="8"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E08C789-17C2-4703-8CBC-5EB0B2166045}">
          <x14:formula1>
            <xm:f>Lists!$J$5:$J$11</xm:f>
          </x14:formula1>
          <xm:sqref>Z2:Z163 X2:X163</xm:sqref>
        </x14:dataValidation>
        <x14:dataValidation type="list" allowBlank="1" showInputMessage="1" showErrorMessage="1" xr:uid="{6DEC0CAD-8227-4394-B189-A94956A3D03E}">
          <x14:formula1>
            <xm:f>Lists!$L$5:$L$10</xm:f>
          </x14:formula1>
          <xm:sqref>AA2:AA163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E6505-AA85-4C5A-A3FD-27286DB7BC3F}">
  <dimension ref="A1:AC201"/>
  <sheetViews>
    <sheetView zoomScale="115" zoomScaleNormal="115" workbookViewId="0">
      <pane xSplit="1" ySplit="6" topLeftCell="B113" activePane="bottomRight" state="frozen"/>
      <selection pane="topRight" activeCell="B1" sqref="B1"/>
      <selection pane="bottomLeft" activeCell="A4" sqref="A4"/>
      <selection pane="bottomRight" activeCell="C120" sqref="C120"/>
    </sheetView>
  </sheetViews>
  <sheetFormatPr baseColWidth="10" defaultColWidth="8.83203125" defaultRowHeight="15" x14ac:dyDescent="0.2"/>
  <cols>
    <col min="1" max="1" width="18.5" customWidth="1"/>
    <col min="2" max="2" width="24.83203125" customWidth="1"/>
    <col min="3" max="3" width="49.6640625" bestFit="1" customWidth="1"/>
    <col min="4" max="4" width="29.5" customWidth="1"/>
    <col min="5" max="5" width="4" customWidth="1"/>
    <col min="6" max="6" width="13.5" customWidth="1"/>
    <col min="7" max="9" width="19" customWidth="1"/>
    <col min="10" max="10" width="4.33203125" customWidth="1"/>
    <col min="11" max="11" width="14" customWidth="1"/>
    <col min="12" max="14" width="17" customWidth="1"/>
  </cols>
  <sheetData>
    <row r="1" spans="1:29" ht="12.25" customHeight="1" x14ac:dyDescent="0.2">
      <c r="A1" s="245" t="s">
        <v>1561</v>
      </c>
      <c r="B1" s="245" t="s">
        <v>1562</v>
      </c>
      <c r="C1" s="245" t="s">
        <v>1567</v>
      </c>
      <c r="D1" s="245" t="s">
        <v>1572</v>
      </c>
      <c r="G1" s="374" t="s">
        <v>1714</v>
      </c>
      <c r="H1" s="257"/>
      <c r="I1" s="257"/>
      <c r="J1" s="257"/>
    </row>
    <row r="2" spans="1:29" ht="12.25" customHeight="1" x14ac:dyDescent="0.2">
      <c r="A2" s="245" t="s">
        <v>1569</v>
      </c>
      <c r="B2" s="245" t="s">
        <v>1571</v>
      </c>
      <c r="C2" s="245" t="s">
        <v>1570</v>
      </c>
      <c r="D2" s="245" t="s">
        <v>1568</v>
      </c>
      <c r="E2" s="244"/>
      <c r="F2" s="244"/>
      <c r="G2" s="244"/>
    </row>
    <row r="3" spans="1:29" ht="12.25" customHeight="1" x14ac:dyDescent="0.2">
      <c r="A3" s="245" t="s">
        <v>1564</v>
      </c>
      <c r="B3" s="245" t="s">
        <v>1563</v>
      </c>
      <c r="C3" s="245" t="s">
        <v>1565</v>
      </c>
      <c r="D3" s="245" t="s">
        <v>1566</v>
      </c>
      <c r="E3" s="244"/>
      <c r="F3" s="244"/>
      <c r="G3" s="244"/>
    </row>
    <row r="4" spans="1:29" ht="5.25" customHeight="1" x14ac:dyDescent="0.2"/>
    <row r="5" spans="1:29" x14ac:dyDescent="0.2">
      <c r="B5" s="411" t="s">
        <v>274</v>
      </c>
      <c r="C5" s="411"/>
      <c r="D5" s="411"/>
      <c r="G5" s="412" t="s">
        <v>275</v>
      </c>
      <c r="H5" s="412"/>
      <c r="I5" s="412"/>
      <c r="L5" s="413" t="s">
        <v>276</v>
      </c>
      <c r="M5" s="413"/>
      <c r="N5" s="413"/>
    </row>
    <row r="6" spans="1:29" ht="5.75" customHeight="1" x14ac:dyDescent="0.2">
      <c r="B6" s="231"/>
      <c r="C6" s="231"/>
      <c r="D6" s="231"/>
      <c r="G6" s="231"/>
      <c r="H6" s="231"/>
      <c r="I6" s="231"/>
      <c r="L6" s="231"/>
      <c r="M6" s="231"/>
      <c r="N6" s="231"/>
    </row>
    <row r="7" spans="1:29" s="75" customFormat="1" ht="35" customHeight="1" x14ac:dyDescent="0.2">
      <c r="A7" s="241" t="s">
        <v>1555</v>
      </c>
      <c r="B7" s="242" t="s">
        <v>12</v>
      </c>
      <c r="C7" s="242" t="s">
        <v>10</v>
      </c>
      <c r="D7" s="242" t="s">
        <v>11</v>
      </c>
      <c r="E7" s="2"/>
      <c r="F7" s="241" t="s">
        <v>1555</v>
      </c>
      <c r="G7" s="242" t="s">
        <v>12</v>
      </c>
      <c r="H7" s="242" t="s">
        <v>10</v>
      </c>
      <c r="I7" s="242" t="s">
        <v>11</v>
      </c>
      <c r="J7" s="2"/>
      <c r="K7" s="241" t="s">
        <v>1555</v>
      </c>
      <c r="L7" s="242" t="s">
        <v>12</v>
      </c>
      <c r="M7" s="242" t="s">
        <v>10</v>
      </c>
      <c r="N7" s="242" t="s">
        <v>11</v>
      </c>
      <c r="P7" s="242" t="s">
        <v>287</v>
      </c>
      <c r="Q7" s="242" t="s">
        <v>288</v>
      </c>
      <c r="R7" s="242" t="s">
        <v>289</v>
      </c>
      <c r="S7" s="242" t="s">
        <v>256</v>
      </c>
      <c r="T7" s="242" t="s">
        <v>290</v>
      </c>
      <c r="U7" s="242" t="s">
        <v>291</v>
      </c>
      <c r="V7" s="242" t="s">
        <v>292</v>
      </c>
      <c r="W7" s="242" t="s">
        <v>293</v>
      </c>
      <c r="X7" s="242" t="s">
        <v>205</v>
      </c>
      <c r="Y7" s="242" t="s">
        <v>257</v>
      </c>
      <c r="Z7" s="242" t="s">
        <v>201</v>
      </c>
      <c r="AA7" s="242" t="s">
        <v>294</v>
      </c>
      <c r="AB7" s="242" t="s">
        <v>295</v>
      </c>
      <c r="AC7" s="242" t="s">
        <v>249</v>
      </c>
    </row>
    <row r="8" spans="1:29" x14ac:dyDescent="0.2">
      <c r="A8" s="226" t="s">
        <v>731</v>
      </c>
      <c r="B8" s="373" t="s">
        <v>269</v>
      </c>
      <c r="C8" s="373" t="s">
        <v>246</v>
      </c>
      <c r="D8" s="373" t="s">
        <v>281</v>
      </c>
      <c r="F8" s="226" t="s">
        <v>731</v>
      </c>
      <c r="G8" s="373" t="s">
        <v>281</v>
      </c>
      <c r="H8" s="373" t="s">
        <v>281</v>
      </c>
      <c r="I8" s="373" t="s">
        <v>281</v>
      </c>
      <c r="K8" s="226" t="s">
        <v>731</v>
      </c>
      <c r="L8" s="373" t="s">
        <v>281</v>
      </c>
      <c r="M8" s="373" t="s">
        <v>281</v>
      </c>
      <c r="N8" s="373" t="s">
        <v>281</v>
      </c>
      <c r="P8" s="25" t="s">
        <v>281</v>
      </c>
      <c r="Q8" s="210" t="s">
        <v>249</v>
      </c>
      <c r="R8" s="210" t="s">
        <v>249</v>
      </c>
      <c r="S8" s="210" t="s">
        <v>249</v>
      </c>
      <c r="T8" s="210" t="s">
        <v>249</v>
      </c>
      <c r="U8" s="210" t="s">
        <v>249</v>
      </c>
      <c r="V8" s="210" t="s">
        <v>249</v>
      </c>
      <c r="W8" s="210" t="s">
        <v>249</v>
      </c>
      <c r="X8" s="210" t="s">
        <v>296</v>
      </c>
      <c r="Y8" s="210" t="s">
        <v>296</v>
      </c>
      <c r="Z8" s="210" t="s">
        <v>297</v>
      </c>
      <c r="AA8" s="210" t="s">
        <v>298</v>
      </c>
      <c r="AB8" s="210" t="s">
        <v>299</v>
      </c>
      <c r="AC8" s="210" t="s">
        <v>296</v>
      </c>
    </row>
    <row r="9" spans="1:29" x14ac:dyDescent="0.2">
      <c r="A9" s="226" t="s">
        <v>730</v>
      </c>
      <c r="B9" s="373" t="s">
        <v>252</v>
      </c>
      <c r="C9" s="376" t="s">
        <v>303</v>
      </c>
      <c r="D9" s="373" t="s">
        <v>247</v>
      </c>
      <c r="F9" s="226" t="s">
        <v>730</v>
      </c>
      <c r="G9" s="373" t="s">
        <v>252</v>
      </c>
      <c r="H9" s="373" t="s">
        <v>250</v>
      </c>
      <c r="I9" s="373" t="s">
        <v>247</v>
      </c>
      <c r="K9" s="226" t="s">
        <v>730</v>
      </c>
      <c r="L9" s="373" t="s">
        <v>195</v>
      </c>
      <c r="M9" s="373" t="s">
        <v>250</v>
      </c>
      <c r="N9" s="373" t="s">
        <v>250</v>
      </c>
      <c r="P9" s="25" t="s">
        <v>282</v>
      </c>
      <c r="Q9" s="210" t="s">
        <v>296</v>
      </c>
      <c r="R9" s="210" t="s">
        <v>297</v>
      </c>
      <c r="S9" s="210" t="s">
        <v>298</v>
      </c>
      <c r="T9" s="210" t="s">
        <v>299</v>
      </c>
      <c r="U9" s="210" t="s">
        <v>249</v>
      </c>
      <c r="V9" s="210" t="s">
        <v>249</v>
      </c>
      <c r="W9" s="210" t="s">
        <v>249</v>
      </c>
      <c r="X9" s="210" t="s">
        <v>249</v>
      </c>
      <c r="Y9" s="210" t="s">
        <v>249</v>
      </c>
      <c r="Z9" s="210" t="s">
        <v>249</v>
      </c>
      <c r="AA9" s="210" t="s">
        <v>249</v>
      </c>
      <c r="AB9" s="210" t="s">
        <v>296</v>
      </c>
      <c r="AC9" s="210" t="s">
        <v>296</v>
      </c>
    </row>
    <row r="10" spans="1:29" x14ac:dyDescent="0.2">
      <c r="A10" s="226" t="s">
        <v>1694</v>
      </c>
      <c r="B10" s="373" t="s">
        <v>281</v>
      </c>
      <c r="C10" s="373" t="s">
        <v>247</v>
      </c>
      <c r="D10" s="373" t="s">
        <v>252</v>
      </c>
      <c r="F10" s="226" t="s">
        <v>1694</v>
      </c>
      <c r="G10" s="373" t="s">
        <v>281</v>
      </c>
      <c r="H10" s="373" t="s">
        <v>252</v>
      </c>
      <c r="I10" s="373" t="s">
        <v>195</v>
      </c>
      <c r="K10" s="226" t="s">
        <v>1694</v>
      </c>
      <c r="L10" s="373" t="s">
        <v>281</v>
      </c>
      <c r="M10" s="373" t="s">
        <v>195</v>
      </c>
      <c r="N10" s="373" t="s">
        <v>195</v>
      </c>
      <c r="P10" s="25" t="s">
        <v>250</v>
      </c>
      <c r="Q10" s="210" t="s">
        <v>299</v>
      </c>
      <c r="R10" s="210" t="s">
        <v>249</v>
      </c>
      <c r="S10" s="210" t="s">
        <v>249</v>
      </c>
      <c r="T10" s="210" t="s">
        <v>249</v>
      </c>
      <c r="U10" s="210" t="s">
        <v>249</v>
      </c>
      <c r="V10" s="210" t="s">
        <v>249</v>
      </c>
      <c r="W10" s="210" t="s">
        <v>249</v>
      </c>
      <c r="X10" s="210" t="s">
        <v>249</v>
      </c>
      <c r="Y10" s="210" t="s">
        <v>296</v>
      </c>
      <c r="Z10" s="210" t="s">
        <v>296</v>
      </c>
      <c r="AA10" s="210" t="s">
        <v>297</v>
      </c>
      <c r="AB10" s="210" t="s">
        <v>298</v>
      </c>
      <c r="AC10" s="210" t="s">
        <v>296</v>
      </c>
    </row>
    <row r="11" spans="1:29" x14ac:dyDescent="0.2">
      <c r="A11" s="226" t="s">
        <v>1695</v>
      </c>
      <c r="B11" s="376" t="s">
        <v>270</v>
      </c>
      <c r="C11" s="373" t="s">
        <v>281</v>
      </c>
      <c r="D11" s="373" t="s">
        <v>281</v>
      </c>
      <c r="F11" s="226" t="s">
        <v>1695</v>
      </c>
      <c r="G11" s="373" t="s">
        <v>250</v>
      </c>
      <c r="H11" s="373" t="s">
        <v>281</v>
      </c>
      <c r="I11" s="373" t="s">
        <v>281</v>
      </c>
      <c r="K11" s="226" t="s">
        <v>1695</v>
      </c>
      <c r="L11" s="373" t="s">
        <v>281</v>
      </c>
      <c r="M11" s="373" t="s">
        <v>281</v>
      </c>
      <c r="N11" s="373" t="s">
        <v>281</v>
      </c>
      <c r="P11" s="25" t="s">
        <v>247</v>
      </c>
      <c r="Q11" s="210" t="s">
        <v>296</v>
      </c>
      <c r="R11" s="210" t="s">
        <v>296</v>
      </c>
      <c r="S11" s="210" t="s">
        <v>296</v>
      </c>
      <c r="T11" s="210" t="s">
        <v>297</v>
      </c>
      <c r="U11" s="210" t="s">
        <v>298</v>
      </c>
      <c r="V11" s="210" t="s">
        <v>249</v>
      </c>
      <c r="W11" s="210" t="s">
        <v>249</v>
      </c>
      <c r="X11" s="210" t="s">
        <v>249</v>
      </c>
      <c r="Y11" s="210" t="s">
        <v>249</v>
      </c>
      <c r="Z11" s="210" t="s">
        <v>249</v>
      </c>
      <c r="AA11" s="210" t="s">
        <v>249</v>
      </c>
      <c r="AB11" s="210" t="s">
        <v>249</v>
      </c>
      <c r="AC11" s="210" t="s">
        <v>296</v>
      </c>
    </row>
    <row r="12" spans="1:29" x14ac:dyDescent="0.2">
      <c r="A12" s="226" t="s">
        <v>1696</v>
      </c>
      <c r="B12" s="373" t="s">
        <v>281</v>
      </c>
      <c r="C12" s="373" t="s">
        <v>195</v>
      </c>
      <c r="D12" s="373" t="s">
        <v>247</v>
      </c>
      <c r="F12" s="226" t="s">
        <v>1696</v>
      </c>
      <c r="G12" s="373" t="s">
        <v>195</v>
      </c>
      <c r="H12" s="373" t="s">
        <v>250</v>
      </c>
      <c r="I12" s="373" t="s">
        <v>247</v>
      </c>
      <c r="K12" s="226" t="s">
        <v>1696</v>
      </c>
      <c r="L12" s="373" t="s">
        <v>195</v>
      </c>
      <c r="M12" s="373" t="s">
        <v>252</v>
      </c>
      <c r="N12" s="373" t="s">
        <v>252</v>
      </c>
      <c r="P12" s="25" t="s">
        <v>283</v>
      </c>
      <c r="Q12" s="210" t="s">
        <v>249</v>
      </c>
      <c r="R12" s="210" t="s">
        <v>249</v>
      </c>
      <c r="S12" s="210" t="s">
        <v>249</v>
      </c>
      <c r="T12" s="210" t="s">
        <v>249</v>
      </c>
      <c r="U12" s="210" t="s">
        <v>249</v>
      </c>
      <c r="V12" s="210" t="s">
        <v>249</v>
      </c>
      <c r="W12" s="210" t="s">
        <v>249</v>
      </c>
      <c r="X12" s="210" t="s">
        <v>249</v>
      </c>
      <c r="Y12" s="210" t="s">
        <v>249</v>
      </c>
      <c r="Z12" s="210" t="s">
        <v>249</v>
      </c>
      <c r="AA12" s="210" t="s">
        <v>249</v>
      </c>
      <c r="AB12" s="210" t="s">
        <v>249</v>
      </c>
      <c r="AC12" s="210" t="s">
        <v>296</v>
      </c>
    </row>
    <row r="13" spans="1:29" x14ac:dyDescent="0.2">
      <c r="A13" s="226" t="s">
        <v>735</v>
      </c>
      <c r="B13" s="373" t="s">
        <v>269</v>
      </c>
      <c r="C13" s="373" t="s">
        <v>281</v>
      </c>
      <c r="D13" s="373" t="s">
        <v>195</v>
      </c>
      <c r="F13" s="226" t="s">
        <v>735</v>
      </c>
      <c r="G13" s="373" t="s">
        <v>281</v>
      </c>
      <c r="H13" s="373" t="s">
        <v>252</v>
      </c>
      <c r="I13" s="373" t="s">
        <v>195</v>
      </c>
      <c r="K13" s="226" t="s">
        <v>735</v>
      </c>
      <c r="L13" s="373" t="s">
        <v>281</v>
      </c>
      <c r="M13" s="373" t="s">
        <v>281</v>
      </c>
      <c r="N13" s="373" t="s">
        <v>281</v>
      </c>
      <c r="P13" s="25" t="s">
        <v>252</v>
      </c>
      <c r="Q13" s="210" t="s">
        <v>249</v>
      </c>
      <c r="R13" s="210" t="s">
        <v>296</v>
      </c>
      <c r="S13" s="210" t="s">
        <v>296</v>
      </c>
      <c r="T13" s="210" t="s">
        <v>297</v>
      </c>
      <c r="U13" s="210" t="s">
        <v>298</v>
      </c>
      <c r="V13" s="210" t="s">
        <v>249</v>
      </c>
      <c r="W13" s="210" t="s">
        <v>249</v>
      </c>
      <c r="X13" s="210" t="s">
        <v>249</v>
      </c>
      <c r="Y13" s="210" t="s">
        <v>249</v>
      </c>
      <c r="Z13" s="210" t="s">
        <v>249</v>
      </c>
      <c r="AA13" s="210" t="s">
        <v>249</v>
      </c>
      <c r="AB13" s="210" t="s">
        <v>249</v>
      </c>
      <c r="AC13" s="210" t="s">
        <v>296</v>
      </c>
    </row>
    <row r="14" spans="1:29" x14ac:dyDescent="0.2">
      <c r="P14" s="25" t="s">
        <v>284</v>
      </c>
      <c r="Q14" s="210" t="s">
        <v>249</v>
      </c>
      <c r="R14" s="210" t="s">
        <v>296</v>
      </c>
      <c r="S14" s="210" t="s">
        <v>296</v>
      </c>
      <c r="T14" s="210" t="s">
        <v>297</v>
      </c>
      <c r="U14" s="210" t="s">
        <v>298</v>
      </c>
      <c r="V14" s="210" t="s">
        <v>299</v>
      </c>
      <c r="W14" s="210" t="s">
        <v>249</v>
      </c>
      <c r="X14" s="210" t="s">
        <v>249</v>
      </c>
      <c r="Y14" s="210" t="s">
        <v>249</v>
      </c>
      <c r="Z14" s="210" t="s">
        <v>249</v>
      </c>
      <c r="AA14" s="210" t="s">
        <v>249</v>
      </c>
      <c r="AB14" s="210" t="s">
        <v>249</v>
      </c>
      <c r="AC14" s="210" t="s">
        <v>296</v>
      </c>
    </row>
    <row r="15" spans="1:29" s="75" customFormat="1" ht="34" customHeight="1" x14ac:dyDescent="0.2">
      <c r="A15" s="241" t="s">
        <v>1556</v>
      </c>
      <c r="B15" s="242" t="s">
        <v>12</v>
      </c>
      <c r="C15" s="242" t="s">
        <v>10</v>
      </c>
      <c r="D15" s="242" t="s">
        <v>11</v>
      </c>
      <c r="E15" s="2"/>
      <c r="F15" s="241" t="s">
        <v>1556</v>
      </c>
      <c r="G15" s="242" t="s">
        <v>12</v>
      </c>
      <c r="H15" s="242" t="s">
        <v>10</v>
      </c>
      <c r="I15" s="242" t="s">
        <v>11</v>
      </c>
      <c r="J15" s="2"/>
      <c r="K15" s="241" t="s">
        <v>1556</v>
      </c>
      <c r="L15" s="242" t="s">
        <v>12</v>
      </c>
      <c r="M15" s="242" t="s">
        <v>10</v>
      </c>
      <c r="N15" s="242" t="s">
        <v>11</v>
      </c>
      <c r="P15" s="342" t="s">
        <v>195</v>
      </c>
      <c r="Q15" s="341" t="s">
        <v>249</v>
      </c>
      <c r="R15" s="341" t="s">
        <v>249</v>
      </c>
      <c r="S15" s="341" t="s">
        <v>249</v>
      </c>
      <c r="T15" s="341" t="s">
        <v>249</v>
      </c>
      <c r="U15" s="341" t="s">
        <v>249</v>
      </c>
      <c r="V15" s="341" t="s">
        <v>249</v>
      </c>
      <c r="W15" s="341" t="s">
        <v>296</v>
      </c>
      <c r="X15" s="341" t="s">
        <v>296</v>
      </c>
      <c r="Y15" s="341" t="s">
        <v>297</v>
      </c>
      <c r="Z15" s="341" t="s">
        <v>298</v>
      </c>
      <c r="AA15" s="341" t="s">
        <v>299</v>
      </c>
      <c r="AB15" s="341" t="s">
        <v>249</v>
      </c>
      <c r="AC15" s="341" t="s">
        <v>296</v>
      </c>
    </row>
    <row r="16" spans="1:29" x14ac:dyDescent="0.2">
      <c r="A16" s="226" t="s">
        <v>731</v>
      </c>
      <c r="B16" s="373" t="s">
        <v>269</v>
      </c>
      <c r="C16" s="373" t="s">
        <v>246</v>
      </c>
      <c r="D16" s="373" t="s">
        <v>281</v>
      </c>
      <c r="F16" s="226" t="s">
        <v>731</v>
      </c>
      <c r="G16" s="373" t="s">
        <v>281</v>
      </c>
      <c r="H16" s="373" t="s">
        <v>281</v>
      </c>
      <c r="I16" s="373" t="s">
        <v>281</v>
      </c>
      <c r="K16" s="226" t="s">
        <v>731</v>
      </c>
      <c r="L16" s="373" t="s">
        <v>281</v>
      </c>
      <c r="M16" s="373" t="s">
        <v>281</v>
      </c>
      <c r="N16" s="373" t="s">
        <v>281</v>
      </c>
      <c r="P16" s="25" t="s">
        <v>285</v>
      </c>
      <c r="Q16" s="210" t="s">
        <v>249</v>
      </c>
      <c r="R16" s="210" t="s">
        <v>249</v>
      </c>
      <c r="S16" s="210" t="s">
        <v>296</v>
      </c>
      <c r="T16" s="210" t="s">
        <v>296</v>
      </c>
      <c r="U16" s="210" t="s">
        <v>296</v>
      </c>
      <c r="V16" s="210" t="s">
        <v>249</v>
      </c>
      <c r="W16" s="210" t="s">
        <v>249</v>
      </c>
      <c r="X16" s="210" t="s">
        <v>249</v>
      </c>
      <c r="Y16" s="210" t="s">
        <v>249</v>
      </c>
      <c r="Z16" s="210" t="s">
        <v>249</v>
      </c>
      <c r="AA16" s="210" t="s">
        <v>249</v>
      </c>
      <c r="AB16" s="210" t="s">
        <v>249</v>
      </c>
      <c r="AC16" s="210" t="s">
        <v>296</v>
      </c>
    </row>
    <row r="17" spans="1:29" x14ac:dyDescent="0.2">
      <c r="A17" s="226" t="s">
        <v>730</v>
      </c>
      <c r="B17" s="373" t="s">
        <v>253</v>
      </c>
      <c r="C17" s="376" t="s">
        <v>303</v>
      </c>
      <c r="D17" s="373" t="s">
        <v>247</v>
      </c>
      <c r="F17" s="226" t="s">
        <v>730</v>
      </c>
      <c r="G17" s="373" t="s">
        <v>253</v>
      </c>
      <c r="H17" s="373" t="s">
        <v>250</v>
      </c>
      <c r="I17" s="373" t="s">
        <v>247</v>
      </c>
      <c r="K17" s="226" t="s">
        <v>730</v>
      </c>
      <c r="L17" s="373" t="s">
        <v>195</v>
      </c>
      <c r="M17" s="373" t="s">
        <v>250</v>
      </c>
      <c r="N17" s="373" t="s">
        <v>250</v>
      </c>
      <c r="P17" s="25" t="s">
        <v>272</v>
      </c>
      <c r="Q17" s="210" t="s">
        <v>249</v>
      </c>
      <c r="R17" s="210" t="s">
        <v>296</v>
      </c>
      <c r="S17" s="210" t="s">
        <v>297</v>
      </c>
      <c r="T17" s="210" t="s">
        <v>298</v>
      </c>
      <c r="U17" s="210" t="s">
        <v>299</v>
      </c>
      <c r="V17" s="210" t="s">
        <v>249</v>
      </c>
      <c r="W17" s="210" t="s">
        <v>249</v>
      </c>
      <c r="X17" s="210" t="s">
        <v>249</v>
      </c>
      <c r="Y17" s="210" t="s">
        <v>249</v>
      </c>
      <c r="Z17" s="210" t="s">
        <v>249</v>
      </c>
      <c r="AA17" s="210" t="s">
        <v>249</v>
      </c>
      <c r="AB17" s="210" t="s">
        <v>296</v>
      </c>
      <c r="AC17" s="210" t="s">
        <v>296</v>
      </c>
    </row>
    <row r="18" spans="1:29" x14ac:dyDescent="0.2">
      <c r="A18" s="226" t="s">
        <v>1694</v>
      </c>
      <c r="B18" s="373" t="s">
        <v>281</v>
      </c>
      <c r="C18" s="373" t="s">
        <v>247</v>
      </c>
      <c r="D18" s="373" t="s">
        <v>253</v>
      </c>
      <c r="F18" s="226" t="s">
        <v>1694</v>
      </c>
      <c r="G18" s="373" t="s">
        <v>281</v>
      </c>
      <c r="H18" s="373" t="s">
        <v>253</v>
      </c>
      <c r="I18" s="373" t="s">
        <v>195</v>
      </c>
      <c r="K18" s="226" t="s">
        <v>1694</v>
      </c>
      <c r="L18" s="373" t="s">
        <v>281</v>
      </c>
      <c r="M18" s="373" t="s">
        <v>195</v>
      </c>
      <c r="N18" s="373" t="s">
        <v>195</v>
      </c>
      <c r="P18" s="25" t="s">
        <v>286</v>
      </c>
      <c r="Q18" s="210" t="s">
        <v>249</v>
      </c>
      <c r="R18" s="210" t="s">
        <v>249</v>
      </c>
      <c r="S18" s="210" t="s">
        <v>249</v>
      </c>
      <c r="T18" s="210" t="s">
        <v>249</v>
      </c>
      <c r="U18" s="210" t="s">
        <v>249</v>
      </c>
      <c r="V18" s="210" t="s">
        <v>249</v>
      </c>
      <c r="W18" s="210" t="s">
        <v>296</v>
      </c>
      <c r="X18" s="210" t="s">
        <v>297</v>
      </c>
      <c r="Y18" s="210" t="s">
        <v>298</v>
      </c>
      <c r="Z18" s="210" t="s">
        <v>299</v>
      </c>
      <c r="AA18" s="210" t="s">
        <v>249</v>
      </c>
      <c r="AB18" s="210" t="s">
        <v>249</v>
      </c>
      <c r="AC18" s="210" t="s">
        <v>296</v>
      </c>
    </row>
    <row r="19" spans="1:29" x14ac:dyDescent="0.2">
      <c r="A19" s="226" t="s">
        <v>1695</v>
      </c>
      <c r="B19" s="373" t="s">
        <v>272</v>
      </c>
      <c r="C19" s="373" t="s">
        <v>281</v>
      </c>
      <c r="D19" s="373" t="s">
        <v>281</v>
      </c>
      <c r="F19" s="226" t="s">
        <v>1695</v>
      </c>
      <c r="G19" s="373" t="s">
        <v>250</v>
      </c>
      <c r="H19" s="373" t="s">
        <v>281</v>
      </c>
      <c r="I19" s="373" t="s">
        <v>281</v>
      </c>
      <c r="K19" s="226" t="s">
        <v>1695</v>
      </c>
      <c r="L19" s="373" t="s">
        <v>281</v>
      </c>
      <c r="M19" s="373" t="s">
        <v>281</v>
      </c>
      <c r="N19" s="373" t="s">
        <v>281</v>
      </c>
      <c r="P19" s="25" t="s">
        <v>269</v>
      </c>
      <c r="Q19" s="210" t="s">
        <v>296</v>
      </c>
      <c r="R19" s="210" t="s">
        <v>296</v>
      </c>
      <c r="S19" s="210" t="s">
        <v>296</v>
      </c>
      <c r="T19" s="210" t="s">
        <v>296</v>
      </c>
      <c r="U19" s="210" t="s">
        <v>297</v>
      </c>
      <c r="V19" s="210" t="s">
        <v>298</v>
      </c>
      <c r="W19" s="210" t="s">
        <v>249</v>
      </c>
      <c r="X19" s="210" t="s">
        <v>249</v>
      </c>
      <c r="Y19" s="210" t="s">
        <v>249</v>
      </c>
      <c r="Z19" s="210" t="s">
        <v>249</v>
      </c>
      <c r="AA19" s="210" t="s">
        <v>249</v>
      </c>
      <c r="AB19" s="210" t="s">
        <v>249</v>
      </c>
      <c r="AC19" s="210" t="s">
        <v>296</v>
      </c>
    </row>
    <row r="20" spans="1:29" x14ac:dyDescent="0.2">
      <c r="A20" s="226" t="s">
        <v>1696</v>
      </c>
      <c r="B20" s="376" t="s">
        <v>270</v>
      </c>
      <c r="C20" s="373" t="s">
        <v>195</v>
      </c>
      <c r="D20" s="373" t="s">
        <v>247</v>
      </c>
      <c r="F20" s="226" t="s">
        <v>1696</v>
      </c>
      <c r="G20" s="373" t="s">
        <v>195</v>
      </c>
      <c r="H20" s="373" t="s">
        <v>250</v>
      </c>
      <c r="I20" s="373" t="s">
        <v>247</v>
      </c>
      <c r="K20" s="226" t="s">
        <v>1696</v>
      </c>
      <c r="L20" s="373" t="s">
        <v>195</v>
      </c>
      <c r="M20" s="373" t="s">
        <v>253</v>
      </c>
      <c r="N20" s="373" t="s">
        <v>253</v>
      </c>
      <c r="P20" s="25" t="s">
        <v>253</v>
      </c>
      <c r="Q20" s="210" t="s">
        <v>249</v>
      </c>
      <c r="R20" s="210" t="s">
        <v>296</v>
      </c>
      <c r="S20" s="210" t="s">
        <v>296</v>
      </c>
      <c r="T20" s="210" t="s">
        <v>297</v>
      </c>
      <c r="U20" s="210" t="s">
        <v>298</v>
      </c>
      <c r="V20" s="210" t="s">
        <v>249</v>
      </c>
      <c r="W20" s="210" t="s">
        <v>249</v>
      </c>
      <c r="X20" s="210" t="s">
        <v>249</v>
      </c>
      <c r="Y20" s="210" t="s">
        <v>249</v>
      </c>
      <c r="Z20" s="210" t="s">
        <v>249</v>
      </c>
      <c r="AA20" s="210" t="s">
        <v>249</v>
      </c>
      <c r="AB20" s="210" t="s">
        <v>249</v>
      </c>
      <c r="AC20" s="210" t="s">
        <v>296</v>
      </c>
    </row>
    <row r="21" spans="1:29" x14ac:dyDescent="0.2">
      <c r="A21" s="226" t="s">
        <v>735</v>
      </c>
      <c r="B21" s="373" t="s">
        <v>281</v>
      </c>
      <c r="C21" s="373" t="s">
        <v>281</v>
      </c>
      <c r="D21" s="373" t="s">
        <v>195</v>
      </c>
      <c r="F21" s="226" t="s">
        <v>735</v>
      </c>
      <c r="G21" s="373" t="s">
        <v>281</v>
      </c>
      <c r="H21" s="373" t="s">
        <v>253</v>
      </c>
      <c r="I21" s="373" t="s">
        <v>195</v>
      </c>
      <c r="K21" s="226" t="s">
        <v>735</v>
      </c>
      <c r="L21" s="373" t="s">
        <v>281</v>
      </c>
      <c r="M21" s="373" t="s">
        <v>281</v>
      </c>
      <c r="N21" s="373" t="s">
        <v>281</v>
      </c>
      <c r="P21" s="25" t="s">
        <v>246</v>
      </c>
      <c r="Q21" s="210" t="s">
        <v>296</v>
      </c>
      <c r="R21" s="210" t="s">
        <v>296</v>
      </c>
      <c r="S21" s="210" t="s">
        <v>296</v>
      </c>
      <c r="T21" s="210" t="s">
        <v>296</v>
      </c>
      <c r="U21" s="210" t="s">
        <v>296</v>
      </c>
      <c r="V21" s="210" t="s">
        <v>296</v>
      </c>
      <c r="W21" s="210" t="s">
        <v>296</v>
      </c>
      <c r="X21" s="210" t="s">
        <v>296</v>
      </c>
      <c r="Y21" s="210" t="s">
        <v>296</v>
      </c>
      <c r="Z21" s="210" t="s">
        <v>296</v>
      </c>
      <c r="AA21" s="210" t="s">
        <v>296</v>
      </c>
      <c r="AB21" s="210" t="s">
        <v>296</v>
      </c>
      <c r="AC21" s="210" t="s">
        <v>296</v>
      </c>
    </row>
    <row r="22" spans="1:29" x14ac:dyDescent="0.2">
      <c r="G22" s="210"/>
      <c r="H22" s="210"/>
      <c r="I22" s="210"/>
      <c r="P22" s="342" t="s">
        <v>303</v>
      </c>
      <c r="Q22" s="341" t="s">
        <v>249</v>
      </c>
      <c r="R22" s="341" t="s">
        <v>249</v>
      </c>
      <c r="S22" s="341" t="s">
        <v>296</v>
      </c>
      <c r="T22" s="341" t="s">
        <v>297</v>
      </c>
      <c r="U22" s="341" t="s">
        <v>299</v>
      </c>
      <c r="V22" s="341" t="s">
        <v>249</v>
      </c>
      <c r="W22" s="341" t="s">
        <v>249</v>
      </c>
      <c r="X22" s="341" t="s">
        <v>249</v>
      </c>
      <c r="Y22" s="341" t="s">
        <v>249</v>
      </c>
      <c r="Z22" s="341" t="s">
        <v>249</v>
      </c>
      <c r="AA22" s="341" t="s">
        <v>249</v>
      </c>
      <c r="AB22" s="341" t="s">
        <v>249</v>
      </c>
      <c r="AC22" s="341" t="s">
        <v>296</v>
      </c>
    </row>
    <row r="23" spans="1:29" s="75" customFormat="1" ht="33.5" customHeight="1" x14ac:dyDescent="0.2">
      <c r="A23" s="241" t="s">
        <v>1557</v>
      </c>
      <c r="B23" s="242" t="s">
        <v>12</v>
      </c>
      <c r="C23" s="242" t="s">
        <v>10</v>
      </c>
      <c r="D23" s="242" t="s">
        <v>11</v>
      </c>
      <c r="E23" s="2"/>
      <c r="F23" s="241" t="s">
        <v>1557</v>
      </c>
      <c r="G23" s="242" t="s">
        <v>12</v>
      </c>
      <c r="H23" s="242" t="s">
        <v>10</v>
      </c>
      <c r="I23" s="242" t="s">
        <v>11</v>
      </c>
      <c r="J23" s="2"/>
      <c r="K23" s="241" t="s">
        <v>1557</v>
      </c>
      <c r="L23" s="242" t="s">
        <v>12</v>
      </c>
      <c r="M23" s="242" t="s">
        <v>10</v>
      </c>
      <c r="N23" s="242" t="s">
        <v>11</v>
      </c>
      <c r="P23" s="25" t="s">
        <v>270</v>
      </c>
      <c r="Q23" s="210" t="s">
        <v>249</v>
      </c>
      <c r="R23" s="210" t="s">
        <v>296</v>
      </c>
      <c r="S23" s="210" t="s">
        <v>296</v>
      </c>
      <c r="T23" s="210" t="s">
        <v>297</v>
      </c>
      <c r="U23" s="210" t="s">
        <v>299</v>
      </c>
      <c r="V23" s="210" t="s">
        <v>249</v>
      </c>
      <c r="W23" s="210" t="s">
        <v>249</v>
      </c>
      <c r="X23" s="210" t="s">
        <v>249</v>
      </c>
      <c r="Y23" s="210" t="s">
        <v>249</v>
      </c>
      <c r="Z23" s="210" t="s">
        <v>249</v>
      </c>
      <c r="AA23" s="210" t="s">
        <v>249</v>
      </c>
      <c r="AB23" s="210" t="s">
        <v>249</v>
      </c>
      <c r="AC23" s="210" t="s">
        <v>296</v>
      </c>
    </row>
    <row r="24" spans="1:29" x14ac:dyDescent="0.2">
      <c r="A24" s="375" t="s">
        <v>281</v>
      </c>
      <c r="B24" s="373">
        <v>200</v>
      </c>
      <c r="C24" s="373">
        <v>250</v>
      </c>
      <c r="D24" s="376">
        <v>250</v>
      </c>
      <c r="F24" s="25" t="s">
        <v>281</v>
      </c>
      <c r="G24" s="373">
        <v>200</v>
      </c>
      <c r="H24" s="373">
        <v>200</v>
      </c>
      <c r="I24" s="373">
        <v>200</v>
      </c>
      <c r="K24" s="25" t="s">
        <v>281</v>
      </c>
      <c r="L24" s="373">
        <v>200</v>
      </c>
      <c r="M24" s="373">
        <v>190</v>
      </c>
      <c r="N24" s="373">
        <v>190</v>
      </c>
    </row>
    <row r="25" spans="1:29" x14ac:dyDescent="0.2">
      <c r="A25" s="25" t="s">
        <v>282</v>
      </c>
      <c r="B25" s="210" t="s">
        <v>249</v>
      </c>
      <c r="C25" s="210" t="s">
        <v>249</v>
      </c>
      <c r="D25" s="210" t="s">
        <v>249</v>
      </c>
      <c r="F25" s="25" t="s">
        <v>282</v>
      </c>
      <c r="G25" s="210" t="s">
        <v>249</v>
      </c>
      <c r="H25" s="210" t="s">
        <v>249</v>
      </c>
      <c r="I25" s="210" t="s">
        <v>249</v>
      </c>
      <c r="K25" s="25" t="s">
        <v>282</v>
      </c>
      <c r="L25" s="210" t="s">
        <v>249</v>
      </c>
      <c r="M25" s="210" t="s">
        <v>249</v>
      </c>
      <c r="N25" s="210" t="s">
        <v>249</v>
      </c>
    </row>
    <row r="26" spans="1:29" x14ac:dyDescent="0.2">
      <c r="A26" s="375" t="s">
        <v>250</v>
      </c>
      <c r="B26" s="210" t="s">
        <v>249</v>
      </c>
      <c r="C26" s="210" t="s">
        <v>249</v>
      </c>
      <c r="D26" s="210" t="s">
        <v>249</v>
      </c>
      <c r="F26" s="25" t="s">
        <v>250</v>
      </c>
      <c r="G26" s="373">
        <v>216</v>
      </c>
      <c r="H26" s="373">
        <v>205</v>
      </c>
      <c r="I26" s="210" t="s">
        <v>249</v>
      </c>
      <c r="K26" s="25" t="s">
        <v>250</v>
      </c>
      <c r="L26" s="210" t="s">
        <v>249</v>
      </c>
      <c r="M26" s="373">
        <v>195</v>
      </c>
      <c r="N26" s="373">
        <v>195</v>
      </c>
    </row>
    <row r="27" spans="1:29" x14ac:dyDescent="0.2">
      <c r="A27" s="375" t="s">
        <v>247</v>
      </c>
      <c r="B27" s="373">
        <v>200</v>
      </c>
      <c r="C27" s="373">
        <v>200</v>
      </c>
      <c r="D27" s="373">
        <v>200</v>
      </c>
      <c r="F27" s="25" t="s">
        <v>247</v>
      </c>
      <c r="G27" s="210" t="s">
        <v>249</v>
      </c>
      <c r="H27" s="210" t="s">
        <v>249</v>
      </c>
      <c r="I27" s="373">
        <v>200</v>
      </c>
      <c r="K27" s="25" t="s">
        <v>247</v>
      </c>
      <c r="L27" s="210" t="s">
        <v>249</v>
      </c>
      <c r="M27" s="210" t="s">
        <v>249</v>
      </c>
      <c r="N27" s="210" t="s">
        <v>249</v>
      </c>
    </row>
    <row r="28" spans="1:29" x14ac:dyDescent="0.2">
      <c r="A28" s="25" t="s">
        <v>283</v>
      </c>
      <c r="B28" s="210" t="s">
        <v>249</v>
      </c>
      <c r="C28" s="210" t="s">
        <v>249</v>
      </c>
      <c r="D28" s="210" t="s">
        <v>249</v>
      </c>
      <c r="F28" s="25" t="s">
        <v>283</v>
      </c>
      <c r="G28" s="210" t="s">
        <v>249</v>
      </c>
      <c r="H28" s="210" t="s">
        <v>249</v>
      </c>
      <c r="I28" s="210" t="s">
        <v>249</v>
      </c>
      <c r="K28" s="25" t="s">
        <v>283</v>
      </c>
      <c r="L28" s="210" t="s">
        <v>249</v>
      </c>
      <c r="M28" s="210" t="s">
        <v>249</v>
      </c>
      <c r="N28" s="210" t="s">
        <v>249</v>
      </c>
    </row>
    <row r="29" spans="1:29" x14ac:dyDescent="0.2">
      <c r="A29" s="375" t="s">
        <v>252</v>
      </c>
      <c r="B29" s="373">
        <v>365</v>
      </c>
      <c r="C29" s="210" t="s">
        <v>249</v>
      </c>
      <c r="D29" s="373">
        <v>365</v>
      </c>
      <c r="F29" s="25" t="s">
        <v>252</v>
      </c>
      <c r="G29" s="373">
        <v>305</v>
      </c>
      <c r="H29" s="373">
        <v>305</v>
      </c>
      <c r="I29" s="210" t="s">
        <v>249</v>
      </c>
      <c r="K29" s="25" t="s">
        <v>252</v>
      </c>
      <c r="L29" s="210" t="s">
        <v>249</v>
      </c>
      <c r="M29" s="335">
        <v>305</v>
      </c>
      <c r="N29" s="335">
        <v>305</v>
      </c>
    </row>
    <row r="30" spans="1:29" x14ac:dyDescent="0.2">
      <c r="A30" s="25" t="s">
        <v>284</v>
      </c>
      <c r="B30" s="210" t="s">
        <v>249</v>
      </c>
      <c r="C30" s="210" t="s">
        <v>249</v>
      </c>
      <c r="D30" s="210" t="s">
        <v>249</v>
      </c>
      <c r="F30" s="25" t="s">
        <v>284</v>
      </c>
      <c r="G30" s="210" t="s">
        <v>249</v>
      </c>
      <c r="H30" s="210" t="s">
        <v>249</v>
      </c>
      <c r="I30" s="210" t="s">
        <v>249</v>
      </c>
      <c r="K30" s="25" t="s">
        <v>284</v>
      </c>
      <c r="L30" s="210" t="s">
        <v>249</v>
      </c>
      <c r="M30" s="210" t="s">
        <v>249</v>
      </c>
      <c r="N30" s="210" t="s">
        <v>249</v>
      </c>
      <c r="P30" s="210"/>
    </row>
    <row r="31" spans="1:29" x14ac:dyDescent="0.2">
      <c r="A31" s="375" t="s">
        <v>195</v>
      </c>
      <c r="B31" s="210" t="s">
        <v>249</v>
      </c>
      <c r="C31" s="373">
        <v>3.2</v>
      </c>
      <c r="D31" s="373">
        <v>3.2</v>
      </c>
      <c r="F31" s="25" t="s">
        <v>195</v>
      </c>
      <c r="G31" s="373">
        <v>3.2</v>
      </c>
      <c r="H31" s="210" t="s">
        <v>249</v>
      </c>
      <c r="I31" s="373">
        <v>3.2</v>
      </c>
      <c r="K31" s="25" t="s">
        <v>195</v>
      </c>
      <c r="L31" s="373">
        <v>3.2</v>
      </c>
      <c r="M31" s="373">
        <v>3.2</v>
      </c>
      <c r="N31" s="373">
        <v>3.2</v>
      </c>
    </row>
    <row r="32" spans="1:29" x14ac:dyDescent="0.2">
      <c r="A32" s="375" t="s">
        <v>285</v>
      </c>
      <c r="B32" s="210" t="s">
        <v>249</v>
      </c>
      <c r="C32" s="373">
        <v>4.8</v>
      </c>
      <c r="D32" s="210" t="s">
        <v>249</v>
      </c>
      <c r="F32" s="25" t="s">
        <v>285</v>
      </c>
      <c r="G32" s="210" t="s">
        <v>249</v>
      </c>
      <c r="H32" s="210" t="s">
        <v>249</v>
      </c>
      <c r="I32" s="210" t="s">
        <v>249</v>
      </c>
      <c r="K32" s="25" t="s">
        <v>285</v>
      </c>
      <c r="L32" s="210" t="s">
        <v>249</v>
      </c>
      <c r="M32" s="210" t="s">
        <v>249</v>
      </c>
      <c r="N32" s="210" t="s">
        <v>249</v>
      </c>
    </row>
    <row r="33" spans="1:14" x14ac:dyDescent="0.2">
      <c r="A33" s="375" t="s">
        <v>272</v>
      </c>
      <c r="B33" s="373">
        <v>1.25</v>
      </c>
      <c r="C33" s="210" t="s">
        <v>249</v>
      </c>
      <c r="D33" s="210" t="s">
        <v>249</v>
      </c>
      <c r="F33" s="25" t="s">
        <v>272</v>
      </c>
      <c r="G33" s="210" t="s">
        <v>249</v>
      </c>
      <c r="H33" s="210" t="s">
        <v>249</v>
      </c>
      <c r="I33" s="210" t="s">
        <v>249</v>
      </c>
      <c r="K33" s="25" t="s">
        <v>272</v>
      </c>
      <c r="L33" s="210" t="s">
        <v>249</v>
      </c>
      <c r="M33" s="210" t="s">
        <v>249</v>
      </c>
      <c r="N33" s="210" t="s">
        <v>249</v>
      </c>
    </row>
    <row r="34" spans="1:14" x14ac:dyDescent="0.2">
      <c r="A34" s="25" t="s">
        <v>286</v>
      </c>
      <c r="B34" s="210" t="s">
        <v>249</v>
      </c>
      <c r="C34" s="210" t="s">
        <v>249</v>
      </c>
      <c r="D34" s="210" t="s">
        <v>249</v>
      </c>
      <c r="F34" s="25" t="s">
        <v>286</v>
      </c>
      <c r="G34" s="210" t="s">
        <v>249</v>
      </c>
      <c r="H34" s="210" t="s">
        <v>249</v>
      </c>
      <c r="I34" s="210" t="s">
        <v>249</v>
      </c>
      <c r="K34" s="25" t="s">
        <v>286</v>
      </c>
      <c r="L34" s="210" t="s">
        <v>249</v>
      </c>
      <c r="M34" s="210" t="s">
        <v>249</v>
      </c>
      <c r="N34" s="210" t="s">
        <v>249</v>
      </c>
    </row>
    <row r="35" spans="1:14" x14ac:dyDescent="0.2">
      <c r="A35" s="375" t="s">
        <v>269</v>
      </c>
      <c r="B35" s="373">
        <v>52</v>
      </c>
      <c r="C35" s="210" t="s">
        <v>249</v>
      </c>
      <c r="D35" s="210" t="s">
        <v>249</v>
      </c>
      <c r="F35" s="25" t="s">
        <v>269</v>
      </c>
      <c r="G35" s="210" t="s">
        <v>249</v>
      </c>
      <c r="H35" s="210" t="s">
        <v>249</v>
      </c>
      <c r="I35" s="210" t="s">
        <v>249</v>
      </c>
      <c r="K35" s="25" t="s">
        <v>269</v>
      </c>
      <c r="L35" s="210" t="s">
        <v>249</v>
      </c>
      <c r="M35" s="210" t="s">
        <v>249</v>
      </c>
      <c r="N35" s="210" t="s">
        <v>249</v>
      </c>
    </row>
    <row r="36" spans="1:14" x14ac:dyDescent="0.2">
      <c r="A36" s="375" t="s">
        <v>253</v>
      </c>
      <c r="B36" s="373">
        <v>300</v>
      </c>
      <c r="C36" s="210" t="s">
        <v>249</v>
      </c>
      <c r="D36" s="373">
        <v>300</v>
      </c>
      <c r="F36" s="25" t="s">
        <v>253</v>
      </c>
      <c r="G36" s="373">
        <v>300</v>
      </c>
      <c r="H36" s="373">
        <v>300</v>
      </c>
      <c r="I36" s="210" t="s">
        <v>249</v>
      </c>
      <c r="K36" s="25" t="s">
        <v>253</v>
      </c>
      <c r="L36" s="210" t="s">
        <v>249</v>
      </c>
      <c r="M36" s="373">
        <v>300</v>
      </c>
      <c r="N36" s="373">
        <v>300</v>
      </c>
    </row>
    <row r="37" spans="1:14" x14ac:dyDescent="0.2">
      <c r="A37" s="375" t="s">
        <v>246</v>
      </c>
      <c r="B37" s="210" t="s">
        <v>249</v>
      </c>
      <c r="C37" s="373">
        <v>0</v>
      </c>
      <c r="D37" s="210" t="s">
        <v>249</v>
      </c>
      <c r="F37" s="25" t="s">
        <v>246</v>
      </c>
      <c r="G37" s="210" t="s">
        <v>249</v>
      </c>
      <c r="H37" s="210" t="s">
        <v>249</v>
      </c>
      <c r="I37" s="210" t="s">
        <v>249</v>
      </c>
      <c r="K37" s="25" t="s">
        <v>246</v>
      </c>
      <c r="L37" s="210" t="s">
        <v>249</v>
      </c>
      <c r="M37" s="210" t="s">
        <v>249</v>
      </c>
      <c r="N37" s="210" t="s">
        <v>249</v>
      </c>
    </row>
    <row r="38" spans="1:14" x14ac:dyDescent="0.2">
      <c r="A38" s="344" t="s">
        <v>303</v>
      </c>
      <c r="B38" s="210" t="s">
        <v>249</v>
      </c>
      <c r="C38" s="377">
        <v>2</v>
      </c>
      <c r="D38" s="210" t="s">
        <v>249</v>
      </c>
      <c r="F38" s="25" t="s">
        <v>303</v>
      </c>
      <c r="G38" s="210" t="s">
        <v>249</v>
      </c>
      <c r="H38" s="210" t="s">
        <v>249</v>
      </c>
      <c r="I38" s="210" t="s">
        <v>249</v>
      </c>
      <c r="K38" s="25" t="s">
        <v>303</v>
      </c>
      <c r="L38" s="210" t="s">
        <v>249</v>
      </c>
      <c r="M38" s="210" t="s">
        <v>249</v>
      </c>
      <c r="N38" s="210" t="s">
        <v>249</v>
      </c>
    </row>
    <row r="39" spans="1:14" x14ac:dyDescent="0.2">
      <c r="A39" s="378" t="s">
        <v>270</v>
      </c>
      <c r="B39" s="373">
        <v>130</v>
      </c>
      <c r="C39" s="210" t="s">
        <v>249</v>
      </c>
      <c r="D39" s="210" t="s">
        <v>249</v>
      </c>
      <c r="F39" s="25" t="s">
        <v>270</v>
      </c>
      <c r="G39" s="210" t="s">
        <v>249</v>
      </c>
      <c r="H39" s="210" t="s">
        <v>249</v>
      </c>
      <c r="I39" s="210" t="s">
        <v>249</v>
      </c>
      <c r="K39" s="25" t="s">
        <v>270</v>
      </c>
      <c r="L39" s="210" t="s">
        <v>249</v>
      </c>
      <c r="M39" s="210" t="s">
        <v>249</v>
      </c>
      <c r="N39" s="210" t="s">
        <v>249</v>
      </c>
    </row>
    <row r="40" spans="1:14" x14ac:dyDescent="0.2">
      <c r="A40" s="25"/>
      <c r="B40" s="210"/>
      <c r="C40" s="210"/>
      <c r="D40" s="210"/>
      <c r="F40" s="25"/>
      <c r="G40" s="210"/>
      <c r="H40" s="210"/>
      <c r="I40" s="210"/>
      <c r="K40" s="25"/>
      <c r="L40" s="210"/>
      <c r="M40" s="210"/>
      <c r="N40" s="210"/>
    </row>
    <row r="41" spans="1:14" s="75" customFormat="1" ht="34.75" customHeight="1" x14ac:dyDescent="0.2">
      <c r="A41" s="241" t="s">
        <v>1558</v>
      </c>
      <c r="B41" s="242" t="s">
        <v>12</v>
      </c>
      <c r="C41" s="242" t="s">
        <v>10</v>
      </c>
      <c r="D41" s="242" t="s">
        <v>11</v>
      </c>
      <c r="E41" s="2"/>
      <c r="F41" s="241" t="s">
        <v>1558</v>
      </c>
      <c r="G41" s="242" t="s">
        <v>12</v>
      </c>
      <c r="H41" s="242" t="s">
        <v>10</v>
      </c>
      <c r="I41" s="242" t="s">
        <v>11</v>
      </c>
      <c r="J41" s="2"/>
      <c r="K41" s="241" t="s">
        <v>1558</v>
      </c>
      <c r="L41" s="242" t="s">
        <v>12</v>
      </c>
      <c r="M41" s="242" t="s">
        <v>10</v>
      </c>
      <c r="N41" s="242" t="s">
        <v>11</v>
      </c>
    </row>
    <row r="42" spans="1:14" x14ac:dyDescent="0.2">
      <c r="A42" s="25" t="s">
        <v>281</v>
      </c>
      <c r="B42" s="373" t="s">
        <v>201</v>
      </c>
      <c r="C42" s="373" t="s">
        <v>201</v>
      </c>
      <c r="D42" s="373" t="s">
        <v>201</v>
      </c>
      <c r="F42" s="25" t="s">
        <v>281</v>
      </c>
      <c r="G42" s="373" t="s">
        <v>201</v>
      </c>
      <c r="H42" s="373" t="s">
        <v>201</v>
      </c>
      <c r="I42" s="373" t="s">
        <v>201</v>
      </c>
      <c r="K42" s="25" t="s">
        <v>281</v>
      </c>
      <c r="L42" s="373" t="s">
        <v>201</v>
      </c>
      <c r="M42" s="373" t="s">
        <v>257</v>
      </c>
      <c r="N42" s="373" t="s">
        <v>257</v>
      </c>
    </row>
    <row r="43" spans="1:14" x14ac:dyDescent="0.2">
      <c r="A43" s="25" t="s">
        <v>282</v>
      </c>
      <c r="B43" s="210" t="s">
        <v>249</v>
      </c>
      <c r="C43" s="210" t="s">
        <v>249</v>
      </c>
      <c r="D43" s="210" t="s">
        <v>249</v>
      </c>
      <c r="F43" s="25" t="s">
        <v>282</v>
      </c>
      <c r="G43" s="210" t="s">
        <v>249</v>
      </c>
      <c r="H43" s="210" t="s">
        <v>249</v>
      </c>
      <c r="I43" s="210" t="s">
        <v>249</v>
      </c>
      <c r="K43" s="25" t="s">
        <v>282</v>
      </c>
      <c r="L43" s="210" t="s">
        <v>249</v>
      </c>
      <c r="M43" s="210" t="s">
        <v>249</v>
      </c>
      <c r="N43" s="210" t="s">
        <v>249</v>
      </c>
    </row>
    <row r="44" spans="1:14" x14ac:dyDescent="0.2">
      <c r="A44" s="25" t="s">
        <v>250</v>
      </c>
      <c r="B44" s="210" t="s">
        <v>249</v>
      </c>
      <c r="C44" s="210" t="s">
        <v>249</v>
      </c>
      <c r="D44" s="210" t="s">
        <v>249</v>
      </c>
      <c r="F44" s="25" t="s">
        <v>250</v>
      </c>
      <c r="G44" s="373" t="s">
        <v>201</v>
      </c>
      <c r="H44" s="373" t="s">
        <v>257</v>
      </c>
      <c r="I44" s="210" t="s">
        <v>249</v>
      </c>
      <c r="K44" s="25" t="s">
        <v>250</v>
      </c>
      <c r="L44" s="210" t="s">
        <v>249</v>
      </c>
      <c r="M44" s="373" t="s">
        <v>257</v>
      </c>
      <c r="N44" s="373" t="s">
        <v>257</v>
      </c>
    </row>
    <row r="45" spans="1:14" x14ac:dyDescent="0.2">
      <c r="A45" s="25" t="s">
        <v>247</v>
      </c>
      <c r="B45" s="373" t="s">
        <v>256</v>
      </c>
      <c r="C45" s="373" t="s">
        <v>256</v>
      </c>
      <c r="D45" s="373" t="s">
        <v>290</v>
      </c>
      <c r="F45" s="25" t="s">
        <v>247</v>
      </c>
      <c r="G45" s="210" t="s">
        <v>249</v>
      </c>
      <c r="H45" s="210" t="s">
        <v>249</v>
      </c>
      <c r="I45" s="373" t="s">
        <v>290</v>
      </c>
      <c r="K45" s="25" t="s">
        <v>247</v>
      </c>
      <c r="L45" s="210" t="s">
        <v>249</v>
      </c>
      <c r="M45" s="210" t="s">
        <v>249</v>
      </c>
      <c r="N45" s="210" t="s">
        <v>249</v>
      </c>
    </row>
    <row r="46" spans="1:14" x14ac:dyDescent="0.2">
      <c r="A46" s="25" t="s">
        <v>283</v>
      </c>
      <c r="B46" s="210" t="s">
        <v>249</v>
      </c>
      <c r="C46" s="210" t="s">
        <v>249</v>
      </c>
      <c r="D46" s="210" t="s">
        <v>249</v>
      </c>
      <c r="F46" s="25" t="s">
        <v>283</v>
      </c>
      <c r="G46" s="210" t="s">
        <v>249</v>
      </c>
      <c r="H46" s="210" t="s">
        <v>249</v>
      </c>
      <c r="I46" s="210" t="s">
        <v>249</v>
      </c>
      <c r="K46" s="25" t="s">
        <v>283</v>
      </c>
      <c r="L46" s="210" t="s">
        <v>249</v>
      </c>
      <c r="M46" s="210" t="s">
        <v>249</v>
      </c>
      <c r="N46" s="210" t="s">
        <v>249</v>
      </c>
    </row>
    <row r="47" spans="1:14" x14ac:dyDescent="0.2">
      <c r="A47" s="25" t="s">
        <v>252</v>
      </c>
      <c r="B47" s="373" t="s">
        <v>256</v>
      </c>
      <c r="C47" s="210" t="s">
        <v>249</v>
      </c>
      <c r="D47" s="373" t="s">
        <v>256</v>
      </c>
      <c r="F47" s="25" t="s">
        <v>252</v>
      </c>
      <c r="G47" s="373" t="s">
        <v>256</v>
      </c>
      <c r="H47" s="373" t="s">
        <v>256</v>
      </c>
      <c r="I47" s="210" t="s">
        <v>249</v>
      </c>
      <c r="K47" s="25" t="s">
        <v>252</v>
      </c>
      <c r="L47" s="210" t="s">
        <v>249</v>
      </c>
      <c r="M47" s="373" t="s">
        <v>256</v>
      </c>
      <c r="N47" s="373" t="s">
        <v>256</v>
      </c>
    </row>
    <row r="48" spans="1:14" x14ac:dyDescent="0.2">
      <c r="A48" s="25" t="s">
        <v>284</v>
      </c>
      <c r="B48" s="210" t="s">
        <v>249</v>
      </c>
      <c r="C48" s="210" t="s">
        <v>249</v>
      </c>
      <c r="D48" s="210" t="s">
        <v>249</v>
      </c>
      <c r="F48" s="25" t="s">
        <v>284</v>
      </c>
      <c r="G48" s="210" t="s">
        <v>249</v>
      </c>
      <c r="H48" s="210" t="s">
        <v>249</v>
      </c>
      <c r="I48" s="210" t="s">
        <v>249</v>
      </c>
      <c r="K48" s="25" t="s">
        <v>284</v>
      </c>
      <c r="L48" s="210" t="s">
        <v>249</v>
      </c>
      <c r="M48" s="210" t="s">
        <v>249</v>
      </c>
      <c r="N48" s="210" t="s">
        <v>249</v>
      </c>
    </row>
    <row r="49" spans="1:14" x14ac:dyDescent="0.2">
      <c r="A49" s="25" t="s">
        <v>195</v>
      </c>
      <c r="B49" s="210" t="s">
        <v>249</v>
      </c>
      <c r="C49" s="373" t="s">
        <v>205</v>
      </c>
      <c r="D49" s="373" t="s">
        <v>205</v>
      </c>
      <c r="F49" s="25" t="s">
        <v>195</v>
      </c>
      <c r="G49" s="373" t="s">
        <v>205</v>
      </c>
      <c r="H49" s="210" t="s">
        <v>249</v>
      </c>
      <c r="I49" s="373" t="s">
        <v>205</v>
      </c>
      <c r="K49" s="25" t="s">
        <v>195</v>
      </c>
      <c r="L49" s="373" t="s">
        <v>205</v>
      </c>
      <c r="M49" s="373" t="s">
        <v>205</v>
      </c>
      <c r="N49" s="373" t="s">
        <v>205</v>
      </c>
    </row>
    <row r="50" spans="1:14" x14ac:dyDescent="0.2">
      <c r="A50" s="25" t="s">
        <v>285</v>
      </c>
      <c r="B50" s="210" t="s">
        <v>249</v>
      </c>
      <c r="C50" s="373" t="s">
        <v>256</v>
      </c>
      <c r="D50" s="210" t="s">
        <v>249</v>
      </c>
      <c r="F50" s="25" t="s">
        <v>285</v>
      </c>
      <c r="G50" s="210" t="s">
        <v>249</v>
      </c>
      <c r="H50" s="210" t="s">
        <v>249</v>
      </c>
      <c r="I50" s="210" t="s">
        <v>249</v>
      </c>
      <c r="K50" s="25" t="s">
        <v>285</v>
      </c>
      <c r="L50" s="210" t="s">
        <v>249</v>
      </c>
      <c r="M50" s="210" t="s">
        <v>249</v>
      </c>
      <c r="N50" s="210" t="s">
        <v>249</v>
      </c>
    </row>
    <row r="51" spans="1:14" x14ac:dyDescent="0.2">
      <c r="A51" s="25" t="s">
        <v>272</v>
      </c>
      <c r="B51" s="373" t="s">
        <v>256</v>
      </c>
      <c r="C51" s="210" t="s">
        <v>249</v>
      </c>
      <c r="D51" s="210" t="s">
        <v>249</v>
      </c>
      <c r="F51" s="25" t="s">
        <v>272</v>
      </c>
      <c r="G51" s="210" t="s">
        <v>249</v>
      </c>
      <c r="H51" s="210" t="s">
        <v>249</v>
      </c>
      <c r="I51" s="210" t="s">
        <v>249</v>
      </c>
      <c r="K51" s="25" t="s">
        <v>272</v>
      </c>
      <c r="L51" s="210" t="s">
        <v>249</v>
      </c>
      <c r="M51" s="210" t="s">
        <v>249</v>
      </c>
      <c r="N51" s="210" t="s">
        <v>249</v>
      </c>
    </row>
    <row r="52" spans="1:14" x14ac:dyDescent="0.2">
      <c r="A52" s="25" t="s">
        <v>286</v>
      </c>
      <c r="B52" s="210" t="s">
        <v>249</v>
      </c>
      <c r="C52" s="210" t="s">
        <v>249</v>
      </c>
      <c r="D52" s="210" t="s">
        <v>249</v>
      </c>
      <c r="F52" s="25" t="s">
        <v>286</v>
      </c>
      <c r="G52" s="210" t="s">
        <v>249</v>
      </c>
      <c r="H52" s="210" t="s">
        <v>249</v>
      </c>
      <c r="I52" s="210" t="s">
        <v>249</v>
      </c>
      <c r="K52" s="25" t="s">
        <v>286</v>
      </c>
      <c r="L52" s="210" t="s">
        <v>249</v>
      </c>
      <c r="M52" s="210" t="s">
        <v>249</v>
      </c>
      <c r="N52" s="210" t="s">
        <v>249</v>
      </c>
    </row>
    <row r="53" spans="1:14" x14ac:dyDescent="0.2">
      <c r="A53" s="25" t="s">
        <v>269</v>
      </c>
      <c r="B53" s="373" t="s">
        <v>290</v>
      </c>
      <c r="C53" s="210" t="s">
        <v>249</v>
      </c>
      <c r="D53" s="210" t="s">
        <v>249</v>
      </c>
      <c r="F53" s="25" t="s">
        <v>269</v>
      </c>
      <c r="G53" s="210" t="s">
        <v>249</v>
      </c>
      <c r="H53" s="210" t="s">
        <v>249</v>
      </c>
      <c r="I53" s="210" t="s">
        <v>249</v>
      </c>
      <c r="K53" s="25" t="s">
        <v>269</v>
      </c>
      <c r="L53" s="210" t="s">
        <v>249</v>
      </c>
      <c r="M53" s="210" t="s">
        <v>249</v>
      </c>
      <c r="N53" s="210" t="s">
        <v>249</v>
      </c>
    </row>
    <row r="54" spans="1:14" x14ac:dyDescent="0.2">
      <c r="A54" s="25" t="s">
        <v>253</v>
      </c>
      <c r="B54" s="373" t="s">
        <v>256</v>
      </c>
      <c r="C54" s="210" t="s">
        <v>249</v>
      </c>
      <c r="D54" s="373" t="s">
        <v>256</v>
      </c>
      <c r="F54" s="25" t="s">
        <v>253</v>
      </c>
      <c r="G54" s="373" t="s">
        <v>256</v>
      </c>
      <c r="H54" s="373" t="s">
        <v>256</v>
      </c>
      <c r="I54" s="210" t="s">
        <v>249</v>
      </c>
      <c r="K54" s="25" t="s">
        <v>253</v>
      </c>
      <c r="L54" s="210" t="s">
        <v>249</v>
      </c>
      <c r="M54" s="373" t="s">
        <v>256</v>
      </c>
      <c r="N54" s="373" t="s">
        <v>256</v>
      </c>
    </row>
    <row r="55" spans="1:14" x14ac:dyDescent="0.2">
      <c r="A55" s="25" t="s">
        <v>246</v>
      </c>
      <c r="B55" s="210" t="s">
        <v>249</v>
      </c>
      <c r="C55" s="373" t="s">
        <v>205</v>
      </c>
      <c r="D55" s="210" t="s">
        <v>249</v>
      </c>
      <c r="F55" s="25" t="s">
        <v>246</v>
      </c>
      <c r="G55" s="210" t="s">
        <v>249</v>
      </c>
      <c r="H55" s="210" t="s">
        <v>249</v>
      </c>
      <c r="I55" s="210" t="s">
        <v>249</v>
      </c>
      <c r="K55" s="25" t="s">
        <v>246</v>
      </c>
      <c r="L55" s="210" t="s">
        <v>249</v>
      </c>
      <c r="M55" s="210" t="s">
        <v>249</v>
      </c>
      <c r="N55" s="210" t="s">
        <v>249</v>
      </c>
    </row>
    <row r="56" spans="1:14" x14ac:dyDescent="0.2">
      <c r="A56" s="25" t="s">
        <v>303</v>
      </c>
      <c r="B56" s="210" t="s">
        <v>249</v>
      </c>
      <c r="C56" s="373" t="s">
        <v>256</v>
      </c>
      <c r="D56" s="210" t="s">
        <v>249</v>
      </c>
      <c r="F56" s="25" t="s">
        <v>303</v>
      </c>
      <c r="G56" s="210" t="s">
        <v>249</v>
      </c>
      <c r="H56" s="210" t="s">
        <v>249</v>
      </c>
      <c r="I56" s="210" t="s">
        <v>249</v>
      </c>
      <c r="K56" s="25" t="s">
        <v>303</v>
      </c>
      <c r="L56" s="210" t="s">
        <v>249</v>
      </c>
      <c r="M56" s="210" t="s">
        <v>249</v>
      </c>
      <c r="N56" s="210" t="s">
        <v>249</v>
      </c>
    </row>
    <row r="57" spans="1:14" x14ac:dyDescent="0.2">
      <c r="A57" s="25" t="s">
        <v>270</v>
      </c>
      <c r="B57" s="373" t="s">
        <v>256</v>
      </c>
      <c r="C57" s="210" t="s">
        <v>249</v>
      </c>
      <c r="D57" s="210" t="s">
        <v>249</v>
      </c>
      <c r="F57" s="25" t="s">
        <v>270</v>
      </c>
      <c r="G57" s="210" t="s">
        <v>249</v>
      </c>
      <c r="H57" s="210" t="s">
        <v>249</v>
      </c>
      <c r="I57" s="210" t="s">
        <v>249</v>
      </c>
      <c r="K57" s="25" t="s">
        <v>270</v>
      </c>
      <c r="L57" s="210" t="s">
        <v>249</v>
      </c>
      <c r="M57" s="210" t="s">
        <v>249</v>
      </c>
      <c r="N57" s="210" t="s">
        <v>249</v>
      </c>
    </row>
    <row r="58" spans="1:14" x14ac:dyDescent="0.2">
      <c r="A58" s="25"/>
      <c r="B58" s="210"/>
      <c r="C58" s="210"/>
      <c r="D58" s="210"/>
      <c r="F58" s="25"/>
      <c r="G58" s="210"/>
      <c r="H58" s="210"/>
      <c r="I58" s="210"/>
      <c r="K58" s="25"/>
      <c r="L58" s="210"/>
      <c r="M58" s="210"/>
      <c r="N58" s="210"/>
    </row>
    <row r="59" spans="1:14" s="75" customFormat="1" ht="26.5" customHeight="1" x14ac:dyDescent="0.2">
      <c r="A59" s="243" t="s">
        <v>157</v>
      </c>
      <c r="B59" s="242" t="s">
        <v>12</v>
      </c>
      <c r="C59" s="242" t="s">
        <v>10</v>
      </c>
      <c r="D59" s="242" t="s">
        <v>11</v>
      </c>
      <c r="E59" s="2"/>
      <c r="F59" s="243" t="s">
        <v>157</v>
      </c>
      <c r="G59" s="242" t="s">
        <v>12</v>
      </c>
      <c r="H59" s="242" t="s">
        <v>10</v>
      </c>
      <c r="I59" s="242" t="s">
        <v>11</v>
      </c>
      <c r="J59" s="2"/>
      <c r="K59" s="243" t="s">
        <v>157</v>
      </c>
      <c r="L59" s="242" t="s">
        <v>12</v>
      </c>
      <c r="M59" s="242" t="s">
        <v>10</v>
      </c>
      <c r="N59" s="242" t="s">
        <v>11</v>
      </c>
    </row>
    <row r="60" spans="1:14" x14ac:dyDescent="0.2">
      <c r="A60" s="25" t="s">
        <v>281</v>
      </c>
      <c r="B60" s="376" t="s">
        <v>259</v>
      </c>
      <c r="C60" s="373" t="s">
        <v>259</v>
      </c>
      <c r="D60" s="373" t="s">
        <v>259</v>
      </c>
      <c r="F60" s="25" t="s">
        <v>281</v>
      </c>
      <c r="G60" s="376" t="s">
        <v>259</v>
      </c>
      <c r="H60" s="373" t="s">
        <v>259</v>
      </c>
      <c r="I60" s="376" t="s">
        <v>273</v>
      </c>
      <c r="K60" s="25" t="s">
        <v>281</v>
      </c>
      <c r="L60" s="373" t="s">
        <v>300</v>
      </c>
      <c r="M60" s="373" t="s">
        <v>259</v>
      </c>
      <c r="N60" s="373" t="s">
        <v>259</v>
      </c>
    </row>
    <row r="61" spans="1:14" x14ac:dyDescent="0.2">
      <c r="A61" s="25" t="s">
        <v>282</v>
      </c>
      <c r="B61" s="210" t="s">
        <v>249</v>
      </c>
      <c r="C61" s="210" t="s">
        <v>249</v>
      </c>
      <c r="D61" s="210" t="s">
        <v>249</v>
      </c>
      <c r="F61" s="25" t="s">
        <v>282</v>
      </c>
      <c r="G61" s="210" t="s">
        <v>249</v>
      </c>
      <c r="H61" s="210" t="s">
        <v>249</v>
      </c>
      <c r="I61" s="210" t="s">
        <v>249</v>
      </c>
      <c r="K61" s="25" t="s">
        <v>282</v>
      </c>
      <c r="L61" s="210" t="s">
        <v>249</v>
      </c>
      <c r="M61" s="210" t="s">
        <v>249</v>
      </c>
      <c r="N61" s="210" t="s">
        <v>249</v>
      </c>
    </row>
    <row r="62" spans="1:14" x14ac:dyDescent="0.2">
      <c r="A62" s="25" t="s">
        <v>250</v>
      </c>
      <c r="B62" s="210" t="s">
        <v>249</v>
      </c>
      <c r="C62" s="210" t="s">
        <v>249</v>
      </c>
      <c r="D62" s="210" t="s">
        <v>249</v>
      </c>
      <c r="F62" s="25" t="s">
        <v>250</v>
      </c>
      <c r="G62" s="373" t="s">
        <v>259</v>
      </c>
      <c r="H62" s="373" t="s">
        <v>259</v>
      </c>
      <c r="I62" s="210" t="s">
        <v>249</v>
      </c>
      <c r="K62" s="25" t="s">
        <v>250</v>
      </c>
      <c r="L62" s="210" t="s">
        <v>249</v>
      </c>
      <c r="M62" s="373" t="s">
        <v>259</v>
      </c>
      <c r="N62" s="373" t="s">
        <v>259</v>
      </c>
    </row>
    <row r="63" spans="1:14" x14ac:dyDescent="0.2">
      <c r="A63" s="25" t="s">
        <v>247</v>
      </c>
      <c r="B63" s="373" t="s">
        <v>259</v>
      </c>
      <c r="C63" s="373" t="s">
        <v>259</v>
      </c>
      <c r="D63" s="373" t="s">
        <v>259</v>
      </c>
      <c r="F63" s="25" t="s">
        <v>247</v>
      </c>
      <c r="G63" s="210" t="s">
        <v>249</v>
      </c>
      <c r="H63" s="210" t="s">
        <v>249</v>
      </c>
      <c r="I63" s="373" t="s">
        <v>300</v>
      </c>
      <c r="K63" s="25" t="s">
        <v>247</v>
      </c>
      <c r="L63" s="210" t="s">
        <v>249</v>
      </c>
      <c r="M63" s="210" t="s">
        <v>249</v>
      </c>
      <c r="N63" s="210" t="s">
        <v>249</v>
      </c>
    </row>
    <row r="64" spans="1:14" x14ac:dyDescent="0.2">
      <c r="A64" s="25" t="s">
        <v>283</v>
      </c>
      <c r="B64" s="210" t="s">
        <v>249</v>
      </c>
      <c r="C64" s="210" t="s">
        <v>249</v>
      </c>
      <c r="D64" s="210" t="s">
        <v>249</v>
      </c>
      <c r="F64" s="25" t="s">
        <v>283</v>
      </c>
      <c r="G64" s="210" t="s">
        <v>249</v>
      </c>
      <c r="H64" s="210" t="s">
        <v>249</v>
      </c>
      <c r="I64" s="210" t="s">
        <v>249</v>
      </c>
      <c r="K64" s="25" t="s">
        <v>283</v>
      </c>
      <c r="L64" s="210" t="s">
        <v>249</v>
      </c>
      <c r="M64" s="210" t="s">
        <v>249</v>
      </c>
      <c r="N64" s="210" t="s">
        <v>249</v>
      </c>
    </row>
    <row r="65" spans="1:14" x14ac:dyDescent="0.2">
      <c r="A65" s="25" t="s">
        <v>252</v>
      </c>
      <c r="B65" s="373" t="s">
        <v>302</v>
      </c>
      <c r="C65" s="210" t="s">
        <v>249</v>
      </c>
      <c r="D65" s="373" t="s">
        <v>301</v>
      </c>
      <c r="F65" s="25" t="s">
        <v>252</v>
      </c>
      <c r="G65" s="373" t="s">
        <v>302</v>
      </c>
      <c r="H65" s="373" t="s">
        <v>259</v>
      </c>
      <c r="I65" s="210" t="s">
        <v>249</v>
      </c>
      <c r="K65" s="25" t="s">
        <v>252</v>
      </c>
      <c r="L65" s="210" t="s">
        <v>249</v>
      </c>
      <c r="M65" s="373" t="s">
        <v>259</v>
      </c>
      <c r="N65" s="373" t="s">
        <v>259</v>
      </c>
    </row>
    <row r="66" spans="1:14" x14ac:dyDescent="0.2">
      <c r="A66" s="25" t="s">
        <v>284</v>
      </c>
      <c r="B66" s="210" t="s">
        <v>249</v>
      </c>
      <c r="C66" s="210" t="s">
        <v>249</v>
      </c>
      <c r="D66" s="210" t="s">
        <v>249</v>
      </c>
      <c r="F66" s="25" t="s">
        <v>284</v>
      </c>
      <c r="G66" s="210" t="s">
        <v>249</v>
      </c>
      <c r="H66" s="210" t="s">
        <v>249</v>
      </c>
      <c r="I66" s="210" t="s">
        <v>249</v>
      </c>
      <c r="K66" s="25" t="s">
        <v>284</v>
      </c>
      <c r="L66" s="210" t="s">
        <v>249</v>
      </c>
      <c r="M66" s="210" t="s">
        <v>249</v>
      </c>
      <c r="N66" s="210" t="s">
        <v>249</v>
      </c>
    </row>
    <row r="67" spans="1:14" x14ac:dyDescent="0.2">
      <c r="A67" s="25" t="s">
        <v>195</v>
      </c>
      <c r="B67" s="210" t="s">
        <v>249</v>
      </c>
      <c r="C67" s="373" t="s">
        <v>260</v>
      </c>
      <c r="D67" s="373" t="s">
        <v>260</v>
      </c>
      <c r="F67" s="25" t="s">
        <v>195</v>
      </c>
      <c r="G67" s="373" t="s">
        <v>260</v>
      </c>
      <c r="H67" s="210" t="s">
        <v>249</v>
      </c>
      <c r="I67" s="373" t="s">
        <v>260</v>
      </c>
      <c r="K67" s="25" t="s">
        <v>195</v>
      </c>
      <c r="L67" s="373" t="s">
        <v>302</v>
      </c>
      <c r="M67" s="373" t="s">
        <v>302</v>
      </c>
      <c r="N67" s="373" t="s">
        <v>302</v>
      </c>
    </row>
    <row r="68" spans="1:14" x14ac:dyDescent="0.2">
      <c r="A68" s="25" t="s">
        <v>285</v>
      </c>
      <c r="B68" s="210" t="s">
        <v>249</v>
      </c>
      <c r="C68" s="373" t="s">
        <v>260</v>
      </c>
      <c r="D68" s="210" t="s">
        <v>249</v>
      </c>
      <c r="F68" s="25" t="s">
        <v>285</v>
      </c>
      <c r="G68" s="210" t="s">
        <v>249</v>
      </c>
      <c r="H68" s="210" t="s">
        <v>249</v>
      </c>
      <c r="I68" s="210" t="s">
        <v>249</v>
      </c>
      <c r="K68" s="25" t="s">
        <v>285</v>
      </c>
      <c r="L68" s="210" t="s">
        <v>249</v>
      </c>
      <c r="M68" s="210" t="s">
        <v>249</v>
      </c>
      <c r="N68" s="210" t="s">
        <v>249</v>
      </c>
    </row>
    <row r="69" spans="1:14" x14ac:dyDescent="0.2">
      <c r="A69" s="25" t="s">
        <v>272</v>
      </c>
      <c r="B69" s="373" t="s">
        <v>259</v>
      </c>
      <c r="C69" s="210" t="s">
        <v>249</v>
      </c>
      <c r="D69" s="210" t="s">
        <v>249</v>
      </c>
      <c r="F69" s="25" t="s">
        <v>272</v>
      </c>
      <c r="G69" s="210" t="s">
        <v>249</v>
      </c>
      <c r="H69" s="210" t="s">
        <v>249</v>
      </c>
      <c r="I69" s="210" t="s">
        <v>249</v>
      </c>
      <c r="K69" s="25" t="s">
        <v>272</v>
      </c>
      <c r="L69" s="210" t="s">
        <v>249</v>
      </c>
      <c r="M69" s="210" t="s">
        <v>249</v>
      </c>
      <c r="N69" s="210" t="s">
        <v>249</v>
      </c>
    </row>
    <row r="70" spans="1:14" x14ac:dyDescent="0.2">
      <c r="A70" s="25" t="s">
        <v>286</v>
      </c>
      <c r="B70" s="210" t="s">
        <v>249</v>
      </c>
      <c r="C70" s="210" t="s">
        <v>249</v>
      </c>
      <c r="D70" s="210" t="s">
        <v>249</v>
      </c>
      <c r="F70" s="25" t="s">
        <v>286</v>
      </c>
      <c r="G70" s="210" t="s">
        <v>249</v>
      </c>
      <c r="H70" s="210" t="s">
        <v>249</v>
      </c>
      <c r="I70" s="210" t="s">
        <v>249</v>
      </c>
      <c r="K70" s="25" t="s">
        <v>286</v>
      </c>
      <c r="L70" s="210" t="s">
        <v>249</v>
      </c>
      <c r="M70" s="210" t="s">
        <v>249</v>
      </c>
      <c r="N70" s="210" t="s">
        <v>249</v>
      </c>
    </row>
    <row r="71" spans="1:14" x14ac:dyDescent="0.2">
      <c r="A71" s="25" t="s">
        <v>269</v>
      </c>
      <c r="B71" s="373" t="s">
        <v>259</v>
      </c>
      <c r="C71" s="210" t="s">
        <v>249</v>
      </c>
      <c r="D71" s="210" t="s">
        <v>249</v>
      </c>
      <c r="F71" s="25" t="s">
        <v>269</v>
      </c>
      <c r="G71" s="210" t="s">
        <v>249</v>
      </c>
      <c r="H71" s="210" t="s">
        <v>249</v>
      </c>
      <c r="I71" s="210" t="s">
        <v>249</v>
      </c>
      <c r="K71" s="25" t="s">
        <v>269</v>
      </c>
      <c r="L71" s="210" t="s">
        <v>249</v>
      </c>
      <c r="M71" s="210" t="s">
        <v>249</v>
      </c>
      <c r="N71" s="210" t="s">
        <v>249</v>
      </c>
    </row>
    <row r="72" spans="1:14" x14ac:dyDescent="0.2">
      <c r="A72" s="25" t="s">
        <v>253</v>
      </c>
      <c r="B72" s="373" t="s">
        <v>302</v>
      </c>
      <c r="C72" s="210" t="s">
        <v>249</v>
      </c>
      <c r="D72" s="373" t="s">
        <v>301</v>
      </c>
      <c r="F72" s="25" t="s">
        <v>253</v>
      </c>
      <c r="G72" s="373" t="s">
        <v>302</v>
      </c>
      <c r="H72" s="373" t="s">
        <v>259</v>
      </c>
      <c r="I72" s="210" t="s">
        <v>249</v>
      </c>
      <c r="K72" s="25" t="s">
        <v>253</v>
      </c>
      <c r="L72" s="210" t="s">
        <v>249</v>
      </c>
      <c r="M72" s="373" t="s">
        <v>259</v>
      </c>
      <c r="N72" s="373" t="s">
        <v>259</v>
      </c>
    </row>
    <row r="73" spans="1:14" x14ac:dyDescent="0.2">
      <c r="A73" s="25" t="s">
        <v>246</v>
      </c>
      <c r="B73" s="210" t="s">
        <v>249</v>
      </c>
      <c r="C73" s="373" t="s">
        <v>259</v>
      </c>
      <c r="D73" s="210" t="s">
        <v>249</v>
      </c>
      <c r="F73" s="25" t="s">
        <v>246</v>
      </c>
      <c r="G73" s="210" t="s">
        <v>249</v>
      </c>
      <c r="H73" s="210" t="s">
        <v>249</v>
      </c>
      <c r="I73" s="210" t="s">
        <v>249</v>
      </c>
      <c r="K73" s="25" t="s">
        <v>246</v>
      </c>
      <c r="L73" s="210" t="s">
        <v>249</v>
      </c>
      <c r="M73" s="210" t="s">
        <v>249</v>
      </c>
      <c r="N73" s="210" t="s">
        <v>249</v>
      </c>
    </row>
    <row r="74" spans="1:14" x14ac:dyDescent="0.2">
      <c r="A74" s="25" t="s">
        <v>303</v>
      </c>
      <c r="B74" s="210" t="s">
        <v>249</v>
      </c>
      <c r="C74" s="373" t="s">
        <v>260</v>
      </c>
      <c r="D74" s="210" t="s">
        <v>249</v>
      </c>
      <c r="F74" s="25" t="s">
        <v>303</v>
      </c>
      <c r="G74" s="210" t="s">
        <v>249</v>
      </c>
      <c r="H74" s="210" t="s">
        <v>249</v>
      </c>
      <c r="I74" s="210" t="s">
        <v>249</v>
      </c>
      <c r="K74" s="25" t="s">
        <v>303</v>
      </c>
      <c r="L74" s="210" t="s">
        <v>249</v>
      </c>
      <c r="M74" s="210" t="s">
        <v>249</v>
      </c>
      <c r="N74" s="210" t="s">
        <v>249</v>
      </c>
    </row>
    <row r="75" spans="1:14" x14ac:dyDescent="0.2">
      <c r="A75" s="25" t="s">
        <v>270</v>
      </c>
      <c r="B75" s="373" t="s">
        <v>259</v>
      </c>
      <c r="C75" s="210" t="s">
        <v>249</v>
      </c>
      <c r="D75" s="210" t="s">
        <v>249</v>
      </c>
      <c r="F75" s="25" t="s">
        <v>270</v>
      </c>
      <c r="G75" s="210" t="s">
        <v>249</v>
      </c>
      <c r="H75" s="210" t="s">
        <v>249</v>
      </c>
      <c r="I75" s="210" t="s">
        <v>249</v>
      </c>
      <c r="K75" s="25" t="s">
        <v>270</v>
      </c>
      <c r="L75" s="210" t="s">
        <v>249</v>
      </c>
      <c r="M75" s="210" t="s">
        <v>249</v>
      </c>
      <c r="N75" s="210" t="s">
        <v>249</v>
      </c>
    </row>
    <row r="76" spans="1:14" x14ac:dyDescent="0.2">
      <c r="A76" s="25"/>
      <c r="B76" s="210"/>
      <c r="C76" s="210"/>
      <c r="D76" s="210"/>
      <c r="F76" s="25"/>
      <c r="G76" s="210"/>
      <c r="H76" s="210"/>
      <c r="I76" s="210"/>
      <c r="K76" s="25"/>
      <c r="L76" s="210"/>
      <c r="M76" s="210"/>
      <c r="N76" s="210"/>
    </row>
    <row r="77" spans="1:14" s="75" customFormat="1" ht="58.5" customHeight="1" x14ac:dyDescent="0.2">
      <c r="A77" s="241" t="s">
        <v>216</v>
      </c>
      <c r="B77" s="242" t="s">
        <v>12</v>
      </c>
      <c r="C77" s="242" t="s">
        <v>10</v>
      </c>
      <c r="D77" s="242" t="s">
        <v>11</v>
      </c>
      <c r="E77" s="2"/>
      <c r="F77" s="241" t="s">
        <v>216</v>
      </c>
      <c r="G77" s="242" t="s">
        <v>12</v>
      </c>
      <c r="H77" s="242" t="s">
        <v>10</v>
      </c>
      <c r="I77" s="242" t="s">
        <v>11</v>
      </c>
      <c r="J77" s="2"/>
      <c r="K77" s="241" t="s">
        <v>216</v>
      </c>
      <c r="L77" s="242" t="s">
        <v>12</v>
      </c>
      <c r="M77" s="242" t="s">
        <v>10</v>
      </c>
      <c r="N77" s="242" t="s">
        <v>11</v>
      </c>
    </row>
    <row r="78" spans="1:14" x14ac:dyDescent="0.2">
      <c r="A78" s="25" t="s">
        <v>281</v>
      </c>
      <c r="B78" s="373">
        <v>10.84</v>
      </c>
      <c r="C78" s="373">
        <v>9.3000000000000007</v>
      </c>
      <c r="D78" s="373">
        <v>11.9</v>
      </c>
      <c r="F78" s="25" t="s">
        <v>281</v>
      </c>
      <c r="G78" s="373">
        <v>5.6</v>
      </c>
      <c r="H78" s="373">
        <v>9.3000000000000007</v>
      </c>
      <c r="I78" s="373">
        <v>2.9</v>
      </c>
      <c r="K78" s="25" t="s">
        <v>281</v>
      </c>
      <c r="L78" s="373">
        <v>5</v>
      </c>
      <c r="M78" s="376">
        <v>1</v>
      </c>
      <c r="N78" s="376">
        <v>1</v>
      </c>
    </row>
    <row r="79" spans="1:14" x14ac:dyDescent="0.2">
      <c r="A79" s="25" t="s">
        <v>282</v>
      </c>
      <c r="B79" s="210" t="s">
        <v>249</v>
      </c>
      <c r="C79" s="210" t="s">
        <v>249</v>
      </c>
      <c r="D79" s="210" t="s">
        <v>249</v>
      </c>
      <c r="F79" s="25" t="s">
        <v>282</v>
      </c>
      <c r="G79" s="210" t="s">
        <v>249</v>
      </c>
      <c r="H79" s="210" t="s">
        <v>249</v>
      </c>
      <c r="I79" s="210" t="s">
        <v>249</v>
      </c>
      <c r="K79" s="25" t="s">
        <v>282</v>
      </c>
      <c r="L79" s="210" t="s">
        <v>249</v>
      </c>
      <c r="M79" s="210" t="s">
        <v>249</v>
      </c>
      <c r="N79" s="210" t="s">
        <v>249</v>
      </c>
    </row>
    <row r="80" spans="1:14" x14ac:dyDescent="0.2">
      <c r="A80" s="25" t="s">
        <v>250</v>
      </c>
      <c r="B80" s="210" t="s">
        <v>249</v>
      </c>
      <c r="C80" s="210" t="s">
        <v>249</v>
      </c>
      <c r="D80" s="210" t="s">
        <v>249</v>
      </c>
      <c r="F80" s="25" t="s">
        <v>250</v>
      </c>
      <c r="G80" s="373">
        <v>8.6</v>
      </c>
      <c r="H80" s="373">
        <v>4.5999999999999996</v>
      </c>
      <c r="I80" s="210" t="s">
        <v>249</v>
      </c>
      <c r="K80" s="25" t="s">
        <v>250</v>
      </c>
      <c r="L80" s="210" t="s">
        <v>249</v>
      </c>
      <c r="M80" s="373">
        <v>0.4</v>
      </c>
      <c r="N80" s="373">
        <v>0.4</v>
      </c>
    </row>
    <row r="81" spans="1:14" x14ac:dyDescent="0.2">
      <c r="A81" s="25" t="s">
        <v>247</v>
      </c>
      <c r="B81" s="373">
        <v>0.25</v>
      </c>
      <c r="C81" s="373">
        <v>4</v>
      </c>
      <c r="D81" s="373">
        <v>0.4</v>
      </c>
      <c r="F81" s="25" t="s">
        <v>247</v>
      </c>
      <c r="G81" s="210" t="s">
        <v>249</v>
      </c>
      <c r="H81" s="210" t="s">
        <v>249</v>
      </c>
      <c r="I81" s="373">
        <v>0.4</v>
      </c>
      <c r="K81" s="25" t="s">
        <v>247</v>
      </c>
      <c r="L81" s="210" t="s">
        <v>249</v>
      </c>
      <c r="M81" s="210" t="s">
        <v>249</v>
      </c>
      <c r="N81" s="210" t="s">
        <v>249</v>
      </c>
    </row>
    <row r="82" spans="1:14" x14ac:dyDescent="0.2">
      <c r="A82" s="25" t="s">
        <v>283</v>
      </c>
      <c r="B82" s="210" t="s">
        <v>249</v>
      </c>
      <c r="C82" s="210" t="s">
        <v>249</v>
      </c>
      <c r="D82" s="210" t="s">
        <v>249</v>
      </c>
      <c r="F82" s="25" t="s">
        <v>283</v>
      </c>
      <c r="G82" s="210" t="s">
        <v>249</v>
      </c>
      <c r="H82" s="210" t="s">
        <v>249</v>
      </c>
      <c r="I82" s="210" t="s">
        <v>249</v>
      </c>
      <c r="K82" s="25" t="s">
        <v>283</v>
      </c>
      <c r="L82" s="210" t="s">
        <v>249</v>
      </c>
      <c r="M82" s="210" t="s">
        <v>249</v>
      </c>
      <c r="N82" s="210" t="s">
        <v>249</v>
      </c>
    </row>
    <row r="83" spans="1:14" x14ac:dyDescent="0.2">
      <c r="A83" s="25" t="s">
        <v>252</v>
      </c>
      <c r="B83" s="373">
        <v>9</v>
      </c>
      <c r="C83" s="210" t="s">
        <v>249</v>
      </c>
      <c r="D83" s="373">
        <v>4</v>
      </c>
      <c r="F83" s="25" t="s">
        <v>252</v>
      </c>
      <c r="G83" s="373">
        <v>5.5</v>
      </c>
      <c r="H83" s="373">
        <v>5.35</v>
      </c>
      <c r="I83" s="210" t="s">
        <v>249</v>
      </c>
      <c r="K83" s="25" t="s">
        <v>252</v>
      </c>
      <c r="L83" s="210" t="s">
        <v>249</v>
      </c>
      <c r="M83" s="373">
        <v>4</v>
      </c>
      <c r="N83" s="373">
        <v>4</v>
      </c>
    </row>
    <row r="84" spans="1:14" x14ac:dyDescent="0.2">
      <c r="A84" s="25" t="s">
        <v>284</v>
      </c>
      <c r="B84" s="210" t="s">
        <v>249</v>
      </c>
      <c r="C84" s="210" t="s">
        <v>249</v>
      </c>
      <c r="D84" s="210" t="s">
        <v>249</v>
      </c>
      <c r="F84" s="25" t="s">
        <v>284</v>
      </c>
      <c r="G84" s="210" t="s">
        <v>249</v>
      </c>
      <c r="H84" s="210" t="s">
        <v>249</v>
      </c>
      <c r="I84" s="210" t="s">
        <v>249</v>
      </c>
      <c r="K84" s="25" t="s">
        <v>284</v>
      </c>
      <c r="L84" s="210" t="s">
        <v>249</v>
      </c>
      <c r="M84" s="210" t="s">
        <v>249</v>
      </c>
      <c r="N84" s="210" t="s">
        <v>249</v>
      </c>
    </row>
    <row r="85" spans="1:14" x14ac:dyDescent="0.2">
      <c r="A85" s="25" t="s">
        <v>195</v>
      </c>
      <c r="B85" s="210" t="s">
        <v>249</v>
      </c>
      <c r="C85" s="373">
        <v>3.1</v>
      </c>
      <c r="D85" s="373">
        <v>3.8</v>
      </c>
      <c r="F85" s="25" t="s">
        <v>195</v>
      </c>
      <c r="G85" s="373">
        <v>3.1</v>
      </c>
      <c r="H85" s="210" t="s">
        <v>249</v>
      </c>
      <c r="I85" s="373">
        <v>7.7</v>
      </c>
      <c r="K85" s="25" t="s">
        <v>195</v>
      </c>
      <c r="L85" s="210">
        <v>0</v>
      </c>
      <c r="M85" s="373">
        <v>2</v>
      </c>
      <c r="N85" s="373">
        <v>2</v>
      </c>
    </row>
    <row r="86" spans="1:14" x14ac:dyDescent="0.2">
      <c r="A86" s="25" t="s">
        <v>285</v>
      </c>
      <c r="B86" s="210" t="s">
        <v>249</v>
      </c>
      <c r="C86" s="373">
        <v>0</v>
      </c>
      <c r="D86" s="210" t="s">
        <v>249</v>
      </c>
      <c r="F86" s="25" t="s">
        <v>285</v>
      </c>
      <c r="G86" s="210" t="s">
        <v>249</v>
      </c>
      <c r="H86" s="210" t="s">
        <v>249</v>
      </c>
      <c r="I86" s="210" t="s">
        <v>249</v>
      </c>
      <c r="K86" s="25" t="s">
        <v>285</v>
      </c>
      <c r="L86" s="210" t="s">
        <v>249</v>
      </c>
      <c r="M86" s="210" t="s">
        <v>249</v>
      </c>
      <c r="N86" s="210" t="s">
        <v>249</v>
      </c>
    </row>
    <row r="87" spans="1:14" x14ac:dyDescent="0.2">
      <c r="A87" s="25" t="s">
        <v>272</v>
      </c>
      <c r="B87" s="373">
        <v>8.5500000000000007</v>
      </c>
      <c r="C87" s="210" t="s">
        <v>249</v>
      </c>
      <c r="D87" s="210" t="s">
        <v>249</v>
      </c>
      <c r="F87" s="25" t="s">
        <v>272</v>
      </c>
      <c r="G87" s="210" t="s">
        <v>249</v>
      </c>
      <c r="H87" s="210" t="s">
        <v>249</v>
      </c>
      <c r="I87" s="210" t="s">
        <v>249</v>
      </c>
      <c r="K87" s="25" t="s">
        <v>272</v>
      </c>
      <c r="L87" s="210" t="s">
        <v>249</v>
      </c>
      <c r="M87" s="210" t="s">
        <v>249</v>
      </c>
      <c r="N87" s="210" t="s">
        <v>249</v>
      </c>
    </row>
    <row r="88" spans="1:14" x14ac:dyDescent="0.2">
      <c r="A88" s="25" t="s">
        <v>286</v>
      </c>
      <c r="B88" s="210" t="s">
        <v>249</v>
      </c>
      <c r="C88" s="210" t="s">
        <v>249</v>
      </c>
      <c r="D88" s="210" t="s">
        <v>249</v>
      </c>
      <c r="F88" s="25" t="s">
        <v>286</v>
      </c>
      <c r="G88" s="210" t="s">
        <v>249</v>
      </c>
      <c r="H88" s="210" t="s">
        <v>249</v>
      </c>
      <c r="I88" s="210" t="s">
        <v>249</v>
      </c>
      <c r="K88" s="25" t="s">
        <v>286</v>
      </c>
      <c r="L88" s="210" t="s">
        <v>249</v>
      </c>
      <c r="M88" s="210" t="s">
        <v>249</v>
      </c>
      <c r="N88" s="210" t="s">
        <v>249</v>
      </c>
    </row>
    <row r="89" spans="1:14" x14ac:dyDescent="0.2">
      <c r="A89" s="25" t="s">
        <v>269</v>
      </c>
      <c r="B89" s="373">
        <v>5</v>
      </c>
      <c r="C89" s="210" t="s">
        <v>249</v>
      </c>
      <c r="D89" s="210" t="s">
        <v>249</v>
      </c>
      <c r="F89" s="25" t="s">
        <v>269</v>
      </c>
      <c r="G89" s="210" t="s">
        <v>249</v>
      </c>
      <c r="H89" s="210" t="s">
        <v>249</v>
      </c>
      <c r="I89" s="210" t="s">
        <v>249</v>
      </c>
      <c r="K89" s="25" t="s">
        <v>269</v>
      </c>
      <c r="L89" s="210" t="s">
        <v>249</v>
      </c>
      <c r="M89" s="210" t="s">
        <v>249</v>
      </c>
      <c r="N89" s="210" t="s">
        <v>249</v>
      </c>
    </row>
    <row r="90" spans="1:14" x14ac:dyDescent="0.2">
      <c r="A90" s="25" t="s">
        <v>253</v>
      </c>
      <c r="B90" s="373">
        <v>9</v>
      </c>
      <c r="C90" s="210" t="s">
        <v>249</v>
      </c>
      <c r="D90" s="373">
        <v>4</v>
      </c>
      <c r="F90" s="25" t="s">
        <v>253</v>
      </c>
      <c r="G90" s="373">
        <v>6.5</v>
      </c>
      <c r="H90" s="373">
        <v>6.5</v>
      </c>
      <c r="I90" s="210" t="s">
        <v>249</v>
      </c>
      <c r="K90" s="25" t="s">
        <v>253</v>
      </c>
      <c r="L90" s="210" t="s">
        <v>249</v>
      </c>
      <c r="M90" s="373">
        <v>4</v>
      </c>
      <c r="N90" s="373">
        <v>4</v>
      </c>
    </row>
    <row r="91" spans="1:14" x14ac:dyDescent="0.2">
      <c r="A91" s="25" t="s">
        <v>246</v>
      </c>
      <c r="B91" s="210" t="s">
        <v>249</v>
      </c>
      <c r="C91" s="373">
        <v>0</v>
      </c>
      <c r="D91" s="210" t="s">
        <v>249</v>
      </c>
      <c r="F91" s="25" t="s">
        <v>246</v>
      </c>
      <c r="G91" s="210" t="s">
        <v>249</v>
      </c>
      <c r="H91" s="210" t="s">
        <v>249</v>
      </c>
      <c r="I91" s="210" t="s">
        <v>249</v>
      </c>
      <c r="K91" s="25" t="s">
        <v>246</v>
      </c>
      <c r="L91" s="210" t="s">
        <v>249</v>
      </c>
      <c r="M91" s="210" t="s">
        <v>249</v>
      </c>
      <c r="N91" s="210" t="s">
        <v>249</v>
      </c>
    </row>
    <row r="92" spans="1:14" x14ac:dyDescent="0.2">
      <c r="A92" s="25" t="s">
        <v>303</v>
      </c>
      <c r="B92" s="210" t="s">
        <v>249</v>
      </c>
      <c r="C92" s="373">
        <v>0</v>
      </c>
      <c r="D92" s="210" t="s">
        <v>249</v>
      </c>
      <c r="F92" s="25" t="s">
        <v>303</v>
      </c>
      <c r="G92" s="210" t="s">
        <v>249</v>
      </c>
      <c r="H92" s="210" t="s">
        <v>249</v>
      </c>
      <c r="I92" s="210" t="s">
        <v>249</v>
      </c>
      <c r="K92" s="25" t="s">
        <v>303</v>
      </c>
      <c r="L92" s="210" t="s">
        <v>249</v>
      </c>
      <c r="M92" s="210" t="s">
        <v>249</v>
      </c>
      <c r="N92" s="210" t="s">
        <v>249</v>
      </c>
    </row>
    <row r="93" spans="1:14" x14ac:dyDescent="0.2">
      <c r="A93" s="25" t="s">
        <v>270</v>
      </c>
      <c r="B93" s="373">
        <v>0.25</v>
      </c>
      <c r="C93" s="210" t="s">
        <v>249</v>
      </c>
      <c r="D93" s="210" t="s">
        <v>249</v>
      </c>
      <c r="F93" s="25" t="s">
        <v>270</v>
      </c>
      <c r="G93" s="210" t="s">
        <v>249</v>
      </c>
      <c r="H93" s="210" t="s">
        <v>249</v>
      </c>
      <c r="I93" s="210" t="s">
        <v>249</v>
      </c>
      <c r="K93" s="25" t="s">
        <v>270</v>
      </c>
      <c r="L93" s="210" t="s">
        <v>249</v>
      </c>
      <c r="M93" s="210" t="s">
        <v>249</v>
      </c>
      <c r="N93" s="210" t="s">
        <v>249</v>
      </c>
    </row>
    <row r="94" spans="1:14" x14ac:dyDescent="0.2">
      <c r="A94" s="25"/>
      <c r="B94" s="210"/>
      <c r="C94" s="210"/>
      <c r="D94" s="210"/>
      <c r="F94" s="25"/>
      <c r="G94" s="210"/>
      <c r="H94" s="210"/>
      <c r="I94" s="210"/>
      <c r="K94" s="25"/>
      <c r="L94" s="210"/>
      <c r="M94" s="210"/>
      <c r="N94" s="210"/>
    </row>
    <row r="95" spans="1:14" s="75" customFormat="1" ht="38" customHeight="1" x14ac:dyDescent="0.2">
      <c r="A95" s="241" t="s">
        <v>1554</v>
      </c>
      <c r="B95" s="242" t="s">
        <v>12</v>
      </c>
      <c r="C95" s="242" t="s">
        <v>10</v>
      </c>
      <c r="D95" s="242" t="s">
        <v>11</v>
      </c>
      <c r="E95" s="2"/>
      <c r="F95" s="241" t="s">
        <v>1554</v>
      </c>
      <c r="G95" s="242" t="s">
        <v>12</v>
      </c>
      <c r="H95" s="242" t="s">
        <v>10</v>
      </c>
      <c r="I95" s="242" t="s">
        <v>11</v>
      </c>
      <c r="J95" s="2"/>
      <c r="K95" s="241" t="s">
        <v>1554</v>
      </c>
      <c r="L95" s="242" t="s">
        <v>12</v>
      </c>
      <c r="M95" s="242" t="s">
        <v>10</v>
      </c>
      <c r="N95" s="242" t="s">
        <v>11</v>
      </c>
    </row>
    <row r="96" spans="1:14" x14ac:dyDescent="0.2">
      <c r="A96" s="25" t="s">
        <v>281</v>
      </c>
      <c r="B96" s="373">
        <v>6.3</v>
      </c>
      <c r="C96" s="373">
        <v>4.2</v>
      </c>
      <c r="D96" s="376">
        <v>9.3000000000000007</v>
      </c>
      <c r="F96" s="25" t="s">
        <v>281</v>
      </c>
      <c r="G96" s="373">
        <v>6.3</v>
      </c>
      <c r="H96" s="373">
        <v>2</v>
      </c>
      <c r="I96" s="373">
        <v>4.3</v>
      </c>
      <c r="K96" s="25" t="s">
        <v>281</v>
      </c>
      <c r="L96" s="373">
        <v>4</v>
      </c>
      <c r="M96" s="373">
        <v>3</v>
      </c>
      <c r="N96" s="373">
        <v>3</v>
      </c>
    </row>
    <row r="97" spans="1:14" x14ac:dyDescent="0.2">
      <c r="A97" s="25" t="s">
        <v>282</v>
      </c>
      <c r="B97" s="210" t="s">
        <v>249</v>
      </c>
      <c r="C97" s="210" t="s">
        <v>249</v>
      </c>
      <c r="D97" s="210" t="s">
        <v>249</v>
      </c>
      <c r="F97" s="25" t="s">
        <v>282</v>
      </c>
      <c r="G97" s="210" t="s">
        <v>249</v>
      </c>
      <c r="H97" s="210" t="s">
        <v>249</v>
      </c>
      <c r="I97" s="210" t="s">
        <v>249</v>
      </c>
      <c r="K97" s="25" t="s">
        <v>282</v>
      </c>
      <c r="L97" s="210" t="s">
        <v>249</v>
      </c>
      <c r="M97" s="210" t="s">
        <v>249</v>
      </c>
      <c r="N97" s="210" t="s">
        <v>249</v>
      </c>
    </row>
    <row r="98" spans="1:14" x14ac:dyDescent="0.2">
      <c r="A98" s="25" t="s">
        <v>250</v>
      </c>
      <c r="B98" s="210" t="s">
        <v>249</v>
      </c>
      <c r="C98" s="210" t="s">
        <v>249</v>
      </c>
      <c r="D98" s="210" t="s">
        <v>249</v>
      </c>
      <c r="F98" s="25" t="s">
        <v>250</v>
      </c>
      <c r="G98" s="373">
        <v>6.3</v>
      </c>
      <c r="H98" s="373">
        <v>2</v>
      </c>
      <c r="I98" s="210" t="s">
        <v>249</v>
      </c>
      <c r="K98" s="25" t="s">
        <v>250</v>
      </c>
      <c r="L98" s="210" t="s">
        <v>249</v>
      </c>
      <c r="M98" s="373">
        <v>3</v>
      </c>
      <c r="N98" s="373">
        <v>3</v>
      </c>
    </row>
    <row r="99" spans="1:14" x14ac:dyDescent="0.2">
      <c r="A99" s="25" t="s">
        <v>247</v>
      </c>
      <c r="B99" s="373">
        <v>6.3</v>
      </c>
      <c r="C99" s="373">
        <v>4.2</v>
      </c>
      <c r="D99" s="373">
        <v>12.3</v>
      </c>
      <c r="F99" s="25" t="s">
        <v>247</v>
      </c>
      <c r="G99" s="210" t="s">
        <v>249</v>
      </c>
      <c r="H99" s="210" t="s">
        <v>249</v>
      </c>
      <c r="I99" s="373">
        <v>8</v>
      </c>
      <c r="K99" s="25" t="s">
        <v>247</v>
      </c>
      <c r="L99" s="210" t="s">
        <v>249</v>
      </c>
      <c r="M99" s="210" t="s">
        <v>249</v>
      </c>
      <c r="N99" s="210" t="s">
        <v>249</v>
      </c>
    </row>
    <row r="100" spans="1:14" x14ac:dyDescent="0.2">
      <c r="A100" s="25" t="s">
        <v>283</v>
      </c>
      <c r="B100" s="210" t="s">
        <v>249</v>
      </c>
      <c r="C100" s="210" t="s">
        <v>249</v>
      </c>
      <c r="D100" s="210" t="s">
        <v>249</v>
      </c>
      <c r="F100" s="25" t="s">
        <v>283</v>
      </c>
      <c r="G100" s="210" t="s">
        <v>249</v>
      </c>
      <c r="H100" s="210" t="s">
        <v>249</v>
      </c>
      <c r="I100" s="210" t="s">
        <v>249</v>
      </c>
      <c r="K100" s="25" t="s">
        <v>283</v>
      </c>
      <c r="L100" s="210" t="s">
        <v>249</v>
      </c>
      <c r="M100" s="210" t="s">
        <v>249</v>
      </c>
      <c r="N100" s="210" t="s">
        <v>249</v>
      </c>
    </row>
    <row r="101" spans="1:14" x14ac:dyDescent="0.2">
      <c r="A101" s="25" t="s">
        <v>252</v>
      </c>
      <c r="B101" s="373">
        <v>8.3000000000000007</v>
      </c>
      <c r="C101" s="210" t="s">
        <v>249</v>
      </c>
      <c r="D101" s="373">
        <v>12.3</v>
      </c>
      <c r="F101" s="25" t="s">
        <v>252</v>
      </c>
      <c r="G101" s="373">
        <v>9.3000000000000007</v>
      </c>
      <c r="H101" s="373">
        <v>2</v>
      </c>
      <c r="I101" s="210" t="s">
        <v>249</v>
      </c>
      <c r="K101" s="25" t="s">
        <v>252</v>
      </c>
      <c r="L101" s="210" t="s">
        <v>249</v>
      </c>
      <c r="M101" s="373">
        <v>6</v>
      </c>
      <c r="N101" s="373">
        <v>6</v>
      </c>
    </row>
    <row r="102" spans="1:14" x14ac:dyDescent="0.2">
      <c r="A102" s="25" t="s">
        <v>284</v>
      </c>
      <c r="B102" s="210" t="s">
        <v>249</v>
      </c>
      <c r="C102" s="210" t="s">
        <v>249</v>
      </c>
      <c r="D102" s="210" t="s">
        <v>249</v>
      </c>
      <c r="F102" s="25" t="s">
        <v>284</v>
      </c>
      <c r="G102" s="210" t="s">
        <v>249</v>
      </c>
      <c r="H102" s="210" t="s">
        <v>249</v>
      </c>
      <c r="I102" s="210" t="s">
        <v>249</v>
      </c>
      <c r="K102" s="25" t="s">
        <v>284</v>
      </c>
      <c r="L102" s="210" t="s">
        <v>249</v>
      </c>
      <c r="M102" s="210" t="s">
        <v>249</v>
      </c>
      <c r="N102" s="210" t="s">
        <v>249</v>
      </c>
    </row>
    <row r="103" spans="1:14" x14ac:dyDescent="0.2">
      <c r="A103" s="25" t="s">
        <v>195</v>
      </c>
      <c r="B103" s="210" t="s">
        <v>249</v>
      </c>
      <c r="C103" s="373">
        <v>2</v>
      </c>
      <c r="D103" s="373">
        <v>0</v>
      </c>
      <c r="F103" s="25" t="s">
        <v>195</v>
      </c>
      <c r="G103" s="373">
        <v>0</v>
      </c>
      <c r="H103" s="210" t="s">
        <v>249</v>
      </c>
      <c r="I103" s="373">
        <v>0</v>
      </c>
      <c r="K103" s="25" t="s">
        <v>195</v>
      </c>
      <c r="L103" s="373">
        <v>0</v>
      </c>
      <c r="M103" s="373">
        <v>0</v>
      </c>
      <c r="N103" s="373">
        <v>0</v>
      </c>
    </row>
    <row r="104" spans="1:14" x14ac:dyDescent="0.2">
      <c r="A104" s="25" t="s">
        <v>285</v>
      </c>
      <c r="B104" s="210" t="s">
        <v>249</v>
      </c>
      <c r="C104" s="373">
        <v>4.2</v>
      </c>
      <c r="D104" s="210" t="s">
        <v>249</v>
      </c>
      <c r="F104" s="25" t="s">
        <v>285</v>
      </c>
      <c r="G104" s="210" t="s">
        <v>249</v>
      </c>
      <c r="H104" s="210" t="s">
        <v>249</v>
      </c>
      <c r="I104" s="210" t="s">
        <v>249</v>
      </c>
      <c r="K104" s="25" t="s">
        <v>285</v>
      </c>
      <c r="L104" s="210" t="s">
        <v>249</v>
      </c>
      <c r="M104" s="210" t="s">
        <v>249</v>
      </c>
      <c r="N104" s="210" t="s">
        <v>249</v>
      </c>
    </row>
    <row r="105" spans="1:14" x14ac:dyDescent="0.2">
      <c r="A105" s="25" t="s">
        <v>272</v>
      </c>
      <c r="B105" s="373">
        <v>6.3</v>
      </c>
      <c r="C105" s="210" t="s">
        <v>249</v>
      </c>
      <c r="D105" s="210" t="s">
        <v>249</v>
      </c>
      <c r="F105" s="25" t="s">
        <v>272</v>
      </c>
      <c r="G105" s="210" t="s">
        <v>249</v>
      </c>
      <c r="H105" s="210" t="s">
        <v>249</v>
      </c>
      <c r="I105" s="210" t="s">
        <v>249</v>
      </c>
      <c r="K105" s="25" t="s">
        <v>272</v>
      </c>
      <c r="L105" s="210" t="s">
        <v>249</v>
      </c>
      <c r="M105" s="210" t="s">
        <v>249</v>
      </c>
      <c r="N105" s="210" t="s">
        <v>249</v>
      </c>
    </row>
    <row r="106" spans="1:14" x14ac:dyDescent="0.2">
      <c r="A106" s="25" t="s">
        <v>286</v>
      </c>
      <c r="B106" s="210" t="s">
        <v>249</v>
      </c>
      <c r="C106" s="210" t="s">
        <v>249</v>
      </c>
      <c r="D106" s="210" t="s">
        <v>249</v>
      </c>
      <c r="F106" s="25" t="s">
        <v>286</v>
      </c>
      <c r="G106" s="210" t="s">
        <v>249</v>
      </c>
      <c r="H106" s="210" t="s">
        <v>249</v>
      </c>
      <c r="I106" s="210" t="s">
        <v>249</v>
      </c>
      <c r="K106" s="25" t="s">
        <v>286</v>
      </c>
      <c r="L106" s="210" t="s">
        <v>249</v>
      </c>
      <c r="M106" s="210" t="s">
        <v>249</v>
      </c>
      <c r="N106" s="210" t="s">
        <v>249</v>
      </c>
    </row>
    <row r="107" spans="1:14" x14ac:dyDescent="0.2">
      <c r="A107" s="25" t="s">
        <v>269</v>
      </c>
      <c r="B107" s="373">
        <v>9.3000000000000007</v>
      </c>
      <c r="C107" s="210" t="s">
        <v>249</v>
      </c>
      <c r="D107" s="210" t="s">
        <v>249</v>
      </c>
      <c r="F107" s="25" t="s">
        <v>269</v>
      </c>
      <c r="G107" s="210" t="s">
        <v>249</v>
      </c>
      <c r="H107" s="210" t="s">
        <v>249</v>
      </c>
      <c r="I107" s="210" t="s">
        <v>249</v>
      </c>
      <c r="K107" s="25" t="s">
        <v>269</v>
      </c>
      <c r="L107" s="210" t="s">
        <v>249</v>
      </c>
      <c r="M107" s="210" t="s">
        <v>249</v>
      </c>
      <c r="N107" s="210" t="s">
        <v>249</v>
      </c>
    </row>
    <row r="108" spans="1:14" x14ac:dyDescent="0.2">
      <c r="A108" s="25" t="s">
        <v>253</v>
      </c>
      <c r="B108" s="373">
        <v>8.3000000000000007</v>
      </c>
      <c r="C108" s="210" t="s">
        <v>249</v>
      </c>
      <c r="D108" s="373">
        <v>12.3</v>
      </c>
      <c r="F108" s="25" t="s">
        <v>253</v>
      </c>
      <c r="G108" s="373">
        <v>11.3</v>
      </c>
      <c r="H108" s="373">
        <v>2</v>
      </c>
      <c r="I108" s="210" t="s">
        <v>249</v>
      </c>
      <c r="K108" s="25" t="s">
        <v>253</v>
      </c>
      <c r="L108" s="210" t="s">
        <v>249</v>
      </c>
      <c r="M108" s="373">
        <v>6</v>
      </c>
      <c r="N108" s="373">
        <v>6</v>
      </c>
    </row>
    <row r="109" spans="1:14" x14ac:dyDescent="0.2">
      <c r="A109" s="25" t="s">
        <v>246</v>
      </c>
      <c r="B109" s="210" t="s">
        <v>249</v>
      </c>
      <c r="C109" s="373">
        <v>8.1999999999999993</v>
      </c>
      <c r="D109" s="210" t="s">
        <v>249</v>
      </c>
      <c r="F109" s="25" t="s">
        <v>246</v>
      </c>
      <c r="G109" s="210" t="s">
        <v>249</v>
      </c>
      <c r="H109" s="210" t="s">
        <v>249</v>
      </c>
      <c r="I109" s="210" t="s">
        <v>249</v>
      </c>
      <c r="K109" s="25" t="s">
        <v>246</v>
      </c>
      <c r="L109" s="210" t="s">
        <v>249</v>
      </c>
      <c r="M109" s="210" t="s">
        <v>249</v>
      </c>
      <c r="N109" s="210" t="s">
        <v>249</v>
      </c>
    </row>
    <row r="110" spans="1:14" x14ac:dyDescent="0.2">
      <c r="A110" s="25" t="s">
        <v>303</v>
      </c>
      <c r="B110" s="210" t="s">
        <v>249</v>
      </c>
      <c r="C110" s="373">
        <v>4.2</v>
      </c>
      <c r="D110" s="210" t="s">
        <v>249</v>
      </c>
      <c r="F110" s="25" t="s">
        <v>303</v>
      </c>
      <c r="G110" s="210" t="s">
        <v>249</v>
      </c>
      <c r="H110" s="210" t="s">
        <v>249</v>
      </c>
      <c r="I110" s="210" t="s">
        <v>249</v>
      </c>
      <c r="K110" s="25" t="s">
        <v>303</v>
      </c>
      <c r="L110" s="210" t="s">
        <v>249</v>
      </c>
      <c r="M110" s="210" t="s">
        <v>249</v>
      </c>
      <c r="N110" s="210" t="s">
        <v>249</v>
      </c>
    </row>
    <row r="111" spans="1:14" x14ac:dyDescent="0.2">
      <c r="A111" s="25" t="s">
        <v>270</v>
      </c>
      <c r="B111" s="373">
        <v>6.3</v>
      </c>
      <c r="C111" s="210" t="s">
        <v>249</v>
      </c>
      <c r="D111" s="210" t="s">
        <v>249</v>
      </c>
      <c r="F111" s="25" t="s">
        <v>270</v>
      </c>
      <c r="G111" s="210" t="s">
        <v>249</v>
      </c>
      <c r="H111" s="210" t="s">
        <v>249</v>
      </c>
      <c r="I111" s="210" t="s">
        <v>249</v>
      </c>
      <c r="K111" s="25" t="s">
        <v>270</v>
      </c>
      <c r="L111" s="210" t="s">
        <v>249</v>
      </c>
      <c r="M111" s="210" t="s">
        <v>249</v>
      </c>
      <c r="N111" s="210" t="s">
        <v>249</v>
      </c>
    </row>
    <row r="112" spans="1:14" x14ac:dyDescent="0.2">
      <c r="A112" s="25"/>
      <c r="B112" s="210"/>
      <c r="C112" s="210"/>
      <c r="D112" s="210"/>
      <c r="F112" s="25"/>
      <c r="G112" s="210"/>
      <c r="H112" s="210"/>
      <c r="I112" s="210"/>
      <c r="K112" s="25"/>
      <c r="L112" s="210"/>
      <c r="M112" s="210"/>
      <c r="N112" s="210"/>
    </row>
    <row r="113" spans="1:14" s="75" customFormat="1" ht="49" customHeight="1" x14ac:dyDescent="0.2">
      <c r="A113" s="241" t="s">
        <v>224</v>
      </c>
      <c r="B113" s="242" t="s">
        <v>12</v>
      </c>
      <c r="C113" s="242" t="s">
        <v>10</v>
      </c>
      <c r="D113" s="242" t="s">
        <v>11</v>
      </c>
      <c r="E113" s="2"/>
      <c r="F113" s="241" t="s">
        <v>224</v>
      </c>
      <c r="G113" s="242" t="s">
        <v>12</v>
      </c>
      <c r="H113" s="242" t="s">
        <v>10</v>
      </c>
      <c r="I113" s="242" t="s">
        <v>11</v>
      </c>
      <c r="J113" s="2"/>
      <c r="K113" s="241" t="s">
        <v>224</v>
      </c>
      <c r="L113" s="242" t="s">
        <v>12</v>
      </c>
      <c r="M113" s="242" t="s">
        <v>10</v>
      </c>
      <c r="N113" s="242" t="s">
        <v>11</v>
      </c>
    </row>
    <row r="114" spans="1:14" x14ac:dyDescent="0.2">
      <c r="A114" s="25" t="s">
        <v>281</v>
      </c>
      <c r="B114" s="373">
        <v>6</v>
      </c>
      <c r="C114" s="373">
        <v>5</v>
      </c>
      <c r="D114" s="376">
        <v>7</v>
      </c>
      <c r="F114" s="25" t="s">
        <v>281</v>
      </c>
      <c r="G114" s="373">
        <v>4</v>
      </c>
      <c r="H114" s="373">
        <v>4</v>
      </c>
      <c r="I114" s="373">
        <v>5</v>
      </c>
      <c r="K114" s="25" t="s">
        <v>281</v>
      </c>
      <c r="L114" s="373">
        <v>4</v>
      </c>
      <c r="M114" s="373">
        <v>3</v>
      </c>
      <c r="N114" s="373">
        <v>3</v>
      </c>
    </row>
    <row r="115" spans="1:14" x14ac:dyDescent="0.2">
      <c r="A115" s="25" t="s">
        <v>282</v>
      </c>
      <c r="B115" s="210" t="s">
        <v>249</v>
      </c>
      <c r="C115" s="210" t="s">
        <v>249</v>
      </c>
      <c r="D115" s="210" t="s">
        <v>249</v>
      </c>
      <c r="F115" s="25" t="s">
        <v>282</v>
      </c>
      <c r="G115" s="210" t="s">
        <v>249</v>
      </c>
      <c r="H115" s="210" t="s">
        <v>249</v>
      </c>
      <c r="I115" s="210" t="s">
        <v>249</v>
      </c>
      <c r="K115" s="25" t="s">
        <v>282</v>
      </c>
      <c r="L115" s="210" t="s">
        <v>249</v>
      </c>
      <c r="M115" s="210" t="s">
        <v>249</v>
      </c>
      <c r="N115" s="210" t="s">
        <v>249</v>
      </c>
    </row>
    <row r="116" spans="1:14" x14ac:dyDescent="0.2">
      <c r="A116" s="25" t="s">
        <v>250</v>
      </c>
      <c r="B116" s="210" t="s">
        <v>249</v>
      </c>
      <c r="C116" s="210" t="s">
        <v>249</v>
      </c>
      <c r="D116" s="210" t="s">
        <v>249</v>
      </c>
      <c r="F116" s="25" t="s">
        <v>250</v>
      </c>
      <c r="G116" s="373">
        <v>5</v>
      </c>
      <c r="H116" s="373">
        <v>3</v>
      </c>
      <c r="I116" s="210" t="s">
        <v>249</v>
      </c>
      <c r="K116" s="25" t="s">
        <v>250</v>
      </c>
      <c r="L116" s="210" t="s">
        <v>249</v>
      </c>
      <c r="M116" s="373">
        <v>2</v>
      </c>
      <c r="N116" s="373">
        <v>2</v>
      </c>
    </row>
    <row r="117" spans="1:14" x14ac:dyDescent="0.2">
      <c r="A117" s="25" t="s">
        <v>247</v>
      </c>
      <c r="B117" s="373">
        <v>4</v>
      </c>
      <c r="C117" s="376">
        <v>5</v>
      </c>
      <c r="D117" s="373">
        <v>6</v>
      </c>
      <c r="F117" s="25" t="s">
        <v>247</v>
      </c>
      <c r="G117" s="210" t="s">
        <v>249</v>
      </c>
      <c r="H117" s="210" t="s">
        <v>249</v>
      </c>
      <c r="I117" s="373">
        <v>5</v>
      </c>
      <c r="K117" s="25" t="s">
        <v>247</v>
      </c>
      <c r="L117" s="210" t="s">
        <v>249</v>
      </c>
      <c r="M117" s="210" t="s">
        <v>249</v>
      </c>
      <c r="N117" s="210" t="s">
        <v>249</v>
      </c>
    </row>
    <row r="118" spans="1:14" x14ac:dyDescent="0.2">
      <c r="A118" s="25" t="s">
        <v>283</v>
      </c>
      <c r="B118" s="210" t="s">
        <v>249</v>
      </c>
      <c r="C118" s="210" t="s">
        <v>249</v>
      </c>
      <c r="D118" s="210" t="s">
        <v>249</v>
      </c>
      <c r="F118" s="25" t="s">
        <v>283</v>
      </c>
      <c r="G118" s="210" t="s">
        <v>249</v>
      </c>
      <c r="H118" s="210" t="s">
        <v>249</v>
      </c>
      <c r="I118" s="210" t="s">
        <v>249</v>
      </c>
      <c r="K118" s="25" t="s">
        <v>283</v>
      </c>
      <c r="L118" s="210" t="s">
        <v>249</v>
      </c>
      <c r="M118" s="210" t="s">
        <v>249</v>
      </c>
      <c r="N118" s="210" t="s">
        <v>249</v>
      </c>
    </row>
    <row r="119" spans="1:14" x14ac:dyDescent="0.2">
      <c r="A119" s="25" t="s">
        <v>252</v>
      </c>
      <c r="B119" s="373">
        <v>5</v>
      </c>
      <c r="C119" s="210" t="s">
        <v>249</v>
      </c>
      <c r="D119" s="373">
        <v>6</v>
      </c>
      <c r="F119" s="25" t="s">
        <v>252</v>
      </c>
      <c r="G119" s="373">
        <v>6</v>
      </c>
      <c r="H119" s="373">
        <v>3</v>
      </c>
      <c r="I119" s="210" t="s">
        <v>249</v>
      </c>
      <c r="K119" s="25" t="s">
        <v>252</v>
      </c>
      <c r="L119" s="210" t="s">
        <v>249</v>
      </c>
      <c r="M119" s="373">
        <v>3</v>
      </c>
      <c r="N119" s="373">
        <v>3</v>
      </c>
    </row>
    <row r="120" spans="1:14" x14ac:dyDescent="0.2">
      <c r="A120" s="25" t="s">
        <v>284</v>
      </c>
      <c r="B120" s="210" t="s">
        <v>249</v>
      </c>
      <c r="C120" s="210" t="s">
        <v>249</v>
      </c>
      <c r="D120" s="210" t="s">
        <v>249</v>
      </c>
      <c r="F120" s="25" t="s">
        <v>284</v>
      </c>
      <c r="G120" s="210" t="s">
        <v>249</v>
      </c>
      <c r="H120" s="210" t="s">
        <v>249</v>
      </c>
      <c r="I120" s="210" t="s">
        <v>249</v>
      </c>
      <c r="K120" s="25" t="s">
        <v>284</v>
      </c>
      <c r="L120" s="210" t="s">
        <v>249</v>
      </c>
      <c r="M120" s="210" t="s">
        <v>249</v>
      </c>
      <c r="N120" s="210" t="s">
        <v>249</v>
      </c>
    </row>
    <row r="121" spans="1:14" x14ac:dyDescent="0.2">
      <c r="A121" s="25" t="s">
        <v>195</v>
      </c>
      <c r="B121" s="210" t="s">
        <v>249</v>
      </c>
      <c r="C121" s="373">
        <v>3</v>
      </c>
      <c r="D121" s="373">
        <v>4</v>
      </c>
      <c r="F121" s="25" t="s">
        <v>195</v>
      </c>
      <c r="G121" s="373">
        <v>2</v>
      </c>
      <c r="H121" s="210" t="s">
        <v>249</v>
      </c>
      <c r="I121" s="373">
        <v>4</v>
      </c>
      <c r="K121" s="25" t="s">
        <v>195</v>
      </c>
      <c r="L121" s="373">
        <v>0</v>
      </c>
      <c r="M121" s="373">
        <v>2</v>
      </c>
      <c r="N121" s="373">
        <v>2</v>
      </c>
    </row>
    <row r="122" spans="1:14" x14ac:dyDescent="0.2">
      <c r="A122" s="25" t="s">
        <v>285</v>
      </c>
      <c r="B122" s="210" t="s">
        <v>249</v>
      </c>
      <c r="C122" s="373">
        <v>3</v>
      </c>
      <c r="D122" s="210" t="s">
        <v>249</v>
      </c>
      <c r="F122" s="25" t="s">
        <v>285</v>
      </c>
      <c r="G122" s="210" t="s">
        <v>249</v>
      </c>
      <c r="H122" s="210" t="s">
        <v>249</v>
      </c>
      <c r="I122" s="210" t="s">
        <v>249</v>
      </c>
      <c r="K122" s="25" t="s">
        <v>285</v>
      </c>
      <c r="L122" s="210" t="s">
        <v>249</v>
      </c>
      <c r="M122" s="210" t="s">
        <v>249</v>
      </c>
      <c r="N122" s="210" t="s">
        <v>249</v>
      </c>
    </row>
    <row r="123" spans="1:14" x14ac:dyDescent="0.2">
      <c r="A123" s="25" t="s">
        <v>272</v>
      </c>
      <c r="B123" s="373">
        <v>6</v>
      </c>
      <c r="C123" s="210" t="s">
        <v>249</v>
      </c>
      <c r="D123" s="210" t="s">
        <v>249</v>
      </c>
      <c r="F123" s="25" t="s">
        <v>272</v>
      </c>
      <c r="G123" s="210" t="s">
        <v>249</v>
      </c>
      <c r="H123" s="210" t="s">
        <v>249</v>
      </c>
      <c r="I123" s="210" t="s">
        <v>249</v>
      </c>
      <c r="K123" s="25" t="s">
        <v>272</v>
      </c>
      <c r="L123" s="210" t="s">
        <v>249</v>
      </c>
      <c r="M123" s="210" t="s">
        <v>249</v>
      </c>
      <c r="N123" s="210" t="s">
        <v>249</v>
      </c>
    </row>
    <row r="124" spans="1:14" x14ac:dyDescent="0.2">
      <c r="A124" s="25" t="s">
        <v>286</v>
      </c>
      <c r="B124" s="210" t="s">
        <v>249</v>
      </c>
      <c r="C124" s="210" t="s">
        <v>249</v>
      </c>
      <c r="D124" s="210" t="s">
        <v>249</v>
      </c>
      <c r="F124" s="25" t="s">
        <v>286</v>
      </c>
      <c r="G124" s="210" t="s">
        <v>249</v>
      </c>
      <c r="H124" s="210" t="s">
        <v>249</v>
      </c>
      <c r="I124" s="210" t="s">
        <v>249</v>
      </c>
      <c r="K124" s="25" t="s">
        <v>286</v>
      </c>
      <c r="L124" s="210" t="s">
        <v>249</v>
      </c>
      <c r="M124" s="210" t="s">
        <v>249</v>
      </c>
      <c r="N124" s="210" t="s">
        <v>249</v>
      </c>
    </row>
    <row r="125" spans="1:14" x14ac:dyDescent="0.2">
      <c r="A125" s="25" t="s">
        <v>269</v>
      </c>
      <c r="B125" s="373">
        <v>5</v>
      </c>
      <c r="C125" s="210" t="s">
        <v>249</v>
      </c>
      <c r="D125" s="210" t="s">
        <v>249</v>
      </c>
      <c r="F125" s="25" t="s">
        <v>269</v>
      </c>
      <c r="G125" s="210" t="s">
        <v>249</v>
      </c>
      <c r="H125" s="210" t="s">
        <v>249</v>
      </c>
      <c r="I125" s="210" t="s">
        <v>249</v>
      </c>
      <c r="K125" s="25" t="s">
        <v>269</v>
      </c>
      <c r="L125" s="210" t="s">
        <v>249</v>
      </c>
      <c r="M125" s="210" t="s">
        <v>249</v>
      </c>
      <c r="N125" s="210" t="s">
        <v>249</v>
      </c>
    </row>
    <row r="126" spans="1:14" x14ac:dyDescent="0.2">
      <c r="A126" s="25" t="s">
        <v>253</v>
      </c>
      <c r="B126" s="373">
        <v>5</v>
      </c>
      <c r="C126" s="210" t="s">
        <v>249</v>
      </c>
      <c r="D126" s="373">
        <v>6</v>
      </c>
      <c r="F126" s="25" t="s">
        <v>253</v>
      </c>
      <c r="G126" s="373">
        <v>5</v>
      </c>
      <c r="H126" s="373">
        <v>3</v>
      </c>
      <c r="I126" s="210" t="s">
        <v>249</v>
      </c>
      <c r="K126" s="25" t="s">
        <v>253</v>
      </c>
      <c r="L126" s="210" t="s">
        <v>249</v>
      </c>
      <c r="M126" s="373">
        <v>3</v>
      </c>
      <c r="N126" s="373">
        <v>3</v>
      </c>
    </row>
    <row r="127" spans="1:14" x14ac:dyDescent="0.2">
      <c r="A127" s="25" t="s">
        <v>246</v>
      </c>
      <c r="B127" s="210" t="s">
        <v>249</v>
      </c>
      <c r="C127" s="373">
        <v>5</v>
      </c>
      <c r="D127" s="210" t="s">
        <v>249</v>
      </c>
      <c r="F127" s="25" t="s">
        <v>246</v>
      </c>
      <c r="G127" s="210" t="s">
        <v>249</v>
      </c>
      <c r="H127" s="210" t="s">
        <v>249</v>
      </c>
      <c r="I127" s="210" t="s">
        <v>249</v>
      </c>
      <c r="K127" s="25" t="s">
        <v>246</v>
      </c>
      <c r="L127" s="210" t="s">
        <v>249</v>
      </c>
      <c r="M127" s="210" t="s">
        <v>249</v>
      </c>
      <c r="N127" s="210" t="s">
        <v>249</v>
      </c>
    </row>
    <row r="128" spans="1:14" x14ac:dyDescent="0.2">
      <c r="A128" s="25" t="s">
        <v>303</v>
      </c>
      <c r="B128" s="210" t="s">
        <v>249</v>
      </c>
      <c r="C128" s="373">
        <v>3</v>
      </c>
      <c r="D128" s="210" t="s">
        <v>249</v>
      </c>
      <c r="F128" s="25" t="s">
        <v>303</v>
      </c>
      <c r="G128" s="210" t="s">
        <v>249</v>
      </c>
      <c r="H128" s="210" t="s">
        <v>249</v>
      </c>
      <c r="I128" s="210" t="s">
        <v>249</v>
      </c>
      <c r="K128" s="25" t="s">
        <v>303</v>
      </c>
      <c r="L128" s="210" t="s">
        <v>249</v>
      </c>
      <c r="M128" s="210" t="s">
        <v>249</v>
      </c>
      <c r="N128" s="210" t="s">
        <v>249</v>
      </c>
    </row>
    <row r="129" spans="1:14" x14ac:dyDescent="0.2">
      <c r="A129" s="25" t="s">
        <v>270</v>
      </c>
      <c r="B129" s="373">
        <v>4</v>
      </c>
      <c r="C129" s="210" t="s">
        <v>249</v>
      </c>
      <c r="D129" s="210" t="s">
        <v>249</v>
      </c>
      <c r="F129" s="25" t="s">
        <v>304</v>
      </c>
      <c r="G129" s="210" t="s">
        <v>249</v>
      </c>
      <c r="H129" s="210" t="s">
        <v>249</v>
      </c>
      <c r="I129" s="210" t="s">
        <v>249</v>
      </c>
      <c r="K129" s="25" t="s">
        <v>304</v>
      </c>
      <c r="L129" s="210" t="s">
        <v>249</v>
      </c>
      <c r="M129" s="210" t="s">
        <v>249</v>
      </c>
      <c r="N129" s="210" t="s">
        <v>249</v>
      </c>
    </row>
    <row r="131" spans="1:14" s="75" customFormat="1" ht="55.5" customHeight="1" x14ac:dyDescent="0.2">
      <c r="A131" s="241" t="s">
        <v>1552</v>
      </c>
      <c r="B131" s="242" t="s">
        <v>12</v>
      </c>
      <c r="C131" s="242" t="s">
        <v>10</v>
      </c>
      <c r="D131" s="242" t="s">
        <v>11</v>
      </c>
      <c r="E131" s="2"/>
      <c r="F131" s="241" t="s">
        <v>1552</v>
      </c>
      <c r="G131" s="242" t="s">
        <v>12</v>
      </c>
      <c r="H131" s="242" t="s">
        <v>10</v>
      </c>
      <c r="I131" s="242" t="s">
        <v>11</v>
      </c>
      <c r="J131" s="2"/>
      <c r="K131" s="241" t="s">
        <v>1552</v>
      </c>
      <c r="L131" s="242" t="s">
        <v>12</v>
      </c>
      <c r="M131" s="242" t="s">
        <v>10</v>
      </c>
      <c r="N131" s="242" t="s">
        <v>11</v>
      </c>
    </row>
    <row r="132" spans="1:14" x14ac:dyDescent="0.2">
      <c r="A132" s="25" t="s">
        <v>281</v>
      </c>
      <c r="B132" s="210">
        <f>'CFT Specific Data'!P55</f>
        <v>17.876000000000001</v>
      </c>
      <c r="C132" s="210">
        <f>'CFT Specific Data'!AE55</f>
        <v>9.2639999999999993</v>
      </c>
      <c r="D132" s="210">
        <f>'CFT Specific Data'!AT55</f>
        <v>18.175999999999998</v>
      </c>
      <c r="F132" s="25" t="s">
        <v>281</v>
      </c>
      <c r="G132" s="210">
        <f>'CFT Specific Data'!U55</f>
        <v>13.135999999999999</v>
      </c>
      <c r="H132" s="210">
        <f>'CFT Specific Data'!AJ55</f>
        <v>9.84</v>
      </c>
      <c r="I132" s="210">
        <f>'CFT Specific Data'!AY55</f>
        <v>5.7560000000000002</v>
      </c>
      <c r="K132" s="25" t="s">
        <v>281</v>
      </c>
      <c r="L132" s="210">
        <f>'CFT Specific Data'!Z55</f>
        <v>6.3887999999999998</v>
      </c>
      <c r="M132" s="210">
        <f>'CFT Specific Data'!AO55</f>
        <v>2.7888000000000002</v>
      </c>
      <c r="N132" s="210">
        <f>'CFT Specific Data'!BD55</f>
        <v>2.7888000000000002</v>
      </c>
    </row>
    <row r="133" spans="1:14" x14ac:dyDescent="0.2">
      <c r="A133" s="25" t="s">
        <v>282</v>
      </c>
      <c r="B133" s="210" t="s">
        <v>249</v>
      </c>
      <c r="C133" s="210" t="s">
        <v>249</v>
      </c>
      <c r="D133" s="210" t="s">
        <v>249</v>
      </c>
      <c r="F133" s="25" t="s">
        <v>282</v>
      </c>
      <c r="G133" s="210" t="s">
        <v>249</v>
      </c>
      <c r="H133" s="210" t="s">
        <v>249</v>
      </c>
      <c r="I133" s="210" t="s">
        <v>249</v>
      </c>
      <c r="K133" s="25" t="s">
        <v>282</v>
      </c>
      <c r="L133" s="210" t="s">
        <v>249</v>
      </c>
      <c r="M133" s="210" t="s">
        <v>249</v>
      </c>
      <c r="N133" s="210" t="s">
        <v>249</v>
      </c>
    </row>
    <row r="134" spans="1:14" x14ac:dyDescent="0.2">
      <c r="A134" s="25" t="s">
        <v>250</v>
      </c>
      <c r="B134" s="210" t="s">
        <v>249</v>
      </c>
      <c r="C134" s="210" t="s">
        <v>249</v>
      </c>
      <c r="D134" s="210">
        <f>'CFT Specific Data'!BI55</f>
        <v>11.2</v>
      </c>
      <c r="F134" s="25" t="s">
        <v>250</v>
      </c>
      <c r="G134" s="210">
        <f>'CFT Specific Data'!BN55</f>
        <v>14.436</v>
      </c>
      <c r="H134" s="210">
        <f>'CFT Specific Data'!BS55</f>
        <v>9.16</v>
      </c>
      <c r="I134" s="210" t="s">
        <v>249</v>
      </c>
      <c r="K134" s="25" t="s">
        <v>250</v>
      </c>
      <c r="L134" s="210" t="s">
        <v>249</v>
      </c>
      <c r="M134" s="210">
        <f>'CFT Specific Data'!BX55</f>
        <v>2.56</v>
      </c>
      <c r="N134" s="210">
        <f>'CFT Specific Data'!CC55</f>
        <v>2.56</v>
      </c>
    </row>
    <row r="135" spans="1:14" x14ac:dyDescent="0.2">
      <c r="A135" s="25" t="s">
        <v>247</v>
      </c>
      <c r="B135" s="210" t="s">
        <v>249</v>
      </c>
      <c r="C135" s="210">
        <f>'CFT Specific Data'!CH55</f>
        <v>7.6639999999999997</v>
      </c>
      <c r="D135" s="210">
        <f>'CFT Specific Data'!CM55</f>
        <v>9.2560000000000002</v>
      </c>
      <c r="F135" s="25" t="s">
        <v>247</v>
      </c>
      <c r="G135" s="210" t="s">
        <v>249</v>
      </c>
      <c r="H135" s="210" t="s">
        <v>249</v>
      </c>
      <c r="I135" s="210">
        <f>'CFT Specific Data'!CR55</f>
        <v>6.16</v>
      </c>
      <c r="K135" s="25" t="s">
        <v>247</v>
      </c>
      <c r="L135" s="210" t="s">
        <v>249</v>
      </c>
      <c r="M135" s="210" t="s">
        <v>249</v>
      </c>
      <c r="N135" s="210" t="s">
        <v>249</v>
      </c>
    </row>
    <row r="136" spans="1:14" x14ac:dyDescent="0.2">
      <c r="A136" s="25" t="s">
        <v>283</v>
      </c>
      <c r="B136" s="210" t="s">
        <v>249</v>
      </c>
      <c r="C136" s="210" t="s">
        <v>249</v>
      </c>
      <c r="D136" s="210" t="s">
        <v>249</v>
      </c>
      <c r="F136" s="25" t="s">
        <v>283</v>
      </c>
      <c r="G136" s="210" t="s">
        <v>249</v>
      </c>
      <c r="H136" s="210" t="s">
        <v>249</v>
      </c>
      <c r="I136" s="210" t="s">
        <v>249</v>
      </c>
      <c r="K136" s="25" t="s">
        <v>283</v>
      </c>
      <c r="L136" s="210" t="s">
        <v>249</v>
      </c>
      <c r="M136" s="210" t="s">
        <v>249</v>
      </c>
      <c r="N136" s="210" t="s">
        <v>249</v>
      </c>
    </row>
    <row r="137" spans="1:14" x14ac:dyDescent="0.2">
      <c r="A137" s="25" t="s">
        <v>252</v>
      </c>
      <c r="B137" s="210">
        <f>'CFT Specific Data'!CW55</f>
        <v>10.776599999999998</v>
      </c>
      <c r="C137" s="210" t="s">
        <v>249</v>
      </c>
      <c r="D137" s="210">
        <f>'CFT Specific Data'!DB55</f>
        <v>10.989600000000001</v>
      </c>
      <c r="F137" s="25" t="s">
        <v>252</v>
      </c>
      <c r="G137" s="210">
        <f>'CFT Specific Data'!DG55</f>
        <v>9.3362999999999996</v>
      </c>
      <c r="H137" s="210">
        <f>'CFT Specific Data'!DL55</f>
        <v>6.5750000000000002</v>
      </c>
      <c r="I137" s="210" t="s">
        <v>249</v>
      </c>
      <c r="K137" s="25" t="s">
        <v>252</v>
      </c>
      <c r="L137" s="210" t="s">
        <v>249</v>
      </c>
      <c r="M137" s="210">
        <f>'CFT Specific Data'!DQ55</f>
        <v>6.4536000000000007</v>
      </c>
      <c r="N137" s="210">
        <f>'CFT Specific Data'!DV55</f>
        <v>6.4536000000000007</v>
      </c>
    </row>
    <row r="138" spans="1:14" x14ac:dyDescent="0.2">
      <c r="A138" s="25" t="s">
        <v>284</v>
      </c>
      <c r="B138" s="210" t="s">
        <v>249</v>
      </c>
      <c r="C138" s="210" t="s">
        <v>249</v>
      </c>
      <c r="D138" s="210" t="s">
        <v>249</v>
      </c>
      <c r="F138" s="25" t="s">
        <v>284</v>
      </c>
      <c r="G138" s="210" t="s">
        <v>249</v>
      </c>
      <c r="H138" s="210" t="s">
        <v>249</v>
      </c>
      <c r="I138" s="210" t="s">
        <v>249</v>
      </c>
      <c r="K138" s="25" t="s">
        <v>284</v>
      </c>
      <c r="L138" s="210" t="s">
        <v>249</v>
      </c>
      <c r="M138" s="210" t="s">
        <v>249</v>
      </c>
      <c r="N138" s="210" t="s">
        <v>249</v>
      </c>
    </row>
    <row r="139" spans="1:14" x14ac:dyDescent="0.2">
      <c r="A139" s="25" t="s">
        <v>195</v>
      </c>
      <c r="B139" s="210" t="s">
        <v>249</v>
      </c>
      <c r="C139" s="210">
        <f>'CFT Specific Data'!EA55</f>
        <v>3.78</v>
      </c>
      <c r="D139" s="210">
        <f>'CFT Specific Data'!EF55</f>
        <v>3.1</v>
      </c>
      <c r="F139" s="25" t="s">
        <v>195</v>
      </c>
      <c r="G139" s="210">
        <f>'CFT Specific Data'!EK55</f>
        <v>6.24</v>
      </c>
      <c r="H139" s="210" t="s">
        <v>249</v>
      </c>
      <c r="I139" s="210">
        <f>'CFT Specific Data'!EP55</f>
        <v>6.94</v>
      </c>
      <c r="K139" s="25" t="s">
        <v>195</v>
      </c>
      <c r="L139" s="210">
        <f>'CFT Specific Data'!EU55</f>
        <v>0</v>
      </c>
      <c r="M139" s="210">
        <f>'CFT Specific Data'!EZ55</f>
        <v>1.4</v>
      </c>
      <c r="N139" s="210">
        <f>'CFT Specific Data'!FE55</f>
        <v>1.4</v>
      </c>
    </row>
    <row r="140" spans="1:14" x14ac:dyDescent="0.2">
      <c r="A140" s="25" t="s">
        <v>285</v>
      </c>
      <c r="B140" s="210" t="s">
        <v>249</v>
      </c>
      <c r="C140" s="210" t="s">
        <v>249</v>
      </c>
      <c r="D140" s="210" t="s">
        <v>249</v>
      </c>
      <c r="F140" s="25" t="s">
        <v>285</v>
      </c>
      <c r="G140" s="210" t="s">
        <v>249</v>
      </c>
      <c r="H140" s="210" t="s">
        <v>249</v>
      </c>
      <c r="I140" s="210" t="s">
        <v>249</v>
      </c>
      <c r="K140" s="25" t="s">
        <v>285</v>
      </c>
      <c r="L140" s="210" t="s">
        <v>249</v>
      </c>
      <c r="M140" s="210" t="s">
        <v>249</v>
      </c>
      <c r="N140" s="210" t="s">
        <v>249</v>
      </c>
    </row>
    <row r="141" spans="1:14" x14ac:dyDescent="0.2">
      <c r="A141" s="25" t="s">
        <v>272</v>
      </c>
      <c r="B141" s="210">
        <f>'CFT Specific Data'!FJ55</f>
        <v>12.673500000000001</v>
      </c>
      <c r="C141" s="210" t="s">
        <v>249</v>
      </c>
      <c r="D141" s="210" t="s">
        <v>249</v>
      </c>
      <c r="F141" s="25" t="s">
        <v>272</v>
      </c>
      <c r="G141" s="210" t="s">
        <v>249</v>
      </c>
      <c r="H141" s="210" t="s">
        <v>249</v>
      </c>
      <c r="I141" s="210" t="s">
        <v>249</v>
      </c>
      <c r="K141" s="25" t="s">
        <v>272</v>
      </c>
      <c r="L141" s="210" t="s">
        <v>249</v>
      </c>
      <c r="M141" s="210" t="s">
        <v>249</v>
      </c>
      <c r="N141" s="210" t="s">
        <v>249</v>
      </c>
    </row>
    <row r="142" spans="1:14" x14ac:dyDescent="0.2">
      <c r="A142" s="25" t="s">
        <v>286</v>
      </c>
      <c r="B142" s="210" t="s">
        <v>249</v>
      </c>
      <c r="C142" s="210" t="s">
        <v>249</v>
      </c>
      <c r="D142" s="210" t="s">
        <v>249</v>
      </c>
      <c r="F142" s="25" t="s">
        <v>286</v>
      </c>
      <c r="G142" s="210" t="s">
        <v>249</v>
      </c>
      <c r="H142" s="210" t="s">
        <v>249</v>
      </c>
      <c r="I142" s="210" t="s">
        <v>249</v>
      </c>
      <c r="K142" s="25" t="s">
        <v>286</v>
      </c>
      <c r="L142" s="210" t="s">
        <v>249</v>
      </c>
      <c r="M142" s="210" t="s">
        <v>249</v>
      </c>
      <c r="N142" s="210" t="s">
        <v>249</v>
      </c>
    </row>
    <row r="143" spans="1:14" x14ac:dyDescent="0.2">
      <c r="A143" s="25" t="s">
        <v>269</v>
      </c>
      <c r="B143" s="210">
        <f>'CFT Specific Data'!FO55</f>
        <v>11.246</v>
      </c>
      <c r="C143" s="210" t="s">
        <v>249</v>
      </c>
      <c r="D143" s="210" t="s">
        <v>249</v>
      </c>
      <c r="F143" s="25" t="s">
        <v>269</v>
      </c>
      <c r="G143" s="210" t="s">
        <v>249</v>
      </c>
      <c r="H143" s="210" t="s">
        <v>249</v>
      </c>
      <c r="I143" s="210" t="s">
        <v>249</v>
      </c>
      <c r="K143" s="25" t="s">
        <v>269</v>
      </c>
      <c r="L143" s="210" t="s">
        <v>249</v>
      </c>
      <c r="M143" s="210" t="s">
        <v>249</v>
      </c>
      <c r="N143" s="210" t="s">
        <v>249</v>
      </c>
    </row>
    <row r="144" spans="1:14" x14ac:dyDescent="0.2">
      <c r="A144" s="25" t="s">
        <v>253</v>
      </c>
      <c r="B144" s="210">
        <f>'CFT Specific Data'!FT55</f>
        <v>8.3762999999999987</v>
      </c>
      <c r="C144" s="210" t="s">
        <v>249</v>
      </c>
      <c r="D144" s="210">
        <f>'CFT Specific Data'!FY55</f>
        <v>10.989600000000001</v>
      </c>
      <c r="F144" s="25" t="s">
        <v>253</v>
      </c>
      <c r="G144" s="246">
        <f>'CFT Specific Data'!GD55</f>
        <v>8.3762999999999987</v>
      </c>
      <c r="H144" s="210">
        <f>'CFT Specific Data'!GI55</f>
        <v>6.0002999999999993</v>
      </c>
      <c r="I144" s="210" t="s">
        <v>249</v>
      </c>
      <c r="K144" s="25" t="s">
        <v>253</v>
      </c>
      <c r="L144" s="210" t="s">
        <v>249</v>
      </c>
      <c r="M144" s="210">
        <f>'CFT Specific Data'!GN55</f>
        <v>6.6696</v>
      </c>
      <c r="N144" s="210">
        <f>'CFT Specific Data'!GS55</f>
        <v>6.6696</v>
      </c>
    </row>
    <row r="145" spans="1:14" x14ac:dyDescent="0.2">
      <c r="A145" s="25" t="s">
        <v>246</v>
      </c>
      <c r="B145" s="210" t="s">
        <v>249</v>
      </c>
      <c r="C145" s="210">
        <f>'CFT Specific Data'!GX55</f>
        <v>4.4640000000000004</v>
      </c>
      <c r="D145" s="210" t="s">
        <v>249</v>
      </c>
      <c r="F145" s="25" t="s">
        <v>246</v>
      </c>
      <c r="G145" s="210" t="s">
        <v>249</v>
      </c>
      <c r="H145" s="210" t="s">
        <v>249</v>
      </c>
      <c r="I145" s="210" t="s">
        <v>249</v>
      </c>
      <c r="K145" s="25" t="s">
        <v>246</v>
      </c>
      <c r="L145" s="210" t="s">
        <v>249</v>
      </c>
      <c r="M145" s="210" t="s">
        <v>249</v>
      </c>
      <c r="N145" s="210" t="s">
        <v>249</v>
      </c>
    </row>
    <row r="146" spans="1:14" x14ac:dyDescent="0.2">
      <c r="A146" s="25" t="s">
        <v>303</v>
      </c>
      <c r="B146" s="210" t="s">
        <v>249</v>
      </c>
      <c r="C146" s="210">
        <f>'CFT Specific Data'!HC55</f>
        <v>3.024</v>
      </c>
      <c r="D146" s="210" t="s">
        <v>249</v>
      </c>
      <c r="F146" s="25" t="s">
        <v>303</v>
      </c>
      <c r="G146" s="210" t="s">
        <v>249</v>
      </c>
      <c r="H146" s="210" t="s">
        <v>249</v>
      </c>
      <c r="I146" s="210" t="s">
        <v>249</v>
      </c>
      <c r="K146" s="25" t="s">
        <v>303</v>
      </c>
      <c r="L146" s="210" t="s">
        <v>249</v>
      </c>
      <c r="M146" s="210" t="s">
        <v>249</v>
      </c>
      <c r="N146" s="210" t="s">
        <v>249</v>
      </c>
    </row>
    <row r="147" spans="1:14" x14ac:dyDescent="0.2">
      <c r="A147" s="25" t="s">
        <v>270</v>
      </c>
      <c r="B147" s="210">
        <f>'CFT Specific Data'!HH55</f>
        <v>4.7859999999999996</v>
      </c>
      <c r="C147" s="210" t="s">
        <v>249</v>
      </c>
      <c r="D147" s="210" t="s">
        <v>249</v>
      </c>
      <c r="F147" s="25" t="s">
        <v>270</v>
      </c>
      <c r="G147" s="210" t="s">
        <v>249</v>
      </c>
      <c r="H147" s="210" t="s">
        <v>249</v>
      </c>
      <c r="I147" s="210" t="s">
        <v>249</v>
      </c>
      <c r="K147" s="25" t="s">
        <v>270</v>
      </c>
      <c r="L147" s="210" t="s">
        <v>249</v>
      </c>
      <c r="M147" s="210" t="s">
        <v>249</v>
      </c>
      <c r="N147" s="210" t="s">
        <v>249</v>
      </c>
    </row>
    <row r="148" spans="1:14" x14ac:dyDescent="0.2">
      <c r="F148" s="240"/>
    </row>
    <row r="149" spans="1:14" s="75" customFormat="1" ht="37.5" customHeight="1" x14ac:dyDescent="0.2">
      <c r="A149" s="241" t="s">
        <v>1553</v>
      </c>
      <c r="B149" s="242" t="s">
        <v>12</v>
      </c>
      <c r="C149" s="242" t="s">
        <v>10</v>
      </c>
      <c r="D149" s="242" t="s">
        <v>11</v>
      </c>
      <c r="F149" s="241" t="s">
        <v>1553</v>
      </c>
      <c r="G149" s="242" t="s">
        <v>12</v>
      </c>
      <c r="H149" s="242" t="s">
        <v>10</v>
      </c>
      <c r="I149" s="242" t="s">
        <v>11</v>
      </c>
      <c r="K149" s="241" t="s">
        <v>1553</v>
      </c>
      <c r="L149" s="242" t="s">
        <v>12</v>
      </c>
      <c r="M149" s="242" t="s">
        <v>10</v>
      </c>
      <c r="N149" s="242" t="s">
        <v>11</v>
      </c>
    </row>
    <row r="150" spans="1:14" x14ac:dyDescent="0.2">
      <c r="A150" s="25" t="s">
        <v>281</v>
      </c>
      <c r="B150" s="373">
        <v>220</v>
      </c>
      <c r="C150" s="373">
        <v>220</v>
      </c>
      <c r="D150" s="373">
        <v>250</v>
      </c>
      <c r="F150" s="25" t="s">
        <v>281</v>
      </c>
      <c r="G150" s="373">
        <v>240</v>
      </c>
      <c r="H150" s="373">
        <v>220</v>
      </c>
      <c r="I150" s="373">
        <v>220</v>
      </c>
      <c r="K150" s="25" t="s">
        <v>281</v>
      </c>
      <c r="L150" s="373">
        <v>220</v>
      </c>
      <c r="M150" s="373">
        <v>220</v>
      </c>
      <c r="N150" s="373">
        <v>220</v>
      </c>
    </row>
    <row r="151" spans="1:14" x14ac:dyDescent="0.2">
      <c r="A151" s="25" t="s">
        <v>282</v>
      </c>
      <c r="B151" s="210" t="s">
        <v>249</v>
      </c>
      <c r="C151" s="210" t="s">
        <v>249</v>
      </c>
      <c r="D151" s="210" t="s">
        <v>249</v>
      </c>
      <c r="F151" s="25" t="s">
        <v>282</v>
      </c>
      <c r="G151" s="210" t="s">
        <v>249</v>
      </c>
      <c r="H151" s="210" t="s">
        <v>249</v>
      </c>
      <c r="I151" s="210" t="s">
        <v>249</v>
      </c>
      <c r="K151" s="25" t="s">
        <v>282</v>
      </c>
      <c r="L151" s="210" t="s">
        <v>249</v>
      </c>
      <c r="M151" s="210" t="s">
        <v>249</v>
      </c>
      <c r="N151" s="210" t="s">
        <v>249</v>
      </c>
    </row>
    <row r="152" spans="1:14" x14ac:dyDescent="0.2">
      <c r="A152" s="25" t="s">
        <v>250</v>
      </c>
      <c r="B152" s="210" t="s">
        <v>249</v>
      </c>
      <c r="C152" s="210" t="s">
        <v>249</v>
      </c>
      <c r="D152" s="210" t="s">
        <v>249</v>
      </c>
      <c r="F152" s="25" t="s">
        <v>250</v>
      </c>
      <c r="G152" s="373">
        <v>200</v>
      </c>
      <c r="H152" s="373">
        <v>190</v>
      </c>
      <c r="I152" s="210" t="s">
        <v>249</v>
      </c>
      <c r="K152" s="25" t="s">
        <v>250</v>
      </c>
      <c r="L152" s="210" t="s">
        <v>249</v>
      </c>
      <c r="M152" s="373">
        <v>190</v>
      </c>
      <c r="N152" s="373">
        <v>190</v>
      </c>
    </row>
    <row r="153" spans="1:14" x14ac:dyDescent="0.2">
      <c r="A153" s="25" t="s">
        <v>247</v>
      </c>
      <c r="B153" s="210" t="s">
        <v>249</v>
      </c>
      <c r="C153" s="373">
        <v>110</v>
      </c>
      <c r="D153" s="373">
        <v>150</v>
      </c>
      <c r="F153" s="25" t="s">
        <v>247</v>
      </c>
      <c r="G153" s="210" t="s">
        <v>249</v>
      </c>
      <c r="H153" s="210" t="s">
        <v>249</v>
      </c>
      <c r="I153" s="373">
        <v>110</v>
      </c>
      <c r="K153" s="25" t="s">
        <v>247</v>
      </c>
      <c r="L153" s="210" t="s">
        <v>249</v>
      </c>
      <c r="M153" s="210" t="s">
        <v>249</v>
      </c>
      <c r="N153" s="210" t="s">
        <v>249</v>
      </c>
    </row>
    <row r="154" spans="1:14" x14ac:dyDescent="0.2">
      <c r="A154" s="25" t="s">
        <v>283</v>
      </c>
      <c r="B154" s="210" t="s">
        <v>249</v>
      </c>
      <c r="C154" s="210" t="s">
        <v>249</v>
      </c>
      <c r="D154" s="210" t="s">
        <v>249</v>
      </c>
      <c r="F154" s="25" t="s">
        <v>283</v>
      </c>
      <c r="G154" s="210" t="s">
        <v>249</v>
      </c>
      <c r="H154" s="210" t="s">
        <v>249</v>
      </c>
      <c r="I154" s="210" t="s">
        <v>249</v>
      </c>
      <c r="K154" s="25" t="s">
        <v>283</v>
      </c>
      <c r="L154" s="210" t="s">
        <v>249</v>
      </c>
      <c r="M154" s="210" t="s">
        <v>249</v>
      </c>
      <c r="N154" s="210" t="s">
        <v>249</v>
      </c>
    </row>
    <row r="155" spans="1:14" x14ac:dyDescent="0.2">
      <c r="A155" s="25" t="s">
        <v>252</v>
      </c>
      <c r="B155" s="373">
        <v>0</v>
      </c>
      <c r="C155" s="210" t="s">
        <v>249</v>
      </c>
      <c r="D155" s="373">
        <v>0</v>
      </c>
      <c r="F155" s="25" t="s">
        <v>252</v>
      </c>
      <c r="G155" s="373">
        <v>0</v>
      </c>
      <c r="H155" s="373">
        <v>0</v>
      </c>
      <c r="I155" s="210" t="s">
        <v>249</v>
      </c>
      <c r="K155" s="25" t="s">
        <v>252</v>
      </c>
      <c r="L155" s="210" t="s">
        <v>249</v>
      </c>
      <c r="M155" s="373">
        <v>0</v>
      </c>
      <c r="N155" s="373">
        <v>0</v>
      </c>
    </row>
    <row r="156" spans="1:14" x14ac:dyDescent="0.2">
      <c r="A156" s="25" t="s">
        <v>284</v>
      </c>
      <c r="B156" s="210" t="s">
        <v>249</v>
      </c>
      <c r="C156" s="210" t="s">
        <v>249</v>
      </c>
      <c r="D156" s="210" t="s">
        <v>249</v>
      </c>
      <c r="F156" s="25" t="s">
        <v>284</v>
      </c>
      <c r="G156" s="210" t="s">
        <v>249</v>
      </c>
      <c r="H156" s="210" t="s">
        <v>249</v>
      </c>
      <c r="I156" s="210" t="s">
        <v>249</v>
      </c>
      <c r="K156" s="25" t="s">
        <v>284</v>
      </c>
      <c r="L156" s="210" t="s">
        <v>249</v>
      </c>
      <c r="M156" s="210" t="s">
        <v>249</v>
      </c>
      <c r="N156" s="210" t="s">
        <v>249</v>
      </c>
    </row>
    <row r="157" spans="1:14" x14ac:dyDescent="0.2">
      <c r="A157" s="25" t="s">
        <v>195</v>
      </c>
      <c r="B157" s="210" t="s">
        <v>249</v>
      </c>
      <c r="C157" s="373">
        <v>180</v>
      </c>
      <c r="D157" s="373">
        <v>180</v>
      </c>
      <c r="F157" s="25" t="s">
        <v>195</v>
      </c>
      <c r="G157" s="373">
        <v>180</v>
      </c>
      <c r="H157" s="210" t="s">
        <v>249</v>
      </c>
      <c r="I157" s="373">
        <v>180</v>
      </c>
      <c r="K157" s="25" t="s">
        <v>195</v>
      </c>
      <c r="L157" s="373">
        <v>180</v>
      </c>
      <c r="M157" s="373">
        <v>180</v>
      </c>
      <c r="N157" s="373">
        <v>180</v>
      </c>
    </row>
    <row r="158" spans="1:14" x14ac:dyDescent="0.2">
      <c r="A158" s="25" t="s">
        <v>285</v>
      </c>
      <c r="B158" s="210" t="s">
        <v>249</v>
      </c>
      <c r="C158" s="373">
        <v>120</v>
      </c>
      <c r="D158" s="210" t="s">
        <v>249</v>
      </c>
      <c r="F158" s="25" t="s">
        <v>285</v>
      </c>
      <c r="G158" s="210" t="s">
        <v>249</v>
      </c>
      <c r="H158" s="210" t="s">
        <v>249</v>
      </c>
      <c r="I158" s="210" t="s">
        <v>249</v>
      </c>
      <c r="K158" s="25" t="s">
        <v>285</v>
      </c>
      <c r="L158" s="210" t="s">
        <v>249</v>
      </c>
      <c r="M158" s="210" t="s">
        <v>249</v>
      </c>
      <c r="N158" s="210" t="s">
        <v>249</v>
      </c>
    </row>
    <row r="159" spans="1:14" x14ac:dyDescent="0.2">
      <c r="A159" s="25" t="s">
        <v>272</v>
      </c>
      <c r="B159" s="373">
        <v>85</v>
      </c>
      <c r="C159" s="210" t="s">
        <v>249</v>
      </c>
      <c r="D159" s="210" t="s">
        <v>249</v>
      </c>
      <c r="F159" s="25" t="s">
        <v>272</v>
      </c>
      <c r="G159" s="210" t="s">
        <v>249</v>
      </c>
      <c r="H159" s="210" t="s">
        <v>249</v>
      </c>
      <c r="I159" s="210" t="s">
        <v>249</v>
      </c>
      <c r="K159" s="25" t="s">
        <v>272</v>
      </c>
      <c r="L159" s="210" t="s">
        <v>249</v>
      </c>
      <c r="M159" s="210" t="s">
        <v>249</v>
      </c>
      <c r="N159" s="210" t="s">
        <v>249</v>
      </c>
    </row>
    <row r="160" spans="1:14" x14ac:dyDescent="0.2">
      <c r="A160" s="25" t="s">
        <v>286</v>
      </c>
      <c r="B160" s="210" t="s">
        <v>249</v>
      </c>
      <c r="C160" s="210" t="s">
        <v>249</v>
      </c>
      <c r="D160" s="210" t="s">
        <v>249</v>
      </c>
      <c r="F160" s="25" t="s">
        <v>286</v>
      </c>
      <c r="G160" s="210" t="s">
        <v>249</v>
      </c>
      <c r="H160" s="210" t="s">
        <v>249</v>
      </c>
      <c r="I160" s="210" t="s">
        <v>249</v>
      </c>
      <c r="K160" s="25" t="s">
        <v>286</v>
      </c>
      <c r="L160" s="210" t="s">
        <v>249</v>
      </c>
      <c r="M160" s="210" t="s">
        <v>249</v>
      </c>
      <c r="N160" s="210" t="s">
        <v>249</v>
      </c>
    </row>
    <row r="161" spans="1:14" x14ac:dyDescent="0.2">
      <c r="A161" s="25" t="s">
        <v>269</v>
      </c>
      <c r="B161" s="373">
        <v>80</v>
      </c>
      <c r="C161" s="210" t="s">
        <v>249</v>
      </c>
      <c r="D161" s="210" t="s">
        <v>249</v>
      </c>
      <c r="F161" s="25" t="s">
        <v>269</v>
      </c>
      <c r="G161" s="210" t="s">
        <v>249</v>
      </c>
      <c r="H161" s="210" t="s">
        <v>249</v>
      </c>
      <c r="I161" s="210" t="s">
        <v>249</v>
      </c>
      <c r="K161" s="25" t="s">
        <v>269</v>
      </c>
      <c r="L161" s="210" t="s">
        <v>249</v>
      </c>
      <c r="M161" s="210" t="s">
        <v>249</v>
      </c>
      <c r="N161" s="210" t="s">
        <v>249</v>
      </c>
    </row>
    <row r="162" spans="1:14" x14ac:dyDescent="0.2">
      <c r="A162" s="25" t="s">
        <v>253</v>
      </c>
      <c r="B162" s="373">
        <v>0</v>
      </c>
      <c r="C162" s="210" t="s">
        <v>249</v>
      </c>
      <c r="D162" s="373">
        <v>0</v>
      </c>
      <c r="F162" s="25" t="s">
        <v>253</v>
      </c>
      <c r="G162" s="373">
        <v>0</v>
      </c>
      <c r="H162" s="373">
        <v>0</v>
      </c>
      <c r="I162" s="210" t="s">
        <v>249</v>
      </c>
      <c r="K162" s="25" t="s">
        <v>253</v>
      </c>
      <c r="L162" s="210" t="s">
        <v>249</v>
      </c>
      <c r="M162" s="373">
        <v>0</v>
      </c>
      <c r="N162" s="373">
        <v>0</v>
      </c>
    </row>
    <row r="163" spans="1:14" x14ac:dyDescent="0.2">
      <c r="A163" s="25" t="s">
        <v>246</v>
      </c>
      <c r="B163" s="210" t="s">
        <v>249</v>
      </c>
      <c r="C163" s="373">
        <v>0</v>
      </c>
      <c r="D163" s="210" t="s">
        <v>249</v>
      </c>
      <c r="F163" s="25" t="s">
        <v>246</v>
      </c>
      <c r="G163" s="210" t="s">
        <v>249</v>
      </c>
      <c r="H163" s="210" t="s">
        <v>249</v>
      </c>
      <c r="I163" s="210" t="s">
        <v>249</v>
      </c>
      <c r="K163" s="25" t="s">
        <v>246</v>
      </c>
      <c r="L163" s="210" t="s">
        <v>249</v>
      </c>
      <c r="M163" s="210" t="s">
        <v>249</v>
      </c>
      <c r="N163" s="210" t="s">
        <v>249</v>
      </c>
    </row>
    <row r="164" spans="1:14" x14ac:dyDescent="0.2">
      <c r="A164" s="25" t="s">
        <v>303</v>
      </c>
      <c r="B164" s="210" t="s">
        <v>249</v>
      </c>
      <c r="C164" s="373">
        <v>100</v>
      </c>
      <c r="D164" s="210" t="s">
        <v>249</v>
      </c>
      <c r="F164" s="25" t="s">
        <v>303</v>
      </c>
      <c r="G164" s="210" t="s">
        <v>249</v>
      </c>
      <c r="H164" s="210" t="s">
        <v>249</v>
      </c>
      <c r="I164" s="210" t="s">
        <v>249</v>
      </c>
      <c r="K164" s="25" t="s">
        <v>303</v>
      </c>
      <c r="L164" s="210" t="s">
        <v>249</v>
      </c>
      <c r="M164" s="210" t="s">
        <v>249</v>
      </c>
      <c r="N164" s="210" t="s">
        <v>249</v>
      </c>
    </row>
    <row r="165" spans="1:14" x14ac:dyDescent="0.2">
      <c r="A165" s="25" t="s">
        <v>270</v>
      </c>
      <c r="B165" s="373">
        <v>100</v>
      </c>
      <c r="C165" s="210" t="s">
        <v>249</v>
      </c>
      <c r="D165" s="210" t="s">
        <v>249</v>
      </c>
      <c r="F165" s="25" t="s">
        <v>270</v>
      </c>
      <c r="G165" s="210" t="s">
        <v>249</v>
      </c>
      <c r="H165" s="210" t="s">
        <v>249</v>
      </c>
      <c r="I165" s="210" t="s">
        <v>249</v>
      </c>
      <c r="K165" s="25" t="s">
        <v>304</v>
      </c>
      <c r="L165" s="210" t="s">
        <v>249</v>
      </c>
      <c r="M165" s="210" t="s">
        <v>249</v>
      </c>
      <c r="N165" s="210" t="s">
        <v>249</v>
      </c>
    </row>
    <row r="167" spans="1:14" s="75" customFormat="1" ht="37" customHeight="1" x14ac:dyDescent="0.2">
      <c r="A167" s="241" t="s">
        <v>1746</v>
      </c>
      <c r="B167" s="242" t="s">
        <v>12</v>
      </c>
      <c r="C167" s="242" t="s">
        <v>10</v>
      </c>
      <c r="D167" s="242" t="s">
        <v>11</v>
      </c>
      <c r="F167" s="241" t="s">
        <v>305</v>
      </c>
      <c r="G167" s="242" t="s">
        <v>12</v>
      </c>
      <c r="H167" s="242" t="s">
        <v>10</v>
      </c>
      <c r="I167" s="242" t="s">
        <v>11</v>
      </c>
      <c r="K167" s="241" t="s">
        <v>305</v>
      </c>
      <c r="L167" s="242" t="s">
        <v>12</v>
      </c>
      <c r="M167" s="242" t="s">
        <v>10</v>
      </c>
      <c r="N167" s="242" t="s">
        <v>11</v>
      </c>
    </row>
    <row r="168" spans="1:14" x14ac:dyDescent="0.2">
      <c r="A168" s="25" t="s">
        <v>281</v>
      </c>
      <c r="B168" s="210">
        <v>3</v>
      </c>
      <c r="C168" s="210">
        <v>3</v>
      </c>
      <c r="D168" s="210">
        <v>3</v>
      </c>
      <c r="F168" s="25" t="s">
        <v>281</v>
      </c>
      <c r="G168" s="210">
        <v>3</v>
      </c>
      <c r="H168" s="210">
        <v>3</v>
      </c>
      <c r="I168" s="210">
        <v>3</v>
      </c>
      <c r="K168" s="25" t="s">
        <v>281</v>
      </c>
      <c r="L168" s="210">
        <v>3</v>
      </c>
      <c r="M168" s="210">
        <v>3</v>
      </c>
      <c r="N168" s="210">
        <v>3</v>
      </c>
    </row>
    <row r="169" spans="1:14" x14ac:dyDescent="0.2">
      <c r="A169" s="25" t="s">
        <v>282</v>
      </c>
      <c r="B169" s="210" t="s">
        <v>249</v>
      </c>
      <c r="C169" s="210" t="s">
        <v>249</v>
      </c>
      <c r="D169" s="210" t="s">
        <v>249</v>
      </c>
      <c r="F169" s="25" t="s">
        <v>282</v>
      </c>
      <c r="G169" s="210" t="s">
        <v>249</v>
      </c>
      <c r="H169" s="210" t="s">
        <v>249</v>
      </c>
      <c r="I169" s="210" t="s">
        <v>249</v>
      </c>
      <c r="K169" s="25" t="s">
        <v>282</v>
      </c>
      <c r="L169" s="210" t="s">
        <v>249</v>
      </c>
      <c r="M169" s="210" t="s">
        <v>249</v>
      </c>
      <c r="N169" s="210" t="s">
        <v>249</v>
      </c>
    </row>
    <row r="170" spans="1:14" x14ac:dyDescent="0.2">
      <c r="A170" s="25" t="s">
        <v>250</v>
      </c>
      <c r="B170" s="210" t="s">
        <v>249</v>
      </c>
      <c r="C170" s="210" t="s">
        <v>249</v>
      </c>
      <c r="D170" s="210" t="s">
        <v>249</v>
      </c>
      <c r="F170" s="25" t="s">
        <v>250</v>
      </c>
      <c r="G170" s="210">
        <v>2</v>
      </c>
      <c r="H170" s="210">
        <v>3</v>
      </c>
      <c r="I170" s="210" t="s">
        <v>249</v>
      </c>
      <c r="K170" s="25" t="s">
        <v>250</v>
      </c>
      <c r="L170" s="210" t="s">
        <v>249</v>
      </c>
      <c r="M170" s="210">
        <v>3</v>
      </c>
      <c r="N170" s="210">
        <v>3</v>
      </c>
    </row>
    <row r="171" spans="1:14" x14ac:dyDescent="0.2">
      <c r="A171" s="25" t="s">
        <v>247</v>
      </c>
      <c r="B171" s="210" t="s">
        <v>249</v>
      </c>
      <c r="C171" s="210">
        <v>1</v>
      </c>
      <c r="D171" s="210">
        <v>1</v>
      </c>
      <c r="F171" s="25" t="s">
        <v>247</v>
      </c>
      <c r="G171" s="210" t="s">
        <v>249</v>
      </c>
      <c r="H171" s="210" t="s">
        <v>249</v>
      </c>
      <c r="I171" s="210">
        <v>1</v>
      </c>
      <c r="K171" s="25" t="s">
        <v>247</v>
      </c>
      <c r="L171" s="210" t="s">
        <v>249</v>
      </c>
      <c r="M171" s="210" t="s">
        <v>249</v>
      </c>
      <c r="N171" s="210" t="s">
        <v>249</v>
      </c>
    </row>
    <row r="172" spans="1:14" x14ac:dyDescent="0.2">
      <c r="A172" s="25" t="s">
        <v>283</v>
      </c>
      <c r="B172" s="210" t="s">
        <v>249</v>
      </c>
      <c r="C172" s="210" t="s">
        <v>249</v>
      </c>
      <c r="D172" s="210" t="s">
        <v>249</v>
      </c>
      <c r="F172" s="25" t="s">
        <v>283</v>
      </c>
      <c r="G172" s="210" t="s">
        <v>249</v>
      </c>
      <c r="H172" s="210" t="s">
        <v>249</v>
      </c>
      <c r="I172" s="210" t="s">
        <v>249</v>
      </c>
      <c r="K172" s="25" t="s">
        <v>283</v>
      </c>
      <c r="L172" s="210" t="s">
        <v>249</v>
      </c>
      <c r="M172" s="210" t="s">
        <v>249</v>
      </c>
      <c r="N172" s="210" t="s">
        <v>249</v>
      </c>
    </row>
    <row r="173" spans="1:14" x14ac:dyDescent="0.2">
      <c r="A173" s="25" t="s">
        <v>252</v>
      </c>
      <c r="B173" s="210">
        <v>0</v>
      </c>
      <c r="C173" s="210" t="s">
        <v>249</v>
      </c>
      <c r="D173" s="210">
        <v>0</v>
      </c>
      <c r="F173" s="25" t="s">
        <v>252</v>
      </c>
      <c r="G173" s="210">
        <v>0</v>
      </c>
      <c r="H173" s="210">
        <v>0</v>
      </c>
      <c r="I173" s="210" t="s">
        <v>249</v>
      </c>
      <c r="K173" s="25" t="s">
        <v>252</v>
      </c>
      <c r="L173" s="210" t="s">
        <v>249</v>
      </c>
      <c r="M173" s="210">
        <v>0</v>
      </c>
      <c r="N173" s="210">
        <v>0</v>
      </c>
    </row>
    <row r="174" spans="1:14" x14ac:dyDescent="0.2">
      <c r="A174" s="25" t="s">
        <v>284</v>
      </c>
      <c r="B174" s="210" t="s">
        <v>249</v>
      </c>
      <c r="C174" s="210" t="s">
        <v>249</v>
      </c>
      <c r="D174" s="210" t="s">
        <v>249</v>
      </c>
      <c r="F174" s="25" t="s">
        <v>284</v>
      </c>
      <c r="G174" s="210" t="s">
        <v>249</v>
      </c>
      <c r="H174" s="210" t="s">
        <v>249</v>
      </c>
      <c r="I174" s="210" t="s">
        <v>249</v>
      </c>
      <c r="K174" s="25" t="s">
        <v>284</v>
      </c>
      <c r="L174" s="210" t="s">
        <v>249</v>
      </c>
      <c r="M174" s="210" t="s">
        <v>249</v>
      </c>
      <c r="N174" s="210" t="s">
        <v>249</v>
      </c>
    </row>
    <row r="175" spans="1:14" x14ac:dyDescent="0.2">
      <c r="A175" s="25" t="s">
        <v>195</v>
      </c>
      <c r="B175" s="210" t="s">
        <v>249</v>
      </c>
      <c r="C175" s="210">
        <v>3</v>
      </c>
      <c r="D175" s="210">
        <v>3</v>
      </c>
      <c r="F175" s="25" t="s">
        <v>195</v>
      </c>
      <c r="G175" s="210">
        <v>3</v>
      </c>
      <c r="H175" s="210" t="s">
        <v>249</v>
      </c>
      <c r="I175" s="210">
        <v>3</v>
      </c>
      <c r="K175" s="25" t="s">
        <v>195</v>
      </c>
      <c r="L175" s="210">
        <v>3</v>
      </c>
      <c r="M175" s="210">
        <v>3</v>
      </c>
      <c r="N175" s="210">
        <v>3</v>
      </c>
    </row>
    <row r="176" spans="1:14" x14ac:dyDescent="0.2">
      <c r="A176" s="25" t="s">
        <v>285</v>
      </c>
      <c r="B176" s="210" t="s">
        <v>249</v>
      </c>
      <c r="C176" s="210" t="s">
        <v>249</v>
      </c>
      <c r="D176" s="210" t="s">
        <v>249</v>
      </c>
      <c r="F176" s="25" t="s">
        <v>285</v>
      </c>
      <c r="G176" s="210" t="s">
        <v>249</v>
      </c>
      <c r="H176" s="210" t="s">
        <v>249</v>
      </c>
      <c r="I176" s="210" t="s">
        <v>249</v>
      </c>
      <c r="K176" s="25" t="s">
        <v>285</v>
      </c>
      <c r="L176" s="210" t="s">
        <v>249</v>
      </c>
      <c r="M176" s="210" t="s">
        <v>249</v>
      </c>
      <c r="N176" s="210" t="s">
        <v>249</v>
      </c>
    </row>
    <row r="177" spans="1:14" x14ac:dyDescent="0.2">
      <c r="A177" s="25" t="s">
        <v>272</v>
      </c>
      <c r="B177" s="210">
        <v>1</v>
      </c>
      <c r="C177" s="210" t="s">
        <v>249</v>
      </c>
      <c r="D177" s="210" t="s">
        <v>249</v>
      </c>
      <c r="F177" s="25" t="s">
        <v>272</v>
      </c>
      <c r="G177" s="210" t="s">
        <v>249</v>
      </c>
      <c r="H177" s="210" t="s">
        <v>249</v>
      </c>
      <c r="I177" s="210" t="s">
        <v>249</v>
      </c>
      <c r="K177" s="25" t="s">
        <v>272</v>
      </c>
      <c r="L177" s="210" t="s">
        <v>249</v>
      </c>
      <c r="M177" s="210" t="s">
        <v>249</v>
      </c>
      <c r="N177" s="210" t="s">
        <v>249</v>
      </c>
    </row>
    <row r="178" spans="1:14" x14ac:dyDescent="0.2">
      <c r="A178" s="25" t="s">
        <v>286</v>
      </c>
      <c r="B178" s="210" t="s">
        <v>249</v>
      </c>
      <c r="C178" s="210" t="s">
        <v>249</v>
      </c>
      <c r="D178" s="210" t="s">
        <v>249</v>
      </c>
      <c r="F178" s="25" t="s">
        <v>286</v>
      </c>
      <c r="G178" s="210" t="s">
        <v>249</v>
      </c>
      <c r="H178" s="210" t="s">
        <v>249</v>
      </c>
      <c r="I178" s="210" t="s">
        <v>249</v>
      </c>
      <c r="K178" s="25" t="s">
        <v>286</v>
      </c>
      <c r="L178" s="210" t="s">
        <v>249</v>
      </c>
      <c r="M178" s="210" t="s">
        <v>249</v>
      </c>
      <c r="N178" s="210" t="s">
        <v>249</v>
      </c>
    </row>
    <row r="179" spans="1:14" x14ac:dyDescent="0.2">
      <c r="A179" s="25" t="s">
        <v>269</v>
      </c>
      <c r="B179" s="210">
        <v>1</v>
      </c>
      <c r="C179" s="210" t="s">
        <v>249</v>
      </c>
      <c r="D179" s="210" t="s">
        <v>249</v>
      </c>
      <c r="F179" s="25" t="s">
        <v>269</v>
      </c>
      <c r="G179" s="210" t="s">
        <v>249</v>
      </c>
      <c r="H179" s="210" t="s">
        <v>249</v>
      </c>
      <c r="I179" s="210" t="s">
        <v>249</v>
      </c>
      <c r="K179" s="25" t="s">
        <v>269</v>
      </c>
      <c r="L179" s="210" t="s">
        <v>249</v>
      </c>
      <c r="M179" s="210" t="s">
        <v>249</v>
      </c>
      <c r="N179" s="210" t="s">
        <v>249</v>
      </c>
    </row>
    <row r="180" spans="1:14" x14ac:dyDescent="0.2">
      <c r="A180" s="25" t="s">
        <v>253</v>
      </c>
      <c r="B180" s="210">
        <v>0</v>
      </c>
      <c r="C180" s="210" t="s">
        <v>249</v>
      </c>
      <c r="D180" s="210">
        <v>0</v>
      </c>
      <c r="F180" s="25" t="s">
        <v>253</v>
      </c>
      <c r="G180" s="210">
        <v>0</v>
      </c>
      <c r="H180" s="210">
        <v>0</v>
      </c>
      <c r="I180" s="210" t="s">
        <v>249</v>
      </c>
      <c r="K180" s="25" t="s">
        <v>253</v>
      </c>
      <c r="L180" s="210" t="s">
        <v>249</v>
      </c>
      <c r="M180" s="210">
        <v>0</v>
      </c>
      <c r="N180" s="210">
        <v>0</v>
      </c>
    </row>
    <row r="181" spans="1:14" x14ac:dyDescent="0.2">
      <c r="A181" s="25" t="s">
        <v>246</v>
      </c>
      <c r="B181" s="210" t="s">
        <v>249</v>
      </c>
      <c r="C181" s="210">
        <v>0</v>
      </c>
      <c r="D181" s="210" t="s">
        <v>249</v>
      </c>
      <c r="F181" s="25" t="s">
        <v>246</v>
      </c>
      <c r="G181" s="210" t="s">
        <v>249</v>
      </c>
      <c r="H181" s="210" t="s">
        <v>249</v>
      </c>
      <c r="I181" s="210" t="s">
        <v>249</v>
      </c>
      <c r="K181" s="25" t="s">
        <v>246</v>
      </c>
      <c r="L181" s="210" t="s">
        <v>249</v>
      </c>
      <c r="M181" s="210" t="s">
        <v>249</v>
      </c>
      <c r="N181" s="210" t="s">
        <v>249</v>
      </c>
    </row>
    <row r="182" spans="1:14" x14ac:dyDescent="0.2">
      <c r="A182" s="25" t="s">
        <v>303</v>
      </c>
      <c r="B182" s="210" t="s">
        <v>249</v>
      </c>
      <c r="C182" s="210">
        <v>2</v>
      </c>
      <c r="D182" s="210" t="s">
        <v>249</v>
      </c>
      <c r="F182" s="25" t="s">
        <v>303</v>
      </c>
      <c r="G182" s="210" t="s">
        <v>249</v>
      </c>
      <c r="H182" s="210" t="s">
        <v>249</v>
      </c>
      <c r="I182" s="210" t="s">
        <v>249</v>
      </c>
      <c r="K182" s="25" t="s">
        <v>303</v>
      </c>
      <c r="L182" s="210" t="s">
        <v>249</v>
      </c>
      <c r="M182" s="210" t="s">
        <v>249</v>
      </c>
      <c r="N182" s="210" t="s">
        <v>249</v>
      </c>
    </row>
    <row r="183" spans="1:14" x14ac:dyDescent="0.2">
      <c r="A183" s="25" t="s">
        <v>270</v>
      </c>
      <c r="B183" s="210">
        <v>1</v>
      </c>
      <c r="C183" s="210" t="s">
        <v>249</v>
      </c>
      <c r="D183" s="210" t="s">
        <v>249</v>
      </c>
      <c r="F183" s="25" t="s">
        <v>270</v>
      </c>
      <c r="G183" s="210" t="s">
        <v>249</v>
      </c>
      <c r="H183" s="210" t="s">
        <v>249</v>
      </c>
      <c r="I183" s="210" t="s">
        <v>249</v>
      </c>
      <c r="K183" s="25" t="s">
        <v>270</v>
      </c>
      <c r="L183" s="210" t="s">
        <v>249</v>
      </c>
      <c r="M183" s="210" t="s">
        <v>249</v>
      </c>
      <c r="N183" s="210" t="s">
        <v>249</v>
      </c>
    </row>
    <row r="185" spans="1:14" s="75" customFormat="1" ht="49.5" customHeight="1" x14ac:dyDescent="0.2">
      <c r="A185" s="241" t="s">
        <v>1559</v>
      </c>
      <c r="B185" s="242" t="s">
        <v>12</v>
      </c>
      <c r="C185" s="242" t="s">
        <v>10</v>
      </c>
      <c r="D185" s="242" t="s">
        <v>11</v>
      </c>
      <c r="F185" s="241" t="s">
        <v>1559</v>
      </c>
      <c r="G185" s="242" t="s">
        <v>12</v>
      </c>
      <c r="H185" s="242" t="s">
        <v>10</v>
      </c>
      <c r="I185" s="242" t="s">
        <v>11</v>
      </c>
      <c r="K185" s="241" t="s">
        <v>1559</v>
      </c>
      <c r="L185" s="242" t="s">
        <v>12</v>
      </c>
      <c r="M185" s="242" t="s">
        <v>10</v>
      </c>
      <c r="N185" s="242" t="s">
        <v>11</v>
      </c>
    </row>
    <row r="186" spans="1:14" x14ac:dyDescent="0.2">
      <c r="A186" s="226" t="s">
        <v>731</v>
      </c>
      <c r="B186" s="396" t="s">
        <v>1771</v>
      </c>
      <c r="C186" s="210" t="s">
        <v>1763</v>
      </c>
      <c r="D186" s="210" t="s">
        <v>1754</v>
      </c>
      <c r="F186" s="226" t="s">
        <v>731</v>
      </c>
      <c r="G186" s="210" t="s">
        <v>1764</v>
      </c>
      <c r="H186" s="210" t="s">
        <v>1777</v>
      </c>
      <c r="I186" s="210" t="s">
        <v>1778</v>
      </c>
      <c r="K186" s="226" t="s">
        <v>731</v>
      </c>
      <c r="L186" s="210" t="s">
        <v>1764</v>
      </c>
      <c r="M186" s="210" t="s">
        <v>306</v>
      </c>
      <c r="N186" s="210" t="s">
        <v>306</v>
      </c>
    </row>
    <row r="187" spans="1:14" x14ac:dyDescent="0.2">
      <c r="A187" s="226" t="s">
        <v>730</v>
      </c>
      <c r="B187" s="396" t="s">
        <v>1772</v>
      </c>
      <c r="C187" s="210" t="s">
        <v>1764</v>
      </c>
      <c r="D187" s="210" t="s">
        <v>1755</v>
      </c>
      <c r="F187" s="226" t="s">
        <v>730</v>
      </c>
      <c r="G187" s="210" t="s">
        <v>1780</v>
      </c>
      <c r="H187" s="210" t="s">
        <v>1777</v>
      </c>
      <c r="I187" s="210" t="s">
        <v>1779</v>
      </c>
      <c r="K187" s="226" t="s">
        <v>730</v>
      </c>
      <c r="L187" s="210" t="s">
        <v>308</v>
      </c>
      <c r="M187" s="210" t="s">
        <v>306</v>
      </c>
      <c r="N187" s="210" t="s">
        <v>306</v>
      </c>
    </row>
    <row r="188" spans="1:14" x14ac:dyDescent="0.2">
      <c r="A188" s="226" t="s">
        <v>1694</v>
      </c>
      <c r="B188" s="396" t="s">
        <v>1764</v>
      </c>
      <c r="C188" s="210" t="s">
        <v>1764</v>
      </c>
      <c r="D188" s="210" t="s">
        <v>1756</v>
      </c>
      <c r="F188" s="226" t="s">
        <v>1694</v>
      </c>
      <c r="G188" s="210" t="s">
        <v>1764</v>
      </c>
      <c r="H188" s="210" t="s">
        <v>1777</v>
      </c>
      <c r="I188" s="210" t="s">
        <v>307</v>
      </c>
      <c r="K188" s="226" t="s">
        <v>1694</v>
      </c>
      <c r="L188" s="210" t="s">
        <v>1764</v>
      </c>
      <c r="M188" s="210" t="s">
        <v>308</v>
      </c>
      <c r="N188" s="210" t="s">
        <v>308</v>
      </c>
    </row>
    <row r="189" spans="1:14" x14ac:dyDescent="0.2">
      <c r="A189" s="226" t="s">
        <v>1695</v>
      </c>
      <c r="B189" s="396" t="s">
        <v>1764</v>
      </c>
      <c r="C189" s="210" t="s">
        <v>1764</v>
      </c>
      <c r="D189" s="210" t="s">
        <v>306</v>
      </c>
      <c r="F189" s="226" t="s">
        <v>1695</v>
      </c>
      <c r="G189" s="210" t="s">
        <v>1764</v>
      </c>
      <c r="H189" s="210" t="s">
        <v>1777</v>
      </c>
      <c r="I189" s="210" t="s">
        <v>1777</v>
      </c>
      <c r="K189" s="226" t="s">
        <v>1695</v>
      </c>
      <c r="L189" s="210" t="s">
        <v>1764</v>
      </c>
      <c r="M189" s="210" t="s">
        <v>306</v>
      </c>
      <c r="N189" s="210" t="s">
        <v>306</v>
      </c>
    </row>
    <row r="190" spans="1:14" x14ac:dyDescent="0.2">
      <c r="A190" s="226" t="s">
        <v>1696</v>
      </c>
      <c r="B190" s="396" t="s">
        <v>1776</v>
      </c>
      <c r="C190" s="210" t="s">
        <v>307</v>
      </c>
      <c r="D190" s="210" t="s">
        <v>1755</v>
      </c>
      <c r="F190" s="226" t="s">
        <v>1696</v>
      </c>
      <c r="G190" s="210" t="s">
        <v>307</v>
      </c>
      <c r="H190" s="210" t="s">
        <v>1777</v>
      </c>
      <c r="I190" s="210" t="s">
        <v>1779</v>
      </c>
      <c r="K190" s="226" t="s">
        <v>1696</v>
      </c>
      <c r="L190" s="210" t="s">
        <v>308</v>
      </c>
      <c r="M190" s="210" t="s">
        <v>1777</v>
      </c>
      <c r="N190" s="210" t="s">
        <v>1777</v>
      </c>
    </row>
    <row r="191" spans="1:14" x14ac:dyDescent="0.2">
      <c r="A191" s="226" t="s">
        <v>735</v>
      </c>
      <c r="B191" s="396" t="s">
        <v>1771</v>
      </c>
      <c r="C191" s="210" t="s">
        <v>1764</v>
      </c>
      <c r="D191" s="210" t="s">
        <v>307</v>
      </c>
      <c r="F191" s="226" t="s">
        <v>735</v>
      </c>
      <c r="G191" s="210" t="s">
        <v>1781</v>
      </c>
      <c r="H191" s="210" t="s">
        <v>1777</v>
      </c>
      <c r="I191" s="210" t="s">
        <v>307</v>
      </c>
      <c r="K191" s="226" t="s">
        <v>735</v>
      </c>
      <c r="L191" s="210" t="s">
        <v>1764</v>
      </c>
      <c r="M191" s="210" t="s">
        <v>306</v>
      </c>
      <c r="N191" s="210" t="s">
        <v>306</v>
      </c>
    </row>
    <row r="193" spans="1:14" s="75" customFormat="1" ht="49" customHeight="1" x14ac:dyDescent="0.2">
      <c r="A193" s="241" t="s">
        <v>1560</v>
      </c>
      <c r="B193" s="242" t="s">
        <v>12</v>
      </c>
      <c r="C193" s="242" t="s">
        <v>10</v>
      </c>
      <c r="D193" s="242" t="s">
        <v>11</v>
      </c>
      <c r="F193" s="241" t="s">
        <v>1560</v>
      </c>
      <c r="G193" s="242" t="s">
        <v>12</v>
      </c>
      <c r="H193" s="242" t="s">
        <v>10</v>
      </c>
      <c r="I193" s="242" t="s">
        <v>11</v>
      </c>
      <c r="K193" s="241" t="s">
        <v>1560</v>
      </c>
      <c r="L193" s="242" t="s">
        <v>12</v>
      </c>
      <c r="M193" s="242" t="s">
        <v>10</v>
      </c>
      <c r="N193" s="242" t="s">
        <v>11</v>
      </c>
    </row>
    <row r="194" spans="1:14" x14ac:dyDescent="0.2">
      <c r="A194" s="226" t="s">
        <v>731</v>
      </c>
      <c r="B194" s="210" t="s">
        <v>1775</v>
      </c>
      <c r="C194" s="210" t="s">
        <v>1763</v>
      </c>
      <c r="D194" s="210" t="s">
        <v>1754</v>
      </c>
      <c r="F194" s="226" t="s">
        <v>731</v>
      </c>
      <c r="G194" s="210" t="s">
        <v>1764</v>
      </c>
      <c r="H194" s="210" t="s">
        <v>1777</v>
      </c>
      <c r="I194" s="210" t="s">
        <v>1778</v>
      </c>
      <c r="K194" s="226" t="s">
        <v>731</v>
      </c>
      <c r="L194" s="210" t="s">
        <v>1764</v>
      </c>
      <c r="M194" s="210" t="s">
        <v>306</v>
      </c>
      <c r="N194" s="210" t="s">
        <v>306</v>
      </c>
    </row>
    <row r="195" spans="1:14" x14ac:dyDescent="0.2">
      <c r="A195" s="226" t="s">
        <v>730</v>
      </c>
      <c r="B195" s="210" t="s">
        <v>1773</v>
      </c>
      <c r="C195" s="210" t="s">
        <v>1764</v>
      </c>
      <c r="D195" s="210" t="s">
        <v>1755</v>
      </c>
      <c r="F195" s="226" t="s">
        <v>730</v>
      </c>
      <c r="G195" s="210" t="s">
        <v>1780</v>
      </c>
      <c r="H195" s="210" t="s">
        <v>1777</v>
      </c>
      <c r="I195" s="210" t="s">
        <v>1779</v>
      </c>
      <c r="K195" s="226" t="s">
        <v>730</v>
      </c>
      <c r="L195" s="210" t="s">
        <v>308</v>
      </c>
      <c r="M195" s="210" t="s">
        <v>306</v>
      </c>
      <c r="N195" s="210" t="s">
        <v>306</v>
      </c>
    </row>
    <row r="196" spans="1:14" x14ac:dyDescent="0.2">
      <c r="A196" s="226" t="s">
        <v>1694</v>
      </c>
      <c r="B196" s="210" t="s">
        <v>1774</v>
      </c>
      <c r="C196" s="210" t="s">
        <v>1764</v>
      </c>
      <c r="D196" s="210" t="s">
        <v>1756</v>
      </c>
      <c r="F196" s="226" t="s">
        <v>1694</v>
      </c>
      <c r="G196" s="210" t="s">
        <v>1764</v>
      </c>
      <c r="H196" s="210" t="s">
        <v>1777</v>
      </c>
      <c r="I196" s="210" t="s">
        <v>307</v>
      </c>
      <c r="K196" s="226" t="s">
        <v>1694</v>
      </c>
      <c r="L196" s="210" t="s">
        <v>1764</v>
      </c>
      <c r="M196" s="210" t="s">
        <v>308</v>
      </c>
      <c r="N196" s="210" t="s">
        <v>308</v>
      </c>
    </row>
    <row r="197" spans="1:14" x14ac:dyDescent="0.2">
      <c r="A197" s="226" t="s">
        <v>1695</v>
      </c>
      <c r="B197" s="210" t="s">
        <v>1757</v>
      </c>
      <c r="C197" s="210" t="s">
        <v>1764</v>
      </c>
      <c r="D197" s="210" t="s">
        <v>306</v>
      </c>
      <c r="F197" s="226" t="s">
        <v>1695</v>
      </c>
      <c r="G197" s="210" t="s">
        <v>1764</v>
      </c>
      <c r="H197" s="210" t="s">
        <v>1777</v>
      </c>
      <c r="I197" s="210" t="s">
        <v>1777</v>
      </c>
      <c r="K197" s="226" t="s">
        <v>1695</v>
      </c>
      <c r="L197" s="210" t="s">
        <v>1764</v>
      </c>
      <c r="M197" s="210" t="s">
        <v>306</v>
      </c>
      <c r="N197" s="210" t="s">
        <v>306</v>
      </c>
    </row>
    <row r="198" spans="1:14" x14ac:dyDescent="0.2">
      <c r="A198" s="226" t="s">
        <v>1696</v>
      </c>
      <c r="B198" s="210" t="s">
        <v>1774</v>
      </c>
      <c r="C198" s="210" t="s">
        <v>307</v>
      </c>
      <c r="D198" s="210" t="s">
        <v>1755</v>
      </c>
      <c r="F198" s="226" t="s">
        <v>1696</v>
      </c>
      <c r="G198" s="210" t="s">
        <v>307</v>
      </c>
      <c r="H198" s="210" t="s">
        <v>1777</v>
      </c>
      <c r="I198" s="210" t="s">
        <v>1779</v>
      </c>
      <c r="K198" s="226" t="s">
        <v>1696</v>
      </c>
      <c r="L198" s="210" t="s">
        <v>308</v>
      </c>
      <c r="M198" s="210" t="s">
        <v>1777</v>
      </c>
      <c r="N198" s="210" t="s">
        <v>1777</v>
      </c>
    </row>
    <row r="199" spans="1:14" x14ac:dyDescent="0.2">
      <c r="A199" s="226" t="s">
        <v>735</v>
      </c>
      <c r="B199" s="210" t="s">
        <v>1758</v>
      </c>
      <c r="C199" s="210" t="s">
        <v>1764</v>
      </c>
      <c r="D199" s="210" t="s">
        <v>307</v>
      </c>
      <c r="F199" s="226" t="s">
        <v>735</v>
      </c>
      <c r="G199" s="210" t="s">
        <v>1781</v>
      </c>
      <c r="H199" s="210" t="s">
        <v>1777</v>
      </c>
      <c r="I199" s="210" t="s">
        <v>307</v>
      </c>
      <c r="K199" s="226" t="s">
        <v>735</v>
      </c>
      <c r="L199" s="210" t="s">
        <v>1764</v>
      </c>
      <c r="M199" s="210" t="s">
        <v>306</v>
      </c>
      <c r="N199" s="210" t="s">
        <v>306</v>
      </c>
    </row>
    <row r="201" spans="1:14" x14ac:dyDescent="0.2">
      <c r="B201" s="414" t="s">
        <v>1759</v>
      </c>
      <c r="C201" s="414"/>
      <c r="D201" s="414"/>
    </row>
  </sheetData>
  <mergeCells count="4">
    <mergeCell ref="B5:D5"/>
    <mergeCell ref="G5:I5"/>
    <mergeCell ref="L5:N5"/>
    <mergeCell ref="B201:D201"/>
  </mergeCells>
  <phoneticPr fontId="8" type="noConversion"/>
  <hyperlinks>
    <hyperlink ref="A1" location="'Focus Strategies Data All'!A23" display="seed rate" xr:uid="{93981E1D-1D7C-4F29-8AF3-BE16448848B9}"/>
    <hyperlink ref="B1" location="'Focus Strategies Data All'!A39" display="drill month" xr:uid="{41DE2B64-4AD5-4B48-AA5D-27E42BFE26F3}"/>
    <hyperlink ref="A2" location="'Focus Strategies Data All'!A55" display="tillage intensity" xr:uid="{F5522F21-34AB-4540-B4A3-2BD197FF33C0}"/>
    <hyperlink ref="B2" location="'Focus Strategies Data All'!A175" display="till ops (heavy soil)" xr:uid="{C5FA1111-CCCD-45BE-9557-57248A15C30B}"/>
    <hyperlink ref="C2" location="'Focus Strategies Data All'!A183" display="till ops (light soil)" xr:uid="{398F8DA8-865F-42DF-B48C-223DD0643AD7}"/>
    <hyperlink ref="C1" location="'Focus Strategies Data All'!A139" display="N fert rate" xr:uid="{1F874D7B-ACBF-4E30-BDFC-A71B2EE3869E}"/>
    <hyperlink ref="D1" location="'Focus Strategies Data All'!A157" display="# N fert spray ops" xr:uid="{860A880F-F646-41E0-BDCB-6A8FF85D895D}"/>
    <hyperlink ref="D2" location="'Focus Strategies Data All'!P7" display="delsow" xr:uid="{56E75425-519F-44CD-8274-7D163CE3BF0A}"/>
    <hyperlink ref="A3" location="'Focus Strategies Data All'!A71" display="BG herb dose" xr:uid="{6A5DCD59-5BE0-42CA-B493-9693023E68D8}"/>
    <hyperlink ref="B3" location="'Focus Strategies Data All'!A87" display="glyphosate dose" xr:uid="{6888667E-139B-447E-A916-BA67BFE21ACE}"/>
    <hyperlink ref="C3" location="'Focus Strategies Data All'!A103" display="# spray ops" xr:uid="{AA9C6DF0-BE74-409A-9739-A5E4AC412932}"/>
    <hyperlink ref="D3" location="'Focus Strategies Data All'!A121" display="# spray ops CFT" xr:uid="{50388A9E-4CDF-487A-9FE2-3ACCA299C0B7}"/>
  </hyperlinks>
  <pageMargins left="0.7" right="0.7" top="0.75" bottom="0.75" header="0.3" footer="0.3"/>
  <pageSetup paperSize="9" orientation="portrait" r:id="rId1"/>
  <ignoredErrors>
    <ignoredError sqref="A14:A15 A8:A13 A16:A21 F8:F13 F16:F21 K8:K13 K16:K21 A186:A191 A194:A199 F186:F191 F194:F199 K186:K199" numberStoredAsText="1"/>
  </ignoredErrors>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BEDBA-9F51-4088-B9DA-15103209044E}">
  <dimension ref="C2:P19"/>
  <sheetViews>
    <sheetView workbookViewId="0">
      <selection activeCell="E4" sqref="E4"/>
    </sheetView>
  </sheetViews>
  <sheetFormatPr baseColWidth="10" defaultColWidth="8.83203125" defaultRowHeight="15" x14ac:dyDescent="0.2"/>
  <cols>
    <col min="3" max="3" width="18" customWidth="1"/>
  </cols>
  <sheetData>
    <row r="2" spans="3:16" x14ac:dyDescent="0.2">
      <c r="C2" s="415" t="s">
        <v>274</v>
      </c>
      <c r="D2" s="415"/>
      <c r="E2" s="415"/>
      <c r="F2" s="415"/>
      <c r="H2" s="415" t="s">
        <v>275</v>
      </c>
      <c r="I2" s="415"/>
      <c r="J2" s="415"/>
      <c r="K2" s="415"/>
      <c r="M2" s="415" t="s">
        <v>276</v>
      </c>
      <c r="N2" s="415"/>
      <c r="O2" s="415"/>
      <c r="P2" s="415"/>
    </row>
    <row r="3" spans="3:16" x14ac:dyDescent="0.2">
      <c r="C3" s="211" t="s">
        <v>224</v>
      </c>
      <c r="D3" s="231" t="s">
        <v>12</v>
      </c>
      <c r="E3" s="231" t="s">
        <v>10</v>
      </c>
      <c r="F3" s="231" t="s">
        <v>11</v>
      </c>
      <c r="G3" s="1"/>
      <c r="H3" s="211" t="s">
        <v>224</v>
      </c>
      <c r="I3" s="231" t="s">
        <v>12</v>
      </c>
      <c r="J3" s="231" t="s">
        <v>10</v>
      </c>
      <c r="K3" s="231" t="s">
        <v>11</v>
      </c>
      <c r="L3" s="1"/>
      <c r="M3" s="211" t="s">
        <v>224</v>
      </c>
      <c r="N3" s="231" t="s">
        <v>12</v>
      </c>
      <c r="O3" s="231" t="s">
        <v>10</v>
      </c>
      <c r="P3" s="231" t="s">
        <v>11</v>
      </c>
    </row>
    <row r="4" spans="3:16" x14ac:dyDescent="0.2">
      <c r="C4" s="25" t="str">
        <f>'Focus Strategies Data All'!A114</f>
        <v>winterwheat</v>
      </c>
      <c r="D4" s="210">
        <f>'Focus Strategies Data All'!B114</f>
        <v>6</v>
      </c>
      <c r="E4" s="210">
        <f>'Focus Strategies Data All'!C114</f>
        <v>5</v>
      </c>
      <c r="F4" s="210">
        <f>'Focus Strategies Data All'!D114</f>
        <v>7</v>
      </c>
      <c r="H4" s="25" t="str">
        <f>'Focus Strategies Data All'!F114</f>
        <v>winterwheat</v>
      </c>
      <c r="I4" s="210">
        <f>'Focus Strategies Data All'!G114</f>
        <v>4</v>
      </c>
      <c r="J4" s="210">
        <f>'Focus Strategies Data All'!H114</f>
        <v>4</v>
      </c>
      <c r="K4" s="210">
        <f>'Focus Strategies Data All'!I114</f>
        <v>5</v>
      </c>
      <c r="M4" s="25" t="str">
        <f>'Focus Strategies Data All'!K114</f>
        <v>winterwheat</v>
      </c>
      <c r="N4" s="210">
        <f>'Focus Strategies Data All'!L114</f>
        <v>4</v>
      </c>
      <c r="O4" s="210">
        <f>'Focus Strategies Data All'!M114</f>
        <v>3</v>
      </c>
      <c r="P4" s="210">
        <f>'Focus Strategies Data All'!N114</f>
        <v>3</v>
      </c>
    </row>
    <row r="5" spans="3:16" x14ac:dyDescent="0.2">
      <c r="C5" s="25" t="str">
        <f>'Focus Strategies Data All'!A115</f>
        <v>springwheat</v>
      </c>
      <c r="D5" s="210" t="str">
        <f>'Focus Strategies Data All'!B115</f>
        <v>NA</v>
      </c>
      <c r="E5" s="210" t="str">
        <f>'Focus Strategies Data All'!C115</f>
        <v>NA</v>
      </c>
      <c r="F5" s="210" t="str">
        <f>'Focus Strategies Data All'!D115</f>
        <v>NA</v>
      </c>
      <c r="H5" s="25" t="str">
        <f>'Focus Strategies Data All'!F115</f>
        <v>springwheat</v>
      </c>
      <c r="I5" s="210" t="str">
        <f>'Focus Strategies Data All'!G115</f>
        <v>NA</v>
      </c>
      <c r="J5" s="210" t="str">
        <f>'Focus Strategies Data All'!H115</f>
        <v>NA</v>
      </c>
      <c r="K5" s="210" t="str">
        <f>'Focus Strategies Data All'!I115</f>
        <v>NA</v>
      </c>
      <c r="M5" s="25" t="str">
        <f>'Focus Strategies Data All'!K115</f>
        <v>springwheat</v>
      </c>
      <c r="N5" s="210" t="str">
        <f>'Focus Strategies Data All'!L115</f>
        <v>NA</v>
      </c>
      <c r="O5" s="210" t="str">
        <f>'Focus Strategies Data All'!M115</f>
        <v>NA</v>
      </c>
      <c r="P5" s="210" t="str">
        <f>'Focus Strategies Data All'!N115</f>
        <v>NA</v>
      </c>
    </row>
    <row r="6" spans="3:16" x14ac:dyDescent="0.2">
      <c r="C6" s="25" t="str">
        <f>'Focus Strategies Data All'!A116</f>
        <v>winterbarley</v>
      </c>
      <c r="D6" s="210" t="str">
        <f>'Focus Strategies Data All'!B116</f>
        <v>NA</v>
      </c>
      <c r="E6" s="210" t="str">
        <f>'Focus Strategies Data All'!C116</f>
        <v>NA</v>
      </c>
      <c r="F6" s="210" t="str">
        <f>'Focus Strategies Data All'!D116</f>
        <v>NA</v>
      </c>
      <c r="H6" s="25" t="str">
        <f>'Focus Strategies Data All'!F116</f>
        <v>winterbarley</v>
      </c>
      <c r="I6" s="210">
        <f>'Focus Strategies Data All'!G116</f>
        <v>5</v>
      </c>
      <c r="J6" s="210">
        <f>'Focus Strategies Data All'!H116</f>
        <v>3</v>
      </c>
      <c r="K6" s="210" t="str">
        <f>'Focus Strategies Data All'!I116</f>
        <v>NA</v>
      </c>
      <c r="M6" s="25" t="str">
        <f>'Focus Strategies Data All'!K116</f>
        <v>winterbarley</v>
      </c>
      <c r="N6" s="210" t="str">
        <f>'Focus Strategies Data All'!L116</f>
        <v>NA</v>
      </c>
      <c r="O6" s="210">
        <f>'Focus Strategies Data All'!M116</f>
        <v>2</v>
      </c>
      <c r="P6" s="210">
        <f>'Focus Strategies Data All'!N116</f>
        <v>2</v>
      </c>
    </row>
    <row r="7" spans="3:16" x14ac:dyDescent="0.2">
      <c r="C7" s="25" t="str">
        <f>'Focus Strategies Data All'!A117</f>
        <v>springbarley</v>
      </c>
      <c r="D7" s="210">
        <f>'Focus Strategies Data All'!B117</f>
        <v>4</v>
      </c>
      <c r="E7" s="210">
        <f>'Focus Strategies Data All'!C117</f>
        <v>5</v>
      </c>
      <c r="F7" s="210">
        <f>'Focus Strategies Data All'!D117</f>
        <v>6</v>
      </c>
      <c r="H7" s="25" t="str">
        <f>'Focus Strategies Data All'!F117</f>
        <v>springbarley</v>
      </c>
      <c r="I7" s="210" t="str">
        <f>'Focus Strategies Data All'!G117</f>
        <v>NA</v>
      </c>
      <c r="J7" s="210" t="str">
        <f>'Focus Strategies Data All'!H117</f>
        <v>NA</v>
      </c>
      <c r="K7" s="210">
        <f>'Focus Strategies Data All'!I117</f>
        <v>5</v>
      </c>
      <c r="M7" s="25" t="str">
        <f>'Focus Strategies Data All'!K117</f>
        <v>springbarley</v>
      </c>
      <c r="N7" s="210" t="str">
        <f>'Focus Strategies Data All'!L117</f>
        <v>NA</v>
      </c>
      <c r="O7" s="210" t="str">
        <f>'Focus Strategies Data All'!M117</f>
        <v>NA</v>
      </c>
      <c r="P7" s="210" t="str">
        <f>'Focus Strategies Data All'!N117</f>
        <v>NA</v>
      </c>
    </row>
    <row r="8" spans="3:16" x14ac:dyDescent="0.2">
      <c r="C8" s="25" t="str">
        <f>'Focus Strategies Data All'!A118</f>
        <v>winterbeans</v>
      </c>
      <c r="D8" s="210" t="str">
        <f>'Focus Strategies Data All'!B118</f>
        <v>NA</v>
      </c>
      <c r="E8" s="210" t="str">
        <f>'Focus Strategies Data All'!C118</f>
        <v>NA</v>
      </c>
      <c r="F8" s="210" t="str">
        <f>'Focus Strategies Data All'!D118</f>
        <v>NA</v>
      </c>
      <c r="H8" s="25" t="str">
        <f>'Focus Strategies Data All'!F118</f>
        <v>winterbeans</v>
      </c>
      <c r="I8" s="210" t="str">
        <f>'Focus Strategies Data All'!G118</f>
        <v>NA</v>
      </c>
      <c r="J8" s="210" t="str">
        <f>'Focus Strategies Data All'!H118</f>
        <v>NA</v>
      </c>
      <c r="K8" s="210" t="str">
        <f>'Focus Strategies Data All'!I118</f>
        <v>NA</v>
      </c>
      <c r="M8" s="25" t="str">
        <f>'Focus Strategies Data All'!K118</f>
        <v>winterbeans</v>
      </c>
      <c r="N8" s="210" t="str">
        <f>'Focus Strategies Data All'!L118</f>
        <v>NA</v>
      </c>
      <c r="O8" s="210" t="str">
        <f>'Focus Strategies Data All'!M118</f>
        <v>NA</v>
      </c>
      <c r="P8" s="210" t="str">
        <f>'Focus Strategies Data All'!N118</f>
        <v>NA</v>
      </c>
    </row>
    <row r="9" spans="3:16" x14ac:dyDescent="0.2">
      <c r="C9" s="25" t="str">
        <f>'Focus Strategies Data All'!A119</f>
        <v>springbeans</v>
      </c>
      <c r="D9" s="210">
        <f>'Focus Strategies Data All'!B119</f>
        <v>5</v>
      </c>
      <c r="E9" s="210" t="str">
        <f>'Focus Strategies Data All'!C119</f>
        <v>NA</v>
      </c>
      <c r="F9" s="210">
        <f>'Focus Strategies Data All'!D119</f>
        <v>6</v>
      </c>
      <c r="H9" s="25" t="str">
        <f>'Focus Strategies Data All'!F119</f>
        <v>springbeans</v>
      </c>
      <c r="I9" s="210">
        <f>'Focus Strategies Data All'!G119</f>
        <v>6</v>
      </c>
      <c r="J9" s="210">
        <f>'Focus Strategies Data All'!H119</f>
        <v>3</v>
      </c>
      <c r="K9" s="210" t="str">
        <f>'Focus Strategies Data All'!I119</f>
        <v>NA</v>
      </c>
      <c r="M9" s="25" t="str">
        <f>'Focus Strategies Data All'!K119</f>
        <v>springbeans</v>
      </c>
      <c r="N9" s="210" t="str">
        <f>'Focus Strategies Data All'!L119</f>
        <v>NA</v>
      </c>
      <c r="O9" s="210">
        <f>'Focus Strategies Data All'!M119</f>
        <v>3</v>
      </c>
      <c r="P9" s="210">
        <f>'Focus Strategies Data All'!N119</f>
        <v>3</v>
      </c>
    </row>
    <row r="10" spans="3:16" x14ac:dyDescent="0.2">
      <c r="C10" s="25" t="str">
        <f>'Focus Strategies Data All'!A120</f>
        <v>warepotatoes</v>
      </c>
      <c r="D10" s="210" t="str">
        <f>'Focus Strategies Data All'!B120</f>
        <v>NA</v>
      </c>
      <c r="E10" s="210" t="str">
        <f>'Focus Strategies Data All'!C120</f>
        <v>NA</v>
      </c>
      <c r="F10" s="210" t="str">
        <f>'Focus Strategies Data All'!D120</f>
        <v>NA</v>
      </c>
      <c r="H10" s="25" t="str">
        <f>'Focus Strategies Data All'!F120</f>
        <v>warepotatoes</v>
      </c>
      <c r="I10" s="210" t="str">
        <f>'Focus Strategies Data All'!G120</f>
        <v>NA</v>
      </c>
      <c r="J10" s="210" t="str">
        <f>'Focus Strategies Data All'!H120</f>
        <v>NA</v>
      </c>
      <c r="K10" s="210" t="str">
        <f>'Focus Strategies Data All'!I120</f>
        <v>NA</v>
      </c>
      <c r="M10" s="25" t="str">
        <f>'Focus Strategies Data All'!K120</f>
        <v>warepotatoes</v>
      </c>
      <c r="N10" s="210" t="str">
        <f>'Focus Strategies Data All'!L120</f>
        <v>NA</v>
      </c>
      <c r="O10" s="210" t="str">
        <f>'Focus Strategies Data All'!M120</f>
        <v>NA</v>
      </c>
      <c r="P10" s="210" t="str">
        <f>'Focus Strategies Data All'!N120</f>
        <v>NA</v>
      </c>
    </row>
    <row r="11" spans="3:16" x14ac:dyDescent="0.2">
      <c r="C11" s="25" t="str">
        <f>'Focus Strategies Data All'!A121</f>
        <v>wosr</v>
      </c>
      <c r="D11" s="210" t="str">
        <f>'Focus Strategies Data All'!B121</f>
        <v>NA</v>
      </c>
      <c r="E11" s="210">
        <f>'Focus Strategies Data All'!C121</f>
        <v>3</v>
      </c>
      <c r="F11" s="210">
        <f>'Focus Strategies Data All'!D121</f>
        <v>4</v>
      </c>
      <c r="H11" s="25" t="str">
        <f>'Focus Strategies Data All'!F121</f>
        <v>wosr</v>
      </c>
      <c r="I11" s="210">
        <f>'Focus Strategies Data All'!G121</f>
        <v>2</v>
      </c>
      <c r="J11" s="210" t="str">
        <f>'Focus Strategies Data All'!H121</f>
        <v>NA</v>
      </c>
      <c r="K11" s="210">
        <f>'Focus Strategies Data All'!I121</f>
        <v>4</v>
      </c>
      <c r="M11" s="25" t="str">
        <f>'Focus Strategies Data All'!K121</f>
        <v>wosr</v>
      </c>
      <c r="N11" s="210">
        <f>'Focus Strategies Data All'!L121</f>
        <v>0</v>
      </c>
      <c r="O11" s="210">
        <f>'Focus Strategies Data All'!M121</f>
        <v>2</v>
      </c>
      <c r="P11" s="210">
        <f>'Focus Strategies Data All'!N121</f>
        <v>2</v>
      </c>
    </row>
    <row r="12" spans="3:16" x14ac:dyDescent="0.2">
      <c r="C12" s="25" t="str">
        <f>'Focus Strategies Data All'!A122</f>
        <v>sosr</v>
      </c>
      <c r="D12" s="210" t="str">
        <f>'Focus Strategies Data All'!B122</f>
        <v>NA</v>
      </c>
      <c r="E12" s="210">
        <f>'Focus Strategies Data All'!C122</f>
        <v>3</v>
      </c>
      <c r="F12" s="210" t="str">
        <f>'Focus Strategies Data All'!D122</f>
        <v>NA</v>
      </c>
      <c r="H12" s="25" t="str">
        <f>'Focus Strategies Data All'!F122</f>
        <v>sosr</v>
      </c>
      <c r="I12" s="210" t="str">
        <f>'Focus Strategies Data All'!G122</f>
        <v>NA</v>
      </c>
      <c r="J12" s="210" t="str">
        <f>'Focus Strategies Data All'!H122</f>
        <v>NA</v>
      </c>
      <c r="K12" s="210" t="str">
        <f>'Focus Strategies Data All'!I122</f>
        <v>NA</v>
      </c>
      <c r="M12" s="25" t="str">
        <f>'Focus Strategies Data All'!K122</f>
        <v>sosr</v>
      </c>
      <c r="N12" s="210" t="str">
        <f>'Focus Strategies Data All'!L122</f>
        <v>NA</v>
      </c>
      <c r="O12" s="210" t="str">
        <f>'Focus Strategies Data All'!M122</f>
        <v>NA</v>
      </c>
      <c r="P12" s="210" t="str">
        <f>'Focus Strategies Data All'!N122</f>
        <v>NA</v>
      </c>
    </row>
    <row r="13" spans="3:16" x14ac:dyDescent="0.2">
      <c r="C13" s="25" t="str">
        <f>'Focus Strategies Data All'!A123</f>
        <v>sugarbeet</v>
      </c>
      <c r="D13" s="210">
        <f>'Focus Strategies Data All'!B123</f>
        <v>6</v>
      </c>
      <c r="E13" s="210" t="str">
        <f>'Focus Strategies Data All'!C123</f>
        <v>NA</v>
      </c>
      <c r="F13" s="210" t="str">
        <f>'Focus Strategies Data All'!D123</f>
        <v>NA</v>
      </c>
      <c r="H13" s="25" t="str">
        <f>'Focus Strategies Data All'!F123</f>
        <v>sugarbeet</v>
      </c>
      <c r="I13" s="210" t="str">
        <f>'Focus Strategies Data All'!G123</f>
        <v>NA</v>
      </c>
      <c r="J13" s="210" t="str">
        <f>'Focus Strategies Data All'!H123</f>
        <v>NA</v>
      </c>
      <c r="K13" s="210" t="str">
        <f>'Focus Strategies Data All'!I123</f>
        <v>NA</v>
      </c>
      <c r="M13" s="25" t="str">
        <f>'Focus Strategies Data All'!K123</f>
        <v>sugarbeet</v>
      </c>
      <c r="N13" s="210" t="str">
        <f>'Focus Strategies Data All'!L123</f>
        <v>NA</v>
      </c>
      <c r="O13" s="210" t="str">
        <f>'Focus Strategies Data All'!M123</f>
        <v>NA</v>
      </c>
      <c r="P13" s="210" t="str">
        <f>'Focus Strategies Data All'!N123</f>
        <v>NA</v>
      </c>
    </row>
    <row r="14" spans="3:16" x14ac:dyDescent="0.2">
      <c r="C14" s="25" t="str">
        <f>'Focus Strategies Data All'!A124</f>
        <v>winterlinseed</v>
      </c>
      <c r="D14" s="210" t="str">
        <f>'Focus Strategies Data All'!B124</f>
        <v>NA</v>
      </c>
      <c r="E14" s="210" t="str">
        <f>'Focus Strategies Data All'!C124</f>
        <v>NA</v>
      </c>
      <c r="F14" s="210" t="str">
        <f>'Focus Strategies Data All'!D124</f>
        <v>NA</v>
      </c>
      <c r="H14" s="25" t="str">
        <f>'Focus Strategies Data All'!F124</f>
        <v>winterlinseed</v>
      </c>
      <c r="I14" s="210" t="str">
        <f>'Focus Strategies Data All'!G124</f>
        <v>NA</v>
      </c>
      <c r="J14" s="210" t="str">
        <f>'Focus Strategies Data All'!H124</f>
        <v>NA</v>
      </c>
      <c r="K14" s="210" t="str">
        <f>'Focus Strategies Data All'!I124</f>
        <v>NA</v>
      </c>
      <c r="M14" s="25" t="str">
        <f>'Focus Strategies Data All'!K124</f>
        <v>winterlinseed</v>
      </c>
      <c r="N14" s="210" t="str">
        <f>'Focus Strategies Data All'!L124</f>
        <v>NA</v>
      </c>
      <c r="O14" s="210" t="str">
        <f>'Focus Strategies Data All'!M124</f>
        <v>NA</v>
      </c>
      <c r="P14" s="210" t="str">
        <f>'Focus Strategies Data All'!N124</f>
        <v>NA</v>
      </c>
    </row>
    <row r="15" spans="3:16" x14ac:dyDescent="0.2">
      <c r="C15" s="25" t="str">
        <f>'Focus Strategies Data All'!A125</f>
        <v>springlinseed</v>
      </c>
      <c r="D15" s="210">
        <f>'Focus Strategies Data All'!B125</f>
        <v>5</v>
      </c>
      <c r="E15" s="210" t="str">
        <f>'Focus Strategies Data All'!C125</f>
        <v>NA</v>
      </c>
      <c r="F15" s="210" t="str">
        <f>'Focus Strategies Data All'!D125</f>
        <v>NA</v>
      </c>
      <c r="H15" s="25" t="str">
        <f>'Focus Strategies Data All'!F125</f>
        <v>springlinseed</v>
      </c>
      <c r="I15" s="210" t="str">
        <f>'Focus Strategies Data All'!G125</f>
        <v>NA</v>
      </c>
      <c r="J15" s="210" t="str">
        <f>'Focus Strategies Data All'!H125</f>
        <v>NA</v>
      </c>
      <c r="K15" s="210" t="str">
        <f>'Focus Strategies Data All'!I125</f>
        <v>NA</v>
      </c>
      <c r="M15" s="25" t="str">
        <f>'Focus Strategies Data All'!K125</f>
        <v>springlinseed</v>
      </c>
      <c r="N15" s="210" t="str">
        <f>'Focus Strategies Data All'!L125</f>
        <v>NA</v>
      </c>
      <c r="O15" s="210" t="str">
        <f>'Focus Strategies Data All'!M125</f>
        <v>NA</v>
      </c>
      <c r="P15" s="210" t="str">
        <f>'Focus Strategies Data All'!N125</f>
        <v>NA</v>
      </c>
    </row>
    <row r="16" spans="3:16" x14ac:dyDescent="0.2">
      <c r="C16" s="25" t="str">
        <f>'Focus Strategies Data All'!A126</f>
        <v>driedpeas</v>
      </c>
      <c r="D16" s="210">
        <f>'Focus Strategies Data All'!B126</f>
        <v>5</v>
      </c>
      <c r="E16" s="210" t="str">
        <f>'Focus Strategies Data All'!C126</f>
        <v>NA</v>
      </c>
      <c r="F16" s="210">
        <f>'Focus Strategies Data All'!D126</f>
        <v>6</v>
      </c>
      <c r="H16" s="25" t="str">
        <f>'Focus Strategies Data All'!F126</f>
        <v>driedpeas</v>
      </c>
      <c r="I16" s="210">
        <f>'Focus Strategies Data All'!G126</f>
        <v>5</v>
      </c>
      <c r="J16" s="210">
        <f>'Focus Strategies Data All'!H126</f>
        <v>3</v>
      </c>
      <c r="K16" s="210" t="str">
        <f>'Focus Strategies Data All'!I126</f>
        <v>NA</v>
      </c>
      <c r="M16" s="25" t="str">
        <f>'Focus Strategies Data All'!K126</f>
        <v>driedpeas</v>
      </c>
      <c r="N16" s="210" t="str">
        <f>'Focus Strategies Data All'!L126</f>
        <v>NA</v>
      </c>
      <c r="O16" s="210">
        <f>'Focus Strategies Data All'!M126</f>
        <v>3</v>
      </c>
      <c r="P16" s="210">
        <f>'Focus Strategies Data All'!N126</f>
        <v>3</v>
      </c>
    </row>
    <row r="17" spans="3:16" x14ac:dyDescent="0.2">
      <c r="C17" s="25" t="str">
        <f>'Focus Strategies Data All'!A127</f>
        <v>setaside</v>
      </c>
      <c r="D17" s="210" t="str">
        <f>'Focus Strategies Data All'!B127</f>
        <v>NA</v>
      </c>
      <c r="E17" s="210">
        <f>'Focus Strategies Data All'!C127</f>
        <v>5</v>
      </c>
      <c r="F17" s="210" t="str">
        <f>'Focus Strategies Data All'!D127</f>
        <v>NA</v>
      </c>
      <c r="H17" s="25" t="str">
        <f>'Focus Strategies Data All'!F127</f>
        <v>setaside</v>
      </c>
      <c r="I17" s="210" t="str">
        <f>'Focus Strategies Data All'!G127</f>
        <v>NA</v>
      </c>
      <c r="J17" s="210" t="str">
        <f>'Focus Strategies Data All'!H127</f>
        <v>NA</v>
      </c>
      <c r="K17" s="210" t="str">
        <f>'Focus Strategies Data All'!I127</f>
        <v>NA</v>
      </c>
      <c r="M17" s="25" t="str">
        <f>'Focus Strategies Data All'!K127</f>
        <v>setaside</v>
      </c>
      <c r="N17" s="210" t="str">
        <f>'Focus Strategies Data All'!L127</f>
        <v>NA</v>
      </c>
      <c r="O17" s="210" t="str">
        <f>'Focus Strategies Data All'!M127</f>
        <v>NA</v>
      </c>
      <c r="P17" s="210" t="str">
        <f>'Focus Strategies Data All'!N127</f>
        <v>NA</v>
      </c>
    </row>
    <row r="18" spans="3:16" x14ac:dyDescent="0.2">
      <c r="C18" s="25" t="str">
        <f>'Focus Strategies Data All'!A128</f>
        <v>maize</v>
      </c>
      <c r="D18" s="210" t="str">
        <f>'Focus Strategies Data All'!B128</f>
        <v>NA</v>
      </c>
      <c r="E18" s="210">
        <f>'Focus Strategies Data All'!C128</f>
        <v>3</v>
      </c>
      <c r="F18" s="210" t="str">
        <f>'Focus Strategies Data All'!D128</f>
        <v>NA</v>
      </c>
      <c r="H18" s="25" t="str">
        <f>'Focus Strategies Data All'!F128</f>
        <v>maize</v>
      </c>
      <c r="I18" s="210" t="str">
        <f>'Focus Strategies Data All'!G128</f>
        <v>NA</v>
      </c>
      <c r="J18" s="210" t="str">
        <f>'Focus Strategies Data All'!H128</f>
        <v>NA</v>
      </c>
      <c r="K18" s="210" t="str">
        <f>'Focus Strategies Data All'!I128</f>
        <v>NA</v>
      </c>
      <c r="M18" s="25" t="str">
        <f>'Focus Strategies Data All'!K128</f>
        <v>maize</v>
      </c>
      <c r="N18" s="210" t="str">
        <f>'Focus Strategies Data All'!L128</f>
        <v>NA</v>
      </c>
      <c r="O18" s="210" t="str">
        <f>'Focus Strategies Data All'!M128</f>
        <v>NA</v>
      </c>
      <c r="P18" s="210" t="str">
        <f>'Focus Strategies Data All'!N128</f>
        <v>NA</v>
      </c>
    </row>
    <row r="19" spans="3:16" x14ac:dyDescent="0.2">
      <c r="C19" s="25" t="str">
        <f>'Focus Strategies Data All'!A129</f>
        <v>springoats</v>
      </c>
      <c r="D19" s="210">
        <f>'Focus Strategies Data All'!B129</f>
        <v>4</v>
      </c>
      <c r="E19" s="210" t="str">
        <f>'Focus Strategies Data All'!C129</f>
        <v>NA</v>
      </c>
      <c r="F19" s="210" t="str">
        <f>'Focus Strategies Data All'!D129</f>
        <v>NA</v>
      </c>
      <c r="H19" s="25" t="str">
        <f>'Focus Strategies Data All'!F129</f>
        <v>oats</v>
      </c>
      <c r="I19" s="210" t="str">
        <f>'Focus Strategies Data All'!G129</f>
        <v>NA</v>
      </c>
      <c r="J19" s="210" t="str">
        <f>'Focus Strategies Data All'!H129</f>
        <v>NA</v>
      </c>
      <c r="K19" s="210" t="str">
        <f>'Focus Strategies Data All'!I129</f>
        <v>NA</v>
      </c>
      <c r="M19" s="25" t="str">
        <f>'Focus Strategies Data All'!K129</f>
        <v>oats</v>
      </c>
      <c r="N19" s="210" t="str">
        <f>'Focus Strategies Data All'!L129</f>
        <v>NA</v>
      </c>
      <c r="O19" s="210" t="str">
        <f>'Focus Strategies Data All'!M129</f>
        <v>NA</v>
      </c>
      <c r="P19" s="210" t="str">
        <f>'Focus Strategies Data All'!N129</f>
        <v>NA</v>
      </c>
    </row>
  </sheetData>
  <mergeCells count="3">
    <mergeCell ref="C2:F2"/>
    <mergeCell ref="H2:K2"/>
    <mergeCell ref="M2:P2"/>
  </mergeCells>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FD2BF-749C-4CC7-A926-50DDFF0697BA}">
  <dimension ref="C2:P19"/>
  <sheetViews>
    <sheetView topLeftCell="J1" workbookViewId="0">
      <selection activeCell="O9" sqref="O9"/>
    </sheetView>
  </sheetViews>
  <sheetFormatPr baseColWidth="10" defaultColWidth="8.83203125" defaultRowHeight="15" x14ac:dyDescent="0.2"/>
  <cols>
    <col min="3" max="3" width="20.33203125" customWidth="1"/>
    <col min="4" max="4" width="54.33203125" customWidth="1"/>
    <col min="5" max="5" width="49.6640625" bestFit="1" customWidth="1"/>
    <col min="6" max="6" width="73.33203125" bestFit="1" customWidth="1"/>
    <col min="8" max="8" width="35.5" bestFit="1" customWidth="1"/>
    <col min="9" max="9" width="59.1640625" bestFit="1" customWidth="1"/>
    <col min="10" max="10" width="22.5" bestFit="1" customWidth="1"/>
    <col min="11" max="11" width="42.5" bestFit="1" customWidth="1"/>
    <col min="13" max="13" width="35.5" bestFit="1" customWidth="1"/>
    <col min="14" max="14" width="28.33203125" bestFit="1" customWidth="1"/>
    <col min="15" max="16" width="19.6640625" bestFit="1" customWidth="1"/>
  </cols>
  <sheetData>
    <row r="2" spans="3:16" x14ac:dyDescent="0.2">
      <c r="C2" s="415" t="s">
        <v>274</v>
      </c>
      <c r="D2" s="415"/>
      <c r="E2" s="415"/>
      <c r="F2" s="415"/>
      <c r="H2" s="415" t="s">
        <v>275</v>
      </c>
      <c r="I2" s="415"/>
      <c r="J2" s="415"/>
      <c r="K2" s="415"/>
      <c r="M2" s="415" t="s">
        <v>276</v>
      </c>
      <c r="N2" s="415"/>
      <c r="O2" s="415"/>
      <c r="P2" s="415"/>
    </row>
    <row r="3" spans="3:16" x14ac:dyDescent="0.2">
      <c r="C3" s="211" t="s">
        <v>278</v>
      </c>
      <c r="D3" s="231" t="s">
        <v>12</v>
      </c>
      <c r="E3" s="231" t="s">
        <v>10</v>
      </c>
      <c r="F3" s="231" t="s">
        <v>11</v>
      </c>
      <c r="G3" s="1"/>
      <c r="H3" s="211" t="s">
        <v>278</v>
      </c>
      <c r="I3" s="231" t="s">
        <v>12</v>
      </c>
      <c r="J3" s="231" t="s">
        <v>10</v>
      </c>
      <c r="K3" s="231" t="s">
        <v>11</v>
      </c>
      <c r="L3" s="1"/>
      <c r="M3" s="211" t="s">
        <v>278</v>
      </c>
      <c r="N3" s="231" t="s">
        <v>12</v>
      </c>
      <c r="O3" s="231" t="s">
        <v>10</v>
      </c>
      <c r="P3" s="231" t="s">
        <v>11</v>
      </c>
    </row>
    <row r="4" spans="3:16" x14ac:dyDescent="0.2">
      <c r="C4" s="25" t="str">
        <f>'Focus Strategies Data All'!A186</f>
        <v>1</v>
      </c>
      <c r="D4" s="210" t="str">
        <f>'Focus Strategies Data All'!B186</f>
        <v>disc, roller packer, disc, disc, minimum tillage, roller packer</v>
      </c>
      <c r="E4" s="210" t="str">
        <f>'Focus Strategies Data All'!C186</f>
        <v>disc, roller packer, disc</v>
      </c>
      <c r="F4" s="210" t="str">
        <f>'Focus Strategies Data All'!D186</f>
        <v>disc, roller packer, disc, disc, grain drill, roller packer</v>
      </c>
      <c r="G4" s="25"/>
      <c r="H4" s="25" t="str">
        <f>'Focus Strategies Data All'!F186</f>
        <v>1</v>
      </c>
      <c r="I4" s="210" t="str">
        <f>'Focus Strategies Data All'!G186</f>
        <v>disc, roller packer, disc, minimum tillage, roller packer</v>
      </c>
      <c r="J4" s="210" t="str">
        <f>'Focus Strategies Data All'!H186</f>
        <v>disc, roller packer, disc, grain drill, roller packer</v>
      </c>
      <c r="K4" s="210" t="str">
        <f>'Focus Strategies Data All'!I186</f>
        <v>disc, roller packer, disc, plough, roller harrow, grain drill, roller packer</v>
      </c>
      <c r="L4" s="25"/>
      <c r="M4" s="25" t="str">
        <f>'Focus Strategies Data All'!K186</f>
        <v>1</v>
      </c>
      <c r="N4" s="210" t="str">
        <f>'Focus Strategies Data All'!L186</f>
        <v>disc, roller packer, disc, minimum tillage, roller packer</v>
      </c>
      <c r="O4" s="210" t="str">
        <f>'Focus Strategies Data All'!M186</f>
        <v>disc, roller packer, grain drill, roller packer</v>
      </c>
      <c r="P4" s="210" t="str">
        <f>'Focus Strategies Data All'!N186</f>
        <v>disc, roller packer, grain drill, roller packer</v>
      </c>
    </row>
    <row r="5" spans="3:16" x14ac:dyDescent="0.2">
      <c r="C5" s="25" t="str">
        <f>'Focus Strategies Data All'!A187</f>
        <v>2</v>
      </c>
      <c r="D5" s="210" t="str">
        <f>'Focus Strategies Data All'!B187</f>
        <v>disc, subsoil, roller packer, disc, minimum tillage, roller packer</v>
      </c>
      <c r="E5" s="210" t="str">
        <f>'Focus Strategies Data All'!C187</f>
        <v>disc, roller packer, disc, minimum tillage, roller packer</v>
      </c>
      <c r="F5" s="210" t="str">
        <f>'Focus Strategies Data All'!D187</f>
        <v>disc, roller packer, disc, disc, disc, grain drill, roller packer</v>
      </c>
      <c r="G5" s="25"/>
      <c r="H5" s="25" t="str">
        <f>'Focus Strategies Data All'!F187</f>
        <v>2</v>
      </c>
      <c r="I5" s="210" t="str">
        <f>'Focus Strategies Data All'!G187</f>
        <v>disc, subsoil, roller packer, disc, disc, minimum tillage, roller packer</v>
      </c>
      <c r="J5" s="210" t="str">
        <f>'Focus Strategies Data All'!H187</f>
        <v>disc, roller packer, disc, grain drill, roller packer</v>
      </c>
      <c r="K5" s="210" t="str">
        <f>'Focus Strategies Data All'!I187</f>
        <v>disc, roller packer, disc, disc, disc, minimum tillage, roller packer</v>
      </c>
      <c r="L5" s="25"/>
      <c r="M5" s="25" t="str">
        <f>'Focus Strategies Data All'!K187</f>
        <v>2</v>
      </c>
      <c r="N5" s="210" t="str">
        <f>'Focus Strategies Data All'!L187</f>
        <v>subsoil, roller packer</v>
      </c>
      <c r="O5" s="210" t="str">
        <f>'Focus Strategies Data All'!M187</f>
        <v>disc, roller packer, grain drill, roller packer</v>
      </c>
      <c r="P5" s="210" t="str">
        <f>'Focus Strategies Data All'!N187</f>
        <v>disc, roller packer, grain drill, roller packer</v>
      </c>
    </row>
    <row r="6" spans="3:16" x14ac:dyDescent="0.2">
      <c r="C6" s="25" t="str">
        <f>'Focus Strategies Data All'!A188</f>
        <v>3</v>
      </c>
      <c r="D6" s="210" t="str">
        <f>'Focus Strategies Data All'!B188</f>
        <v>disc, roller packer, disc, minimum tillage, roller packer</v>
      </c>
      <c r="E6" s="210" t="str">
        <f>'Focus Strategies Data All'!C188</f>
        <v>disc, roller packer, disc, minimum tillage, roller packer</v>
      </c>
      <c r="F6" s="210" t="str">
        <f>'Focus Strategies Data All'!D188</f>
        <v>disc, roller packer, disc, disc, disc, plough, roller harrow, grain drill, roller packer</v>
      </c>
      <c r="G6" s="25"/>
      <c r="H6" s="25" t="str">
        <f>'Focus Strategies Data All'!F188</f>
        <v>3</v>
      </c>
      <c r="I6" s="210" t="str">
        <f>'Focus Strategies Data All'!G188</f>
        <v>disc, roller packer, disc, minimum tillage, roller packer</v>
      </c>
      <c r="J6" s="210" t="str">
        <f>'Focus Strategies Data All'!H188</f>
        <v>disc, roller packer, disc, grain drill, roller packer</v>
      </c>
      <c r="K6" s="210" t="str">
        <f>'Focus Strategies Data All'!I188</f>
        <v>minimum tillage, roller packer</v>
      </c>
      <c r="L6" s="25"/>
      <c r="M6" s="25" t="str">
        <f>'Focus Strategies Data All'!K188</f>
        <v>3</v>
      </c>
      <c r="N6" s="210" t="str">
        <f>'Focus Strategies Data All'!L188</f>
        <v>disc, roller packer, disc, minimum tillage, roller packer</v>
      </c>
      <c r="O6" s="210" t="str">
        <f>'Focus Strategies Data All'!M188</f>
        <v>subsoil, roller packer</v>
      </c>
      <c r="P6" s="210" t="str">
        <f>'Focus Strategies Data All'!N188</f>
        <v>subsoil, roller packer</v>
      </c>
    </row>
    <row r="7" spans="3:16" x14ac:dyDescent="0.2">
      <c r="C7" s="25" t="str">
        <f>'Focus Strategies Data All'!A189</f>
        <v>4</v>
      </c>
      <c r="D7" s="210" t="str">
        <f>'Focus Strategies Data All'!B189</f>
        <v>disc, roller packer, disc, minimum tillage, roller packer</v>
      </c>
      <c r="E7" s="210" t="str">
        <f>'Focus Strategies Data All'!C189</f>
        <v>disc, roller packer, disc, minimum tillage, roller packer</v>
      </c>
      <c r="F7" s="210" t="str">
        <f>'Focus Strategies Data All'!D189</f>
        <v>disc, roller packer, grain drill, roller packer</v>
      </c>
      <c r="G7" s="25"/>
      <c r="H7" s="25" t="str">
        <f>'Focus Strategies Data All'!F189</f>
        <v>4</v>
      </c>
      <c r="I7" s="210" t="str">
        <f>'Focus Strategies Data All'!G189</f>
        <v>disc, roller packer, disc, minimum tillage, roller packer</v>
      </c>
      <c r="J7" s="210" t="str">
        <f>'Focus Strategies Data All'!H189</f>
        <v>disc, roller packer, disc, grain drill, roller packer</v>
      </c>
      <c r="K7" s="210" t="str">
        <f>'Focus Strategies Data All'!I189</f>
        <v>disc, roller packer, disc, grain drill, roller packer</v>
      </c>
      <c r="L7" s="25"/>
      <c r="M7" s="25" t="str">
        <f>'Focus Strategies Data All'!K189</f>
        <v>4</v>
      </c>
      <c r="N7" s="210" t="str">
        <f>'Focus Strategies Data All'!L189</f>
        <v>disc, roller packer, disc, minimum tillage, roller packer</v>
      </c>
      <c r="O7" s="210" t="str">
        <f>'Focus Strategies Data All'!M189</f>
        <v>disc, roller packer, grain drill, roller packer</v>
      </c>
      <c r="P7" s="210" t="str">
        <f>'Focus Strategies Data All'!M189</f>
        <v>disc, roller packer, grain drill, roller packer</v>
      </c>
    </row>
    <row r="8" spans="3:16" x14ac:dyDescent="0.2">
      <c r="C8" s="25" t="str">
        <f>'Focus Strategies Data All'!A190</f>
        <v>5</v>
      </c>
      <c r="D8" s="239" t="str">
        <f>'Focus Strategies Data All'!B190</f>
        <v>plough, roller harrow, disc, roller packer, minimum tillage, roller packer</v>
      </c>
      <c r="E8" s="210" t="str">
        <f>'Focus Strategies Data All'!C190</f>
        <v>minimum tillage, roller packer</v>
      </c>
      <c r="F8" s="210" t="str">
        <f>'Focus Strategies Data All'!D190</f>
        <v>disc, roller packer, disc, disc, disc, grain drill, roller packer</v>
      </c>
      <c r="G8" s="25"/>
      <c r="H8" s="25" t="str">
        <f>'Focus Strategies Data All'!F190</f>
        <v>5</v>
      </c>
      <c r="I8" s="210" t="str">
        <f>'Focus Strategies Data All'!G190</f>
        <v>minimum tillage, roller packer</v>
      </c>
      <c r="J8" s="210" t="str">
        <f>'Focus Strategies Data All'!H190</f>
        <v>disc, roller packer, disc, grain drill, roller packer</v>
      </c>
      <c r="K8" s="210" t="str">
        <f>'Focus Strategies Data All'!I190</f>
        <v>disc, roller packer, disc, disc, disc, minimum tillage, roller packer</v>
      </c>
      <c r="L8" s="25"/>
      <c r="M8" s="25" t="str">
        <f>'Focus Strategies Data All'!K190</f>
        <v>5</v>
      </c>
      <c r="N8" s="210" t="str">
        <f>'Focus Strategies Data All'!L190</f>
        <v>subsoil, roller packer</v>
      </c>
      <c r="O8" s="210" t="str">
        <f>'Focus Strategies Data All'!M190</f>
        <v>disc, roller packer, disc, grain drill, roller packer</v>
      </c>
      <c r="P8" s="210" t="str">
        <f>'Focus Strategies Data All'!M190</f>
        <v>disc, roller packer, disc, grain drill, roller packer</v>
      </c>
    </row>
    <row r="9" spans="3:16" x14ac:dyDescent="0.2">
      <c r="C9" s="25" t="str">
        <f>'Focus Strategies Data All'!A191</f>
        <v>6</v>
      </c>
      <c r="D9" s="210" t="str">
        <f>'Focus Strategies Data All'!B191</f>
        <v>disc, roller packer, disc, disc, minimum tillage, roller packer</v>
      </c>
      <c r="E9" s="210" t="str">
        <f>'Focus Strategies Data All'!C191</f>
        <v>disc, roller packer, disc, minimum tillage, roller packer</v>
      </c>
      <c r="F9" s="210" t="str">
        <f>'Focus Strategies Data All'!D191</f>
        <v>minimum tillage, roller packer</v>
      </c>
      <c r="G9" s="25"/>
      <c r="H9" s="25" t="str">
        <f>'Focus Strategies Data All'!F191</f>
        <v>6</v>
      </c>
      <c r="I9" s="210" t="str">
        <f>'Focus Strategies Data All'!G191</f>
        <v>disc, roller packer, plough, roller harrow, minimum tillage, roller packer</v>
      </c>
      <c r="J9" s="210" t="str">
        <f>'Focus Strategies Data All'!H191</f>
        <v>disc, roller packer, disc, grain drill, roller packer</v>
      </c>
      <c r="K9" s="210" t="str">
        <f>'Focus Strategies Data All'!I191</f>
        <v>minimum tillage, roller packer</v>
      </c>
      <c r="L9" s="25"/>
      <c r="M9" s="25" t="str">
        <f>'Focus Strategies Data All'!K191</f>
        <v>6</v>
      </c>
      <c r="N9" s="210" t="str">
        <f>'Focus Strategies Data All'!L191</f>
        <v>disc, roller packer, disc, minimum tillage, roller packer</v>
      </c>
      <c r="O9" s="210" t="str">
        <f>'Focus Strategies Data All'!M191</f>
        <v>disc, roller packer, grain drill, roller packer</v>
      </c>
      <c r="P9" s="210" t="str">
        <f>'Focus Strategies Data All'!M191</f>
        <v>disc, roller packer, grain drill, roller packer</v>
      </c>
    </row>
    <row r="10" spans="3:16" x14ac:dyDescent="0.2">
      <c r="C10" s="25"/>
      <c r="D10" s="25"/>
      <c r="E10" s="25"/>
      <c r="F10" s="25"/>
      <c r="G10" s="25"/>
      <c r="H10" s="25"/>
      <c r="I10" s="25"/>
      <c r="J10" s="25"/>
      <c r="K10" s="25"/>
      <c r="L10" s="25"/>
      <c r="M10" s="25"/>
      <c r="N10" s="25"/>
      <c r="O10" s="25"/>
      <c r="P10" s="25"/>
    </row>
    <row r="11" spans="3:16" x14ac:dyDescent="0.2">
      <c r="C11" s="211" t="s">
        <v>279</v>
      </c>
      <c r="D11" s="231" t="str">
        <f>'Focus Strategies Data All'!B15</f>
        <v>East</v>
      </c>
      <c r="E11" s="231" t="str">
        <f>'Focus Strategies Data All'!C15</f>
        <v>North</v>
      </c>
      <c r="F11" s="231" t="str">
        <f>'Focus Strategies Data All'!D15</f>
        <v>Central</v>
      </c>
      <c r="G11" s="211"/>
      <c r="H11" s="211" t="s">
        <v>279</v>
      </c>
      <c r="I11" s="231" t="str">
        <f>'Focus Strategies Data All'!G15</f>
        <v>East</v>
      </c>
      <c r="J11" s="231" t="str">
        <f>'Focus Strategies Data All'!H15</f>
        <v>North</v>
      </c>
      <c r="K11" s="231" t="str">
        <f>'Focus Strategies Data All'!I15</f>
        <v>Central</v>
      </c>
      <c r="L11" s="211"/>
      <c r="M11" s="211" t="s">
        <v>279</v>
      </c>
      <c r="N11" s="231" t="str">
        <f>'Focus Strategies Data All'!L15</f>
        <v>East</v>
      </c>
      <c r="O11" s="231" t="str">
        <f>'Focus Strategies Data All'!M15</f>
        <v>North</v>
      </c>
      <c r="P11" s="231" t="str">
        <f>'Focus Strategies Data All'!N15</f>
        <v>Central</v>
      </c>
    </row>
    <row r="12" spans="3:16" x14ac:dyDescent="0.2">
      <c r="C12" s="25" t="str">
        <f>'Focus Strategies Data All'!A194</f>
        <v>1</v>
      </c>
      <c r="D12" s="210" t="str">
        <f>'Focus Strategies Data All'!B194</f>
        <v>disc, disc, disc, minimum tillage</v>
      </c>
      <c r="E12" s="210" t="str">
        <f>'Focus Strategies Data All'!C194</f>
        <v>disc, roller packer, disc</v>
      </c>
      <c r="F12" s="210" t="str">
        <f>'Focus Strategies Data All'!D194</f>
        <v>disc, roller packer, disc, disc, grain drill, roller packer</v>
      </c>
      <c r="G12" s="25"/>
      <c r="H12" s="25" t="str">
        <f>'Focus Strategies Data All'!F194</f>
        <v>1</v>
      </c>
      <c r="I12" s="210" t="str">
        <f>'Focus Strategies Data All'!G194</f>
        <v>disc, roller packer, disc, minimum tillage, roller packer</v>
      </c>
      <c r="J12" s="210" t="str">
        <f>'Focus Strategies Data All'!H194</f>
        <v>disc, roller packer, disc, grain drill, roller packer</v>
      </c>
      <c r="K12" s="210" t="str">
        <f>'Focus Strategies Data All'!I194</f>
        <v>disc, roller packer, disc, plough, roller harrow, grain drill, roller packer</v>
      </c>
      <c r="L12" s="25"/>
      <c r="M12" s="25" t="str">
        <f>'Focus Strategies Data All'!K194</f>
        <v>1</v>
      </c>
      <c r="N12" s="210" t="str">
        <f>'Focus Strategies Data All'!L194</f>
        <v>disc, roller packer, disc, minimum tillage, roller packer</v>
      </c>
      <c r="O12" s="210" t="str">
        <f>'Focus Strategies Data All'!M194</f>
        <v>disc, roller packer, grain drill, roller packer</v>
      </c>
      <c r="P12" s="210" t="str">
        <f>'Focus Strategies Data All'!N194</f>
        <v>disc, roller packer, grain drill, roller packer</v>
      </c>
    </row>
    <row r="13" spans="3:16" x14ac:dyDescent="0.2">
      <c r="C13" s="25" t="str">
        <f>'Focus Strategies Data All'!A195</f>
        <v>2</v>
      </c>
      <c r="D13" s="210" t="str">
        <f>'Focus Strategies Data All'!B195</f>
        <v>disc, subsoil, disc, minimum tillage</v>
      </c>
      <c r="E13" s="210" t="str">
        <f>'Focus Strategies Data All'!C195</f>
        <v>disc, roller packer, disc, minimum tillage, roller packer</v>
      </c>
      <c r="F13" s="210" t="str">
        <f>'Focus Strategies Data All'!D195</f>
        <v>disc, roller packer, disc, disc, disc, grain drill, roller packer</v>
      </c>
      <c r="G13" s="25"/>
      <c r="H13" s="25" t="str">
        <f>'Focus Strategies Data All'!F195</f>
        <v>2</v>
      </c>
      <c r="I13" s="210" t="str">
        <f>'Focus Strategies Data All'!G195</f>
        <v>disc, subsoil, roller packer, disc, disc, minimum tillage, roller packer</v>
      </c>
      <c r="J13" s="210" t="str">
        <f>'Focus Strategies Data All'!H195</f>
        <v>disc, roller packer, disc, grain drill, roller packer</v>
      </c>
      <c r="K13" s="210" t="str">
        <f>'Focus Strategies Data All'!I195</f>
        <v>disc, roller packer, disc, disc, disc, minimum tillage, roller packer</v>
      </c>
      <c r="L13" s="25"/>
      <c r="M13" s="25" t="str">
        <f>'Focus Strategies Data All'!K195</f>
        <v>2</v>
      </c>
      <c r="N13" s="210" t="str">
        <f>'Focus Strategies Data All'!L195</f>
        <v>subsoil, roller packer</v>
      </c>
      <c r="O13" s="210" t="str">
        <f>'Focus Strategies Data All'!M195</f>
        <v>disc, roller packer, grain drill, roller packer</v>
      </c>
      <c r="P13" s="210" t="str">
        <f>'Focus Strategies Data All'!N195</f>
        <v>disc, roller packer, grain drill, roller packer</v>
      </c>
    </row>
    <row r="14" spans="3:16" x14ac:dyDescent="0.2">
      <c r="C14" s="25" t="str">
        <f>'Focus Strategies Data All'!A196</f>
        <v>3</v>
      </c>
      <c r="D14" s="210" t="str">
        <f>'Focus Strategies Data All'!B196</f>
        <v>disc, disc, minimum tillage</v>
      </c>
      <c r="E14" s="210" t="str">
        <f>'Focus Strategies Data All'!C196</f>
        <v>disc, roller packer, disc, minimum tillage, roller packer</v>
      </c>
      <c r="F14" s="210" t="str">
        <f>'Focus Strategies Data All'!D196</f>
        <v>disc, roller packer, disc, disc, disc, plough, roller harrow, grain drill, roller packer</v>
      </c>
      <c r="G14" s="25"/>
      <c r="H14" s="25" t="str">
        <f>'Focus Strategies Data All'!F196</f>
        <v>3</v>
      </c>
      <c r="I14" s="210" t="str">
        <f>'Focus Strategies Data All'!G196</f>
        <v>disc, roller packer, disc, minimum tillage, roller packer</v>
      </c>
      <c r="J14" s="210" t="str">
        <f>'Focus Strategies Data All'!H196</f>
        <v>disc, roller packer, disc, grain drill, roller packer</v>
      </c>
      <c r="K14" s="210" t="str">
        <f>'Focus Strategies Data All'!I196</f>
        <v>minimum tillage, roller packer</v>
      </c>
      <c r="L14" s="25"/>
      <c r="M14" s="25" t="str">
        <f>'Focus Strategies Data All'!K196</f>
        <v>3</v>
      </c>
      <c r="N14" s="210" t="str">
        <f>'Focus Strategies Data All'!L196</f>
        <v>disc, roller packer, disc, minimum tillage, roller packer</v>
      </c>
      <c r="O14" s="210" t="str">
        <f>'Focus Strategies Data All'!M196</f>
        <v>subsoil, roller packer</v>
      </c>
      <c r="P14" s="210" t="str">
        <f>'Focus Strategies Data All'!N196</f>
        <v>subsoil, roller packer</v>
      </c>
    </row>
    <row r="15" spans="3:16" x14ac:dyDescent="0.2">
      <c r="C15" s="25" t="str">
        <f>'Focus Strategies Data All'!A197</f>
        <v>4</v>
      </c>
      <c r="D15" s="210" t="str">
        <f>'Focus Strategies Data All'!B197</f>
        <v>disc, disc, row crop planter</v>
      </c>
      <c r="E15" s="210" t="str">
        <f>'Focus Strategies Data All'!C197</f>
        <v>disc, roller packer, disc, minimum tillage, roller packer</v>
      </c>
      <c r="F15" s="210" t="str">
        <f>'Focus Strategies Data All'!D197</f>
        <v>disc, roller packer, grain drill, roller packer</v>
      </c>
      <c r="G15" s="25"/>
      <c r="H15" s="25" t="str">
        <f>'Focus Strategies Data All'!F197</f>
        <v>4</v>
      </c>
      <c r="I15" s="210" t="str">
        <f>'Focus Strategies Data All'!G197</f>
        <v>disc, roller packer, disc, minimum tillage, roller packer</v>
      </c>
      <c r="J15" s="210" t="str">
        <f>'Focus Strategies Data All'!H197</f>
        <v>disc, roller packer, disc, grain drill, roller packer</v>
      </c>
      <c r="K15" s="210" t="str">
        <f>'Focus Strategies Data All'!I197</f>
        <v>disc, roller packer, disc, grain drill, roller packer</v>
      </c>
      <c r="L15" s="25"/>
      <c r="M15" s="25" t="str">
        <f>'Focus Strategies Data All'!K197</f>
        <v>4</v>
      </c>
      <c r="N15" s="210" t="str">
        <f>'Focus Strategies Data All'!L197</f>
        <v>disc, roller packer, disc, minimum tillage, roller packer</v>
      </c>
      <c r="O15" s="210" t="str">
        <f>'Focus Strategies Data All'!M197</f>
        <v>disc, roller packer, grain drill, roller packer</v>
      </c>
      <c r="P15" s="210" t="str">
        <f>'Focus Strategies Data All'!N197</f>
        <v>disc, roller packer, grain drill, roller packer</v>
      </c>
    </row>
    <row r="16" spans="3:16" x14ac:dyDescent="0.2">
      <c r="C16" s="25" t="str">
        <f>'Focus Strategies Data All'!A198</f>
        <v>5</v>
      </c>
      <c r="D16" s="210" t="str">
        <f>'Focus Strategies Data All'!B198</f>
        <v>disc, disc, minimum tillage</v>
      </c>
      <c r="E16" s="210" t="str">
        <f>'Focus Strategies Data All'!C198</f>
        <v>minimum tillage, roller packer</v>
      </c>
      <c r="F16" s="210" t="str">
        <f>'Focus Strategies Data All'!D198</f>
        <v>disc, roller packer, disc, disc, disc, grain drill, roller packer</v>
      </c>
      <c r="G16" s="25"/>
      <c r="H16" s="25" t="str">
        <f>'Focus Strategies Data All'!F198</f>
        <v>5</v>
      </c>
      <c r="I16" s="210" t="str">
        <f>'Focus Strategies Data All'!G198</f>
        <v>minimum tillage, roller packer</v>
      </c>
      <c r="J16" s="210" t="str">
        <f>'Focus Strategies Data All'!H198</f>
        <v>disc, roller packer, disc, grain drill, roller packer</v>
      </c>
      <c r="K16" s="210" t="str">
        <f>'Focus Strategies Data All'!I198</f>
        <v>disc, roller packer, disc, disc, disc, minimum tillage, roller packer</v>
      </c>
      <c r="L16" s="25"/>
      <c r="M16" s="25" t="str">
        <f>'Focus Strategies Data All'!K198</f>
        <v>5</v>
      </c>
      <c r="N16" s="210" t="str">
        <f>'Focus Strategies Data All'!L198</f>
        <v>subsoil, roller packer</v>
      </c>
      <c r="O16" s="210" t="str">
        <f>'Focus Strategies Data All'!M198</f>
        <v>disc, roller packer, disc, grain drill, roller packer</v>
      </c>
      <c r="P16" s="210" t="str">
        <f>'Focus Strategies Data All'!N198</f>
        <v>disc, roller packer, disc, grain drill, roller packer</v>
      </c>
    </row>
    <row r="17" spans="3:16" x14ac:dyDescent="0.2">
      <c r="C17" s="25" t="str">
        <f>'Focus Strategies Data All'!A199</f>
        <v>6</v>
      </c>
      <c r="D17" s="239" t="str">
        <f>'Focus Strategies Data All'!B199</f>
        <v>plough, roller harrow, disc, roller packer, grain drill-no till</v>
      </c>
      <c r="E17" s="210" t="str">
        <f>'Focus Strategies Data All'!C199</f>
        <v>disc, roller packer, disc, minimum tillage, roller packer</v>
      </c>
      <c r="F17" s="210" t="str">
        <f>'Focus Strategies Data All'!D199</f>
        <v>minimum tillage, roller packer</v>
      </c>
      <c r="G17" s="25"/>
      <c r="H17" s="25" t="str">
        <f>'Focus Strategies Data All'!F199</f>
        <v>6</v>
      </c>
      <c r="I17" s="210" t="str">
        <f>'Focus Strategies Data All'!G199</f>
        <v>disc, roller packer, plough, roller harrow, minimum tillage, roller packer</v>
      </c>
      <c r="J17" s="210" t="str">
        <f>'Focus Strategies Data All'!H199</f>
        <v>disc, roller packer, disc, grain drill, roller packer</v>
      </c>
      <c r="K17" s="210" t="str">
        <f>'Focus Strategies Data All'!I199</f>
        <v>minimum tillage, roller packer</v>
      </c>
      <c r="L17" s="25"/>
      <c r="M17" s="25" t="str">
        <f>'Focus Strategies Data All'!K199</f>
        <v>6</v>
      </c>
      <c r="N17" s="210" t="str">
        <f>'Focus Strategies Data All'!L199</f>
        <v>disc, roller packer, disc, minimum tillage, roller packer</v>
      </c>
      <c r="O17" s="210" t="str">
        <f>'Focus Strategies Data All'!M199</f>
        <v>disc, roller packer, grain drill, roller packer</v>
      </c>
      <c r="P17" s="210" t="str">
        <f>'Focus Strategies Data All'!N199</f>
        <v>disc, roller packer, grain drill, roller packer</v>
      </c>
    </row>
    <row r="18" spans="3:16" x14ac:dyDescent="0.2">
      <c r="C18" s="25"/>
      <c r="D18" s="210"/>
      <c r="E18" s="210"/>
      <c r="F18" s="210"/>
      <c r="H18" s="25"/>
      <c r="I18" s="210"/>
      <c r="J18" s="210"/>
      <c r="K18" s="210"/>
      <c r="M18" s="25"/>
      <c r="N18" s="210"/>
      <c r="O18" s="210"/>
      <c r="P18" s="210"/>
    </row>
    <row r="19" spans="3:16" x14ac:dyDescent="0.2">
      <c r="C19" s="25"/>
      <c r="D19" s="210"/>
      <c r="E19" s="210"/>
      <c r="F19" s="210"/>
      <c r="H19" s="25"/>
      <c r="I19" s="210"/>
      <c r="J19" s="210"/>
      <c r="K19" s="210"/>
      <c r="M19" s="25"/>
      <c r="N19" s="210"/>
      <c r="O19" s="210"/>
      <c r="P19" s="210"/>
    </row>
  </sheetData>
  <mergeCells count="3">
    <mergeCell ref="C2:F2"/>
    <mergeCell ref="H2:K2"/>
    <mergeCell ref="M2:P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7EA11-C0F9-41B3-BC6F-845A37D61991}">
  <dimension ref="A1:DI57"/>
  <sheetViews>
    <sheetView tabSelected="1" zoomScale="145" zoomScaleNormal="145" workbookViewId="0">
      <pane xSplit="3" ySplit="1" topLeftCell="D2" activePane="bottomRight" state="frozen"/>
      <selection pane="topRight" activeCell="D1" sqref="D1"/>
      <selection pane="bottomLeft" activeCell="A2" sqref="A2"/>
      <selection pane="bottomRight" activeCell="F6" sqref="F6"/>
    </sheetView>
  </sheetViews>
  <sheetFormatPr baseColWidth="10" defaultColWidth="8.83203125" defaultRowHeight="15" x14ac:dyDescent="0.2"/>
  <cols>
    <col min="1" max="1" width="9.83203125" style="154" customWidth="1"/>
    <col min="2" max="2" width="22.83203125" style="154" customWidth="1"/>
    <col min="3" max="3" width="11.6640625" style="154" customWidth="1"/>
    <col min="4" max="4" width="4.5" style="154" bestFit="1" customWidth="1"/>
    <col min="5" max="5" width="9.33203125" style="154" customWidth="1"/>
    <col min="6" max="6" width="13.1640625" style="154" customWidth="1"/>
    <col min="7" max="10" width="12.5" style="154" customWidth="1"/>
    <col min="11" max="11" width="13.1640625" style="154" customWidth="1"/>
    <col min="12" max="14" width="15.33203125" style="154" customWidth="1"/>
    <col min="15" max="15" width="16.5" style="154" customWidth="1"/>
    <col min="16" max="17" width="15.33203125" style="154" customWidth="1"/>
    <col min="18" max="18" width="9.83203125" style="154" customWidth="1"/>
    <col min="19" max="23" width="10.6640625" style="154" customWidth="1"/>
    <col min="24" max="28" width="9.83203125" style="154" customWidth="1"/>
    <col min="29" max="29" width="9.1640625" style="154" customWidth="1"/>
    <col min="30" max="35" width="7.6640625" style="154" customWidth="1"/>
    <col min="36" max="37" width="7.83203125" style="154" customWidth="1"/>
    <col min="38" max="38" width="7.5" style="154" customWidth="1"/>
    <col min="39" max="41" width="8.1640625" style="154" customWidth="1"/>
    <col min="42" max="47" width="7.83203125" style="154" customWidth="1"/>
    <col min="48" max="53" width="12.83203125" style="234" customWidth="1"/>
    <col min="54" max="59" width="10.33203125" style="154" customWidth="1"/>
    <col min="60" max="65" width="9" style="154" customWidth="1"/>
    <col min="66" max="66" width="6.83203125" style="154" customWidth="1"/>
    <col min="67" max="68" width="10" style="154" customWidth="1"/>
    <col min="69" max="69" width="10.6640625" style="154" customWidth="1"/>
    <col min="70" max="72" width="11.5" style="154" customWidth="1"/>
    <col min="73" max="78" width="11.83203125" style="154" customWidth="1"/>
    <col min="79" max="79" width="11.83203125" style="356" customWidth="1"/>
    <col min="80" max="84" width="10.33203125" style="356" customWidth="1"/>
    <col min="85" max="85" width="9.5" style="154" customWidth="1"/>
    <col min="86" max="86" width="5.83203125" style="154" customWidth="1"/>
    <col min="87" max="88" width="5.6640625" style="154" customWidth="1"/>
    <col min="89" max="94" width="10.6640625" style="154" customWidth="1"/>
    <col min="95" max="100" width="10.5" style="154" customWidth="1"/>
    <col min="101" max="106" width="9" style="154" customWidth="1"/>
    <col min="107" max="111" width="10.1640625" style="154" customWidth="1"/>
    <col min="112" max="112" width="9" style="154" customWidth="1"/>
    <col min="113" max="113" width="10" style="154" customWidth="1"/>
    <col min="114" max="16384" width="8.83203125" style="154"/>
  </cols>
  <sheetData>
    <row r="1" spans="1:113" s="329" customFormat="1" x14ac:dyDescent="0.2">
      <c r="A1" s="329" t="s">
        <v>370</v>
      </c>
      <c r="B1" s="329" t="s">
        <v>1690</v>
      </c>
      <c r="C1" s="329" t="s">
        <v>371</v>
      </c>
      <c r="D1" s="329" t="s">
        <v>372</v>
      </c>
      <c r="E1" s="329" t="s">
        <v>373</v>
      </c>
      <c r="F1" s="329" t="s">
        <v>374</v>
      </c>
      <c r="G1" s="329" t="s">
        <v>375</v>
      </c>
      <c r="H1" s="329" t="s">
        <v>376</v>
      </c>
      <c r="I1" s="329" t="s">
        <v>377</v>
      </c>
      <c r="J1" s="329" t="s">
        <v>378</v>
      </c>
      <c r="K1" s="329" t="s">
        <v>379</v>
      </c>
      <c r="L1" s="329" t="s">
        <v>380</v>
      </c>
      <c r="M1" s="329" t="s">
        <v>381</v>
      </c>
      <c r="N1" s="329" t="s">
        <v>382</v>
      </c>
      <c r="O1" s="329" t="s">
        <v>383</v>
      </c>
      <c r="P1" s="329" t="s">
        <v>384</v>
      </c>
      <c r="Q1" s="329" t="s">
        <v>385</v>
      </c>
      <c r="R1" s="329" t="s">
        <v>386</v>
      </c>
      <c r="S1" s="329" t="s">
        <v>387</v>
      </c>
      <c r="T1" s="329" t="s">
        <v>388</v>
      </c>
      <c r="U1" s="329" t="s">
        <v>389</v>
      </c>
      <c r="V1" s="329" t="s">
        <v>390</v>
      </c>
      <c r="W1" s="329" t="s">
        <v>391</v>
      </c>
      <c r="X1" s="329" t="s">
        <v>392</v>
      </c>
      <c r="Y1" s="329" t="s">
        <v>393</v>
      </c>
      <c r="Z1" s="329" t="s">
        <v>394</v>
      </c>
      <c r="AA1" s="329" t="s">
        <v>395</v>
      </c>
      <c r="AB1" s="329" t="s">
        <v>396</v>
      </c>
      <c r="AC1" s="329" t="s">
        <v>397</v>
      </c>
      <c r="AD1" s="329" t="s">
        <v>398</v>
      </c>
      <c r="AE1" s="329" t="s">
        <v>399</v>
      </c>
      <c r="AF1" s="329" t="s">
        <v>400</v>
      </c>
      <c r="AG1" s="329" t="s">
        <v>401</v>
      </c>
      <c r="AH1" s="329" t="s">
        <v>402</v>
      </c>
      <c r="AI1" s="329" t="s">
        <v>403</v>
      </c>
      <c r="AJ1" s="329" t="s">
        <v>404</v>
      </c>
      <c r="AK1" s="329" t="s">
        <v>405</v>
      </c>
      <c r="AL1" s="329" t="s">
        <v>406</v>
      </c>
      <c r="AM1" s="329" t="s">
        <v>407</v>
      </c>
      <c r="AN1" s="329" t="s">
        <v>408</v>
      </c>
      <c r="AO1" s="329" t="s">
        <v>409</v>
      </c>
      <c r="AP1" s="329" t="s">
        <v>410</v>
      </c>
      <c r="AQ1" s="329" t="s">
        <v>411</v>
      </c>
      <c r="AR1" s="329" t="s">
        <v>412</v>
      </c>
      <c r="AS1" s="329" t="s">
        <v>413</v>
      </c>
      <c r="AT1" s="329" t="s">
        <v>414</v>
      </c>
      <c r="AU1" s="329" t="s">
        <v>415</v>
      </c>
      <c r="AV1" s="343" t="s">
        <v>416</v>
      </c>
      <c r="AW1" s="343" t="s">
        <v>417</v>
      </c>
      <c r="AX1" s="343" t="s">
        <v>418</v>
      </c>
      <c r="AY1" s="343" t="s">
        <v>419</v>
      </c>
      <c r="AZ1" s="343" t="s">
        <v>420</v>
      </c>
      <c r="BA1" s="343" t="s">
        <v>421</v>
      </c>
      <c r="BB1" s="329" t="s">
        <v>422</v>
      </c>
      <c r="BC1" s="329" t="s">
        <v>423</v>
      </c>
      <c r="BD1" s="329" t="s">
        <v>424</v>
      </c>
      <c r="BE1" s="329" t="s">
        <v>425</v>
      </c>
      <c r="BF1" s="329" t="s">
        <v>426</v>
      </c>
      <c r="BG1" s="329" t="s">
        <v>427</v>
      </c>
      <c r="BH1" s="329" t="s">
        <v>428</v>
      </c>
      <c r="BI1" s="329" t="s">
        <v>429</v>
      </c>
      <c r="BJ1" s="329" t="s">
        <v>430</v>
      </c>
      <c r="BK1" s="329" t="s">
        <v>431</v>
      </c>
      <c r="BL1" s="329" t="s">
        <v>432</v>
      </c>
      <c r="BM1" s="329" t="s">
        <v>433</v>
      </c>
      <c r="BN1" s="329" t="s">
        <v>434</v>
      </c>
      <c r="BO1" s="329" t="s">
        <v>435</v>
      </c>
      <c r="BP1" s="329" t="s">
        <v>436</v>
      </c>
      <c r="BQ1" s="329" t="s">
        <v>437</v>
      </c>
      <c r="BR1" s="329" t="s">
        <v>438</v>
      </c>
      <c r="BS1" s="329" t="s">
        <v>439</v>
      </c>
      <c r="BT1" s="329" t="s">
        <v>440</v>
      </c>
      <c r="BU1" s="329" t="s">
        <v>441</v>
      </c>
      <c r="BV1" s="329" t="s">
        <v>442</v>
      </c>
      <c r="BW1" s="329" t="s">
        <v>443</v>
      </c>
      <c r="BX1" s="329" t="s">
        <v>444</v>
      </c>
      <c r="BY1" s="329" t="s">
        <v>445</v>
      </c>
      <c r="BZ1" s="329" t="s">
        <v>446</v>
      </c>
      <c r="CA1" s="355" t="s">
        <v>447</v>
      </c>
      <c r="CB1" s="355" t="s">
        <v>448</v>
      </c>
      <c r="CC1" s="355" t="s">
        <v>449</v>
      </c>
      <c r="CD1" s="355" t="s">
        <v>450</v>
      </c>
      <c r="CE1" s="355" t="s">
        <v>451</v>
      </c>
      <c r="CF1" s="355" t="s">
        <v>452</v>
      </c>
      <c r="CG1" s="329" t="s">
        <v>453</v>
      </c>
      <c r="CH1" s="329" t="s">
        <v>454</v>
      </c>
      <c r="CI1" s="329" t="s">
        <v>455</v>
      </c>
      <c r="CJ1" s="329" t="s">
        <v>456</v>
      </c>
      <c r="CK1" s="329" t="s">
        <v>457</v>
      </c>
      <c r="CL1" s="329" t="s">
        <v>458</v>
      </c>
      <c r="CM1" s="329" t="s">
        <v>459</v>
      </c>
      <c r="CN1" s="329" t="s">
        <v>460</v>
      </c>
      <c r="CO1" s="329" t="s">
        <v>461</v>
      </c>
      <c r="CP1" s="329" t="s">
        <v>462</v>
      </c>
      <c r="CQ1" s="329" t="s">
        <v>463</v>
      </c>
      <c r="CR1" s="329" t="s">
        <v>464</v>
      </c>
      <c r="CS1" s="329" t="s">
        <v>465</v>
      </c>
      <c r="CT1" s="329" t="s">
        <v>466</v>
      </c>
      <c r="CU1" s="329" t="s">
        <v>467</v>
      </c>
      <c r="CV1" s="329" t="s">
        <v>468</v>
      </c>
      <c r="CW1" s="329" t="s">
        <v>469</v>
      </c>
      <c r="CX1" s="329" t="s">
        <v>470</v>
      </c>
      <c r="CY1" s="329" t="s">
        <v>471</v>
      </c>
      <c r="CZ1" s="329" t="s">
        <v>472</v>
      </c>
      <c r="DA1" s="329" t="s">
        <v>473</v>
      </c>
      <c r="DB1" s="329" t="s">
        <v>474</v>
      </c>
      <c r="DC1" s="329" t="s">
        <v>475</v>
      </c>
      <c r="DD1" s="329" t="s">
        <v>476</v>
      </c>
      <c r="DE1" s="329" t="s">
        <v>477</v>
      </c>
      <c r="DF1" s="329" t="s">
        <v>478</v>
      </c>
      <c r="DG1" s="329" t="s">
        <v>479</v>
      </c>
      <c r="DH1" s="329" t="s">
        <v>480</v>
      </c>
      <c r="DI1" s="329" t="s">
        <v>481</v>
      </c>
    </row>
    <row r="2" spans="1:113" ht="15" customHeight="1" x14ac:dyDescent="0.2">
      <c r="A2" s="331" t="s">
        <v>1728</v>
      </c>
      <c r="B2" s="330" t="s">
        <v>502</v>
      </c>
      <c r="C2" s="330" t="s">
        <v>1610</v>
      </c>
      <c r="D2" s="233" t="str">
        <f>IF(ISNUMBER(SEARCH("heavy",B2))=TRUE,"2.25",
IF(ISNUMBER(SEARCH("medium",B2))=TRUE,"1.5",
IF(ISNUMBER(SEARCH("light",B2))=TRUE,"0.75")))</f>
        <v>2.25</v>
      </c>
      <c r="E2" s="154">
        <v>6</v>
      </c>
      <c r="F2" s="234" t="str" cm="1">
        <f t="array" ref="F2">IF(AND(ISNUMBER(SEARCH("H-Dsty.H-Res",$B2))=TRUE,ISNUMBER(SEARCH("E.",$B2))=TRUE,OR(ISNUMBER(SEARCH("heavy",$B2)),ISNUMBER(SEARCH("MEDIUM",$B2)))=TRUE),INDEX(croprotn_HDHR_E_h,MATCH(RIGHT($F$1,1),rotation_heavy,0)),
IF(AND(ISNUMBER(SEARCH("H-Dsty.H-Res",$B2))=TRUE,ISNUMBER(SEARCH("N.",$B2))=TRUE,OR(ISNUMBER(SEARCH("heavy",$B2)),ISNUMBER(SEARCH("MEDIUM",$B2)))=TRUE),INDEX(croprotn_HDHR_N_h,MATCH(RIGHT($F$1,1),rotation_heavy,0)),
IF(AND(ISNUMBER(SEARCH("H-Dsty.H-Res",$B2))=TRUE,ISNUMBER(SEARCH("C.",$B2))=TRUE,OR(ISNUMBER(SEARCH("heavy",$B2)),ISNUMBER(SEARCH("MEDIUM",$B2)))=TRUE),INDEX(croprotn_HDHR_C_h,MATCH(RIGHT($F$1,1),rotation_heavy,0)),
IF(AND(ISNUMBER(SEARCH("L-Dsty.H-Res",$B2))=TRUE,ISNUMBER(SEARCH("E.",$B2))=TRUE,OR(ISNUMBER(SEARCH("heavy",$B2)),ISNUMBER(SEARCH("MEDIUM",$B2)))=TRUE),INDEX(croprotn_LDHR_E_h,MATCH(RIGHT($F$1,1),rotation_heavy,0)),
IF(AND(ISNUMBER(SEARCH("L-Dsty.H-Res",$B2))=TRUE,ISNUMBER(SEARCH("N.",$B2))=TRUE,OR(ISNUMBER(SEARCH("heavy",$B2)),ISNUMBER(SEARCH("MEDIUM",$B2)))=TRUE),INDEX(croprotn_LDHR_N_h,MATCH(RIGHT($F$1,1),rotation_heavy,0)),
IF(AND(ISNUMBER(SEARCH("L-Dsty.H-Res",$B2))=TRUE,ISNUMBER(SEARCH("C.",$B2))=TRUE,OR(ISNUMBER(SEARCH("heavy",$B2)),ISNUMBER(SEARCH("MEDIUM",$B2)))=TRUE),INDEX(croprotn_LDHR_C_h,MATCH(RIGHT($F$1,1),rotation_heavy,0)),
IF(AND(ISNUMBER(SEARCH("L-Dsty.L-Res",$B2))=TRUE,ISNUMBER(SEARCH("E.",$B2))=TRUE,OR(ISNUMBER(SEARCH("heavy",$B2)),ISNUMBER(SEARCH("MEDIUM",$B2)))=TRUE),INDEX(croprotn_LDLR_E_h,MATCH(RIGHT($F$1,1),rotation_heavy,0)),
IF(AND(ISNUMBER(SEARCH("L-Dsty.L-Res",$B2))=TRUE,ISNUMBER(SEARCH("N.",$B2))=TRUE,OR(ISNUMBER(SEARCH("heavy",$B2)),ISNUMBER(SEARCH("MEDIUM",$B2)))=TRUE),INDEX(croprotn_LDLR_N_h,MATCH(RIGHT($F$1,1),rotation_heavy,0)),
IF(AND(ISNUMBER(SEARCH("L-Dsty.L-Res",$B2))=TRUE,ISNUMBER(SEARCH("C.",$B2))=TRUE,OR(ISNUMBER(SEARCH("heavy",$B2)),ISNUMBER(SEARCH("MEDIUM",$B2)))=TRUE),INDEX(croprotn_LDLR_C_h,MATCH(RIGHT($F$1,1),rotation_heavy,0)),
IF(AND(ISNUMBER(SEARCH("H-Dsty.H-Res",$B2))=TRUE,ISNUMBER(SEARCH("E.",$B2))=TRUE,ISNUMBER(SEARCH("light",$B2))=TRUE),INDEX(croprotn_HDHR_E_l,MATCH(RIGHT($F$1,1),rotation_light,0)),
IF(AND(ISNUMBER(SEARCH("H-Dsty.H-Res",$B2))=TRUE,ISNUMBER(SEARCH("N.",$B2))=TRUE,ISNUMBER(SEARCH("light",$B2))=TRUE),INDEX(croprotn_HDHR_N_l,MATCH(RIGHT($F$1,1),rotation_light,0)),
IF(AND(ISNUMBER(SEARCH("H-Dsty.H-Res",$B2))=TRUE,ISNUMBER(SEARCH("C.",$B2))=TRUE,ISNUMBER(SEARCH("light",$B2))=TRUE),INDEX(croprotn_HDHR_C_l,MATCH(RIGHT($F$1,1),rotation_light,0)),
IF(AND(ISNUMBER(SEARCH("L-Dsty.H-Res",$B2))=TRUE,ISNUMBER(SEARCH("E.",$B2))=TRUE,ISNUMBER(SEARCH("light",$B2))=TRUE),INDEX(croprotn_LDHR_E_l,MATCH(RIGHT($F$1,1),rotation_light,0)),
IF(AND(ISNUMBER(SEARCH("L-Dsty.H-Res",$B2))=TRUE,ISNUMBER(SEARCH("N.",$B2))=TRUE,ISNUMBER(SEARCH("light",$B2))=TRUE),INDEX(croprotn_LDHR_N_l,MATCH(RIGHT($F$1,1),rotation_light,0)),
IF(AND(ISNUMBER(SEARCH("L-Dsty.H-Res",$B2))=TRUE,ISNUMBER(SEARCH("C.",$B2))=TRUE,ISNUMBER(SEARCH("light",$B2))=TRUE),INDEX(croprotn_LDHR_C_l,MATCH(RIGHT($F$1,1),rotation_light,0)),
IF(AND(ISNUMBER(SEARCH("L-Dsty.L-Res",$B2))=TRUE,ISNUMBER(SEARCH("E.",$B2))=TRUE,ISNUMBER(SEARCH("light",$B2))=TRUE),INDEX(croprotn_LDLR_E_l,MATCH(RIGHT($F$1,1),rotation_light,0)),
IF(AND(ISNUMBER(SEARCH("L-Dsty.L-Res",$B2))=TRUE,ISNUMBER(SEARCH("N.",$B2))=TRUE,ISNUMBER(SEARCH("light",$B2))=TRUE),INDEX(croprotn_LDLR_N_l,MATCH(RIGHT($F$1,1),rotation_light,0)),
IF(AND(ISNUMBER(SEARCH("L-Dsty.L-Res",$B2))=TRUE,ISNUMBER(SEARCH("C.",$B2))=TRUE,ISNUMBER(SEARCH("light",$B2))=TRUE),INDEX(croprotn_LDLR_C_l,MATCH(RIGHT($F$1,1),rotation_light,0))
))))))))))))))))))</f>
        <v>springlinseed</v>
      </c>
      <c r="G2" s="234" t="str">
        <f t="shared" ref="G2:G7" si="0">IF(AND(ISNUMBER(SEARCH("H-Dsty.H-Res",$B2))=TRUE,ISNUMBER(SEARCH("E.",$B2))=TRUE,OR(ISNUMBER(SEARCH("heavy",$B2)),ISNUMBER(SEARCH("MEDIUM",$B2)))=TRUE),INDEX(croprotn_HDHR_E_h,MATCH(RIGHT($G$1,1),rotation_heavy,0)),
IF(AND(ISNUMBER(SEARCH("H-Dsty.H-Res",$B2))=TRUE,ISNUMBER(SEARCH("N.",$B2))=TRUE,OR(ISNUMBER(SEARCH("heavy",$B2)),ISNUMBER(SEARCH("MEDIUM",$B2)))=TRUE),INDEX(croprotn_HDHR_N_h,MATCH(RIGHT($G$1,1),rotation_heavy,0)),
IF(AND(ISNUMBER(SEARCH("H-Dsty.H-Res",$B2))=TRUE,ISNUMBER(SEARCH("C.",$B2))=TRUE,OR(ISNUMBER(SEARCH("heavy",$B2)),ISNUMBER(SEARCH("MEDIUM",$B2)))=TRUE),INDEX(croprotn_HDHR_C_h,MATCH(RIGHT($G$1,1),rotation_heavy,0)),
IF(AND(ISNUMBER(SEARCH("L-Dsty.H-Res",$B2))=TRUE,ISNUMBER(SEARCH("E.",$B2))=TRUE,OR(ISNUMBER(SEARCH("heavy",$B2)),ISNUMBER(SEARCH("MEDIUM",$B2)))=TRUE),INDEX(croprotn_LDHR_E_h,MATCH(RIGHT($G$1,1),rotation_heavy,0)),
IF(AND(ISNUMBER(SEARCH("L-Dsty.H-Res",$B2))=TRUE,ISNUMBER(SEARCH("N.",$B2))=TRUE,OR(ISNUMBER(SEARCH("heavy",$B2)),ISNUMBER(SEARCH("MEDIUM",$B2)))=TRUE),INDEX(croprotn_LDHR_N_h,MATCH(RIGHT($G$1,1),rotation_heavy,0)),
IF(AND(ISNUMBER(SEARCH("L-Dsty.H-Res",$B2))=TRUE,ISNUMBER(SEARCH("C.",$B2))=TRUE,OR(ISNUMBER(SEARCH("heavy",$B2)),ISNUMBER(SEARCH("MEDIUM",$B2)))=TRUE),INDEX(croprotn_LDHR_C_h,MATCH(RIGHT($G$1,1),rotation_heavy,0)),
IF(AND(ISNUMBER(SEARCH("L-Dsty.L-Res",$B2))=TRUE,ISNUMBER(SEARCH("E.",$B2))=TRUE,OR(ISNUMBER(SEARCH("heavy",$B2)),ISNUMBER(SEARCH("MEDIUM",$B2)))=TRUE),INDEX(croprotn_LDLR_E_h,MATCH(RIGHT($G$1,1),rotation_heavy,0)),
IF(AND(ISNUMBER(SEARCH("L-Dsty.L-Res",$B2))=TRUE,ISNUMBER(SEARCH("N.",$B2))=TRUE,OR(ISNUMBER(SEARCH("heavy",$B2)),ISNUMBER(SEARCH("MEDIUM",$B2)))=TRUE),INDEX(croprotn_LDLR_N_h,MATCH(RIGHT($G$1,1),rotation_heavy,0)),
IF(AND(ISNUMBER(SEARCH("L-Dsty.L-Res",$B2))=TRUE,ISNUMBER(SEARCH("C.",$B2))=TRUE,OR(ISNUMBER(SEARCH("heavy",$B2)),ISNUMBER(SEARCH("MEDIUM",$B2)))=TRUE),INDEX(croprotn_LDLR_C_h,MATCH(RIGHT($G$1,1),rotation_heavy,0)),
IF(AND(ISNUMBER(SEARCH("H-Dsty.H-Res",$B2))=TRUE,ISNUMBER(SEARCH("E.",$B2))=TRUE,ISNUMBER(SEARCH("light",$B2))=TRUE),INDEX(croprotn_HDHR_E_l,MATCH(RIGHT($G$1,1),rotation_light,0)),
IF(AND(ISNUMBER(SEARCH("H-Dsty.H-Res",$B2))=TRUE,ISNUMBER(SEARCH("N.",$B2))=TRUE,ISNUMBER(SEARCH("light",$B2))=TRUE),INDEX(croprotn_HDHR_N_l,MATCH(RIGHT($G$1,1),rotation_light,0)),
IF(AND(ISNUMBER(SEARCH("H-Dsty.H-Res",$B2))=TRUE,ISNUMBER(SEARCH("C.",$B2))=TRUE,ISNUMBER(SEARCH("light",$B2))=TRUE),INDEX(croprotn_HDHR_C_l,MATCH(RIGHT($G$1,1),rotation_light,0)),
IF(AND(ISNUMBER(SEARCH("L-Dsty.H-Res",$B2))=TRUE,ISNUMBER(SEARCH("E.",$B2))=TRUE,ISNUMBER(SEARCH("light",$B2))=TRUE),INDEX(croprotn_LDHR_E_l,MATCH(RIGHT($G$1,1),rotation_light,0)),
IF(AND(ISNUMBER(SEARCH("L-Dsty.H-Res",$B2))=TRUE,ISNUMBER(SEARCH("N.",$B2))=TRUE,ISNUMBER(SEARCH("light",$B2))=TRUE),INDEX(croprotn_LDHR_N_l,MATCH(RIGHT($G$1,1),rotation_light,0)),
IF(AND(ISNUMBER(SEARCH("L-Dsty.H-Res",$B2))=TRUE,ISNUMBER(SEARCH("C.",$B2))=TRUE,ISNUMBER(SEARCH("light",$B2))=TRUE),INDEX(croprotn_LDHR_C_l,MATCH(RIGHT($G$1,1),rotation_light,0)),
IF(AND(ISNUMBER(SEARCH("L-Dsty.L-Res",$B2))=TRUE,ISNUMBER(SEARCH("E.",$B2))=TRUE,ISNUMBER(SEARCH("light",$B2))=TRUE),INDEX(croprotn_LDLR_E_l,MATCH(RIGHT($G$1,1),rotation_light,0)),
IF(AND(ISNUMBER(SEARCH("L-Dsty.L-Res",$B2))=TRUE,ISNUMBER(SEARCH("N.",$B2))=TRUE,ISNUMBER(SEARCH("light",$B2))=TRUE),INDEX(croprotn_LDLR_N_l,MATCH(RIGHT($G$1,1),rotation_light,0)),
IF(AND(ISNUMBER(SEARCH("L-Dsty.L-Res",$B2))=TRUE,ISNUMBER(SEARCH("C.",$B2))=TRUE,ISNUMBER(SEARCH("light",$B2))=TRUE),INDEX(croprotn_LDLR_C_l,MATCH(RIGHT($G$1,1),rotation_light,0))
))))))))))))))))))</f>
        <v>springbeans</v>
      </c>
      <c r="H2" s="234" t="str">
        <f t="shared" ref="H2:H33" si="1">IF(AND(ISNUMBER(SEARCH("H-Dsty.H-Res",$B2))=TRUE,ISNUMBER(SEARCH("E.",$B2))=TRUE,OR(ISNUMBER(SEARCH("heavy",$B2)),ISNUMBER(SEARCH("MEDIUM",$B2)))=TRUE),INDEX(croprotn_HDHR_E_h,MATCH(RIGHT($H$1,1),rotation_heavy,0)),
IF(AND(ISNUMBER(SEARCH("H-Dsty.H-Res",$B2))=TRUE,ISNUMBER(SEARCH("N.",$B2))=TRUE,OR(ISNUMBER(SEARCH("heavy",$B2)),ISNUMBER(SEARCH("MEDIUM",$B2)))=TRUE),INDEX(croprotn_HDHR_N_h,MATCH(RIGHT($H$1,1),rotation_heavy,0)),
IF(AND(ISNUMBER(SEARCH("H-Dsty.H-Res",$B2))=TRUE,ISNUMBER(SEARCH("C.",$B2))=TRUE,OR(ISNUMBER(SEARCH("heavy",$B2)),ISNUMBER(SEARCH("MEDIUM",$B2)))=TRUE),INDEX(croprotn_HDHR_C_h,MATCH(RIGHT($H$1,1),rotation_heavy,0)),
IF(AND(ISNUMBER(SEARCH("L-Dsty.H-Res",$B2))=TRUE,ISNUMBER(SEARCH("E.",$B2))=TRUE,OR(ISNUMBER(SEARCH("heavy",$B2)),ISNUMBER(SEARCH("MEDIUM",$B2)))=TRUE),INDEX(croprotn_LDHR_E_h,MATCH(RIGHT($H$1,1),rotation_heavy,0)),
IF(AND(ISNUMBER(SEARCH("L-Dsty.H-Res",$B2))=TRUE,ISNUMBER(SEARCH("N.",$B2))=TRUE,OR(ISNUMBER(SEARCH("heavy",$B2)),ISNUMBER(SEARCH("MEDIUM",$B2)))=TRUE),INDEX(croprotn_LDHR_N_h,MATCH(RIGHT($H$1,1),rotation_heavy,0)),
IF(AND(ISNUMBER(SEARCH("L-Dsty.H-Res",$B2))=TRUE,ISNUMBER(SEARCH("C.",$B2))=TRUE,OR(ISNUMBER(SEARCH("heavy",$B2)),ISNUMBER(SEARCH("MEDIUM",$B2)))=TRUE),INDEX(croprotn_LDHR_C_h,MATCH(RIGHT($H$1,1),rotation_heavy,0)),
IF(AND(ISNUMBER(SEARCH("L-Dsty.L-Res",$B2))=TRUE,ISNUMBER(SEARCH("E.",$B2))=TRUE,OR(ISNUMBER(SEARCH("heavy",$B2)),ISNUMBER(SEARCH("MEDIUM",$B2)))=TRUE),INDEX(croprotn_LDLR_E_h,MATCH(RIGHT($H$1,1),rotation_heavy,0)),
IF(AND(ISNUMBER(SEARCH("L-Dsty.L-Res",$B2))=TRUE,ISNUMBER(SEARCH("N.",$B2))=TRUE,OR(ISNUMBER(SEARCH("heavy",$B2)),ISNUMBER(SEARCH("MEDIUM",$B2)))=TRUE),INDEX(croprotn_LDLR_N_h,MATCH(RIGHT($H$1,1),rotation_heavy,0)),
IF(AND(ISNUMBER(SEARCH("L-Dsty.L-Res",$B2))=TRUE,ISNUMBER(SEARCH("C.",$B2))=TRUE,OR(ISNUMBER(SEARCH("heavy",$B2)),ISNUMBER(SEARCH("MEDIUM",$B2)))=TRUE),INDEX(croprotn_LDLR_C_h,MATCH(RIGHT($H$1,1),rotation_heavy,0)),
IF(AND(ISNUMBER(SEARCH("H-Dsty.H-Res",$B2))=TRUE,ISNUMBER(SEARCH("E.",$B2))=TRUE,ISNUMBER(SEARCH("light",$B2))=TRUE),INDEX(croprotn_HDHR_E_l,MATCH(RIGHT($H$1,1),rotation_light,0)),
IF(AND(ISNUMBER(SEARCH("H-Dsty.H-Res",$B2))=TRUE,ISNUMBER(SEARCH("N.",$B2))=TRUE,ISNUMBER(SEARCH("light",$B2))=TRUE),INDEX(croprotn_HDHR_N_l,MATCH(RIGHT($H$1,1),rotation_light,0)),
IF(AND(ISNUMBER(SEARCH("H-Dsty.H-Res",$B2))=TRUE,ISNUMBER(SEARCH("C.",$B2))=TRUE,ISNUMBER(SEARCH("light",$B2))=TRUE),INDEX(croprotn_HDHR_C_l,MATCH(RIGHT($H$1,1),rotation_light,0)),
IF(AND(ISNUMBER(SEARCH("L-Dsty.H-Res",$B2))=TRUE,ISNUMBER(SEARCH("E.",$B2))=TRUE,ISNUMBER(SEARCH("light",$B2))=TRUE),INDEX(croprotn_LDHR_E_l,MATCH(RIGHT($H$1,1),rotation_light,0)),
IF(AND(ISNUMBER(SEARCH("L-Dsty.H-Res",$B2))=TRUE,ISNUMBER(SEARCH("N.",$B2))=TRUE,ISNUMBER(SEARCH("light",$B2))=TRUE),INDEX(croprotn_LDHR_N_l,MATCH(RIGHT($H$1,1),rotation_light,0)),
IF(AND(ISNUMBER(SEARCH("L-Dsty.H-Res",$B2))=TRUE,ISNUMBER(SEARCH("C.",$B2))=TRUE,ISNUMBER(SEARCH("light",$B2))=TRUE),INDEX(croprotn_LDHR_C_l,MATCH(RIGHT($H$1,1),rotation_light,0)),
IF(AND(ISNUMBER(SEARCH("L-Dsty.L-Res",$B2))=TRUE,ISNUMBER(SEARCH("E.",$B2))=TRUE,ISNUMBER(SEARCH("light",$B2))=TRUE),INDEX(croprotn_LDLR_E_l,MATCH(RIGHT($H$1,1),rotation_light,0)),
IF(AND(ISNUMBER(SEARCH("L-Dsty.L-Res",$B2))=TRUE,ISNUMBER(SEARCH("N.",$B2))=TRUE,ISNUMBER(SEARCH("light",$B2))=TRUE),INDEX(croprotn_LDLR_N_l,MATCH(RIGHT($H$1,1),rotation_light,0)),
IF(AND(ISNUMBER(SEARCH("L-Dsty.L-Res",$B2))=TRUE,ISNUMBER(SEARCH("C.",$B2))=TRUE,ISNUMBER(SEARCH("light",$B2))=TRUE),INDEX(croprotn_LDLR_C_l,MATCH(RIGHT($H$1,1),rotation_light,0))
))))))))))))))))))</f>
        <v>winterwheat</v>
      </c>
      <c r="I2" s="344" t="str">
        <f t="shared" ref="I2:I33" si="2">IF(AND(ISNUMBER(SEARCH("H-Dsty.H-Res",$B2))=TRUE,ISNUMBER(SEARCH("E.",$B2))=TRUE,OR(ISNUMBER(SEARCH("heavy",$B2)),ISNUMBER(SEARCH("MEDIUM",$B2)))=TRUE),INDEX(croprotn_HDHR_E_h,MATCH(RIGHT($I$1,1),rotation_heavy,0)),
IF(AND(ISNUMBER(SEARCH("H-Dsty.H-Res",$B2))=TRUE,ISNUMBER(SEARCH("N.",$B2))=TRUE,OR(ISNUMBER(SEARCH("heavy",$B2)),ISNUMBER(SEARCH("MEDIUM",$B2)))=TRUE),INDEX(croprotn_HDHR_N_h,MATCH(RIGHT($I$1,1),rotation_heavy,0)),
IF(AND(ISNUMBER(SEARCH("H-Dsty.H-Res",$B2))=TRUE,ISNUMBER(SEARCH("C.",$B2))=TRUE,OR(ISNUMBER(SEARCH("heavy",$B2)),ISNUMBER(SEARCH("MEDIUM",$B2)))=TRUE),INDEX(croprotn_HDHR_C_h,MATCH(RIGHT($I$1,1),rotation_heavy,0)),
IF(AND(ISNUMBER(SEARCH("L-Dsty.H-Res",$B2))=TRUE,ISNUMBER(SEARCH("E.",$B2))=TRUE,OR(ISNUMBER(SEARCH("heavy",$B2)),ISNUMBER(SEARCH("MEDIUM",$B2)))=TRUE),INDEX(croprotn_LDHR_E_h,MATCH(RIGHT($I$1,1),rotation_heavy,0)),
IF(AND(ISNUMBER(SEARCH("L-Dsty.H-Res",$B2))=TRUE,ISNUMBER(SEARCH("N.",$B2))=TRUE,OR(ISNUMBER(SEARCH("heavy",$B2)),ISNUMBER(SEARCH("MEDIUM",$B2)))=TRUE),INDEX(croprotn_LDHR_N_h,MATCH(RIGHT($I$1,1),rotation_heavy,0)),
IF(AND(ISNUMBER(SEARCH("L-Dsty.H-Res",$B2))=TRUE,ISNUMBER(SEARCH("C.",$B2))=TRUE,OR(ISNUMBER(SEARCH("heavy",$B2)),ISNUMBER(SEARCH("MEDIUM",$B2)))=TRUE),INDEX(croprotn_LDHR_C_h,MATCH(RIGHT($I$1,1),rotation_heavy,0)),
IF(AND(ISNUMBER(SEARCH("L-Dsty.L-Res",$B2))=TRUE,ISNUMBER(SEARCH("E.",$B2))=TRUE,OR(ISNUMBER(SEARCH("heavy",$B2)),ISNUMBER(SEARCH("MEDIUM",$B2)))=TRUE),INDEX(croprotn_LDLR_E_h,MATCH(RIGHT($I$1,1),rotation_heavy,0)),
IF(AND(ISNUMBER(SEARCH("L-Dsty.L-Res",$B2))=TRUE,ISNUMBER(SEARCH("N.",$B2))=TRUE,OR(ISNUMBER(SEARCH("heavy",$B2)),ISNUMBER(SEARCH("MEDIUM",$B2)))=TRUE),INDEX(croprotn_LDLR_N_h,MATCH(RIGHT($I$1,1),rotation_heavy,0)),
IF(AND(ISNUMBER(SEARCH("L-Dsty.L-Res",$B2))=TRUE,ISNUMBER(SEARCH("C.",$B2))=TRUE,OR(ISNUMBER(SEARCH("heavy",$B2)),ISNUMBER(SEARCH("MEDIUM",$B2)))=TRUE),INDEX(croprotn_LDLR_C_h,MATCH(RIGHT($I$1,1),rotation_heavy,0)),
IF(AND(ISNUMBER(SEARCH("H-Dsty.H-Res",$B2))=TRUE,ISNUMBER(SEARCH("E.",$B2))=TRUE,ISNUMBER(SEARCH("light",$B2))=TRUE),INDEX(croprotn_HDHR_E_l,MATCH(RIGHT($I$1,1),rotation_light,0)),
IF(AND(ISNUMBER(SEARCH("H-Dsty.H-Res",$B2))=TRUE,ISNUMBER(SEARCH("N.",$B2))=TRUE,ISNUMBER(SEARCH("light",$B2))=TRUE),INDEX(croprotn_HDHR_N_l,MATCH(RIGHT($I$1,1),rotation_light,0)),
IF(AND(ISNUMBER(SEARCH("H-Dsty.H-Res",$B2))=TRUE,ISNUMBER(SEARCH("C.",$B2))=TRUE,ISNUMBER(SEARCH("light",$B2))=TRUE),INDEX(croprotn_HDHR_C_l,MATCH(RIGHT($I$1,1),rotation_light,0)),
IF(AND(ISNUMBER(SEARCH("L-Dsty.H-Res",$B2))=TRUE,ISNUMBER(SEARCH("E.",$B2))=TRUE,ISNUMBER(SEARCH("light",$B2))=TRUE),INDEX(croprotn_LDHR_E_l,MATCH(RIGHT($I$1,1),rotation_light,0)),
IF(AND(ISNUMBER(SEARCH("L-Dsty.H-Res",$B2))=TRUE,ISNUMBER(SEARCH("N.",$B2))=TRUE,ISNUMBER(SEARCH("light",$B2))=TRUE),INDEX(croprotn_LDHR_N_l,MATCH(RIGHT($I$1,1),rotation_light,0)),
IF(AND(ISNUMBER(SEARCH("L-Dsty.H-Res",$B2))=TRUE,ISNUMBER(SEARCH("C.",$B2))=TRUE,ISNUMBER(SEARCH("light",$B2))=TRUE),INDEX(croprotn_LDHR_C_l,MATCH(RIGHT($I$1,1),rotation_light,0)),
IF(AND(ISNUMBER(SEARCH("L-Dsty.L-Res",$B2))=TRUE,ISNUMBER(SEARCH("E.",$B2))=TRUE,ISNUMBER(SEARCH("light",$B2))=TRUE),INDEX(croprotn_LDLR_E_l,MATCH(RIGHT($I$1,1),rotation_light,0)),
IF(AND(ISNUMBER(SEARCH("L-Dsty.L-Res",$B2))=TRUE,ISNUMBER(SEARCH("N.",$B2))=TRUE,ISNUMBER(SEARCH("light",$B2))=TRUE),INDEX(croprotn_LDLR_N_l,MATCH(RIGHT($I$1,1),rotation_light,0)),
IF(AND(ISNUMBER(SEARCH("L-Dsty.L-Res",$B2))=TRUE,ISNUMBER(SEARCH("C.",$B2))=TRUE,ISNUMBER(SEARCH("light",$B2))=TRUE),INDEX(croprotn_LDLR_C_l,MATCH(RIGHT($I$1,1),rotation_light,0))
))))))))))))))))))</f>
        <v>springoats</v>
      </c>
      <c r="J2" s="234" t="str">
        <f t="shared" ref="J2:J33" si="3">IF(AND(ISNUMBER(SEARCH("H-Dsty.H-Res",$B2))=TRUE,ISNUMBER(SEARCH("E.",$B2))=TRUE,OR(ISNUMBER(SEARCH("heavy",$B2)),ISNUMBER(SEARCH("MEDIUM",$B2)))=TRUE),INDEX(croprotn_HDHR_E_h,MATCH(RIGHT($J$1,1),rotation_heavy,0)),
IF(AND(ISNUMBER(SEARCH("H-Dsty.H-Res",$B2))=TRUE,ISNUMBER(SEARCH("N.",$B2))=TRUE,OR(ISNUMBER(SEARCH("heavy",$B2)),ISNUMBER(SEARCH("MEDIUM",$B2)))=TRUE),INDEX(croprotn_HDHR_N_h,MATCH(RIGHT($J$1,1),rotation_heavy,0)),
IF(AND(ISNUMBER(SEARCH("H-Dsty.H-Res",$B2))=TRUE,ISNUMBER(SEARCH("C.",$B2))=TRUE,OR(ISNUMBER(SEARCH("heavy",$B2)),ISNUMBER(SEARCH("MEDIUM",$B2)))=TRUE),INDEX(croprotn_HDHR_C_h,MATCH(RIGHT($J$1,1),rotation_heavy,0)),
IF(AND(ISNUMBER(SEARCH("L-Dsty.H-Res",$B2))=TRUE,ISNUMBER(SEARCH("E.",$B2))=TRUE,OR(ISNUMBER(SEARCH("heavy",$B2)),ISNUMBER(SEARCH("MEDIUM",$B2)))=TRUE),INDEX(croprotn_LDHR_E_h,MATCH(RIGHT($J$1,1),rotation_heavy,0)),
IF(AND(ISNUMBER(SEARCH("L-Dsty.H-Res",$B2))=TRUE,ISNUMBER(SEARCH("N.",$B2))=TRUE,OR(ISNUMBER(SEARCH("heavy",$B2)),ISNUMBER(SEARCH("MEDIUM",$B2)))=TRUE),INDEX(croprotn_LDHR_N_h,MATCH(RIGHT($J$1,1),rotation_heavy,0)),
IF(AND(ISNUMBER(SEARCH("L-Dsty.H-Res",$B2))=TRUE,ISNUMBER(SEARCH("C.",$B2))=TRUE,OR(ISNUMBER(SEARCH("heavy",$B2)),ISNUMBER(SEARCH("MEDIUM",$B2)))=TRUE),INDEX(croprotn_LDHR_C_h,MATCH(RIGHT($J$1,1),rotation_heavy,0)),
IF(AND(ISNUMBER(SEARCH("L-Dsty.L-Res",$B2))=TRUE,ISNUMBER(SEARCH("E.",$B2))=TRUE,OR(ISNUMBER(SEARCH("heavy",$B2)),ISNUMBER(SEARCH("MEDIUM",$B2)))=TRUE),INDEX(croprotn_LDLR_E_h,MATCH(RIGHT($J$1,1),rotation_heavy,0)),
IF(AND(ISNUMBER(SEARCH("L-Dsty.L-Res",$B2))=TRUE,ISNUMBER(SEARCH("N.",$B2))=TRUE,OR(ISNUMBER(SEARCH("heavy",$B2)),ISNUMBER(SEARCH("MEDIUM",$B2)))=TRUE),INDEX(croprotn_LDLR_N_h,MATCH(RIGHT($J$1,1),rotation_heavy,0)),
IF(AND(ISNUMBER(SEARCH("L-Dsty.L-Res",$B2))=TRUE,ISNUMBER(SEARCH("C.",$B2))=TRUE,OR(ISNUMBER(SEARCH("heavy",$B2)),ISNUMBER(SEARCH("MEDIUM",$B2)))=TRUE),INDEX(croprotn_LDLR_C_h,MATCH(RIGHT($J$1,1),rotation_heavy,0)),
IF(AND(ISNUMBER(SEARCH("H-Dsty.H-Res",$B2))=TRUE,ISNUMBER(SEARCH("E.",$B2))=TRUE,ISNUMBER(SEARCH("light",$B2))=TRUE),INDEX(croprotn_HDHR_E_l,MATCH(RIGHT($J$1,1),rotation_light,0)),
IF(AND(ISNUMBER(SEARCH("H-Dsty.H-Res",$B2))=TRUE,ISNUMBER(SEARCH("N.",$B2))=TRUE,ISNUMBER(SEARCH("light",$B2))=TRUE),INDEX(croprotn_HDHR_N_l,MATCH(RIGHT($J$1,1),rotation_light,0)),
IF(AND(ISNUMBER(SEARCH("H-Dsty.H-Res",$B2))=TRUE,ISNUMBER(SEARCH("C.",$B2))=TRUE,ISNUMBER(SEARCH("light",$B2))=TRUE),INDEX(croprotn_HDHR_C_l,MATCH(RIGHT($J$1,1),rotation_light,0)),
IF(AND(ISNUMBER(SEARCH("L-Dsty.H-Res",$B2))=TRUE,ISNUMBER(SEARCH("E.",$B2))=TRUE,ISNUMBER(SEARCH("light",$B2))=TRUE),INDEX(croprotn_LDHR_E_l,MATCH(RIGHT($J$1,1),rotation_light,0)),
IF(AND(ISNUMBER(SEARCH("L-Dsty.H-Res",$B2))=TRUE,ISNUMBER(SEARCH("N.",$B2))=TRUE,ISNUMBER(SEARCH("light",$B2))=TRUE),INDEX(croprotn_LDHR_N_l,MATCH(RIGHT($J$1,1),rotation_light,0)),
IF(AND(ISNUMBER(SEARCH("L-Dsty.H-Res",$B2))=TRUE,ISNUMBER(SEARCH("C.",$B2))=TRUE,ISNUMBER(SEARCH("light",$B2))=TRUE),INDEX(croprotn_LDHR_C_l,MATCH(RIGHT($J$1,1),rotation_light,0)),
IF(AND(ISNUMBER(SEARCH("L-Dsty.L-Res",$B2))=TRUE,ISNUMBER(SEARCH("E.",$B2))=TRUE,ISNUMBER(SEARCH("light",$B2))=TRUE),INDEX(croprotn_LDLR_E_l,MATCH(RIGHT($J$1,1),rotation_light,0)),
IF(AND(ISNUMBER(SEARCH("L-Dsty.L-Res",$B2))=TRUE,ISNUMBER(SEARCH("N.",$B2))=TRUE,ISNUMBER(SEARCH("light",$B2))=TRUE),INDEX(croprotn_LDLR_N_l,MATCH(RIGHT($J$1,1),rotation_light,0)),
IF(AND(ISNUMBER(SEARCH("L-Dsty.L-Res",$B2))=TRUE,ISNUMBER(SEARCH("C.",$B2))=TRUE,ISNUMBER(SEARCH("light",$B2))=TRUE),INDEX(croprotn_LDLR_C_l,MATCH(RIGHT($J$1,1),rotation_light,0))
))))))))))))))))))</f>
        <v>winterwheat</v>
      </c>
      <c r="K2" s="234" t="str">
        <f t="shared" ref="K2:K33" si="4">IF(AND(ISNUMBER(SEARCH("H-Dsty.H-Res",$B2))=TRUE,ISNUMBER(SEARCH("E.",$B2))=TRUE,OR(ISNUMBER(SEARCH("heavy",$B2)),ISNUMBER(SEARCH("MEDIUM",$B2)))=TRUE),INDEX(croprotn_HDHR_E_h,MATCH(RIGHT($K$1,1),rotation_heavy,0)),
IF(AND(ISNUMBER(SEARCH("H-Dsty.H-Res",$B2))=TRUE,ISNUMBER(SEARCH("N.",$B2))=TRUE,OR(ISNUMBER(SEARCH("heavy",$B2)),ISNUMBER(SEARCH("MEDIUM",$B2)))=TRUE),INDEX(croprotn_HDHR_N_h,MATCH(RIGHT($K$1,1),rotation_heavy,0)),
IF(AND(ISNUMBER(SEARCH("H-Dsty.H-Res",$B2))=TRUE,ISNUMBER(SEARCH("C.",$B2))=TRUE,OR(ISNUMBER(SEARCH("heavy",$B2)),ISNUMBER(SEARCH("MEDIUM",$B2)))=TRUE),INDEX(croprotn_HDHR_C_h,MATCH(RIGHT($K$1,1),rotation_heavy,0)),
IF(AND(ISNUMBER(SEARCH("L-Dsty.H-Res",$B2))=TRUE,ISNUMBER(SEARCH("E.",$B2))=TRUE,OR(ISNUMBER(SEARCH("heavy",$B2)),ISNUMBER(SEARCH("MEDIUM",$B2)))=TRUE),INDEX(croprotn_LDHR_E_h,MATCH(RIGHT($K$1,1),rotation_heavy,0)),
IF(AND(ISNUMBER(SEARCH("L-Dsty.H-Res",$B2))=TRUE,ISNUMBER(SEARCH("N.",$B2))=TRUE,OR(ISNUMBER(SEARCH("heavy",$B2)),ISNUMBER(SEARCH("MEDIUM",$B2)))=TRUE),INDEX(croprotn_LDHR_N_h,MATCH(RIGHT($K$1,1),rotation_heavy,0)),
IF(AND(ISNUMBER(SEARCH("L-Dsty.H-Res",$B2))=TRUE,ISNUMBER(SEARCH("C.",$B2))=TRUE,OR(ISNUMBER(SEARCH("heavy",$B2)),ISNUMBER(SEARCH("MEDIUM",$B2)))=TRUE),INDEX(croprotn_LDHR_C_h,MATCH(RIGHT($K$1,1),rotation_heavy,0)),
IF(AND(ISNUMBER(SEARCH("L-Dsty.L-Res",$B2))=TRUE,ISNUMBER(SEARCH("E.",$B2))=TRUE,OR(ISNUMBER(SEARCH("heavy",$B2)),ISNUMBER(SEARCH("MEDIUM",$B2)))=TRUE),INDEX(croprotn_LDLR_E_h,MATCH(RIGHT($K$1,1),rotation_heavy,0)),
IF(AND(ISNUMBER(SEARCH("L-Dsty.L-Res",$B2))=TRUE,ISNUMBER(SEARCH("N.",$B2))=TRUE,OR(ISNUMBER(SEARCH("heavy",$B2)),ISNUMBER(SEARCH("MEDIUM",$B2)))=TRUE),INDEX(croprotn_LDLR_N_h,MATCH(RIGHT($K$1,1),rotation_heavy,0)),
IF(AND(ISNUMBER(SEARCH("L-Dsty.L-Res",$B2))=TRUE,ISNUMBER(SEARCH("C.",$B2))=TRUE,OR(ISNUMBER(SEARCH("heavy",$B2)),ISNUMBER(SEARCH("MEDIUM",$B2)))=TRUE),INDEX(croprotn_LDLR_C_h,MATCH(RIGHT($K$1,1),rotation_heavy,0)),
IF(AND(ISNUMBER(SEARCH("H-Dsty.H-Res",$B2))=TRUE,ISNUMBER(SEARCH("E.",$B2))=TRUE,ISNUMBER(SEARCH("light",$B2))=TRUE),INDEX(croprotn_HDHR_E_l,MATCH(RIGHT($K$1,1),rotation_light,0)),
IF(AND(ISNUMBER(SEARCH("H-Dsty.H-Res",$B2))=TRUE,ISNUMBER(SEARCH("N.",$B2))=TRUE,ISNUMBER(SEARCH("light",$B2))=TRUE),INDEX(croprotn_HDHR_N_l,MATCH(RIGHT($K$1,1),rotation_light,0)),
IF(AND(ISNUMBER(SEARCH("H-Dsty.H-Res",$B2))=TRUE,ISNUMBER(SEARCH("C.",$B2))=TRUE,ISNUMBER(SEARCH("light",$B2))=TRUE),INDEX(croprotn_HDHR_C_l,MATCH(RIGHT($K$1,1),rotation_light,0)),
IF(AND(ISNUMBER(SEARCH("L-Dsty.H-Res",$B2))=TRUE,ISNUMBER(SEARCH("E.",$B2))=TRUE,ISNUMBER(SEARCH("light",$B2))=TRUE),INDEX(croprotn_LDHR_E_l,MATCH(RIGHT($K$1,1),rotation_light,0)),
IF(AND(ISNUMBER(SEARCH("L-Dsty.H-Res",$B2))=TRUE,ISNUMBER(SEARCH("N.",$B2))=TRUE,ISNUMBER(SEARCH("light",$B2))=TRUE),INDEX(croprotn_LDHR_N_l,MATCH(RIGHT($K$1,1),rotation_light,0)),
IF(AND(ISNUMBER(SEARCH("L-Dsty.H-Res",$B2))=TRUE,ISNUMBER(SEARCH("C.",$B2))=TRUE,ISNUMBER(SEARCH("light",$B2))=TRUE),INDEX(croprotn_LDHR_C_l,MATCH(RIGHT($K$1,1),rotation_light,0)),
IF(AND(ISNUMBER(SEARCH("L-Dsty.L-Res",$B2))=TRUE,ISNUMBER(SEARCH("E.",$B2))=TRUE,ISNUMBER(SEARCH("light",$B2))=TRUE),INDEX(croprotn_LDLR_E_l,MATCH(RIGHT($K$1,1),rotation_light,0)),
IF(AND(ISNUMBER(SEARCH("L-Dsty.L-Res",$B2))=TRUE,ISNUMBER(SEARCH("N.",$B2))=TRUE,ISNUMBER(SEARCH("light",$B2))=TRUE),INDEX(croprotn_LDLR_N_l,MATCH(RIGHT($K$1,1),rotation_light,0)),
IF(AND(ISNUMBER(SEARCH("L-Dsty.L-Res",$B2))=TRUE,ISNUMBER(SEARCH("C.",$B2))=TRUE,ISNUMBER(SEARCH("light",$B2))=TRUE),INDEX(croprotn_LDLR_C_l,MATCH(RIGHT($K$1,1),rotation_light,0))
))))))))))))))))))</f>
        <v>springlinseed</v>
      </c>
      <c r="L2" s="154" t="str">
        <f t="shared" ref="L2:L33" si="5">IF(AND(ISNUMBER(SEARCH("H-Dsty.",$B2))=TRUE,ISNUMBER(SEARCH("H-Res",$B2))=TRUE,ISNUMBER(SEARCH("E.",$B2))=TRUE),INDEX(tillage_HDHR_E,MATCH($F2,tillage_CROPS,0)),
IF(AND(ISNUMBER(SEARCH("H-Dsty.",$B2))=TRUE,ISNUMBER(SEARCH("H-Res",$B2))=TRUE,ISNUMBER(SEARCH("N.",$B2))=TRUE),INDEX(tillage_HDHR_N,MATCH($F2,tillage_CROPS,0)),
IF(AND(ISNUMBER(SEARCH("H-Dsty.",$B2))=TRUE,ISNUMBER(SEARCH("H-Res",$B2))=TRUE,ISNUMBER(SEARCH("C.",$B2))=TRUE),INDEX(tillage_HDHR_C,MATCH($F2,tillage_CROPS,0)),
IF(AND(ISNUMBER(SEARCH("L-Dsty.",$B2))=TRUE,ISNUMBER(SEARCH("H-Res",$B2))=TRUE,ISNUMBER(SEARCH("E.",$B2))=TRUE),INDEX(tillage_LDHR_E,MATCH($F2,tillage_CROPS,0)),
IF(AND(ISNUMBER(SEARCH("L-Dsty.",$B2))=TRUE,ISNUMBER(SEARCH("H-Res",$B2))=TRUE,ISNUMBER(SEARCH("N.",$B2))=TRUE),INDEX(tillage_LDHR_N,MATCH($F2,tillage_CROPS,0)),
IF(AND(ISNUMBER(SEARCH("L-Dsty.",$B2))=TRUE,ISNUMBER(SEARCH("H-Res",$B2))=TRUE,ISNUMBER(SEARCH("C.",$B2))=TRUE),INDEX(tillage_LDHR_C,MATCH($F2,tillage_CROPS,0)),
IF(AND(ISNUMBER(SEARCH("L-Dsty.",$B2))=TRUE,ISNUMBER(SEARCH("L-Res",$B2))=TRUE,ISNUMBER(SEARCH("E.",$B2))=TRUE),INDEX(tillage_LDLR_E,MATCH($F2,tillage_CROPS,0)),
IF(AND(ISNUMBER(SEARCH("L-Dsty.",$B2))=TRUE,ISNUMBER(SEARCH("L-Res",$B2))=TRUE,ISNUMBER(SEARCH("N.",$B2))=TRUE),INDEX(tillage_LDLR_N,MATCH($F2,tillage_CROPS,0)),
IF(AND(ISNUMBER(SEARCH("L-Dsty.",$B2))=TRUE,ISNUMBER(SEARCH("L-Res",$B2))=TRUE,ISNUMBER(SEARCH("C.",$B2))=TRUE),INDEX(tillage_LDLR_C,MATCH($F2,tillage_CROPS,0))
)))))))))</f>
        <v>lightcultivation</v>
      </c>
      <c r="M2" s="154" t="str">
        <f t="shared" ref="M2:M33" si="6">IF(AND(ISNUMBER(SEARCH("H-Dsty.",$B2))=TRUE,ISNUMBER(SEARCH("H-Res",$B2))=TRUE,ISNUMBER(SEARCH("E.",$B2))=TRUE),INDEX(tillage_HDHR_E,MATCH($G2,tillage_CROPS,0)),
IF(AND(ISNUMBER(SEARCH("H-Dsty.",$B2))=TRUE,ISNUMBER(SEARCH("H-Res",$B2))=TRUE,ISNUMBER(SEARCH("N.",$B2))=TRUE),INDEX(tillage_HDHR_N,MATCH($G2,tillage_CROPS,0)),
IF(AND(ISNUMBER(SEARCH("H-Dsty.",$B2))=TRUE,ISNUMBER(SEARCH("H-Res",$B2))=TRUE,ISNUMBER(SEARCH("C.",$B2))=TRUE),INDEX(tillage_HDHR_C,MATCH($G2,tillage_CROPS,0)),
IF(AND(ISNUMBER(SEARCH("L-Dsty.",$B2))=TRUE,ISNUMBER(SEARCH("H-Res",$B2))=TRUE,ISNUMBER(SEARCH("E.",$B2))=TRUE),INDEX(tillage_LDHR_E,MATCH($G2,tillage_CROPS,0)),
IF(AND(ISNUMBER(SEARCH("L-Dsty.",$B2))=TRUE,ISNUMBER(SEARCH("H-Res",$B2))=TRUE,ISNUMBER(SEARCH("N.",$B2))=TRUE),INDEX(tillage_LDHR_N,MATCH($G2,tillage_CROPS,0)),
IF(AND(ISNUMBER(SEARCH("L-Dsty.",$B2))=TRUE,ISNUMBER(SEARCH("H-Res",$B2))=TRUE,ISNUMBER(SEARCH("C.",$B2))=TRUE),INDEX(tillage_LDHR_C,MATCH($G2,tillage_CROPS,0)),
IF(AND(ISNUMBER(SEARCH("L-Dsty.",$B2))=TRUE,ISNUMBER(SEARCH("L-Res",$B2))=TRUE,ISNUMBER(SEARCH("E.",$B2))=TRUE),INDEX(tillage_LDLR_E,MATCH($G2,tillage_CROPS,0)),
IF(AND(ISNUMBER(SEARCH("L-Dsty.",$B2))=TRUE,ISNUMBER(SEARCH("L-Res",$B2))=TRUE,ISNUMBER(SEARCH("N.",$B2))=TRUE),INDEX(tillage_LDLR_N,MATCH($G2,tillage_CROPS,0)),
IF(AND(ISNUMBER(SEARCH("L-Dsty.",$B2))=TRUE,ISNUMBER(SEARCH("L-Res",$B2))=TRUE,ISNUMBER(SEARCH("C.",$B2))=TRUE),INDEX(tillage_LDLR_C,MATCH($G2,tillage_CROPS,0))
)))))))))</f>
        <v>subsoiling</v>
      </c>
      <c r="N2" s="154" t="str">
        <f t="shared" ref="N2:N33" si="7">IF(AND(ISNUMBER(SEARCH("H-Dsty.",$B2))=TRUE,ISNUMBER(SEARCH("H-Res",$B2))=TRUE,ISNUMBER(SEARCH("E.",$B2))=TRUE),INDEX(tillage_HDHR_E,MATCH($H2,tillage_CROPS,0)),
IF(AND(ISNUMBER(SEARCH("H-Dsty.",$B2))=TRUE,ISNUMBER(SEARCH("H-Res",$B2))=TRUE,ISNUMBER(SEARCH("N.",$B2))=TRUE),INDEX(tillage_HDHR_N,MATCH($H2,tillage_CROPS,0)),
IF(AND(ISNUMBER(SEARCH("H-Dsty.",$B2))=TRUE,ISNUMBER(SEARCH("H-Res",$B2))=TRUE,ISNUMBER(SEARCH("C.",$B2))=TRUE),INDEX(tillage_HDHR_C,MATCH($H2,tillage_CROPS,0)),
IF(AND(ISNUMBER(SEARCH("L-Dsty.",$B2))=TRUE,ISNUMBER(SEARCH("H-Res",$B2))=TRUE,ISNUMBER(SEARCH("E.",$B2))=TRUE),INDEX(tillage_LDHR_E,MATCH($H2,tillage_CROPS,0)),
IF(AND(ISNUMBER(SEARCH("L-Dsty.",$B2))=TRUE,ISNUMBER(SEARCH("H-Res",$B2))=TRUE,ISNUMBER(SEARCH("N.",$B2))=TRUE),INDEX(tillage_LDHR_N,MATCH($H2,tillage_CROPS,0)),
IF(AND(ISNUMBER(SEARCH("L-Dsty.",$B2))=TRUE,ISNUMBER(SEARCH("H-Res",$B2))=TRUE,ISNUMBER(SEARCH("C.",$B2))=TRUE),INDEX(tillage_LDHR_C,MATCH($H2,tillage_CROPS,0)),
IF(AND(ISNUMBER(SEARCH("L-Dsty.",$B2))=TRUE,ISNUMBER(SEARCH("L-Res",$B2))=TRUE,ISNUMBER(SEARCH("E.",$B2))=TRUE),INDEX(tillage_LDLR_E,MATCH($H2,tillage_CROPS,0)),
IF(AND(ISNUMBER(SEARCH("L-Dsty.",$B2))=TRUE,ISNUMBER(SEARCH("L-Res",$B2))=TRUE,ISNUMBER(SEARCH("N.",$B2))=TRUE),INDEX(tillage_LDLR_N,MATCH($H2,tillage_CROPS,0)),
IF(AND(ISNUMBER(SEARCH("L-Dsty.",$B2))=TRUE,ISNUMBER(SEARCH("L-Res",$B2))=TRUE,ISNUMBER(SEARCH("C.",$B2))=TRUE),INDEX(tillage_LDLR_C,MATCH($H2,tillage_CROPS,0))
)))))))))</f>
        <v>lightcultivation</v>
      </c>
      <c r="O2" s="154" t="str">
        <f t="shared" ref="O2:O31" si="8">IF(AND(ISNUMBER(SEARCH("H-Dsty.",$B2))=TRUE,ISNUMBER(SEARCH("H-Res",$B2))=TRUE,ISNUMBER(SEARCH("E.",$B2))=TRUE),INDEX(tillage_HDHR_E,MATCH($I2,tillage_CROPS,0)),
IF(AND(ISNUMBER(SEARCH("H-Dsty.",$B2))=TRUE,ISNUMBER(SEARCH("H-Res",$B2))=TRUE,ISNUMBER(SEARCH("N.",$B2))=TRUE),INDEX(tillage_HDHR_N,MATCH($I2,tillage_CROPS,0)),
IF(AND(ISNUMBER(SEARCH("H-Dsty.",$B2))=TRUE,ISNUMBER(SEARCH("H-Res",$B2))=TRUE,ISNUMBER(SEARCH("C.",$B2))=TRUE),INDEX(tillage_HDHR_C,MATCH($I2,tillage_CROPS,0)),
IF(AND(ISNUMBER(SEARCH("L-Dsty.",$B2))=TRUE,ISNUMBER(SEARCH("H-Res",$B2))=TRUE,ISNUMBER(SEARCH("E.",$B2))=TRUE),INDEX(tillage_LDHR_E,MATCH($I2,tillage_CROPS,0)),
IF(AND(ISNUMBER(SEARCH("L-Dsty.",$B2))=TRUE,ISNUMBER(SEARCH("H-Res",$B2))=TRUE,ISNUMBER(SEARCH("N.",$B2))=TRUE),INDEX(tillage_LDHR_N,MATCH($I2,tillage_CROPS,0)),
IF(AND(ISNUMBER(SEARCH("L-Dsty.",$B2))=TRUE,ISNUMBER(SEARCH("H-Res",$B2))=TRUE,ISNUMBER(SEARCH("C.",$B2))=TRUE),INDEX(tillage_LDHR_C,MATCH($I2,tillage_CROPS,0)),
IF(AND(ISNUMBER(SEARCH("L-Dsty.",$B2))=TRUE,ISNUMBER(SEARCH("L-Res",$B2))=TRUE,ISNUMBER(SEARCH("E.",$B2))=TRUE),INDEX(tillage_LDLR_E,MATCH($I2,tillage_CROPS,0)),
IF(AND(ISNUMBER(SEARCH("L-Dsty.",$B2))=TRUE,ISNUMBER(SEARCH("L-Res",$B2))=TRUE,ISNUMBER(SEARCH("N.",$B2))=TRUE),INDEX(tillage_LDLR_N,MATCH($I2,tillage_CROPS,0)),
IF(AND(ISNUMBER(SEARCH("L-Dsty.",$B2))=TRUE,ISNUMBER(SEARCH("L-Res",$B2))=TRUE,ISNUMBER(SEARCH("C.",$B2))=TRUE),INDEX(tillage_LDLR_C,MATCH($I2,tillage_CROPS,0))
)))))))))</f>
        <v>lightcultivation</v>
      </c>
      <c r="P2" s="263" t="s">
        <v>273</v>
      </c>
      <c r="Q2" s="154" t="str">
        <f>IF(AND(ISNUMBER(SEARCH("H-Dsty.",$B2))=TRUE,ISNUMBER(SEARCH("H-Res",$B2))=TRUE,ISNUMBER(SEARCH("E.",$B2))=TRUE),INDEX(tillage_HDHR_E,MATCH($K2,tillage_CROPS,0)),
IF(AND(ISNUMBER(SEARCH("H-Dsty.",$B2))=TRUE,ISNUMBER(SEARCH("H-Res",$B2))=TRUE,ISNUMBER(SEARCH("N.",$B2))=TRUE),INDEX(tillage_HDHR_N,MATCH($K2,tillage_CROPS,0)),
IF(AND(ISNUMBER(SEARCH("H-Dsty.",$B2))=TRUE,ISNUMBER(SEARCH("H-Res",$B2))=TRUE,ISNUMBER(SEARCH("C.",$B2))=TRUE),INDEX(tillage_HDHR_C,MATCH($K2,tillage_CROPS,0)),
IF(AND(ISNUMBER(SEARCH("L-Dsty.",$B2))=TRUE,ISNUMBER(SEARCH("H-Res",$B2))=TRUE,ISNUMBER(SEARCH("E.",$B2))=TRUE),INDEX(tillage_LDHR_E,MATCH($K2,tillage_CROPS,0)),
IF(AND(ISNUMBER(SEARCH("L-Dsty.",$B2))=TRUE,ISNUMBER(SEARCH("H-Res",$B2))=TRUE,ISNUMBER(SEARCH("N.",$B2))=TRUE),INDEX(tillage_LDHR_N,MATCH($K2,tillage_CROPS,0)),
IF(AND(ISNUMBER(SEARCH("L-Dsty.",$B2))=TRUE,ISNUMBER(SEARCH("H-Res",$B2))=TRUE,ISNUMBER(SEARCH("C.",$B2))=TRUE),INDEX(tillage_LDHR_C,MATCH($K2,tillage_CROPS,0)),
IF(AND(ISNUMBER(SEARCH("L-Dsty.",$B2))=TRUE,ISNUMBER(SEARCH("L-Res",$B2))=TRUE,ISNUMBER(SEARCH("E.",$B2))=TRUE),INDEX(tillage_LDLR_E,MATCH($K2,tillage_CROPS,0)),
IF(AND(ISNUMBER(SEARCH("L-Dsty.",$B2))=TRUE,ISNUMBER(SEARCH("L-Res",$B2))=TRUE,ISNUMBER(SEARCH("N.",$B2))=TRUE),INDEX(tillage_LDLR_N,MATCH($K2,tillage_CROPS,0)),
IF(AND(ISNUMBER(SEARCH("L-Dsty.",$B2))=TRUE,ISNUMBER(SEARCH("L-Res",$B2))=TRUE,ISNUMBER(SEARCH("C.",$B2))=TRUE),INDEX(tillage_LDLR_C,MATCH($K2,tillage_CROPS,0))
)))))))))</f>
        <v>lightcultivation</v>
      </c>
      <c r="R2" s="234">
        <f t="shared" ref="R2:R17" si="9">IF(AND(ISNUMBER(SEARCH("H-Dsty.",$B2))=TRUE,ISNUMBER(SEARCH("H-Res",$B2))=TRUE,ISNUMBER(SEARCH("E.",$B2))=TRUE),INDEX(seedrate_HDHR_E,MATCH($F2,seedrate_CROPS,0)),
IF(AND(ISNUMBER(SEARCH("H-Dsty.",$B2))=TRUE,ISNUMBER(SEARCH("H-Res",$B2))=TRUE,ISNUMBER(SEARCH("N.",$B2))=TRUE),INDEX(seedrate_HDHR_N,MATCH($F2,seedrate_CROPS,0)),
IF(AND(ISNUMBER(SEARCH("H-Dsty.",$B2))=TRUE,ISNUMBER(SEARCH("H-Res",$B2))=TRUE,ISNUMBER(SEARCH("C.",$B2))=TRUE),INDEX(seedrate_HDHR_C,MATCH($F2,seedrate_CROPS,0)),
IF(AND(ISNUMBER(SEARCH("L-Dsty.",$B2))=TRUE,ISNUMBER(SEARCH("H-Res",$B2))=TRUE,ISNUMBER(SEARCH("E.",$B2))=TRUE),INDEX(seedrate_LDHR_E,MATCH($F2,seedrate_CROPS,0)),
IF(AND(ISNUMBER(SEARCH("L-Dsty.",$B2))=TRUE,ISNUMBER(SEARCH("H-Res",$B2))=TRUE,ISNUMBER(SEARCH("N.",$B2))=TRUE),INDEX(seedrate_LDHR_N,MATCH($F2,seedrate_CROPS,0)),
IF(AND(ISNUMBER(SEARCH("L-Dsty.",$B2))=TRUE,ISNUMBER(SEARCH("H-Res",$B2))=TRUE,ISNUMBER(SEARCH("C.",$B2))=TRUE),INDEX(seedrate_LDHR_C,MATCH($F2,seedrate_CROPS,0)),
IF(AND(ISNUMBER(SEARCH("L-Dsty.",$B2))=TRUE,ISNUMBER(SEARCH("L-Res",$B2))=TRUE,ISNUMBER(SEARCH("E.",$B2))=TRUE),INDEX(seedrate_LDLR_E,MATCH($F2,seedrate_CROPS,0)),
IF(AND(ISNUMBER(SEARCH("L-Dsty.",$B2))=TRUE,ISNUMBER(SEARCH("L-Res",$B2))=TRUE,ISNUMBER(SEARCH("N.",$B2))=TRUE),INDEX(seedrate_LDLR_N,MATCH($F2,seedrate_CROPS,0)),
IF(AND(ISNUMBER(SEARCH("L-Dsty.",$B2))=TRUE,ISNUMBER(SEARCH("L-Res",$B2))=TRUE,ISNUMBER(SEARCH("C.",$B2))=TRUE),INDEX(seedrate_LDLR_C,MATCH($F2,seedrate_CROPS,0))
)))))))))</f>
        <v>52</v>
      </c>
      <c r="S2" s="234">
        <f t="shared" ref="S2:S33" si="10">IF(AND(ISNUMBER(SEARCH("H-Dsty.",$B2))=TRUE,ISNUMBER(SEARCH("H-Res",$B2))=TRUE,ISNUMBER(SEARCH("E.",$B2))=TRUE),INDEX(seedrate_HDHR_E,MATCH($G2,seedrate_CROPS,0)),
IF(AND(ISNUMBER(SEARCH("H-Dsty.",$B2))=TRUE,ISNUMBER(SEARCH("H-Res",$B2))=TRUE,ISNUMBER(SEARCH("N.",$B2))=TRUE),INDEX(seedrate_HDHR_N,MATCH($G2,seedrate_CROPS,0)),
IF(AND(ISNUMBER(SEARCH("H-Dsty.",$B2))=TRUE,ISNUMBER(SEARCH("H-Res",$B2))=TRUE,ISNUMBER(SEARCH("C.",$B2))=TRUE),INDEX(seedrate_HDHR_C,MATCH($G2,seedrate_CROPS,0)),
IF(AND(ISNUMBER(SEARCH("L-Dsty.",$B2))=TRUE,ISNUMBER(SEARCH("H-Res",$B2))=TRUE,ISNUMBER(SEARCH("E.",$B2))=TRUE),INDEX(seedrate_LDHR_E,MATCH($G2,seedrate_CROPS,0)),
IF(AND(ISNUMBER(SEARCH("L-Dsty.",$B2))=TRUE,ISNUMBER(SEARCH("H-Res",$B2))=TRUE,ISNUMBER(SEARCH("N.",$B2))=TRUE),INDEX(seedrate_LDHR_N,MATCH($G2,seedrate_CROPS,0)),
IF(AND(ISNUMBER(SEARCH("L-Dsty.",$B2))=TRUE,ISNUMBER(SEARCH("H-Res",$B2))=TRUE,ISNUMBER(SEARCH("C.",$B2))=TRUE),INDEX(seedrate_LDHR_C,MATCH($G2,seedrate_CROPS,0)),
IF(AND(ISNUMBER(SEARCH("L-Dsty.",$B2))=TRUE,ISNUMBER(SEARCH("L-Res",$B2))=TRUE,ISNUMBER(SEARCH("E.",$B2))=TRUE),INDEX(seedrate_LDLR_E,MATCH($G2,seedrate_CROPS,0)),
IF(AND(ISNUMBER(SEARCH("L-Dsty.",$B2))=TRUE,ISNUMBER(SEARCH("L-Res",$B2))=TRUE,ISNUMBER(SEARCH("N.",$B2))=TRUE),INDEX(seedrate_LDLR_N,MATCH($G2,seedrate_CROPS,0)),
IF(AND(ISNUMBER(SEARCH("L-Dsty.",$B2))=TRUE,ISNUMBER(SEARCH("L-Res",$B2))=TRUE,ISNUMBER(SEARCH("C.",$B2))=TRUE),INDEX(seedrate_LDLR_C,MATCH($G2,seedrate_CROPS,0))
)))))))))</f>
        <v>365</v>
      </c>
      <c r="T2" s="234">
        <f t="shared" ref="T2:T33" si="11">IF(AND(ISNUMBER(SEARCH("H-Dsty.",$B2))=TRUE,ISNUMBER(SEARCH("H-Res",$B2))=TRUE,ISNUMBER(SEARCH("E.",$B2))=TRUE),INDEX(seedrate_HDHR_E,MATCH($H2,seedrate_CROPS,0)),
IF(AND(ISNUMBER(SEARCH("H-Dsty.",$B2))=TRUE,ISNUMBER(SEARCH("H-Res",$B2))=TRUE,ISNUMBER(SEARCH("N.",$B2))=TRUE),INDEX(seedrate_HDHR_N,MATCH($H2,seedrate_CROPS,0)),
IF(AND(ISNUMBER(SEARCH("H-Dsty.",$B2))=TRUE,ISNUMBER(SEARCH("H-Res",$B2))=TRUE,ISNUMBER(SEARCH("C.",$B2))=TRUE),INDEX(seedrate_HDHR_C,MATCH($H2,seedrate_CROPS,0)),
IF(AND(ISNUMBER(SEARCH("L-Dsty.",$B2))=TRUE,ISNUMBER(SEARCH("H-Res",$B2))=TRUE,ISNUMBER(SEARCH("E.",$B2))=TRUE),INDEX(seedrate_LDHR_E,MATCH($H2,seedrate_CROPS,0)),
IF(AND(ISNUMBER(SEARCH("L-Dsty.",$B2))=TRUE,ISNUMBER(SEARCH("H-Res",$B2))=TRUE,ISNUMBER(SEARCH("N.",$B2))=TRUE),INDEX(seedrate_LDHR_N,MATCH($H2,seedrate_CROPS,0)),
IF(AND(ISNUMBER(SEARCH("L-Dsty.",$B2))=TRUE,ISNUMBER(SEARCH("H-Res",$B2))=TRUE,ISNUMBER(SEARCH("C.",$B2))=TRUE),INDEX(seedrate_LDHR_C,MATCH($H2,seedrate_CROPS,0)),
IF(AND(ISNUMBER(SEARCH("L-Dsty.",$B2))=TRUE,ISNUMBER(SEARCH("L-Res",$B2))=TRUE,ISNUMBER(SEARCH("E.",$B2))=TRUE),INDEX(seedrate_LDLR_E,MATCH($H2,seedrate_CROPS,0)),
IF(AND(ISNUMBER(SEARCH("L-Dsty.",$B2))=TRUE,ISNUMBER(SEARCH("L-Res",$B2))=TRUE,ISNUMBER(SEARCH("N.",$B2))=TRUE),INDEX(seedrate_LDLR_N,MATCH($H2,seedrate_CROPS,0)),
IF(AND(ISNUMBER(SEARCH("L-Dsty.",$B2))=TRUE,ISNUMBER(SEARCH("L-Res",$B2))=TRUE,ISNUMBER(SEARCH("C.",$B2))=TRUE),INDEX(seedrate_LDLR_C,MATCH($H2,seedrate_CROPS,0))
)))))))))</f>
        <v>200</v>
      </c>
      <c r="U2" s="234">
        <f t="shared" ref="U2:U17" si="12">IF(AND(ISNUMBER(SEARCH("H-Dsty.",$B2))=TRUE,ISNUMBER(SEARCH("H-Res",$B2))=TRUE,ISNUMBER(SEARCH("E.",$B2))=TRUE),INDEX(seedrate_HDHR_E,MATCH($I2,seedrate_CROPS,0)),
IF(AND(ISNUMBER(SEARCH("H-Dsty.",$B2))=TRUE,ISNUMBER(SEARCH("H-Res",$B2))=TRUE,ISNUMBER(SEARCH("N.",$B2))=TRUE),INDEX(seedrate_HDHR_N,MATCH($I2,seedrate_CROPS,0)),
IF(AND(ISNUMBER(SEARCH("H-Dsty.",$B2))=TRUE,ISNUMBER(SEARCH("H-Res",$B2))=TRUE,ISNUMBER(SEARCH("C.",$B2))=TRUE),INDEX(seedrate_HDHR_C,MATCH($I2,seedrate_CROPS,0)),
IF(AND(ISNUMBER(SEARCH("L-Dsty.",$B2))=TRUE,ISNUMBER(SEARCH("H-Res",$B2))=TRUE,ISNUMBER(SEARCH("E.",$B2))=TRUE),INDEX(seedrate_LDHR_E,MATCH($I2,seedrate_CROPS,0)),
IF(AND(ISNUMBER(SEARCH("L-Dsty.",$B2))=TRUE,ISNUMBER(SEARCH("H-Res",$B2))=TRUE,ISNUMBER(SEARCH("N.",$B2))=TRUE),INDEX(seedrate_LDHR_N,MATCH($I2,seedrate_CROPS,0)),
IF(AND(ISNUMBER(SEARCH("L-Dsty.",$B2))=TRUE,ISNUMBER(SEARCH("H-Res",$B2))=TRUE,ISNUMBER(SEARCH("C.",$B2))=TRUE),INDEX(seedrate_LDHR_C,MATCH($I2,seedrate_CROPS,0)),
IF(AND(ISNUMBER(SEARCH("L-Dsty.",$B2))=TRUE,ISNUMBER(SEARCH("L-Res",$B2))=TRUE,ISNUMBER(SEARCH("E.",$B2))=TRUE),INDEX(seedrate_LDLR_E,MATCH($I2,seedrate_CROPS,0)),
IF(AND(ISNUMBER(SEARCH("L-Dsty.",$B2))=TRUE,ISNUMBER(SEARCH("L-Res",$B2))=TRUE,ISNUMBER(SEARCH("N.",$B2))=TRUE),INDEX(seedrate_LDLR_N,MATCH($I2,seedrate_CROPS,0)),
IF(AND(ISNUMBER(SEARCH("L-Dsty.",$B2))=TRUE,ISNUMBER(SEARCH("L-Res",$B2))=TRUE,ISNUMBER(SEARCH("C.",$B2))=TRUE),INDEX(seedrate_LDLR_C,MATCH($I2,seedrate_CROPS,0))
)))))))))</f>
        <v>130</v>
      </c>
      <c r="V2" s="234">
        <f t="shared" ref="V2:V33" si="13">IF(AND(ISNUMBER(SEARCH("H-Dsty.",$B2))=TRUE,ISNUMBER(SEARCH("H-Res",$B2))=TRUE,ISNUMBER(SEARCH("E.",$B2))=TRUE),INDEX(seedrate_HDHR_E,MATCH($J2,seedrate_CROPS,0)),
IF(AND(ISNUMBER(SEARCH("H-Dsty.",$B2))=TRUE,ISNUMBER(SEARCH("H-Res",$B2))=TRUE,ISNUMBER(SEARCH("N.",$B2))=TRUE),INDEX(seedrate_HDHR_N,MATCH($J2,seedrate_CROPS,0)),
IF(AND(ISNUMBER(SEARCH("H-Dsty.",$B2))=TRUE,ISNUMBER(SEARCH("H-Res",$B2))=TRUE,ISNUMBER(SEARCH("C.",$B2))=TRUE),INDEX(seedrate_HDHR_C,MATCH($J2,seedrate_CROPS,0)),
IF(AND(ISNUMBER(SEARCH("L-Dsty.",$B2))=TRUE,ISNUMBER(SEARCH("H-Res",$B2))=TRUE,ISNUMBER(SEARCH("E.",$B2))=TRUE),INDEX(seedrate_LDHR_E,MATCH($J2,seedrate_CROPS,0)),
IF(AND(ISNUMBER(SEARCH("L-Dsty.",$B2))=TRUE,ISNUMBER(SEARCH("H-Res",$B2))=TRUE,ISNUMBER(SEARCH("N.",$B2))=TRUE),INDEX(seedrate_LDHR_N,MATCH($J2,seedrate_CROPS,0)),
IF(AND(ISNUMBER(SEARCH("L-Dsty.",$B2))=TRUE,ISNUMBER(SEARCH("H-Res",$B2))=TRUE,ISNUMBER(SEARCH("C.",$B2))=TRUE),INDEX(seedrate_LDHR_C,MATCH($J2,seedrate_CROPS,0)),
IF(AND(ISNUMBER(SEARCH("L-Dsty.",$B2))=TRUE,ISNUMBER(SEARCH("L-Res",$B2))=TRUE,ISNUMBER(SEARCH("E.",$B2))=TRUE),INDEX(seedrate_LDLR_E,MATCH($J2,seedrate_CROPS,0)),
IF(AND(ISNUMBER(SEARCH("L-Dsty.",$B2))=TRUE,ISNUMBER(SEARCH("L-Res",$B2))=TRUE,ISNUMBER(SEARCH("N.",$B2))=TRUE),INDEX(seedrate_LDLR_N,MATCH($J2,seedrate_CROPS,0)),
IF(AND(ISNUMBER(SEARCH("L-Dsty.",$B2))=TRUE,ISNUMBER(SEARCH("L-Res",$B2))=TRUE,ISNUMBER(SEARCH("C.",$B2))=TRUE),INDEX(seedrate_LDLR_C,MATCH($J2,seedrate_CROPS,0))
)))))))))</f>
        <v>200</v>
      </c>
      <c r="W2" s="234">
        <f t="shared" ref="W2:W33" si="14">IF(AND(ISNUMBER(SEARCH("H-Dsty.",$B2))=TRUE,ISNUMBER(SEARCH("H-Res",$B2))=TRUE,ISNUMBER(SEARCH("E.",$B2))=TRUE),INDEX(seedrate_HDHR_E,MATCH($K2,seedrate_CROPS,0)),
IF(AND(ISNUMBER(SEARCH("H-Dsty.",$B2))=TRUE,ISNUMBER(SEARCH("H-Res",$B2))=TRUE,ISNUMBER(SEARCH("N.",$B2))=TRUE),INDEX(seedrate_HDHR_N,MATCH($K2,seedrate_CROPS,0)),
IF(AND(ISNUMBER(SEARCH("H-Dsty.",$B2))=TRUE,ISNUMBER(SEARCH("H-Res",$B2))=TRUE,ISNUMBER(SEARCH("C.",$B2))=TRUE),INDEX(seedrate_HDHR_C,MATCH($K2,seedrate_CROPS,0)),
IF(AND(ISNUMBER(SEARCH("L-Dsty.",$B2))=TRUE,ISNUMBER(SEARCH("H-Res",$B2))=TRUE,ISNUMBER(SEARCH("E.",$B2))=TRUE),INDEX(seedrate_LDHR_E,MATCH($K2,seedrate_CROPS,0)),
IF(AND(ISNUMBER(SEARCH("L-Dsty.",$B2))=TRUE,ISNUMBER(SEARCH("H-Res",$B2))=TRUE,ISNUMBER(SEARCH("N.",$B2))=TRUE),INDEX(seedrate_LDHR_N,MATCH($K2,seedrate_CROPS,0)),
IF(AND(ISNUMBER(SEARCH("L-Dsty.",$B2))=TRUE,ISNUMBER(SEARCH("H-Res",$B2))=TRUE,ISNUMBER(SEARCH("C.",$B2))=TRUE),INDEX(seedrate_LDHR_C,MATCH($K2,seedrate_CROPS,0)),
IF(AND(ISNUMBER(SEARCH("L-Dsty.",$B2))=TRUE,ISNUMBER(SEARCH("L-Res",$B2))=TRUE,ISNUMBER(SEARCH("E.",$B2))=TRUE),INDEX(seedrate_LDLR_E,MATCH($K2,seedrate_CROPS,0)),
IF(AND(ISNUMBER(SEARCH("L-Dsty.",$B2))=TRUE,ISNUMBER(SEARCH("L-Res",$B2))=TRUE,ISNUMBER(SEARCH("N.",$B2))=TRUE),INDEX(seedrate_LDLR_N,MATCH($K2,seedrate_CROPS,0)),
IF(AND(ISNUMBER(SEARCH("L-Dsty.",$B2))=TRUE,ISNUMBER(SEARCH("L-Res",$B2))=TRUE,ISNUMBER(SEARCH("C.",$B2))=TRUE),INDEX(seedrate_LDLR_C,MATCH($K2,seedrate_CROPS,0))
)))))))))</f>
        <v>52</v>
      </c>
      <c r="X2" s="154" t="str">
        <f t="shared" ref="X2:X33" si="15">IF(AND(ISNUMBER(SEARCH("H-Dsty.H-Res",$B2))=TRUE,ISNUMBER(SEARCH("E.",$B2))=TRUE),INDEX(delayedsowing,MATCH(F2,drilldate_CROPS,0),MATCH(VLOOKUP(F2,drilldate_HDHR,2,FALSE),months,0)),
IF(AND(ISNUMBER(SEARCH("H-Dsty.H-Res",$B2))=TRUE,ISNUMBER(SEARCH("N.",$B2))=TRUE),INDEX(delayedsowing,MATCH(F2,drilldate_CROPS,0),MATCH(VLOOKUP(F2,drilldate_HDHR,3,FALSE),months,0)),
IF(AND(ISNUMBER(SEARCH("H-Dsty.H-Res",$B2))=TRUE,ISNUMBER(SEARCH("C.",$B2))=TRUE),INDEX(delayedsowing,MATCH(F2,drilldate_CROPS,0),MATCH(VLOOKUP(F2,drilldate_HDHR,4,FALSE),months,0)),
IF(AND(ISNUMBER(SEARCH("L-Dsty.H-Res",$B2))=TRUE,ISNUMBER(SEARCH("E.",$B2))=TRUE),INDEX(delayedsowing,MATCH(F2,drilldate_CROPS,0),MATCH(VLOOKUP(F2,drilldate_LDHR,2,FALSE),months,0)),
IF(AND(ISNUMBER(SEARCH("L-Dsty.H-Res",$B2))=TRUE,ISNUMBER(SEARCH("N.",$B2))=TRUE),INDEX(delayedsowing,MATCH(F2,drilldate_CROPS,0),MATCH(VLOOKUP(F2,drilldate_LDHR,3,FALSE),months,0)),
IF(AND(ISNUMBER(SEARCH("L-Dsty.H-Res",$B2))=TRUE,ISNUMBER(SEARCH("C.",$B2))=TRUE),INDEX(delayedsowing,MATCH(F2,drilldate_CROPS,0),MATCH(VLOOKUP(F2,drilldate_LDHR,4,FALSE),months,0)),
IF(AND(ISNUMBER(SEARCH("L-Dsty.L-Res",$B2))=TRUE,ISNUMBER(SEARCH("E.",$B2))=TRUE),INDEX(delayedsowing,MATCH(F2,drilldate_CROPS,0),MATCH(VLOOKUP(F2,drilldate_LDLR,2,FALSE),months,0)),
IF(AND(ISNUMBER(SEARCH("L-Dsty.L-Res",$B2))=TRUE,ISNUMBER(SEARCH("N.",$B2))=TRUE),INDEX(delayedsowing,MATCH(F2,drilldate_CROPS,0),MATCH(VLOOKUP(F2,drilldate_LDLR,3,FALSE),months,0)),
IF(AND(ISNUMBER(SEARCH("L-Dsty.L-Res",$B2))=TRUE,ISNUMBER(SEARCH("C.",$B2))=TRUE),INDEX(delayedsowing,MATCH(F2,drilldate_CROPS,0),MATCH(VLOOKUP(F2,drilldate_LDLR,4,FALSE),months,0))
)))))))))</f>
        <v>no</v>
      </c>
      <c r="Y2" s="154" t="str">
        <f t="shared" ref="Y2:Y33" si="16">IF(AND(ISNUMBER(SEARCH("H-Dsty.H-Res",$B2))=TRUE,ISNUMBER(SEARCH("E.",$B2))=TRUE),INDEX(delayedsowing,MATCH(G2,drilldate_CROPS,0),MATCH(VLOOKUP(G2,drilldate_HDHR,2,FALSE),months,0)),
IF(AND(ISNUMBER(SEARCH("H-Dsty.H-Res",$B2))=TRUE,ISNUMBER(SEARCH("N.",$B2))=TRUE),INDEX(delayedsowing,MATCH(G2,drilldate_CROPS,0),MATCH(VLOOKUP(G2,drilldate_HDHR,3,FALSE),months,0)),
IF(AND(ISNUMBER(SEARCH("H-Dsty.H-Res",$B2))=TRUE,ISNUMBER(SEARCH("C.",$B2))=TRUE),INDEX(delayedsowing,MATCH(G2,drilldate_CROPS,0),MATCH(VLOOKUP(G2,drilldate_HDHR,4,FALSE),months,0)),
IF(AND(ISNUMBER(SEARCH("L-Dsty.H-Res",$B2))=TRUE,ISNUMBER(SEARCH("E.",$B2))=TRUE),INDEX(delayedsowing,MATCH(G2,drilldate_CROPS,0),MATCH(VLOOKUP(G2,drilldate_LDHR,2,FALSE),months,0)),
IF(AND(ISNUMBER(SEARCH("L-Dsty.H-Res",$B2))=TRUE,ISNUMBER(SEARCH("N.",$B2))=TRUE),INDEX(delayedsowing,MATCH(G2,drilldate_CROPS,0),MATCH(VLOOKUP(G2,drilldate_LDHR,3,FALSE),months,0)),
IF(AND(ISNUMBER(SEARCH("L-Dsty.H-Res",$B2))=TRUE,ISNUMBER(SEARCH("C.",$B2))=TRUE),INDEX(delayedsowing,MATCH(G2,drilldate_CROPS,0),MATCH(VLOOKUP(G2,drilldate_LDHR,4,FALSE),months,0)),
IF(AND(ISNUMBER(SEARCH("L-Dsty.L-Res",$B2))=TRUE,ISNUMBER(SEARCH("E.",$B2))=TRUE),INDEX(delayedsowing,MATCH(G2,drilldate_CROPS,0),MATCH(VLOOKUP(G2,drilldate_LDLR,2,FALSE),months,0)),
IF(AND(ISNUMBER(SEARCH("L-Dsty.L-Res",$B2))=TRUE,ISNUMBER(SEARCH("N.",$B2))=TRUE),INDEX(delayedsowing,MATCH(G2,drilldate_CROPS,0),MATCH(VLOOKUP(G2,drilldate_LDLR,3,FALSE),months,0)),
IF(AND(ISNUMBER(SEARCH("L-Dsty.L-Res",$B2))=TRUE,ISNUMBER(SEARCH("C.",$B2))=TRUE),INDEX(delayedsowing,MATCH(G2,drilldate_CROPS,0),MATCH(VLOOKUP(G2,drilldate_LDLR,4,FALSE),months,0))
)))))))))</f>
        <v>no</v>
      </c>
      <c r="Z2" s="154" t="str">
        <f t="shared" ref="Z2:Z33" si="17">IF(AND(ISNUMBER(SEARCH("H-Dsty.H-Res",$B2))=TRUE,ISNUMBER(SEARCH("E.",$B2))=TRUE),INDEX(delayedsowing,MATCH(H2,drilldate_CROPS,0),MATCH(VLOOKUP(H2,drilldate_HDHR,2,FALSE),months,0)),
IF(AND(ISNUMBER(SEARCH("H-Dsty.H-Res",$B2))=TRUE,ISNUMBER(SEARCH("N.",$B2))=TRUE),INDEX(delayedsowing,MATCH(H2,drilldate_CROPS,0),MATCH(VLOOKUP(H2,drilldate_HDHR,3,FALSE),months,0)),
IF(AND(ISNUMBER(SEARCH("H-Dsty.H-Res",$B2))=TRUE,ISNUMBER(SEARCH("C.",$B2))=TRUE),INDEX(delayedsowing,MATCH(H2,drilldate_CROPS,0),MATCH(VLOOKUP(H2,drilldate_HDHR,4,FALSE),months,0)),
IF(AND(ISNUMBER(SEARCH("L-Dsty.H-Res",$B2))=TRUE,ISNUMBER(SEARCH("E.",$B2))=TRUE),INDEX(delayedsowing,MATCH(H2,drilldate_CROPS,0),MATCH(VLOOKUP(H2,drilldate_LDHR,2,FALSE),months,0)),
IF(AND(ISNUMBER(SEARCH("L-Dsty.H-Res",$B2))=TRUE,ISNUMBER(SEARCH("N.",$B2))=TRUE),INDEX(delayedsowing,MATCH(H2,drilldate_CROPS,0),MATCH(VLOOKUP(H2,drilldate_LDHR,3,FALSE),months,0)),
IF(AND(ISNUMBER(SEARCH("L-Dsty.H-Res",$B2))=TRUE,ISNUMBER(SEARCH("C.",$B2))=TRUE),INDEX(delayedsowing,MATCH(H2,drilldate_CROPS,0),MATCH(VLOOKUP(H2,drilldate_LDHR,4,FALSE),months,0)),
IF(AND(ISNUMBER(SEARCH("L-Dsty.L-Res",$B2))=TRUE,ISNUMBER(SEARCH("E.",$B2))=TRUE),INDEX(delayedsowing,MATCH(H2,drilldate_CROPS,0),MATCH(VLOOKUP(H2,drilldate_LDLR,2,FALSE),months,0)),
IF(AND(ISNUMBER(SEARCH("L-Dsty.L-Res",$B2))=TRUE,ISNUMBER(SEARCH("N.",$B2))=TRUE),INDEX(delayedsowing,MATCH(H2,drilldate_CROPS,0),MATCH(VLOOKUP(H2,drilldate_LDLR,3,FALSE),months,0)),
IF(AND(ISNUMBER(SEARCH("L-Dsty.L-Res",$B2))=TRUE,ISNUMBER(SEARCH("C.",$B2))=TRUE),INDEX(delayedsowing,MATCH(H2,drilldate_CROPS,0),MATCH(VLOOKUP(H2,drilldate_LDLR,4,FALSE),months,0))
)))))))))</f>
        <v>late</v>
      </c>
      <c r="AA2" s="238" t="str">
        <f t="shared" ref="AA2:AA33" si="18">IF(AND(ISNUMBER(SEARCH("H-Dsty.H-Res",$B2))=TRUE,ISNUMBER(SEARCH("E.",$B2))=TRUE),INDEX(delayedsowing,MATCH(I2,drilldate_CROPS,0),MATCH(VLOOKUP(I2,drilldate_HDHR,2,FALSE),months,0)),
IF(AND(ISNUMBER(SEARCH("H-Dsty.H-Res",$B2))=TRUE,ISNUMBER(SEARCH("N.",$B2))=TRUE),INDEX(delayedsowing,MATCH(I2,drilldate_CROPS,0),MATCH(VLOOKUP(I2,drilldate_HDHR,3,FALSE),months,0)),
IF(AND(ISNUMBER(SEARCH("H-Dsty.H-Res",$B2))=TRUE,ISNUMBER(SEARCH("C.",$B2))=TRUE),INDEX(delayedsowing,MATCH(I2,drilldate_CROPS,0),MATCH(VLOOKUP(I2,drilldate_HDHR,4,FALSE),months,0)),
IF(AND(ISNUMBER(SEARCH("L-Dsty.H-Res",$B2))=TRUE,ISNUMBER(SEARCH("E.",$B2))=TRUE),INDEX(delayedsowing,MATCH(I2,drilldate_CROPS,0),MATCH(VLOOKUP(I2,drilldate_LDHR,2,FALSE),months,0)),
IF(AND(ISNUMBER(SEARCH("L-Dsty.H-Res",$B2))=TRUE,ISNUMBER(SEARCH("N.",$B2))=TRUE),INDEX(delayedsowing,MATCH(I2,drilldate_CROPS,0),MATCH(VLOOKUP(I2,drilldate_LDHR,3,FALSE),months,0)),
IF(AND(ISNUMBER(SEARCH("L-Dsty.H-Res",$B2))=TRUE,ISNUMBER(SEARCH("C.",$B2))=TRUE),INDEX(delayedsowing,MATCH(I2,drilldate_CROPS,0),MATCH(VLOOKUP(I2,drilldate_LDHR,4,FALSE),months,0)),
IF(AND(ISNUMBER(SEARCH("L-Dsty.L-Res",$B2))=TRUE,ISNUMBER(SEARCH("E.",$B2))=TRUE),INDEX(delayedsowing,MATCH(I2,drilldate_CROPS,0),MATCH(VLOOKUP(I2,drilldate_LDLR,2,FALSE),months,0)),
IF(AND(ISNUMBER(SEARCH("L-Dsty.L-Res",$B2))=TRUE,ISNUMBER(SEARCH("N.",$B2))=TRUE),INDEX(delayedsowing,MATCH(I2,drilldate_CROPS,0),MATCH(VLOOKUP(I2,drilldate_LDLR,3,FALSE),months,0)),
IF(AND(ISNUMBER(SEARCH("L-Dsty.L-Res",$B2))=TRUE,ISNUMBER(SEARCH("C.",$B2))=TRUE),INDEX(delayedsowing,MATCH(I2,drilldate_CROPS,0),MATCH(VLOOKUP(I2,drilldate_LDLR,4,FALSE),months,0))
)))))))))</f>
        <v>no</v>
      </c>
      <c r="AB2" s="154" t="str">
        <f t="shared" ref="AB2:AB33" si="19">IF(AND(ISNUMBER(SEARCH("H-Dsty.H-Res",$B2))=TRUE,ISNUMBER(SEARCH("E.",$B2))=TRUE),INDEX(delayedsowing,MATCH(J2,drilldate_CROPS,0),MATCH(VLOOKUP(J2,drilldate_HDHR,2,FALSE),months,0)),
IF(AND(ISNUMBER(SEARCH("H-Dsty.H-Res",$B2))=TRUE,ISNUMBER(SEARCH("N.",$B2))=TRUE),INDEX(delayedsowing,MATCH(J2,drilldate_CROPS,0),MATCH(VLOOKUP(J2,drilldate_HDHR,3,FALSE),months,0)),
IF(AND(ISNUMBER(SEARCH("H-Dsty.H-Res",$B2))=TRUE,ISNUMBER(SEARCH("C.",$B2))=TRUE),INDEX(delayedsowing,MATCH(J2,drilldate_CROPS,0),MATCH(VLOOKUP(J2,drilldate_HDHR,4,FALSE),months,0)),
IF(AND(ISNUMBER(SEARCH("L-Dsty.H-Res",$B2))=TRUE,ISNUMBER(SEARCH("E.",$B2))=TRUE),INDEX(delayedsowing,MATCH(J2,drilldate_CROPS,0),MATCH(VLOOKUP(J2,drilldate_LDHR,2,FALSE),months,0)),
IF(AND(ISNUMBER(SEARCH("L-Dsty.H-Res",$B2))=TRUE,ISNUMBER(SEARCH("N.",$B2))=TRUE),INDEX(delayedsowing,MATCH(J2,drilldate_CROPS,0),MATCH(VLOOKUP(J2,drilldate_LDHR,3,FALSE),months,0)),
IF(AND(ISNUMBER(SEARCH("L-Dsty.H-Res",$B2))=TRUE,ISNUMBER(SEARCH("C.",$B2))=TRUE),INDEX(delayedsowing,MATCH(J2,drilldate_CROPS,0),MATCH(VLOOKUP(J2,drilldate_LDHR,4,FALSE),months,0)),
IF(AND(ISNUMBER(SEARCH("L-Dsty.L-Res",$B2))=TRUE,ISNUMBER(SEARCH("E.",$B2))=TRUE),INDEX(delayedsowing,MATCH(J2,drilldate_CROPS,0),MATCH(VLOOKUP(J2,drilldate_LDLR,2,FALSE),months,0)),
IF(AND(ISNUMBER(SEARCH("L-Dsty.L-Res",$B2))=TRUE,ISNUMBER(SEARCH("N.",$B2))=TRUE),INDEX(delayedsowing,MATCH(J2,drilldate_CROPS,0),MATCH(VLOOKUP(J2,drilldate_LDLR,3,FALSE),months,0)),
IF(AND(ISNUMBER(SEARCH("L-Dsty.L-Res",$B2))=TRUE,ISNUMBER(SEARCH("C.",$B2))=TRUE),INDEX(delayedsowing,MATCH(J2,drilldate_CROPS,0),MATCH(VLOOKUP(J2,drilldate_LDLR,4,FALSE),months,0))
)))))))))</f>
        <v>late</v>
      </c>
      <c r="AC2" s="154" t="str">
        <f t="shared" ref="AC2:AC33" si="20">IF(AND(ISNUMBER(SEARCH("H-Dsty.H-Res",$B2))=TRUE,ISNUMBER(SEARCH("E.",$B2))=TRUE),INDEX(delayedsowing,MATCH(K2,drilldate_CROPS,0),MATCH(VLOOKUP(K2,drilldate_HDHR,2,FALSE),months,0)),
IF(AND(ISNUMBER(SEARCH("H-Dsty.H-Res",$B2))=TRUE,ISNUMBER(SEARCH("N.",$B2))=TRUE),INDEX(delayedsowing,MATCH(K2,drilldate_CROPS,0),MATCH(VLOOKUP(K2,drilldate_HDHR,3,FALSE),months,0)),
IF(AND(ISNUMBER(SEARCH("H-Dsty.H-Res",$B2))=TRUE,ISNUMBER(SEARCH("C.",$B2))=TRUE),INDEX(delayedsowing,MATCH(K2,drilldate_CROPS,0),MATCH(VLOOKUP(K2,drilldate_HDHR,4,FALSE),months,0)),
IF(AND(ISNUMBER(SEARCH("L-Dsty.H-Res",$B2))=TRUE,ISNUMBER(SEARCH("E.",$B2))=TRUE),INDEX(delayedsowing,MATCH(K2,drilldate_CROPS,0),MATCH(VLOOKUP(K2,drilldate_LDHR,2,FALSE),months,0)),
IF(AND(ISNUMBER(SEARCH("L-Dsty.H-Res",$B2))=TRUE,ISNUMBER(SEARCH("N.",$B2))=TRUE),INDEX(delayedsowing,MATCH(K2,drilldate_CROPS,0),MATCH(VLOOKUP(K2,drilldate_LDHR,3,FALSE),months,0)),
IF(AND(ISNUMBER(SEARCH("L-Dsty.H-Res",$B2))=TRUE,ISNUMBER(SEARCH("C.",$B2))=TRUE),INDEX(delayedsowing,MATCH(K2,drilldate_CROPS,0),MATCH(VLOOKUP(K2,drilldate_LDHR,4,FALSE),months,0)),
IF(AND(ISNUMBER(SEARCH("L-Dsty.L-Res",$B2))=TRUE,ISNUMBER(SEARCH("E.",$B2))=TRUE),INDEX(delayedsowing,MATCH(K2,drilldate_CROPS,0),MATCH(VLOOKUP(K2,drilldate_LDLR,2,FALSE),months,0)),
IF(AND(ISNUMBER(SEARCH("L-Dsty.L-Res",$B2))=TRUE,ISNUMBER(SEARCH("N.",$B2))=TRUE),INDEX(delayedsowing,MATCH(K2,drilldate_CROPS,0),MATCH(VLOOKUP(K2,drilldate_LDLR,3,FALSE),months,0)),
IF(AND(ISNUMBER(SEARCH("L-Dsty.L-Res",$B2))=TRUE,ISNUMBER(SEARCH("C.",$B2))=TRUE),INDEX(delayedsowing,MATCH(K2,drilldate_CROPS,0),MATCH(VLOOKUP(K2,drilldate_LDLR,4,FALSE),months,0))
)))))))))</f>
        <v>no</v>
      </c>
      <c r="AD2" s="234">
        <f t="shared" ref="AD2:AD17" si="21">IF(AND(ISNUMBER(SEARCH("H-Dsty.H-Res",$B2))=TRUE,ISNUMBER(SEARCH("E.",$B2))=TRUE),INDEX(fertrate_HDHR_E,MATCH($F2,fertrate_CROPS,0)),
IF(AND(ISNUMBER(SEARCH("H-Dsty.H-Res",$B2))=TRUE,ISNUMBER(SEARCH("N.",$B2))=TRUE),INDEX(fertrate_HDHR_N,MATCH($F2,fertrate_CROPS,0)),
IF(AND(ISNUMBER(SEARCH("H-Dsty.H-Res",$B2))=TRUE,ISNUMBER(SEARCH("C.",$B2))=TRUE),INDEX(fertrate_HDHR_C,MATCH($F2,fertrate_CROPS,0)),
IF(AND(ISNUMBER(SEARCH("L-Dsty.H-Res",$B2))=TRUE,ISNUMBER(SEARCH("E.",$B2))=TRUE),INDEX(fertrate_LDHR_E,MATCH($F2,fertrate_CROPS,0)),
IF(AND(ISNUMBER(SEARCH("L-Dsty.H-Res",$B2))=TRUE,ISNUMBER(SEARCH("N.",$B2))=TRUE),INDEX(fertrate_LDHR_N,MATCH($F2,fertrate_CROPS,0)),
IF(AND(ISNUMBER(SEARCH("L-Dsty.H-Res",$B2))=TRUE,ISNUMBER(SEARCH("C.",$B2))=TRUE),INDEX(fertrate_LDHR_C,MATCH($F2,fertrate_CROPS,0)),
IF(AND(ISNUMBER(SEARCH("L-Dsty.L-Res",$B2))=TRUE,ISNUMBER(SEARCH("E.",$B2))=TRUE),INDEX(fertrate_LDLR_E,MATCH($F2,fertrate_CROPS,0)),
IF(AND(ISNUMBER(SEARCH("L-Dsty.L-Res",$B2))=TRUE,ISNUMBER(SEARCH("N.",$B2))=TRUE),INDEX(fertrate_LDLR_N,MATCH($F2,fertrate_CROPS,0)),
IF(AND(ISNUMBER(SEARCH("L-Dsty.L-Res",$B2))=TRUE,ISNUMBER(SEARCH("C.",$B2))=TRUE),INDEX(fertrate_LDLR_C,MATCH($F2,fertrate_CROPS,0))
)))))))))</f>
        <v>80</v>
      </c>
      <c r="AE2" s="234">
        <f t="shared" ref="AE2:AE7" si="22">IF(AND(ISNUMBER(SEARCH("H-Dsty.",$B2))=TRUE,ISNUMBER(SEARCH("H-Res",$B2))=TRUE,ISNUMBER(SEARCH("E.",$B2))=TRUE),INDEX(fertrate_HDHR_E,MATCH($G2,fertrate_CROPS,0)),
IF(AND(ISNUMBER(SEARCH("H-Dsty.",$B2))=TRUE,ISNUMBER(SEARCH("H-Res",$B2))=TRUE,ISNUMBER(SEARCH("N.",$B2))=TRUE),INDEX(fertrate_HDHR_N,MATCH($G2,fertrate_CROPS,0)),
IF(AND(ISNUMBER(SEARCH("H-Dsty.",$B2))=TRUE,ISNUMBER(SEARCH("H-Res",$B2))=TRUE,ISNUMBER(SEARCH("C.",$B2))=TRUE),INDEX(fertrate_HDHR_C,MATCH($G2,fertrate_CROPS,0)),
IF(AND(ISNUMBER(SEARCH("L-Dsty.",$B2))=TRUE,ISNUMBER(SEARCH("H-Res",$B2))=TRUE,ISNUMBER(SEARCH("E.",$B2))=TRUE),INDEX(fertrate_LDHR_E,MATCH($G2,fertrate_CROPS,0)),
IF(AND(ISNUMBER(SEARCH("L-Dsty.",$B2))=TRUE,ISNUMBER(SEARCH("H-Res",$B2))=TRUE,ISNUMBER(SEARCH("N.",$B2))=TRUE),INDEX(fertrate_LDHR_N,MATCH($G2,fertrate_CROPS,0)),
IF(AND(ISNUMBER(SEARCH("L-Dsty.",$B2))=TRUE,ISNUMBER(SEARCH("H-Res",$B2))=TRUE,ISNUMBER(SEARCH("C.",$B2))=TRUE),INDEX(fertrate_LDHR_C,MATCH($G2,fertrate_CROPS,0)),
IF(AND(ISNUMBER(SEARCH("L-Dsty.",$B2))=TRUE,ISNUMBER(SEARCH("L-Res",$B2))=TRUE,ISNUMBER(SEARCH("E.",$B2))=TRUE),INDEX(fertrate_LDLR_E,MATCH($G2,fertrate_CROPS,0)),
IF(AND(ISNUMBER(SEARCH("L-Dsty.",$B2))=TRUE,ISNUMBER(SEARCH("L-Res",$B2))=TRUE,ISNUMBER(SEARCH("N.",$B2))=TRUE),INDEX(fertrate_LDLR_N,MATCH($G2,fertrate_CROPS,0)),
IF(AND(ISNUMBER(SEARCH("L-Dsty.",$B2))=TRUE,ISNUMBER(SEARCH("L-Res",$B2))=TRUE,ISNUMBER(SEARCH("C.",$B2))=TRUE),INDEX(fertrate_LDLR_C,MATCH($G2,fertrate_CROPS,0))
)))))))))</f>
        <v>0</v>
      </c>
      <c r="AF2" s="234">
        <f>IF(AND(ISNUMBER(SEARCH("H-Dsty.",$B2))=TRUE,ISNUMBER(SEARCH("H-Res",$B2))=TRUE,ISNUMBER(SEARCH("E.",$B2))=TRUE),INDEX(fertrate_HDHR_E,MATCH($H2,fertrate_CROPS,0)),
IF(AND(ISNUMBER(SEARCH("H-Dsty.",$B2))=TRUE,ISNUMBER(SEARCH("H-Res",$B2))=TRUE,ISNUMBER(SEARCH("N.",$B2))=TRUE),INDEX(fertrate_HDHR_N,MATCH($H2,fertrate_CROPS,0)),
IF(AND(ISNUMBER(SEARCH("H-Dsty.",$B2))=TRUE,ISNUMBER(SEARCH("H-Res",$B2))=TRUE,ISNUMBER(SEARCH("C.",$B2))=TRUE),INDEX(fertrate_HDHR_C,MATCH($H2,fertrate_CROPS,0)),
IF(AND(ISNUMBER(SEARCH("L-Dsty.",$B2))=TRUE,ISNUMBER(SEARCH("H-Res",$B2))=TRUE,ISNUMBER(SEARCH("E.",$B2))=TRUE),INDEX(fertrate_LDHR_E,MATCH($H2,fertrate_CROPS,0)),
IF(AND(ISNUMBER(SEARCH("L-Dsty.",$B2))=TRUE,ISNUMBER(SEARCH("H-Res",$B2))=TRUE,ISNUMBER(SEARCH("N.",$B2))=TRUE),INDEX(fertrate_LDHR_N,MATCH($H2,fertrate_CROPS,0)),
IF(AND(ISNUMBER(SEARCH("L-Dsty.",$B2))=TRUE,ISNUMBER(SEARCH("H-Res",$B2))=TRUE,ISNUMBER(SEARCH("C.",$B2))=TRUE),INDEX(fertrate_LDHR_C,MATCH($H2,fertrate_CROPS,0)),
IF(AND(ISNUMBER(SEARCH("L-Dsty.",$B2))=TRUE,ISNUMBER(SEARCH("L-Res",$B2))=TRUE,ISNUMBER(SEARCH("E.",$B2))=TRUE),INDEX(fertrate_LDLR_E,MATCH($H2,fertrate_CROPS,0)),
IF(AND(ISNUMBER(SEARCH("L-Dsty.",$B2))=TRUE,ISNUMBER(SEARCH("L-Res",$B2))=TRUE,ISNUMBER(SEARCH("N.",$B2))=TRUE),INDEX(fertrate_LDLR_N,MATCH($H2,fertrate_CROPS,0)),
IF(AND(ISNUMBER(SEARCH("L-Dsty.",$B2))=TRUE,ISNUMBER(SEARCH("L-Res",$B2))=TRUE,ISNUMBER(SEARCH("C.",$B2))=TRUE),INDEX(fertrate_LDLR_C,MATCH($H2,fertrate_CROPS,0))
)))))))))</f>
        <v>220</v>
      </c>
      <c r="AG2" s="344">
        <f>IF(AND(ISNUMBER(SEARCH("H-Dsty.",$B2))=TRUE,ISNUMBER(SEARCH("H-Res",$B2))=TRUE,ISNUMBER(SEARCH("E.",$B2))=TRUE),INDEX(fertrate_HDHR_E,MATCH($I2,fertrate_CROPS,0)),
IF(AND(ISNUMBER(SEARCH("H-Dsty.",$B2))=TRUE,ISNUMBER(SEARCH("H-Res",$B2))=TRUE,ISNUMBER(SEARCH("N.",$B2))=TRUE),INDEX(fertrate_HDHR_N,MATCH($I2,fertrate_CROPS,0)),
IF(AND(ISNUMBER(SEARCH("H-Dsty.",$B2))=TRUE,ISNUMBER(SEARCH("H-Res",$B2))=TRUE,ISNUMBER(SEARCH("C.",$B2))=TRUE),INDEX(fertrate_HDHR_C,MATCH($I2,fertrate_CROPS,0)),
IF(AND(ISNUMBER(SEARCH("L-Dsty.",$B2))=TRUE,ISNUMBER(SEARCH("H-Res",$B2))=TRUE,ISNUMBER(SEARCH("E.",$B2))=TRUE),INDEX(fertrate_LDHR_E,MATCH($I2,fertrate_CROPS,0)),
IF(AND(ISNUMBER(SEARCH("L-Dsty.",$B2))=TRUE,ISNUMBER(SEARCH("H-Res",$B2))=TRUE,ISNUMBER(SEARCH("N.",$B2))=TRUE),INDEX(fertrate_LDHR_N,MATCH($I2,fertrate_CROPS,0)),
IF(AND(ISNUMBER(SEARCH("L-Dsty.",$B2))=TRUE,ISNUMBER(SEARCH("H-Res",$B2))=TRUE,ISNUMBER(SEARCH("C.",$B2))=TRUE),INDEX(fertrate_LDHR_C,MATCH($I2,fertrate_CROPS,0)),
IF(AND(ISNUMBER(SEARCH("L-Dsty.",$B2))=TRUE,ISNUMBER(SEARCH("L-Res",$B2))=TRUE,ISNUMBER(SEARCH("E.",$B2))=TRUE),INDEX(fertrate_LDLR_E,MATCH($I2,fertrate_CROPS,0)),
IF(AND(ISNUMBER(SEARCH("L-Dsty.",$B2))=TRUE,ISNUMBER(SEARCH("L-Res",$B2))=TRUE,ISNUMBER(SEARCH("N.",$B2))=TRUE),INDEX(fertrate_LDLR_N,MATCH($I2,fertrate_CROPS,0)),
IF(AND(ISNUMBER(SEARCH("L-Dsty.",$B2))=TRUE,ISNUMBER(SEARCH("L-Res",$B2))=TRUE,ISNUMBER(SEARCH("C.",$B2))=TRUE),INDEX(fertrate_LDLR_C,MATCH($I2,fertrate_CROPS,0))
)))))))))</f>
        <v>100</v>
      </c>
      <c r="AH2" s="234">
        <f>IF(AND(ISNUMBER(SEARCH("H-Dsty.",$B2))=TRUE,ISNUMBER(SEARCH("H-Res",$B2))=TRUE,ISNUMBER(SEARCH("E.",$B2))=TRUE),INDEX(fertrate_HDHR_E,MATCH($J2,fertrate_CROPS,0)),
IF(AND(ISNUMBER(SEARCH("H-Dsty.",$B2))=TRUE,ISNUMBER(SEARCH("H-Res",$B2))=TRUE,ISNUMBER(SEARCH("N.",$B2))=TRUE),INDEX(fertrate_HDHR_N,MATCH($J2,fertrate_CROPS,0)),
IF(AND(ISNUMBER(SEARCH("H-Dsty.",$B2))=TRUE,ISNUMBER(SEARCH("H-Res",$B2))=TRUE,ISNUMBER(SEARCH("C.",$B2))=TRUE),INDEX(fertrate_HDHR_C,MATCH($J2,fertrate_CROPS,0)),
IF(AND(ISNUMBER(SEARCH("L-Dsty.",$B2))=TRUE,ISNUMBER(SEARCH("H-Res",$B2))=TRUE,ISNUMBER(SEARCH("E.",$B2))=TRUE),INDEX(fertrate_LDHR_E,MATCH($J2,fertrate_CROPS,0)),
IF(AND(ISNUMBER(SEARCH("L-Dsty.",$B2))=TRUE,ISNUMBER(SEARCH("H-Res",$B2))=TRUE,ISNUMBER(SEARCH("N.",$B2))=TRUE),INDEX(fertrate_LDHR_N,MATCH($J2,fertrate_CROPS,0)),
IF(AND(ISNUMBER(SEARCH("L-Dsty.",$B2))=TRUE,ISNUMBER(SEARCH("H-Res",$B2))=TRUE,ISNUMBER(SEARCH("C.",$B2))=TRUE),INDEX(fertrate_LDHR_C,MATCH($J2,fertrate_CROPS,0)),
IF(AND(ISNUMBER(SEARCH("L-Dsty.",$B2))=TRUE,ISNUMBER(SEARCH("L-Res",$B2))=TRUE,ISNUMBER(SEARCH("E.",$B2))=TRUE),INDEX(fertrate_LDLR_E,MATCH($J2,fertrate_CROPS,0)),
IF(AND(ISNUMBER(SEARCH("L-Dsty.",$B2))=TRUE,ISNUMBER(SEARCH("L-Res",$B2))=TRUE,ISNUMBER(SEARCH("N.",$B2))=TRUE),INDEX(fertrate_LDLR_N,MATCH($J2,fertrate_CROPS,0)),
IF(AND(ISNUMBER(SEARCH("L-Dsty.",$B2))=TRUE,ISNUMBER(SEARCH("L-Res",$B2))=TRUE,ISNUMBER(SEARCH("C.",$B2))=TRUE),INDEX(fertrate_LDLR_C,MATCH($J2,fertrate_CROPS,0))
)))))))))</f>
        <v>220</v>
      </c>
      <c r="AI2" s="234">
        <f>IF(AND(ISNUMBER(SEARCH("H-Dsty.",$B2))=TRUE,ISNUMBER(SEARCH("H-Res",$B2))=TRUE,ISNUMBER(SEARCH("E.",$B2))=TRUE),INDEX(fertrate_HDHR_E,MATCH($K2,fertrate_CROPS,0)),
IF(AND(ISNUMBER(SEARCH("H-Dsty.",$B2))=TRUE,ISNUMBER(SEARCH("H-Res",$B2))=TRUE,ISNUMBER(SEARCH("N.",$B2))=TRUE),INDEX(fertrate_HDHR_N,MATCH($K2,fertrate_CROPS,0)),
IF(AND(ISNUMBER(SEARCH("H-Dsty.",$B2))=TRUE,ISNUMBER(SEARCH("H-Res",$B2))=TRUE,ISNUMBER(SEARCH("C.",$B2))=TRUE),INDEX(fertrate_HDHR_C,MATCH($K2,fertrate_CROPS,0)),
IF(AND(ISNUMBER(SEARCH("L-Dsty.",$B2))=TRUE,ISNUMBER(SEARCH("H-Res",$B2))=TRUE,ISNUMBER(SEARCH("E.",$B2))=TRUE),INDEX(fertrate_LDHR_E,MATCH($K2,fertrate_CROPS,0)),
IF(AND(ISNUMBER(SEARCH("L-Dsty.",$B2))=TRUE,ISNUMBER(SEARCH("H-Res",$B2))=TRUE,ISNUMBER(SEARCH("N.",$B2))=TRUE),INDEX(fertrate_LDHR_N,MATCH($K2,fertrate_CROPS,0)),
IF(AND(ISNUMBER(SEARCH("L-Dsty.",$B2))=TRUE,ISNUMBER(SEARCH("H-Res",$B2))=TRUE,ISNUMBER(SEARCH("C.",$B2))=TRUE),INDEX(fertrate_LDHR_C,MATCH($K2,fertrate_CROPS,0)),
IF(AND(ISNUMBER(SEARCH("L-Dsty.",$B2))=TRUE,ISNUMBER(SEARCH("L-Res",$B2))=TRUE,ISNUMBER(SEARCH("E.",$B2))=TRUE),INDEX(fertrate_LDLR_E,MATCH($K2,fertrate_CROPS,0)),
IF(AND(ISNUMBER(SEARCH("L-Dsty.",$B2))=TRUE,ISNUMBER(SEARCH("L-Res",$B2))=TRUE,ISNUMBER(SEARCH("N.",$B2))=TRUE),INDEX(fertrate_LDLR_N,MATCH($K2,fertrate_CROPS,0)),
IF(AND(ISNUMBER(SEARCH("L-Dsty.",$B2))=TRUE,ISNUMBER(SEARCH("L-Res",$B2))=TRUE,ISNUMBER(SEARCH("C.",$B2))=TRUE),INDEX(fertrate_LDLR_C,MATCH($K2,fertrate_CROPS,0))
)))))))))</f>
        <v>80</v>
      </c>
      <c r="AJ2" s="154">
        <f t="shared" ref="AJ2:AJ33" si="23">INDEX(cropdata, MATCH(Pinput,inputs,0), MATCH($F2,cropdatacrops,0))</f>
        <v>30</v>
      </c>
      <c r="AK2" s="154">
        <f t="shared" ref="AK2:AK33" si="24">INDEX(cropdata, MATCH(Pinput,inputs,0), MATCH($G2,cropdatacrops,0))</f>
        <v>43</v>
      </c>
      <c r="AL2" s="154">
        <f t="shared" ref="AL2:AL33" si="25">INDEX(cropdata, MATCH(Pinput,inputs,0), MATCH($H2,cropdatacrops,0))</f>
        <v>67</v>
      </c>
      <c r="AM2" s="238">
        <f t="shared" ref="AM2:AM33" si="26">INDEX(cropdata, MATCH(Pinput,inputs,0), MATCH($I2,cropdatacrops,0))</f>
        <v>43</v>
      </c>
      <c r="AN2" s="154">
        <f t="shared" ref="AN2:AN33" si="27">INDEX(cropdata, MATCH(Pinput,inputs,0), MATCH($J2,cropdatacrops,0))</f>
        <v>67</v>
      </c>
      <c r="AO2" s="154">
        <f t="shared" ref="AO2:AO33" si="28">INDEX(cropdata, MATCH(Pinput,inputs,0), MATCH($K2,cropdatacrops,0))</f>
        <v>30</v>
      </c>
      <c r="AP2" s="154">
        <f t="shared" ref="AP2:AP33" si="29">INDEX(cropdata, MATCH(Kinput,inputs,0), MATCH($F2,cropdatacrops,0))</f>
        <v>10</v>
      </c>
      <c r="AQ2" s="154">
        <f t="shared" ref="AQ2:AQ33" si="30">INDEX(cropdata, MATCH(Kinput,inputs,0), MATCH($G2,cropdatacrops,0))</f>
        <v>47</v>
      </c>
      <c r="AR2" s="154">
        <f t="shared" ref="AR2:AR33" si="31">INDEX(cropdata, MATCH(Kinput,inputs,0), MATCH($H2,cropdatacrops,0))</f>
        <v>48</v>
      </c>
      <c r="AS2" s="238">
        <f t="shared" ref="AS2:AS33" si="32">INDEX(cropdata, MATCH(Kinput,inputs,0), MATCH($I2,cropdatacrops,0))</f>
        <v>31</v>
      </c>
      <c r="AT2" s="154">
        <f t="shared" ref="AT2:AT33" si="33">INDEX(cropdata, MATCH(Kinput,inputs,0), MATCH($J2,cropdatacrops,0))</f>
        <v>48</v>
      </c>
      <c r="AU2" s="154">
        <f t="shared" ref="AU2:AU33" si="34">INDEX(cropdata, MATCH(Kinput,inputs,0), MATCH($K2,cropdatacrops,0))</f>
        <v>10</v>
      </c>
      <c r="AV2" s="234">
        <f t="shared" ref="AV2:AV19" si="35">IF(AND(ISNUMBER(SEARCH("H-Dsty.",$B2))=TRUE,ISNUMBER(SEARCH("H-Res",$B2))=TRUE,ISNUMBER(SEARCH("E.",$B2))=TRUE),INDEX(BGherb_HDHR_E,MATCH($F2,BGherb_CROPS,0)),
IF(AND(ISNUMBER(SEARCH("H-Dsty.",$B2))=TRUE,ISNUMBER(SEARCH("H-Res",$B2))=TRUE,ISNUMBER(SEARCH("N.",$B2))=TRUE),INDEX(BGherb_HDHR_N,MATCH($F2,BGherb_CROPS,0)),
IF(AND(ISNUMBER(SEARCH("H-Dsty.",$B2))=TRUE,ISNUMBER(SEARCH("H-Res",$B2))=TRUE,ISNUMBER(SEARCH("C.",$B2))=TRUE),INDEX(BGherb_HDHR_C,MATCH($F2,BGherb_CROPS,0)),
IF(AND(ISNUMBER(SEARCH("L-Dsty.",$B2))=TRUE,ISNUMBER(SEARCH("H-Res",$B2))=TRUE,ISNUMBER(SEARCH("E.",$B2))=TRUE),INDEX(BGherb_LDHR_E,MATCH($F2,BGherb_CROPS,0)),
IF(AND(ISNUMBER(SEARCH("L-Dsty.",$B2))=TRUE,ISNUMBER(SEARCH("H-Res",$B2))=TRUE,ISNUMBER(SEARCH("N.",$B2))=TRUE),INDEX(BGherb_LDHR_N,MATCH($F2,BGherb_CROPS,0)),
IF(AND(ISNUMBER(SEARCH("L-Dsty.",$B2))=TRUE,ISNUMBER(SEARCH("H-Res",$B2))=TRUE,ISNUMBER(SEARCH("C.",$B2))=TRUE),INDEX(BGherb_LDHR_C,MATCH($F2,BGherb_CROPS,0)),
IF(AND(ISNUMBER(SEARCH("L-Dsty.",$B2))=TRUE,ISNUMBER(SEARCH("L-Res",$B2))=TRUE,ISNUMBER(SEARCH("E.",$B2))=TRUE),INDEX(BGherb_LDLR_E,MATCH($F2,BGherb_CROPS,0)),
IF(AND(ISNUMBER(SEARCH("L-Dsty.",$B2))=TRUE,ISNUMBER(SEARCH("L-Res",$B2))=TRUE,ISNUMBER(SEARCH("N.",$B2))=TRUE),INDEX(BGherb_LDLR_N,MATCH($F2,BGherb_CROPS,0)),
IF(AND(ISNUMBER(SEARCH("L-Dsty.",$B2))=TRUE,ISNUMBER(SEARCH("L-Res",$B2))=TRUE,ISNUMBER(SEARCH("C.",$B2))=TRUE),INDEX(BGherb_LDLR_C,MATCH($F2,BGherb_CROPS,0))
)))))))))</f>
        <v>5</v>
      </c>
      <c r="AW2" s="234">
        <f t="shared" ref="AW2:AW33" si="36">IF(AND(ISNUMBER(SEARCH("H-Dsty.",$B2))=TRUE,ISNUMBER(SEARCH("H-Res",$B2))=TRUE,ISNUMBER(SEARCH("E.",$B2))=TRUE),INDEX(BGherb_HDHR_E,MATCH($G2,BGherb_CROPS,0)),
IF(AND(ISNUMBER(SEARCH("H-Dsty.",$B2))=TRUE,ISNUMBER(SEARCH("H-Res",$B2))=TRUE,ISNUMBER(SEARCH("N.",$B2))=TRUE),INDEX(BGherb_HDHR_N,MATCH($G2,BGherb_CROPS,0)),
IF(AND(ISNUMBER(SEARCH("H-Dsty.",$B2))=TRUE,ISNUMBER(SEARCH("H-Res",$B2))=TRUE,ISNUMBER(SEARCH("C.",$B2))=TRUE),INDEX(BGherb_HDHR_C,MATCH($G2,BGherb_CROPS,0)),
IF(AND(ISNUMBER(SEARCH("L-Dsty.",$B2))=TRUE,ISNUMBER(SEARCH("H-Res",$B2))=TRUE,ISNUMBER(SEARCH("E.",$B2))=TRUE),INDEX(BGherb_LDHR_E,MATCH($G2,BGherb_CROPS,0)),
IF(AND(ISNUMBER(SEARCH("L-Dsty.",$B2))=TRUE,ISNUMBER(SEARCH("H-Res",$B2))=TRUE,ISNUMBER(SEARCH("N.",$B2))=TRUE),INDEX(BGherb_LDHR_N,MATCH($G2,BGherb_CROPS,0)),
IF(AND(ISNUMBER(SEARCH("L-Dsty.",$B2))=TRUE,ISNUMBER(SEARCH("H-Res",$B2))=TRUE,ISNUMBER(SEARCH("C.",$B2))=TRUE),INDEX(BGherb_LDHR_C,MATCH($G2,BGherb_CROPS,0)),
IF(AND(ISNUMBER(SEARCH("L-Dsty.",$B2))=TRUE,ISNUMBER(SEARCH("L-Res",$B2))=TRUE,ISNUMBER(SEARCH("E.",$B2))=TRUE),INDEX(BGherb_LDLR_E,MATCH($G2,BGherb_CROPS,0)),
IF(AND(ISNUMBER(SEARCH("L-Dsty.",$B2))=TRUE,ISNUMBER(SEARCH("L-Res",$B2))=TRUE,ISNUMBER(SEARCH("N.",$B2))=TRUE),INDEX(BGherb_LDLR_N,MATCH($G2,BGherb_CROPS,0)),
IF(AND(ISNUMBER(SEARCH("L-Dsty.",$B2))=TRUE,ISNUMBER(SEARCH("L-Res",$B2))=TRUE,ISNUMBER(SEARCH("C.",$B2))=TRUE),INDEX(BGherb_LDLR_C,MATCH($G2,BGherb_CROPS,0))
)))))))))</f>
        <v>9</v>
      </c>
      <c r="AX2" s="234">
        <f t="shared" ref="AX2:AX33" si="37">IF(AND(ISNUMBER(SEARCH("H-Dsty.",$B2))=TRUE,ISNUMBER(SEARCH("H-Res",$B2))=TRUE,ISNUMBER(SEARCH("E.",$B2))=TRUE),INDEX(BGherb_HDHR_E,MATCH($H2,BGherb_CROPS,0)),
IF(AND(ISNUMBER(SEARCH("H-Dsty.",$B2))=TRUE,ISNUMBER(SEARCH("H-Res",$B2))=TRUE,ISNUMBER(SEARCH("N.",$B2))=TRUE),INDEX(BGherb_HDHR_N,MATCH($H2,BGherb_CROPS,0)),
IF(AND(ISNUMBER(SEARCH("H-Dsty.",$B2))=TRUE,ISNUMBER(SEARCH("H-Res",$B2))=TRUE,ISNUMBER(SEARCH("C.",$B2))=TRUE),INDEX(BGherb_HDHR_C,MATCH($H2,BGherb_CROPS,0)),
IF(AND(ISNUMBER(SEARCH("L-Dsty.",$B2))=TRUE,ISNUMBER(SEARCH("H-Res",$B2))=TRUE,ISNUMBER(SEARCH("E.",$B2))=TRUE),INDEX(BGherb_LDHR_E,MATCH($H2,BGherb_CROPS,0)),
IF(AND(ISNUMBER(SEARCH("L-Dsty.",$B2))=TRUE,ISNUMBER(SEARCH("H-Res",$B2))=TRUE,ISNUMBER(SEARCH("N.",$B2))=TRUE),INDEX(BGherb_LDHR_N,MATCH($H2,BGherb_CROPS,0)),
IF(AND(ISNUMBER(SEARCH("L-Dsty.",$B2))=TRUE,ISNUMBER(SEARCH("H-Res",$B2))=TRUE,ISNUMBER(SEARCH("C.",$B2))=TRUE),INDEX(BGherb_LDHR_C,MATCH($H2,BGherb_CROPS,0)),
IF(AND(ISNUMBER(SEARCH("L-Dsty.",$B2))=TRUE,ISNUMBER(SEARCH("L-Res",$B2))=TRUE,ISNUMBER(SEARCH("E.",$B2))=TRUE),INDEX(BGherb_LDLR_E,MATCH($H2,BGherb_CROPS,0)),
IF(AND(ISNUMBER(SEARCH("L-Dsty.",$B2))=TRUE,ISNUMBER(SEARCH("L-Res",$B2))=TRUE,ISNUMBER(SEARCH("N.",$B2))=TRUE),INDEX(BGherb_LDLR_N,MATCH($H2,BGherb_CROPS,0)),
IF(AND(ISNUMBER(SEARCH("L-Dsty.",$B2))=TRUE,ISNUMBER(SEARCH("L-Res",$B2))=TRUE,ISNUMBER(SEARCH("C.",$B2))=TRUE),INDEX(BGherb_LDLR_C,MATCH($H2,BGherb_CROPS,0))
)))))))))</f>
        <v>10.84</v>
      </c>
      <c r="AY2" s="234">
        <f t="shared" ref="AY2:AY19" si="38">IF(AND(ISNUMBER(SEARCH("H-Dsty.",$B2))=TRUE,ISNUMBER(SEARCH("H-Res",$B2))=TRUE,ISNUMBER(SEARCH("E.",$B2))=TRUE),INDEX(BGherb_HDHR_E,MATCH($I2,BGherb_CROPS,0)),
IF(AND(ISNUMBER(SEARCH("H-Dsty.",$B2))=TRUE,ISNUMBER(SEARCH("H-Res",$B2))=TRUE,ISNUMBER(SEARCH("N.",$B2))=TRUE),INDEX(BGherb_HDHR_N,MATCH($I2,BGherb_CROPS,0)),
IF(AND(ISNUMBER(SEARCH("H-Dsty.",$B2))=TRUE,ISNUMBER(SEARCH("H-Res",$B2))=TRUE,ISNUMBER(SEARCH("C.",$B2))=TRUE),INDEX(BGherb_HDHR_C,MATCH($I2,BGherb_CROPS,0)),
IF(AND(ISNUMBER(SEARCH("L-Dsty.",$B2))=TRUE,ISNUMBER(SEARCH("H-Res",$B2))=TRUE,ISNUMBER(SEARCH("E.",$B2))=TRUE),INDEX(BGherb_LDHR_E,MATCH($I2,BGherb_CROPS,0)),
IF(AND(ISNUMBER(SEARCH("L-Dsty.",$B2))=TRUE,ISNUMBER(SEARCH("H-Res",$B2))=TRUE,ISNUMBER(SEARCH("N.",$B2))=TRUE),INDEX(BGherb_LDHR_N,MATCH($I2,BGherb_CROPS,0)),
IF(AND(ISNUMBER(SEARCH("L-Dsty.",$B2))=TRUE,ISNUMBER(SEARCH("H-Res",$B2))=TRUE,ISNUMBER(SEARCH("C.",$B2))=TRUE),INDEX(BGherb_LDHR_C,MATCH($I2,BGherb_CROPS,0)),
IF(AND(ISNUMBER(SEARCH("L-Dsty.",$B2))=TRUE,ISNUMBER(SEARCH("L-Res",$B2))=TRUE,ISNUMBER(SEARCH("E.",$B2))=TRUE),INDEX(BGherb_LDLR_E,MATCH($I2,BGherb_CROPS,0)),
IF(AND(ISNUMBER(SEARCH("L-Dsty.",$B2))=TRUE,ISNUMBER(SEARCH("L-Res",$B2))=TRUE,ISNUMBER(SEARCH("N.",$B2))=TRUE),INDEX(BGherb_LDLR_N,MATCH($I2,BGherb_CROPS,0)),
IF(AND(ISNUMBER(SEARCH("L-Dsty.",$B2))=TRUE,ISNUMBER(SEARCH("L-Res",$B2))=TRUE,ISNUMBER(SEARCH("C.",$B2))=TRUE),INDEX(BGherb_LDLR_C,MATCH($I2,BGherb_CROPS,0))
)))))))))</f>
        <v>0.25</v>
      </c>
      <c r="AZ2" s="234">
        <f t="shared" ref="AZ2:AZ33" si="39">IF(AND(ISNUMBER(SEARCH("H-Dsty.",$B2))=TRUE,ISNUMBER(SEARCH("H-Res",$B2))=TRUE,ISNUMBER(SEARCH("E.",$B2))=TRUE),INDEX(BGherb_HDHR_E,MATCH($J2,BGherb_CROPS,0)),
IF(AND(ISNUMBER(SEARCH("H-Dsty.",$B2))=TRUE,ISNUMBER(SEARCH("H-Res",$B2))=TRUE,ISNUMBER(SEARCH("N.",$B2))=TRUE),INDEX(BGherb_HDHR_N,MATCH($J2,BGherb_CROPS,0)),
IF(AND(ISNUMBER(SEARCH("H-Dsty.",$B2))=TRUE,ISNUMBER(SEARCH("H-Res",$B2))=TRUE,ISNUMBER(SEARCH("C.",$B2))=TRUE),INDEX(BGherb_HDHR_C,MATCH($J2,BGherb_CROPS,0)),
IF(AND(ISNUMBER(SEARCH("L-Dsty.",$B2))=TRUE,ISNUMBER(SEARCH("H-Res",$B2))=TRUE,ISNUMBER(SEARCH("E.",$B2))=TRUE),INDEX(BGherb_LDHR_E,MATCH($J2,BGherb_CROPS,0)),
IF(AND(ISNUMBER(SEARCH("L-Dsty.",$B2))=TRUE,ISNUMBER(SEARCH("H-Res",$B2))=TRUE,ISNUMBER(SEARCH("N.",$B2))=TRUE),INDEX(BGherb_LDHR_N,MATCH($J2,BGherb_CROPS,0)),
IF(AND(ISNUMBER(SEARCH("L-Dsty.",$B2))=TRUE,ISNUMBER(SEARCH("H-Res",$B2))=TRUE,ISNUMBER(SEARCH("C.",$B2))=TRUE),INDEX(BGherb_LDHR_C,MATCH($J2,BGherb_CROPS,0)),
IF(AND(ISNUMBER(SEARCH("L-Dsty.",$B2))=TRUE,ISNUMBER(SEARCH("L-Res",$B2))=TRUE,ISNUMBER(SEARCH("E.",$B2))=TRUE),INDEX(BGherb_LDLR_E,MATCH($J2,BGherb_CROPS,0)),
IF(AND(ISNUMBER(SEARCH("L-Dsty.",$B2))=TRUE,ISNUMBER(SEARCH("L-Res",$B2))=TRUE,ISNUMBER(SEARCH("N.",$B2))=TRUE),INDEX(BGherb_LDLR_N,MATCH($J2,BGherb_CROPS,0)),
IF(AND(ISNUMBER(SEARCH("L-Dsty.",$B2))=TRUE,ISNUMBER(SEARCH("L-Res",$B2))=TRUE,ISNUMBER(SEARCH("C.",$B2))=TRUE),INDEX(BGherb_LDLR_C,MATCH($J2,BGherb_CROPS,0))
)))))))))</f>
        <v>10.84</v>
      </c>
      <c r="BA2" s="234">
        <f t="shared" ref="BA2:BA33" si="40">IF(AND(ISNUMBER(SEARCH("H-Dsty.",$B2))=TRUE,ISNUMBER(SEARCH("H-Res",$B2))=TRUE,ISNUMBER(SEARCH("E.",$B2))=TRUE),INDEX(BGherb_HDHR_E,MATCH($K2,BGherb_CROPS,0)),
IF(AND(ISNUMBER(SEARCH("H-Dsty.",$B2))=TRUE,ISNUMBER(SEARCH("H-Res",$B2))=TRUE,ISNUMBER(SEARCH("N.",$B2))=TRUE),INDEX(BGherb_HDHR_N,MATCH($K2,BGherb_CROPS,0)),
IF(AND(ISNUMBER(SEARCH("H-Dsty.",$B2))=TRUE,ISNUMBER(SEARCH("H-Res",$B2))=TRUE,ISNUMBER(SEARCH("C.",$B2))=TRUE),INDEX(BGherb_HDHR_C,MATCH($K2,BGherb_CROPS,0)),
IF(AND(ISNUMBER(SEARCH("L-Dsty.",$B2))=TRUE,ISNUMBER(SEARCH("H-Res",$B2))=TRUE,ISNUMBER(SEARCH("E.",$B2))=TRUE),INDEX(BGherb_LDHR_E,MATCH($K2,BGherb_CROPS,0)),
IF(AND(ISNUMBER(SEARCH("L-Dsty.",$B2))=TRUE,ISNUMBER(SEARCH("H-Res",$B2))=TRUE,ISNUMBER(SEARCH("N.",$B2))=TRUE),INDEX(BGherb_LDHR_N,MATCH($K2,BGherb_CROPS,0)),
IF(AND(ISNUMBER(SEARCH("L-Dsty.",$B2))=TRUE,ISNUMBER(SEARCH("H-Res",$B2))=TRUE,ISNUMBER(SEARCH("C.",$B2))=TRUE),INDEX(BGherb_LDHR_C,MATCH($K2,BGherb_CROPS,0)),
IF(AND(ISNUMBER(SEARCH("L-Dsty.",$B2))=TRUE,ISNUMBER(SEARCH("L-Res",$B2))=TRUE,ISNUMBER(SEARCH("E.",$B2))=TRUE),INDEX(BGherb_LDLR_E,MATCH($K2,BGherb_CROPS,0)),
IF(AND(ISNUMBER(SEARCH("L-Dsty.",$B2))=TRUE,ISNUMBER(SEARCH("L-Res",$B2))=TRUE,ISNUMBER(SEARCH("N.",$B2))=TRUE),INDEX(BGherb_LDLR_N,MATCH($K2,BGherb_CROPS,0)),
IF(AND(ISNUMBER(SEARCH("L-Dsty.",$B2))=TRUE,ISNUMBER(SEARCH("L-Res",$B2))=TRUE,ISNUMBER(SEARCH("C.",$B2))=TRUE),INDEX(BGherb_LDLR_C,MATCH($K2,BGherb_CROPS,0))
)))))))))</f>
        <v>5</v>
      </c>
      <c r="BB2" s="234">
        <f t="shared" ref="BB2:BB33" si="41">IF(AND(ISNUMBER(SEARCH("H-Dsty.",$B2))=TRUE,ISNUMBER(SEARCH("H-Res",$B2))=TRUE,ISNUMBER(SEARCH("E.",$B2))=TRUE),INDEX(glyph_HDHR_E,MATCH($F2,glyph_CROPS,0)),
IF(AND(ISNUMBER(SEARCH("H-Dsty.",$B2))=TRUE,ISNUMBER(SEARCH("H-Res",$B2))=TRUE,ISNUMBER(SEARCH("N.",$B2))=TRUE),INDEX(glyph_HDHR_N,MATCH($F2,glyph_CROPS,0)),
IF(AND(ISNUMBER(SEARCH("H-Dsty.",$B2))=TRUE,ISNUMBER(SEARCH("H-Res",$B2))=TRUE,ISNUMBER(SEARCH("C.",$B2))=TRUE),INDEX(glyph_HDHR_C,MATCH($F2,glyph_CROPS,0)),
IF(AND(ISNUMBER(SEARCH("L-Dsty.",$B2))=TRUE,ISNUMBER(SEARCH("H-Res",$B2))=TRUE,ISNUMBER(SEARCH("E.",$B2))=TRUE),INDEX(glyph_LDHR_E,MATCH($F2,glyph_CROPS,0)),
IF(AND(ISNUMBER(SEARCH("L-Dsty.",$B2))=TRUE,ISNUMBER(SEARCH("H-Res",$B2))=TRUE,ISNUMBER(SEARCH("N.",$B2))=TRUE),INDEX(glyph_LDHR_N,MATCH($F2,glyph_CROPS,0)),
IF(AND(ISNUMBER(SEARCH("L-Dsty.",$B2))=TRUE,ISNUMBER(SEARCH("H-Res",$B2))=TRUE,ISNUMBER(SEARCH("C.",$B2))=TRUE),INDEX(glyph_LDHR_C,MATCH($F2,glyph_CROPS,0)),
IF(AND(ISNUMBER(SEARCH("L-Dsty.",$B2))=TRUE,ISNUMBER(SEARCH("L-Res",$B2))=TRUE,ISNUMBER(SEARCH("E.",$B2))=TRUE),INDEX(glyph_LDLR_E,MATCH($F2,glyph_CROPS,0)),
IF(AND(ISNUMBER(SEARCH("L-Dsty.",$B2))=TRUE,ISNUMBER(SEARCH("L-Res",$B2))=TRUE,ISNUMBER(SEARCH("N.",$B2))=TRUE),INDEX(glyph_LDLR_N,MATCH($F2,glyph_CROPS,0)),
IF(AND(ISNUMBER(SEARCH("L-Dsty.",$B2))=TRUE,ISNUMBER(SEARCH("L-Res",$B2))=TRUE,ISNUMBER(SEARCH("C.",$B2))=TRUE),INDEX(glyph_LDLR_C,MATCH($F2,glyph_CROPS,0))
)))))))))</f>
        <v>9.3000000000000007</v>
      </c>
      <c r="BC2" s="234">
        <f t="shared" ref="BC2:BC33" si="42">IF(AND(ISNUMBER(SEARCH("H-Dsty.",$B2))=TRUE,ISNUMBER(SEARCH("H-Res",$B2))=TRUE,ISNUMBER(SEARCH("E.",$B2))=TRUE),INDEX(glyph_HDHR_E,MATCH($G2,glyph_CROPS,0)),
IF(AND(ISNUMBER(SEARCH("H-Dsty.",$B2))=TRUE,ISNUMBER(SEARCH("H-Res",$B2))=TRUE,ISNUMBER(SEARCH("N.",$B2))=TRUE),INDEX(glyph_HDHR_N,MATCH($G2,glyph_CROPS,0)),
IF(AND(ISNUMBER(SEARCH("H-Dsty.",$B2))=TRUE,ISNUMBER(SEARCH("H-Res",$B2))=TRUE,ISNUMBER(SEARCH("C.",$B2))=TRUE),INDEX(glyph_HDHR_C,MATCH($G2,glyph_CROPS,0)),
IF(AND(ISNUMBER(SEARCH("L-Dsty.",$B2))=TRUE,ISNUMBER(SEARCH("H-Res",$B2))=TRUE,ISNUMBER(SEARCH("E.",$B2))=TRUE),INDEX(glyph_LDHR_E,MATCH($G2,glyph_CROPS,0)),
IF(AND(ISNUMBER(SEARCH("L-Dsty.",$B2))=TRUE,ISNUMBER(SEARCH("H-Res",$B2))=TRUE,ISNUMBER(SEARCH("N.",$B2))=TRUE),INDEX(glyph_LDHR_N,MATCH($G2,glyph_CROPS,0)),
IF(AND(ISNUMBER(SEARCH("L-Dsty.",$B2))=TRUE,ISNUMBER(SEARCH("H-Res",$B2))=TRUE,ISNUMBER(SEARCH("C.",$B2))=TRUE),INDEX(glyph_LDHR_C,MATCH($G2,glyph_CROPS,0)),
IF(AND(ISNUMBER(SEARCH("L-Dsty.",$B2))=TRUE,ISNUMBER(SEARCH("L-Res",$B2))=TRUE,ISNUMBER(SEARCH("E.",$B2))=TRUE),INDEX(glyph_LDLR_E,MATCH($G2,glyph_CROPS,0)),
IF(AND(ISNUMBER(SEARCH("L-Dsty.",$B2))=TRUE,ISNUMBER(SEARCH("L-Res",$B2))=TRUE,ISNUMBER(SEARCH("N.",$B2))=TRUE),INDEX(glyph_LDLR_N,MATCH($G2,glyph_CROPS,0)),
IF(AND(ISNUMBER(SEARCH("L-Dsty.",$B2))=TRUE,ISNUMBER(SEARCH("L-Res",$B2))=TRUE,ISNUMBER(SEARCH("C.",$B2))=TRUE),INDEX(glyph_LDLR_C,MATCH($G2,glyph_CROPS,0))
)))))))))</f>
        <v>8.3000000000000007</v>
      </c>
      <c r="BD2" s="234">
        <f t="shared" ref="BD2:BD33" si="43">IF(AND(ISNUMBER(SEARCH("H-Dsty.",$B2))=TRUE,ISNUMBER(SEARCH("H-Res",$B2))=TRUE,ISNUMBER(SEARCH("E.",$B2))=TRUE),INDEX(glyph_HDHR_E,MATCH($H2,glyph_CROPS,0)),
IF(AND(ISNUMBER(SEARCH("H-Dsty.",$B2))=TRUE,ISNUMBER(SEARCH("H-Res",$B2))=TRUE,ISNUMBER(SEARCH("N.",$B2))=TRUE),INDEX(glyph_HDHR_N,MATCH($H2,glyph_CROPS,0)),
IF(AND(ISNUMBER(SEARCH("H-Dsty.",$B2))=TRUE,ISNUMBER(SEARCH("H-Res",$B2))=TRUE,ISNUMBER(SEARCH("C.",$B2))=TRUE),INDEX(glyph_HDHR_C,MATCH($H2,glyph_CROPS,0)),
IF(AND(ISNUMBER(SEARCH("L-Dsty.",$B2))=TRUE,ISNUMBER(SEARCH("H-Res",$B2))=TRUE,ISNUMBER(SEARCH("E.",$B2))=TRUE),INDEX(glyph_LDHR_E,MATCH($H2,glyph_CROPS,0)),
IF(AND(ISNUMBER(SEARCH("L-Dsty.",$B2))=TRUE,ISNUMBER(SEARCH("H-Res",$B2))=TRUE,ISNUMBER(SEARCH("N.",$B2))=TRUE),INDEX(glyph_LDHR_N,MATCH($H2,glyph_CROPS,0)),
IF(AND(ISNUMBER(SEARCH("L-Dsty.",$B2))=TRUE,ISNUMBER(SEARCH("H-Res",$B2))=TRUE,ISNUMBER(SEARCH("C.",$B2))=TRUE),INDEX(glyph_LDHR_C,MATCH($H2,glyph_CROPS,0)),
IF(AND(ISNUMBER(SEARCH("L-Dsty.",$B2))=TRUE,ISNUMBER(SEARCH("L-Res",$B2))=TRUE,ISNUMBER(SEARCH("E.",$B2))=TRUE),INDEX(glyph_LDLR_E,MATCH($H2,glyph_CROPS,0)),
IF(AND(ISNUMBER(SEARCH("L-Dsty.",$B2))=TRUE,ISNUMBER(SEARCH("L-Res",$B2))=TRUE,ISNUMBER(SEARCH("N.",$B2))=TRUE),INDEX(glyph_LDLR_N,MATCH($H2,glyph_CROPS,0)),
IF(AND(ISNUMBER(SEARCH("L-Dsty.",$B2))=TRUE,ISNUMBER(SEARCH("L-Res",$B2))=TRUE,ISNUMBER(SEARCH("C.",$B2))=TRUE),INDEX(glyph_LDLR_C,MATCH($H2,glyph_CROPS,0))
)))))))))</f>
        <v>6.3</v>
      </c>
      <c r="BE2" s="234">
        <f t="shared" ref="BE2:BE13" si="44">IF(AND(ISNUMBER(SEARCH("H-Dsty.",$B2))=TRUE,ISNUMBER(SEARCH("H-Res",$B2))=TRUE,ISNUMBER(SEARCH("E.",$B2))=TRUE),INDEX(glyph_HDHR_E,MATCH($I2,glyph_CROPS,0)),
IF(AND(ISNUMBER(SEARCH("H-Dsty.",$B2))=TRUE,ISNUMBER(SEARCH("H-Res",$B2))=TRUE,ISNUMBER(SEARCH("N.",$B2))=TRUE),INDEX(glyph_HDHR_N,MATCH($I2,glyph_CROPS,0)),
IF(AND(ISNUMBER(SEARCH("H-Dsty.",$B2))=TRUE,ISNUMBER(SEARCH("H-Res",$B2))=TRUE,ISNUMBER(SEARCH("C.",$B2))=TRUE),INDEX(glyph_HDHR_C,MATCH($I2,glyph_CROPS,0)),
IF(AND(ISNUMBER(SEARCH("L-Dsty.",$B2))=TRUE,ISNUMBER(SEARCH("H-Res",$B2))=TRUE,ISNUMBER(SEARCH("E.",$B2))=TRUE),INDEX(glyph_LDHR_E,MATCH($I2,glyph_CROPS,0)),
IF(AND(ISNUMBER(SEARCH("L-Dsty.",$B2))=TRUE,ISNUMBER(SEARCH("H-Res",$B2))=TRUE,ISNUMBER(SEARCH("N.",$B2))=TRUE),INDEX(glyph_LDHR_N,MATCH($I2,glyph_CROPS,0)),
IF(AND(ISNUMBER(SEARCH("L-Dsty.",$B2))=TRUE,ISNUMBER(SEARCH("H-Res",$B2))=TRUE,ISNUMBER(SEARCH("C.",$B2))=TRUE),INDEX(glyph_LDHR_C,MATCH($I2,glyph_CROPS,0)),
IF(AND(ISNUMBER(SEARCH("L-Dsty.",$B2))=TRUE,ISNUMBER(SEARCH("L-Res",$B2))=TRUE,ISNUMBER(SEARCH("E.",$B2))=TRUE),INDEX(glyph_LDLR_E,MATCH($I2,glyph_CROPS,0)),
IF(AND(ISNUMBER(SEARCH("L-Dsty.",$B2))=TRUE,ISNUMBER(SEARCH("L-Res",$B2))=TRUE,ISNUMBER(SEARCH("N.",$B2))=TRUE),INDEX(glyph_LDLR_N,MATCH($I2,glyph_CROPS,0)),
IF(AND(ISNUMBER(SEARCH("L-Dsty.",$B2))=TRUE,ISNUMBER(SEARCH("L-Res",$B2))=TRUE,ISNUMBER(SEARCH("C.",$B2))=TRUE),INDEX(glyph_LDLR_C,MATCH($I2,glyph_CROPS,0))
)))))))))</f>
        <v>6.3</v>
      </c>
      <c r="BF2" s="234">
        <f t="shared" ref="BF2:BF33" si="45">IF(AND(ISNUMBER(SEARCH("H-Dsty.",$B2))=TRUE,ISNUMBER(SEARCH("H-Res",$B2))=TRUE,ISNUMBER(SEARCH("E.",$B2))=TRUE),INDEX(glyph_HDHR_E,MATCH($J2,glyph_CROPS,0)),
IF(AND(ISNUMBER(SEARCH("H-Dsty.",$B2))=TRUE,ISNUMBER(SEARCH("H-Res",$B2))=TRUE,ISNUMBER(SEARCH("N.",$B2))=TRUE),INDEX(glyph_HDHR_N,MATCH($J2,glyph_CROPS,0)),
IF(AND(ISNUMBER(SEARCH("H-Dsty.",$B2))=TRUE,ISNUMBER(SEARCH("H-Res",$B2))=TRUE,ISNUMBER(SEARCH("C.",$B2))=TRUE),INDEX(glyph_HDHR_C,MATCH($J2,glyph_CROPS,0)),
IF(AND(ISNUMBER(SEARCH("L-Dsty.",$B2))=TRUE,ISNUMBER(SEARCH("H-Res",$B2))=TRUE,ISNUMBER(SEARCH("E.",$B2))=TRUE),INDEX(glyph_LDHR_E,MATCH($J2,glyph_CROPS,0)),
IF(AND(ISNUMBER(SEARCH("L-Dsty.",$B2))=TRUE,ISNUMBER(SEARCH("H-Res",$B2))=TRUE,ISNUMBER(SEARCH("N.",$B2))=TRUE),INDEX(glyph_LDHR_N,MATCH($J2,glyph_CROPS,0)),
IF(AND(ISNUMBER(SEARCH("L-Dsty.",$B2))=TRUE,ISNUMBER(SEARCH("H-Res",$B2))=TRUE,ISNUMBER(SEARCH("C.",$B2))=TRUE),INDEX(glyph_LDHR_C,MATCH($J2,glyph_CROPS,0)),
IF(AND(ISNUMBER(SEARCH("L-Dsty.",$B2))=TRUE,ISNUMBER(SEARCH("L-Res",$B2))=TRUE,ISNUMBER(SEARCH("E.",$B2))=TRUE),INDEX(glyph_LDLR_E,MATCH($J2,glyph_CROPS,0)),
IF(AND(ISNUMBER(SEARCH("L-Dsty.",$B2))=TRUE,ISNUMBER(SEARCH("L-Res",$B2))=TRUE,ISNUMBER(SEARCH("N.",$B2))=TRUE),INDEX(glyph_LDLR_N,MATCH($J2,glyph_CROPS,0)),
IF(AND(ISNUMBER(SEARCH("L-Dsty.",$B2))=TRUE,ISNUMBER(SEARCH("L-Res",$B2))=TRUE,ISNUMBER(SEARCH("C.",$B2))=TRUE),INDEX(glyph_LDLR_C,MATCH($J2,glyph_CROPS,0))
)))))))))</f>
        <v>6.3</v>
      </c>
      <c r="BG2" s="234">
        <f t="shared" ref="BG2:BG33" si="46">IF(AND(ISNUMBER(SEARCH("H-Dsty.",$B2))=TRUE,ISNUMBER(SEARCH("H-Res",$B2))=TRUE,ISNUMBER(SEARCH("E.",$B2))=TRUE),INDEX(glyph_HDHR_E,MATCH($K2,glyph_CROPS,0)),
IF(AND(ISNUMBER(SEARCH("H-Dsty.",$B2))=TRUE,ISNUMBER(SEARCH("H-Res",$B2))=TRUE,ISNUMBER(SEARCH("N.",$B2))=TRUE),INDEX(glyph_HDHR_N,MATCH($K2,glyph_CROPS,0)),
IF(AND(ISNUMBER(SEARCH("H-Dsty.",$B2))=TRUE,ISNUMBER(SEARCH("H-Res",$B2))=TRUE,ISNUMBER(SEARCH("C.",$B2))=TRUE),INDEX(glyph_HDHR_C,MATCH($K2,glyph_CROPS,0)),
IF(AND(ISNUMBER(SEARCH("L-Dsty.",$B2))=TRUE,ISNUMBER(SEARCH("H-Res",$B2))=TRUE,ISNUMBER(SEARCH("E.",$B2))=TRUE),INDEX(glyph_LDHR_E,MATCH($K2,glyph_CROPS,0)),
IF(AND(ISNUMBER(SEARCH("L-Dsty.",$B2))=TRUE,ISNUMBER(SEARCH("H-Res",$B2))=TRUE,ISNUMBER(SEARCH("N.",$B2))=TRUE),INDEX(glyph_LDHR_N,MATCH($K2,glyph_CROPS,0)),
IF(AND(ISNUMBER(SEARCH("L-Dsty.",$B2))=TRUE,ISNUMBER(SEARCH("H-Res",$B2))=TRUE,ISNUMBER(SEARCH("C.",$B2))=TRUE),INDEX(glyph_LDHR_C,MATCH($K2,glyph_CROPS,0)),
IF(AND(ISNUMBER(SEARCH("L-Dsty.",$B2))=TRUE,ISNUMBER(SEARCH("L-Res",$B2))=TRUE,ISNUMBER(SEARCH("E.",$B2))=TRUE),INDEX(glyph_LDLR_E,MATCH($K2,glyph_CROPS,0)),
IF(AND(ISNUMBER(SEARCH("L-Dsty.",$B2))=TRUE,ISNUMBER(SEARCH("L-Res",$B2))=TRUE,ISNUMBER(SEARCH("N.",$B2))=TRUE),INDEX(glyph_LDLR_N,MATCH($K2,glyph_CROPS,0)),
IF(AND(ISNUMBER(SEARCH("L-Dsty.",$B2))=TRUE,ISNUMBER(SEARCH("L-Res",$B2))=TRUE,ISNUMBER(SEARCH("C.",$B2))=TRUE),INDEX(glyph_LDLR_C,MATCH($K2,glyph_CROPS,0))
)))))))))</f>
        <v>9.3000000000000007</v>
      </c>
      <c r="BH2" s="234">
        <f t="shared" ref="BH2:BH33" si="47">IF(AND(ISNUMBER(SEARCH("H-Dsty.",$B2))=TRUE,ISNUMBER(SEARCH("H-Res",$B2))=TRUE,ISNUMBER(SEARCH("E.",$B2))=TRUE),INDEX(nspray_HDHR_E,MATCH($F2,nspray_CROPS,0)),
IF(AND(ISNUMBER(SEARCH("H-Dsty.",$B2))=TRUE,ISNUMBER(SEARCH("H-Res",$B2))=TRUE,ISNUMBER(SEARCH("N.",$B2))=TRUE),INDEX(nspray_HDHR_N,MATCH($F2,nspray_CROPS,0)),
IF(AND(ISNUMBER(SEARCH("H-Dsty.",$B2))=TRUE,ISNUMBER(SEARCH("H-Res",$B2))=TRUE,ISNUMBER(SEARCH("C.",$B2))=TRUE),INDEX(nspray_HDHR_C,MATCH($F2,nspray_CROPS,0)),
IF(AND(ISNUMBER(SEARCH("L-Dsty.",$B2))=TRUE,ISNUMBER(SEARCH("H-Res",$B2))=TRUE,ISNUMBER(SEARCH("E.",$B2))=TRUE),INDEX(nspray_LDHR_E,MATCH($F2,nspray_CROPS,0)),
IF(AND(ISNUMBER(SEARCH("L-Dsty.",$B2))=TRUE,ISNUMBER(SEARCH("H-Res",$B2))=TRUE,ISNUMBER(SEARCH("N.",$B2))=TRUE),INDEX(nspray_LDHR_N,MATCH($F2,nspray_CROPS,0)),
IF(AND(ISNUMBER(SEARCH("L-Dsty.",$B2))=TRUE,ISNUMBER(SEARCH("H-Res",$B2))=TRUE,ISNUMBER(SEARCH("C.",$B2))=TRUE),INDEX(nspray_LDHR_C,MATCH($F2,nspray_CROPS,0)),
IF(AND(ISNUMBER(SEARCH("L-Dsty.",$B2))=TRUE,ISNUMBER(SEARCH("L-Res",$B2))=TRUE,ISNUMBER(SEARCH("E.",$B2))=TRUE),INDEX(nspray_LDLR_E,MATCH($F2,nspray_CROPS,0)),
IF(AND(ISNUMBER(SEARCH("L-Dsty.",$B2))=TRUE,ISNUMBER(SEARCH("L-Res",$B2))=TRUE,ISNUMBER(SEARCH("N.",$B2))=TRUE),INDEX(nspray_LDLR_N,MATCH($F2,nspray_CROPS,0)),
IF(AND(ISNUMBER(SEARCH("L-Dsty.",$B2))=TRUE,ISNUMBER(SEARCH("L-Res",$B2))=TRUE,ISNUMBER(SEARCH("C.",$B2))=TRUE),INDEX(nspray_LDLR_C,MATCH($F2,nspray_CROPS,0))
)))))))))</f>
        <v>5</v>
      </c>
      <c r="BI2" s="234">
        <f t="shared" ref="BI2:BI33" si="48">IF(AND(ISNUMBER(SEARCH("H-Dsty.",$B2))=TRUE,ISNUMBER(SEARCH("H-Res",$B2))=TRUE,ISNUMBER(SEARCH("E.",$B2))=TRUE),INDEX(nspray_HDHR_E,MATCH($G2,nspray_CROPS,0)),
IF(AND(ISNUMBER(SEARCH("H-Dsty.",$B2))=TRUE,ISNUMBER(SEARCH("H-Res",$B2))=TRUE,ISNUMBER(SEARCH("N.",$B2))=TRUE),INDEX(nspray_HDHR_N,MATCH($G2,nspray_CROPS,0)),
IF(AND(ISNUMBER(SEARCH("H-Dsty.",$B2))=TRUE,ISNUMBER(SEARCH("H-Res",$B2))=TRUE,ISNUMBER(SEARCH("C.",$B2))=TRUE),INDEX(nspray_HDHR_C,MATCH($G2,nspray_CROPS,0)),
IF(AND(ISNUMBER(SEARCH("L-Dsty.",$B2))=TRUE,ISNUMBER(SEARCH("H-Res",$B2))=TRUE,ISNUMBER(SEARCH("E.",$B2))=TRUE),INDEX(nspray_LDHR_E,MATCH($G2,nspray_CROPS,0)),
IF(AND(ISNUMBER(SEARCH("L-Dsty.",$B2))=TRUE,ISNUMBER(SEARCH("H-Res",$B2))=TRUE,ISNUMBER(SEARCH("N.",$B2))=TRUE),INDEX(nspray_LDHR_N,MATCH($G2,nspray_CROPS,0)),
IF(AND(ISNUMBER(SEARCH("L-Dsty.",$B2))=TRUE,ISNUMBER(SEARCH("H-Res",$B2))=TRUE,ISNUMBER(SEARCH("C.",$B2))=TRUE),INDEX(nspray_LDHR_C,MATCH($G2,nspray_CROPS,0)),
IF(AND(ISNUMBER(SEARCH("L-Dsty.",$B2))=TRUE,ISNUMBER(SEARCH("L-Res",$B2))=TRUE,ISNUMBER(SEARCH("E.",$B2))=TRUE),INDEX(nspray_LDLR_E,MATCH($G2,nspray_CROPS,0)),
IF(AND(ISNUMBER(SEARCH("L-Dsty.",$B2))=TRUE,ISNUMBER(SEARCH("L-Res",$B2))=TRUE,ISNUMBER(SEARCH("N.",$B2))=TRUE),INDEX(nspray_LDLR_N,MATCH($G2,nspray_CROPS,0)),
IF(AND(ISNUMBER(SEARCH("L-Dsty.",$B2))=TRUE,ISNUMBER(SEARCH("L-Res",$B2))=TRUE,ISNUMBER(SEARCH("C.",$B2))=TRUE),INDEX(nspray_LDLR_C,MATCH($G2,nspray_CROPS,0))
)))))))))</f>
        <v>5</v>
      </c>
      <c r="BJ2" s="234">
        <f t="shared" ref="BJ2:BJ33" si="49">IF(AND(ISNUMBER(SEARCH("H-Dsty.",$B2))=TRUE,ISNUMBER(SEARCH("H-Res",$B2))=TRUE,ISNUMBER(SEARCH("E.",$B2))=TRUE),INDEX(nspray_HDHR_E,MATCH($H2,nspray_CROPS,0)),
IF(AND(ISNUMBER(SEARCH("H-Dsty.",$B2))=TRUE,ISNUMBER(SEARCH("H-Res",$B2))=TRUE,ISNUMBER(SEARCH("N.",$B2))=TRUE),INDEX(nspray_HDHR_N,MATCH($H2,nspray_CROPS,0)),
IF(AND(ISNUMBER(SEARCH("H-Dsty.",$B2))=TRUE,ISNUMBER(SEARCH("H-Res",$B2))=TRUE,ISNUMBER(SEARCH("C.",$B2))=TRUE),INDEX(nspray_HDHR_C,MATCH($H2,nspray_CROPS,0)),
IF(AND(ISNUMBER(SEARCH("L-Dsty.",$B2))=TRUE,ISNUMBER(SEARCH("H-Res",$B2))=TRUE,ISNUMBER(SEARCH("E.",$B2))=TRUE),INDEX(nspray_LDHR_E,MATCH($H2,nspray_CROPS,0)),
IF(AND(ISNUMBER(SEARCH("L-Dsty.",$B2))=TRUE,ISNUMBER(SEARCH("H-Res",$B2))=TRUE,ISNUMBER(SEARCH("N.",$B2))=TRUE),INDEX(nspray_LDHR_N,MATCH($H2,nspray_CROPS,0)),
IF(AND(ISNUMBER(SEARCH("L-Dsty.",$B2))=TRUE,ISNUMBER(SEARCH("H-Res",$B2))=TRUE,ISNUMBER(SEARCH("C.",$B2))=TRUE),INDEX(nspray_LDHR_C,MATCH($H2,nspray_CROPS,0)),
IF(AND(ISNUMBER(SEARCH("L-Dsty.",$B2))=TRUE,ISNUMBER(SEARCH("L-Res",$B2))=TRUE,ISNUMBER(SEARCH("E.",$B2))=TRUE),INDEX(nspray_LDLR_E,MATCH($H2,nspray_CROPS,0)),
IF(AND(ISNUMBER(SEARCH("L-Dsty.",$B2))=TRUE,ISNUMBER(SEARCH("L-Res",$B2))=TRUE,ISNUMBER(SEARCH("N.",$B2))=TRUE),INDEX(nspray_LDLR_N,MATCH($H2,nspray_CROPS,0)),
IF(AND(ISNUMBER(SEARCH("L-Dsty.",$B2))=TRUE,ISNUMBER(SEARCH("L-Res",$B2))=TRUE,ISNUMBER(SEARCH("C.",$B2))=TRUE),INDEX(nspray_LDLR_C,MATCH($H2,nspray_CROPS,0))
)))))))))</f>
        <v>6</v>
      </c>
      <c r="BK2" s="234">
        <f t="shared" ref="BK2:BK13" si="50">IF(AND(ISNUMBER(SEARCH("H-Dsty.",$B2))=TRUE,ISNUMBER(SEARCH("H-Res",$B2))=TRUE,ISNUMBER(SEARCH("E.",$B2))=TRUE),INDEX(nspray_HDHR_E,MATCH($I2,nspray_CROPS,0)),
IF(AND(ISNUMBER(SEARCH("H-Dsty.",$B2))=TRUE,ISNUMBER(SEARCH("H-Res",$B2))=TRUE,ISNUMBER(SEARCH("N.",$B2))=TRUE),INDEX(nspray_HDHR_N,MATCH($I2,nspray_CROPS,0)),
IF(AND(ISNUMBER(SEARCH("H-Dsty.",$B2))=TRUE,ISNUMBER(SEARCH("H-Res",$B2))=TRUE,ISNUMBER(SEARCH("C.",$B2))=TRUE),INDEX(nspray_HDHR_C,MATCH($I2,nspray_CROPS,0)),
IF(AND(ISNUMBER(SEARCH("L-Dsty.",$B2))=TRUE,ISNUMBER(SEARCH("H-Res",$B2))=TRUE,ISNUMBER(SEARCH("E.",$B2))=TRUE),INDEX(nspray_LDHR_E,MATCH($I2,nspray_CROPS,0)),
IF(AND(ISNUMBER(SEARCH("L-Dsty.",$B2))=TRUE,ISNUMBER(SEARCH("H-Res",$B2))=TRUE,ISNUMBER(SEARCH("N.",$B2))=TRUE),INDEX(nspray_LDHR_N,MATCH($I2,nspray_CROPS,0)),
IF(AND(ISNUMBER(SEARCH("L-Dsty.",$B2))=TRUE,ISNUMBER(SEARCH("H-Res",$B2))=TRUE,ISNUMBER(SEARCH("C.",$B2))=TRUE),INDEX(nspray_LDHR_C,MATCH($I2,nspray_CROPS,0)),
IF(AND(ISNUMBER(SEARCH("L-Dsty.",$B2))=TRUE,ISNUMBER(SEARCH("L-Res",$B2))=TRUE,ISNUMBER(SEARCH("E.",$B2))=TRUE),INDEX(nspray_LDLR_E,MATCH($I2,nspray_CROPS,0)),
IF(AND(ISNUMBER(SEARCH("L-Dsty.",$B2))=TRUE,ISNUMBER(SEARCH("L-Res",$B2))=TRUE,ISNUMBER(SEARCH("N.",$B2))=TRUE),INDEX(nspray_LDLR_N,MATCH($I2,nspray_CROPS,0)),
IF(AND(ISNUMBER(SEARCH("L-Dsty.",$B2))=TRUE,ISNUMBER(SEARCH("L-Res",$B2))=TRUE,ISNUMBER(SEARCH("C.",$B2))=TRUE),INDEX(nspray_LDLR_C,MATCH($I2,nspray_CROPS,0))
)))))))))</f>
        <v>4</v>
      </c>
      <c r="BL2" s="234">
        <f t="shared" ref="BL2:BL33" si="51">IF(AND(ISNUMBER(SEARCH("H-Dsty.",$B2))=TRUE,ISNUMBER(SEARCH("H-Res",$B2))=TRUE,ISNUMBER(SEARCH("E.",$B2))=TRUE),INDEX(nspray_HDHR_E,MATCH($J2,nspray_CROPS,0)),
IF(AND(ISNUMBER(SEARCH("H-Dsty.",$B2))=TRUE,ISNUMBER(SEARCH("H-Res",$B2))=TRUE,ISNUMBER(SEARCH("N.",$B2))=TRUE),INDEX(nspray_HDHR_N,MATCH($J2,nspray_CROPS,0)),
IF(AND(ISNUMBER(SEARCH("H-Dsty.",$B2))=TRUE,ISNUMBER(SEARCH("H-Res",$B2))=TRUE,ISNUMBER(SEARCH("C.",$B2))=TRUE),INDEX(nspray_HDHR_C,MATCH($J2,nspray_CROPS,0)),
IF(AND(ISNUMBER(SEARCH("L-Dsty.",$B2))=TRUE,ISNUMBER(SEARCH("H-Res",$B2))=TRUE,ISNUMBER(SEARCH("E.",$B2))=TRUE),INDEX(nspray_LDHR_E,MATCH($J2,nspray_CROPS,0)),
IF(AND(ISNUMBER(SEARCH("L-Dsty.",$B2))=TRUE,ISNUMBER(SEARCH("H-Res",$B2))=TRUE,ISNUMBER(SEARCH("N.",$B2))=TRUE),INDEX(nspray_LDHR_N,MATCH($J2,nspray_CROPS,0)),
IF(AND(ISNUMBER(SEARCH("L-Dsty.",$B2))=TRUE,ISNUMBER(SEARCH("H-Res",$B2))=TRUE,ISNUMBER(SEARCH("C.",$B2))=TRUE),INDEX(nspray_LDHR_C,MATCH($J2,nspray_CROPS,0)),
IF(AND(ISNUMBER(SEARCH("L-Dsty.",$B2))=TRUE,ISNUMBER(SEARCH("L-Res",$B2))=TRUE,ISNUMBER(SEARCH("E.",$B2))=TRUE),INDEX(nspray_LDLR_E,MATCH($J2,nspray_CROPS,0)),
IF(AND(ISNUMBER(SEARCH("L-Dsty.",$B2))=TRUE,ISNUMBER(SEARCH("L-Res",$B2))=TRUE,ISNUMBER(SEARCH("N.",$B2))=TRUE),INDEX(nspray_LDLR_N,MATCH($J2,nspray_CROPS,0)),
IF(AND(ISNUMBER(SEARCH("L-Dsty.",$B2))=TRUE,ISNUMBER(SEARCH("L-Res",$B2))=TRUE,ISNUMBER(SEARCH("C.",$B2))=TRUE),INDEX(nspray_LDLR_C,MATCH($J2,nspray_CROPS,0))
)))))))))</f>
        <v>6</v>
      </c>
      <c r="BM2" s="234">
        <f t="shared" ref="BM2:BM33" si="52">IF(AND(ISNUMBER(SEARCH("H-Dsty.",$B2))=TRUE,ISNUMBER(SEARCH("H-Res",$B2))=TRUE,ISNUMBER(SEARCH("E.",$B2))=TRUE),INDEX(nspray_HDHR_E,MATCH($K2,nspray_CROPS,0)),
IF(AND(ISNUMBER(SEARCH("H-Dsty.",$B2))=TRUE,ISNUMBER(SEARCH("H-Res",$B2))=TRUE,ISNUMBER(SEARCH("N.",$B2))=TRUE),INDEX(nspray_HDHR_N,MATCH($K2,nspray_CROPS,0)),
IF(AND(ISNUMBER(SEARCH("H-Dsty.",$B2))=TRUE,ISNUMBER(SEARCH("H-Res",$B2))=TRUE,ISNUMBER(SEARCH("C.",$B2))=TRUE),INDEX(nspray_HDHR_C,MATCH($K2,nspray_CROPS,0)),
IF(AND(ISNUMBER(SEARCH("L-Dsty.",$B2))=TRUE,ISNUMBER(SEARCH("H-Res",$B2))=TRUE,ISNUMBER(SEARCH("E.",$B2))=TRUE),INDEX(nspray_LDHR_E,MATCH($K2,nspray_CROPS,0)),
IF(AND(ISNUMBER(SEARCH("L-Dsty.",$B2))=TRUE,ISNUMBER(SEARCH("H-Res",$B2))=TRUE,ISNUMBER(SEARCH("N.",$B2))=TRUE),INDEX(nspray_LDHR_N,MATCH($K2,nspray_CROPS,0)),
IF(AND(ISNUMBER(SEARCH("L-Dsty.",$B2))=TRUE,ISNUMBER(SEARCH("H-Res",$B2))=TRUE,ISNUMBER(SEARCH("C.",$B2))=TRUE),INDEX(nspray_LDHR_C,MATCH($K2,nspray_CROPS,0)),
IF(AND(ISNUMBER(SEARCH("L-Dsty.",$B2))=TRUE,ISNUMBER(SEARCH("L-Res",$B2))=TRUE,ISNUMBER(SEARCH("E.",$B2))=TRUE),INDEX(nspray_LDLR_E,MATCH($K2,nspray_CROPS,0)),
IF(AND(ISNUMBER(SEARCH("L-Dsty.",$B2))=TRUE,ISNUMBER(SEARCH("L-Res",$B2))=TRUE,ISNUMBER(SEARCH("N.",$B2))=TRUE),INDEX(nspray_LDLR_N,MATCH($K2,nspray_CROPS,0)),
IF(AND(ISNUMBER(SEARCH("L-Dsty.",$B2))=TRUE,ISNUMBER(SEARCH("L-Res",$B2))=TRUE,ISNUMBER(SEARCH("C.",$B2))=TRUE),INDEX(nspray_LDLR_C,MATCH($K2,nspray_CROPS,0))
)))))))))</f>
        <v>5</v>
      </c>
      <c r="BN2" s="154" t="s">
        <v>483</v>
      </c>
      <c r="BO2" s="154" t="str">
        <f t="shared" ref="BO2:BO33" si="53">IF(ISNUMBER(SEARCH("VD",$C2))=TRUE,"veryhigh",
IF(ISNUMBER(SEARCH("HD",$C2))=TRUE,"high",
IF(ISNUMBER(SEARCH("MD",$C2))=TRUE,"medium",
"low")))</f>
        <v>high</v>
      </c>
      <c r="BP2" s="154" t="str">
        <f t="shared" ref="BP2:BP33" si="54">IF(ISNUMBER(SEARCH("VD",$C2))=TRUE,"high",
IF(ISNUMBER(SEARCH("HD",$C2))=TRUE,"medium","low"))</f>
        <v>medium</v>
      </c>
      <c r="BQ2" s="154" t="str">
        <f t="shared" ref="BQ2:BQ33" si="55">IF(ISNUMBER(SEARCH("VD",$C2))=TRUE,"medium",
IF(ISNUMBER(SEARCH("HD",$C2))=TRUE,"low","low"))</f>
        <v>low</v>
      </c>
      <c r="BR2" s="154" t="s">
        <v>182</v>
      </c>
      <c r="BS2" s="154" t="s">
        <v>182</v>
      </c>
      <c r="BT2" s="154" t="s">
        <v>182</v>
      </c>
      <c r="BU2" s="154">
        <f t="shared" ref="BU2:BU33" si="56">INDEX(cropdata, MATCH("Primary Yield Price",outputs,0), MATCH($F2,cropdatacrops,0))</f>
        <v>380</v>
      </c>
      <c r="BV2" s="154">
        <f t="shared" ref="BV2:BV33" si="57">INDEX(cropdata, MATCH("Primary Yield Price",outputs,0), MATCH($G2,cropdatacrops,0))</f>
        <v>185</v>
      </c>
      <c r="BW2" s="154">
        <f t="shared" ref="BW2:BW33" si="58">INDEX(cropdata, MATCH("Primary Yield Price",outputs,0), MATCH($H2,cropdatacrops,0))</f>
        <v>150</v>
      </c>
      <c r="BX2" s="238">
        <f t="shared" ref="BX2:BX33" si="59">INDEX(cropdata, MATCH("Primary Yield Price",outputs,0), MATCH($I2,cropdatacrops,0))</f>
        <v>140</v>
      </c>
      <c r="BY2" s="154">
        <f t="shared" ref="BY2:BY33" si="60">INDEX(cropdata, MATCH("Primary Yield Price",outputs,0), MATCH($J2,cropdatacrops,0))</f>
        <v>150</v>
      </c>
      <c r="BZ2" s="154">
        <f t="shared" ref="BZ2:BZ33" si="61">INDEX(cropdata, MATCH("Primary Yield Price",outputs,0), MATCH($K2,cropdatacrops,0))</f>
        <v>380</v>
      </c>
      <c r="CA2" s="356">
        <f t="array" ref="CA2">IF(yieldsetting1="estimate",0,INDEX(cropdata, MATCH(yieldsource,outputs,0), MATCH($F2,cropdatacrops,0)))</f>
        <v>0</v>
      </c>
      <c r="CB2" s="356">
        <f t="array" ref="CB2">IF(yieldsetting1="estimate",0,INDEX(cropdata, MATCH(yieldsource,outputs,0), MATCH($G2,cropdatacrops,0)))</f>
        <v>0</v>
      </c>
      <c r="CC2" s="356">
        <f t="array" ref="CC2">IF(yieldsetting1="estimate",0,INDEX(cropdata, MATCH(yieldsource,outputs,0), MATCH($H2,cropdatacrops,0)))</f>
        <v>0</v>
      </c>
      <c r="CD2" s="357">
        <f t="array" ref="CD2">IF(yieldsetting1="estimate",0,INDEX(cropdata, MATCH(yieldsource,outputs,0), MATCH($I2,cropdatacrops,0)))</f>
        <v>0</v>
      </c>
      <c r="CE2" s="356">
        <f t="array" ref="CE2">IF(yieldsetting1="estimate",0,INDEX(cropdata, MATCH(yieldsource,outputs,0), MATCH($J2,cropdatacrops,0)))</f>
        <v>0</v>
      </c>
      <c r="CF2" s="356">
        <f t="array" ref="CF2">IF(yieldsetting1="estimate",0,INDEX(cropdata, MATCH(yieldsource,outputs,0), MATCH($K2,cropdatacrops,0)))</f>
        <v>0</v>
      </c>
      <c r="CG2" s="238" t="str">
        <f t="shared" ref="CG2:CG33" si="62">yieldsetting1</f>
        <v>estimate</v>
      </c>
      <c r="CH2" s="235">
        <f t="shared" ref="CH2:CH33" si="63">Nfertprice</f>
        <v>0.8</v>
      </c>
      <c r="CI2" s="235">
        <f t="shared" ref="CI2:CI33" si="64">Pfertprice</f>
        <v>0.72</v>
      </c>
      <c r="CJ2" s="154">
        <f t="shared" ref="CJ2:CJ33" si="65">Kfertprice</f>
        <v>0.46</v>
      </c>
      <c r="CK2" s="154">
        <f t="shared" ref="CK2:CK33" si="66">INDEX(cropdata, MATCH(seedprice,inputs,0), MATCH($F2,cropdatacrops,0))</f>
        <v>1.6</v>
      </c>
      <c r="CL2" s="154">
        <f t="shared" ref="CL2:CL33" si="67">INDEX(cropdata, MATCH(seedprice,inputs,0), MATCH($G2,cropdatacrops,0))</f>
        <v>0.38</v>
      </c>
      <c r="CM2" s="154">
        <f t="shared" ref="CM2:CM33" si="68">INDEX(cropdata, MATCH(seedprice,inputs,0), MATCH($H2,cropdatacrops,0))</f>
        <v>0.36</v>
      </c>
      <c r="CN2" s="238">
        <f t="shared" ref="CN2:CN33" si="69">INDEX(cropdata, MATCH(seedprice,inputs,0), MATCH($I2,cropdatacrops,0))</f>
        <v>0.38</v>
      </c>
      <c r="CO2" s="154">
        <f t="shared" ref="CO2:CO33" si="70">INDEX(cropdata, MATCH(seedprice,inputs,0), MATCH($J2,cropdatacrops,0))</f>
        <v>0.36</v>
      </c>
      <c r="CP2" s="154">
        <f t="shared" ref="CP2:CP33" si="71">INDEX(cropdata, MATCH(seedprice,inputs,0), MATCH($K2,cropdatacrops,0))</f>
        <v>1.6</v>
      </c>
      <c r="CQ2" s="154">
        <f t="shared" ref="CQ2:CV11" si="72">herbprice</f>
        <v>19.5</v>
      </c>
      <c r="CR2" s="154">
        <f t="shared" si="72"/>
        <v>19.5</v>
      </c>
      <c r="CS2" s="154">
        <f t="shared" si="72"/>
        <v>19.5</v>
      </c>
      <c r="CT2" s="154">
        <f t="shared" si="72"/>
        <v>19.5</v>
      </c>
      <c r="CU2" s="154">
        <f t="shared" si="72"/>
        <v>19.5</v>
      </c>
      <c r="CV2" s="154">
        <f t="shared" si="72"/>
        <v>19.5</v>
      </c>
      <c r="CW2" s="154">
        <f t="shared" ref="CW2:DB11" si="73">glyprice</f>
        <v>2.4300000000000002</v>
      </c>
      <c r="CX2" s="154">
        <f t="shared" si="73"/>
        <v>2.4300000000000002</v>
      </c>
      <c r="CY2" s="154">
        <f t="shared" si="73"/>
        <v>2.4300000000000002</v>
      </c>
      <c r="CZ2" s="154">
        <f t="shared" si="73"/>
        <v>2.4300000000000002</v>
      </c>
      <c r="DA2" s="154">
        <f t="shared" si="73"/>
        <v>2.4300000000000002</v>
      </c>
      <c r="DB2" s="154">
        <f t="shared" si="73"/>
        <v>2.4300000000000002</v>
      </c>
      <c r="DC2" s="154">
        <v>102</v>
      </c>
      <c r="DD2" s="154">
        <v>6</v>
      </c>
      <c r="DE2" s="154">
        <v>4</v>
      </c>
      <c r="DF2" s="154">
        <v>1400</v>
      </c>
      <c r="DG2" s="154">
        <v>125</v>
      </c>
      <c r="DH2" s="154">
        <f t="shared" ref="DH2:DH33" si="74">fuelprice</f>
        <v>0.625</v>
      </c>
      <c r="DI2" s="154">
        <f t="shared" ref="DI2:DI33" si="75">labour</f>
        <v>10.08</v>
      </c>
    </row>
    <row r="3" spans="1:113" x14ac:dyDescent="0.2">
      <c r="A3" s="331" t="s">
        <v>1729</v>
      </c>
      <c r="B3" s="330" t="s">
        <v>502</v>
      </c>
      <c r="C3" s="330" t="s">
        <v>1611</v>
      </c>
      <c r="D3" s="233" t="str">
        <f>IF(ISNUMBER(SEARCH("heavy",B3))=TRUE,"2.25",
IF(ISNUMBER(SEARCH("medium",B3))=TRUE,"1.5",
IF(ISNUMBER(SEARCH("light",B3))=TRUE,"0.75")))</f>
        <v>2.25</v>
      </c>
      <c r="E3" s="154">
        <v>6</v>
      </c>
      <c r="F3" s="234" t="str" cm="1">
        <f t="array" ref="F3">IF(AND(ISNUMBER(SEARCH("H-Dsty.H-Res",$B3))=TRUE,ISNUMBER(SEARCH("E.",$B3))=TRUE,OR(ISNUMBER(SEARCH("heavy",$B3)),ISNUMBER(SEARCH("MEDIUM",$B3)))=TRUE),INDEX(croprotn_HDHR_E_h,MATCH(RIGHT($F$1,1),rotation_heavy,0)),
IF(AND(ISNUMBER(SEARCH("H-Dsty.H-Res",$B3))=TRUE,ISNUMBER(SEARCH("N.",$B3))=TRUE,OR(ISNUMBER(SEARCH("heavy",$B3)),ISNUMBER(SEARCH("MEDIUM",$B3)))=TRUE),INDEX(croprotn_HDHR_N_h,MATCH(RIGHT($F$1,1),rotation_heavy,0)),
IF(AND(ISNUMBER(SEARCH("H-Dsty.H-Res",$B3))=TRUE,ISNUMBER(SEARCH("C.",$B3))=TRUE,OR(ISNUMBER(SEARCH("heavy",$B3)),ISNUMBER(SEARCH("MEDIUM",$B3)))=TRUE),INDEX(croprotn_HDHR_C_h,MATCH(RIGHT($F$1,1),rotation_heavy,0)),
IF(AND(ISNUMBER(SEARCH("L-Dsty.H-Res",$B3))=TRUE,ISNUMBER(SEARCH("E.",$B3))=TRUE,OR(ISNUMBER(SEARCH("heavy",$B3)),ISNUMBER(SEARCH("MEDIUM",$B3)))=TRUE),INDEX(croprotn_LDHR_E_h,MATCH(RIGHT($F$1,1),rotation_heavy,0)),
IF(AND(ISNUMBER(SEARCH("L-Dsty.H-Res",$B3))=TRUE,ISNUMBER(SEARCH("N.",$B3))=TRUE,OR(ISNUMBER(SEARCH("heavy",$B3)),ISNUMBER(SEARCH("MEDIUM",$B3)))=TRUE),INDEX(croprotn_LDHR_N_h,MATCH(RIGHT($F$1,1),rotation_heavy,0)),
IF(AND(ISNUMBER(SEARCH("L-Dsty.H-Res",$B3))=TRUE,ISNUMBER(SEARCH("C.",$B3))=TRUE,OR(ISNUMBER(SEARCH("heavy",$B3)),ISNUMBER(SEARCH("MEDIUM",$B3)))=TRUE),INDEX(croprotn_LDHR_C_h,MATCH(RIGHT($F$1,1),rotation_heavy,0)),
IF(AND(ISNUMBER(SEARCH("L-Dsty.L-Res",$B3))=TRUE,ISNUMBER(SEARCH("E.",$B3))=TRUE,OR(ISNUMBER(SEARCH("heavy",$B3)),ISNUMBER(SEARCH("MEDIUM",$B3)))=TRUE),INDEX(croprotn_LDLR_E_h,MATCH(RIGHT($F$1,1),rotation_heavy,0)),
IF(AND(ISNUMBER(SEARCH("L-Dsty.L-Res",$B3))=TRUE,ISNUMBER(SEARCH("N.",$B3))=TRUE,OR(ISNUMBER(SEARCH("heavy",$B3)),ISNUMBER(SEARCH("MEDIUM",$B3)))=TRUE),INDEX(croprotn_LDLR_N_h,MATCH(RIGHT($F$1,1),rotation_heavy,0)),
IF(AND(ISNUMBER(SEARCH("L-Dsty.L-Res",$B3))=TRUE,ISNUMBER(SEARCH("C.",$B3))=TRUE,OR(ISNUMBER(SEARCH("heavy",$B3)),ISNUMBER(SEARCH("MEDIUM",$B3)))=TRUE),INDEX(croprotn_LDLR_C_h,MATCH(RIGHT($F$1,1),rotation_heavy,0)),
IF(AND(ISNUMBER(SEARCH("H-Dsty.H-Res",$B3))=TRUE,ISNUMBER(SEARCH("E.",$B3))=TRUE,ISNUMBER(SEARCH("light",$B3))=TRUE),INDEX(croprotn_HDHR_E_l,MATCH(RIGHT($F$1,1),rotation_light,0)),
IF(AND(ISNUMBER(SEARCH("H-Dsty.H-Res",$B3))=TRUE,ISNUMBER(SEARCH("N.",$B3))=TRUE,ISNUMBER(SEARCH("light",$B3))=TRUE),INDEX(croprotn_HDHR_N_l,MATCH(RIGHT($F$1,1),rotation_light,0)),
IF(AND(ISNUMBER(SEARCH("H-Dsty.H-Res",$B3))=TRUE,ISNUMBER(SEARCH("C.",$B3))=TRUE,ISNUMBER(SEARCH("light",$B3))=TRUE),INDEX(croprotn_HDHR_C_l,MATCH(RIGHT($F$1,1),rotation_light,0)),
IF(AND(ISNUMBER(SEARCH("L-Dsty.H-Res",$B3))=TRUE,ISNUMBER(SEARCH("E.",$B3))=TRUE,ISNUMBER(SEARCH("light",$B3))=TRUE),INDEX(croprotn_LDHR_E_l,MATCH(RIGHT($F$1,1),rotation_light,0)),
IF(AND(ISNUMBER(SEARCH("L-Dsty.H-Res",$B3))=TRUE,ISNUMBER(SEARCH("N.",$B3))=TRUE,ISNUMBER(SEARCH("light",$B3))=TRUE),INDEX(croprotn_LDHR_N_l,MATCH(RIGHT($F$1,1),rotation_light,0)),
IF(AND(ISNUMBER(SEARCH("L-Dsty.H-Res",$B3))=TRUE,ISNUMBER(SEARCH("C.",$B3))=TRUE,ISNUMBER(SEARCH("light",$B3))=TRUE),INDEX(croprotn_LDHR_C_l,MATCH(RIGHT($F$1,1),rotation_light,0)),
IF(AND(ISNUMBER(SEARCH("L-Dsty.L-Res",$B3))=TRUE,ISNUMBER(SEARCH("E.",$B3))=TRUE,ISNUMBER(SEARCH("light",$B3))=TRUE),INDEX(croprotn_LDLR_E_l,MATCH(RIGHT($F$1,1),rotation_light,0)),
IF(AND(ISNUMBER(SEARCH("L-Dsty.L-Res",$B3))=TRUE,ISNUMBER(SEARCH("N.",$B3))=TRUE,ISNUMBER(SEARCH("light",$B3))=TRUE),INDEX(croprotn_LDLR_N_l,MATCH(RIGHT($F$1,1),rotation_light,0)),
IF(AND(ISNUMBER(SEARCH("L-Dsty.L-Res",$B3))=TRUE,ISNUMBER(SEARCH("C.",$B3))=TRUE,ISNUMBER(SEARCH("light",$B3))=TRUE),INDEX(croprotn_LDLR_C_l,MATCH(RIGHT($F$1,1),rotation_light,0))
))))))))))))))))))</f>
        <v>springlinseed</v>
      </c>
      <c r="G3" s="234" t="str">
        <f t="shared" si="0"/>
        <v>springbeans</v>
      </c>
      <c r="H3" s="234" t="str">
        <f t="shared" si="1"/>
        <v>winterwheat</v>
      </c>
      <c r="I3" s="344" t="str">
        <f t="shared" si="2"/>
        <v>springoats</v>
      </c>
      <c r="J3" s="234" t="str">
        <f t="shared" si="3"/>
        <v>winterwheat</v>
      </c>
      <c r="K3" s="234" t="str">
        <f t="shared" si="4"/>
        <v>springlinseed</v>
      </c>
      <c r="L3" s="154" t="str">
        <f t="shared" si="5"/>
        <v>lightcultivation</v>
      </c>
      <c r="M3" s="154" t="str">
        <f t="shared" si="6"/>
        <v>subsoiling</v>
      </c>
      <c r="N3" s="154" t="str">
        <f t="shared" si="7"/>
        <v>lightcultivation</v>
      </c>
      <c r="O3" s="154" t="str">
        <f t="shared" si="8"/>
        <v>lightcultivation</v>
      </c>
      <c r="P3" s="263" t="s">
        <v>273</v>
      </c>
      <c r="Q3" s="154" t="str">
        <f>IF(AND(ISNUMBER(SEARCH("H-Dsty.",$B3))=TRUE,ISNUMBER(SEARCH("H-Res",$B3))=TRUE,ISNUMBER(SEARCH("E.",$B3))=TRUE),INDEX(tillage_HDHR_E,MATCH($K3,tillage_CROPS,0)),
IF(AND(ISNUMBER(SEARCH("H-Dsty.",$B3))=TRUE,ISNUMBER(SEARCH("H-Res",$B3))=TRUE,ISNUMBER(SEARCH("N.",$B3))=TRUE),INDEX(tillage_HDHR_N,MATCH($K3,tillage_CROPS,0)),
IF(AND(ISNUMBER(SEARCH("H-Dsty.",$B3))=TRUE,ISNUMBER(SEARCH("H-Res",$B3))=TRUE,ISNUMBER(SEARCH("C.",$B3))=TRUE),INDEX(tillage_HDHR_C,MATCH($K3,tillage_CROPS,0)),
IF(AND(ISNUMBER(SEARCH("L-Dsty.",$B3))=TRUE,ISNUMBER(SEARCH("H-Res",$B3))=TRUE,ISNUMBER(SEARCH("E.",$B3))=TRUE),INDEX(tillage_LDHR_E,MATCH($K3,tillage_CROPS,0)),
IF(AND(ISNUMBER(SEARCH("L-Dsty.",$B3))=TRUE,ISNUMBER(SEARCH("H-Res",$B3))=TRUE,ISNUMBER(SEARCH("N.",$B3))=TRUE),INDEX(tillage_LDHR_N,MATCH($K3,tillage_CROPS,0)),
IF(AND(ISNUMBER(SEARCH("L-Dsty.",$B3))=TRUE,ISNUMBER(SEARCH("H-Res",$B3))=TRUE,ISNUMBER(SEARCH("C.",$B3))=TRUE),INDEX(tillage_LDHR_C,MATCH($K3,tillage_CROPS,0)),
IF(AND(ISNUMBER(SEARCH("L-Dsty.",$B3))=TRUE,ISNUMBER(SEARCH("L-Res",$B3))=TRUE,ISNUMBER(SEARCH("E.",$B3))=TRUE),INDEX(tillage_LDLR_E,MATCH($K3,tillage_CROPS,0)),
IF(AND(ISNUMBER(SEARCH("L-Dsty.",$B3))=TRUE,ISNUMBER(SEARCH("L-Res",$B3))=TRUE,ISNUMBER(SEARCH("N.",$B3))=TRUE),INDEX(tillage_LDLR_N,MATCH($K3,tillage_CROPS,0)),
IF(AND(ISNUMBER(SEARCH("L-Dsty.",$B3))=TRUE,ISNUMBER(SEARCH("L-Res",$B3))=TRUE,ISNUMBER(SEARCH("C.",$B3))=TRUE),INDEX(tillage_LDLR_C,MATCH($K3,tillage_CROPS,0))
)))))))))</f>
        <v>lightcultivation</v>
      </c>
      <c r="R3" s="234">
        <f t="shared" si="9"/>
        <v>52</v>
      </c>
      <c r="S3" s="234">
        <f t="shared" si="10"/>
        <v>365</v>
      </c>
      <c r="T3" s="234">
        <f t="shared" si="11"/>
        <v>200</v>
      </c>
      <c r="U3" s="234">
        <f t="shared" si="12"/>
        <v>130</v>
      </c>
      <c r="V3" s="234">
        <f t="shared" si="13"/>
        <v>200</v>
      </c>
      <c r="W3" s="234">
        <f t="shared" si="14"/>
        <v>52</v>
      </c>
      <c r="X3" s="154" t="str">
        <f t="shared" si="15"/>
        <v>no</v>
      </c>
      <c r="Y3" s="154" t="str">
        <f t="shared" si="16"/>
        <v>no</v>
      </c>
      <c r="Z3" s="154" t="str">
        <f t="shared" si="17"/>
        <v>late</v>
      </c>
      <c r="AA3" s="238" t="str">
        <f t="shared" si="18"/>
        <v>no</v>
      </c>
      <c r="AB3" s="154" t="str">
        <f t="shared" si="19"/>
        <v>late</v>
      </c>
      <c r="AC3" s="154" t="str">
        <f t="shared" si="20"/>
        <v>no</v>
      </c>
      <c r="AD3" s="234">
        <f t="shared" si="21"/>
        <v>80</v>
      </c>
      <c r="AE3" s="234">
        <f t="shared" si="22"/>
        <v>0</v>
      </c>
      <c r="AF3" s="234">
        <f>IF(AND(ISNUMBER(SEARCH("H-Dsty.",$B3))=TRUE,ISNUMBER(SEARCH("H-Res",$B3))=TRUE,ISNUMBER(SEARCH("E.",$B3))=TRUE),INDEX(fertrate_HDHR_E,MATCH($H3,fertrate_CROPS,0)),
IF(AND(ISNUMBER(SEARCH("H-Dsty.",$B3))=TRUE,ISNUMBER(SEARCH("H-Res",$B3))=TRUE,ISNUMBER(SEARCH("N.",$B3))=TRUE),INDEX(fertrate_HDHR_N,MATCH($H3,fertrate_CROPS,0)),
IF(AND(ISNUMBER(SEARCH("H-Dsty.",$B3))=TRUE,ISNUMBER(SEARCH("H-Res",$B3))=TRUE,ISNUMBER(SEARCH("C.",$B3))=TRUE),INDEX(fertrate_HDHR_C,MATCH($H3,fertrate_CROPS,0)),
IF(AND(ISNUMBER(SEARCH("L-Dsty.",$B3))=TRUE,ISNUMBER(SEARCH("H-Res",$B3))=TRUE,ISNUMBER(SEARCH("E.",$B3))=TRUE),INDEX(fertrate_LDHR_E,MATCH($H3,fertrate_CROPS,0)),
IF(AND(ISNUMBER(SEARCH("L-Dsty.",$B3))=TRUE,ISNUMBER(SEARCH("H-Res",$B3))=TRUE,ISNUMBER(SEARCH("N.",$B3))=TRUE),INDEX(fertrate_LDHR_N,MATCH($H3,fertrate_CROPS,0)),
IF(AND(ISNUMBER(SEARCH("L-Dsty.",$B3))=TRUE,ISNUMBER(SEARCH("H-Res",$B3))=TRUE,ISNUMBER(SEARCH("C.",$B3))=TRUE),INDEX(fertrate_LDHR_C,MATCH($H3,fertrate_CROPS,0)),
IF(AND(ISNUMBER(SEARCH("L-Dsty.",$B3))=TRUE,ISNUMBER(SEARCH("L-Res",$B3))=TRUE,ISNUMBER(SEARCH("E.",$B3))=TRUE),INDEX(fertrate_LDLR_E,MATCH($H3,fertrate_CROPS,0)),
IF(AND(ISNUMBER(SEARCH("L-Dsty.",$B3))=TRUE,ISNUMBER(SEARCH("L-Res",$B3))=TRUE,ISNUMBER(SEARCH("N.",$B3))=TRUE),INDEX(fertrate_LDLR_N,MATCH($H3,fertrate_CROPS,0)),
IF(AND(ISNUMBER(SEARCH("L-Dsty.",$B3))=TRUE,ISNUMBER(SEARCH("L-Res",$B3))=TRUE,ISNUMBER(SEARCH("C.",$B3))=TRUE),INDEX(fertrate_LDLR_C,MATCH($H3,fertrate_CROPS,0))
)))))))))</f>
        <v>220</v>
      </c>
      <c r="AG3" s="344">
        <f>IF(AND(ISNUMBER(SEARCH("H-Dsty.",$B3))=TRUE,ISNUMBER(SEARCH("H-Res",$B3))=TRUE,ISNUMBER(SEARCH("E.",$B3))=TRUE),INDEX(fertrate_HDHR_E,MATCH($I3,fertrate_CROPS,0)),
IF(AND(ISNUMBER(SEARCH("H-Dsty.",$B3))=TRUE,ISNUMBER(SEARCH("H-Res",$B3))=TRUE,ISNUMBER(SEARCH("N.",$B3))=TRUE),INDEX(fertrate_HDHR_N,MATCH($I3,fertrate_CROPS,0)),
IF(AND(ISNUMBER(SEARCH("H-Dsty.",$B3))=TRUE,ISNUMBER(SEARCH("H-Res",$B3))=TRUE,ISNUMBER(SEARCH("C.",$B3))=TRUE),INDEX(fertrate_HDHR_C,MATCH($I3,fertrate_CROPS,0)),
IF(AND(ISNUMBER(SEARCH("L-Dsty.",$B3))=TRUE,ISNUMBER(SEARCH("H-Res",$B3))=TRUE,ISNUMBER(SEARCH("E.",$B3))=TRUE),INDEX(fertrate_LDHR_E,MATCH($I3,fertrate_CROPS,0)),
IF(AND(ISNUMBER(SEARCH("L-Dsty.",$B3))=TRUE,ISNUMBER(SEARCH("H-Res",$B3))=TRUE,ISNUMBER(SEARCH("N.",$B3))=TRUE),INDEX(fertrate_LDHR_N,MATCH($I3,fertrate_CROPS,0)),
IF(AND(ISNUMBER(SEARCH("L-Dsty.",$B3))=TRUE,ISNUMBER(SEARCH("H-Res",$B3))=TRUE,ISNUMBER(SEARCH("C.",$B3))=TRUE),INDEX(fertrate_LDHR_C,MATCH($I3,fertrate_CROPS,0)),
IF(AND(ISNUMBER(SEARCH("L-Dsty.",$B3))=TRUE,ISNUMBER(SEARCH("L-Res",$B3))=TRUE,ISNUMBER(SEARCH("E.",$B3))=TRUE),INDEX(fertrate_LDLR_E,MATCH($I3,fertrate_CROPS,0)),
IF(AND(ISNUMBER(SEARCH("L-Dsty.",$B3))=TRUE,ISNUMBER(SEARCH("L-Res",$B3))=TRUE,ISNUMBER(SEARCH("N.",$B3))=TRUE),INDEX(fertrate_LDLR_N,MATCH($I3,fertrate_CROPS,0)),
IF(AND(ISNUMBER(SEARCH("L-Dsty.",$B3))=TRUE,ISNUMBER(SEARCH("L-Res",$B3))=TRUE,ISNUMBER(SEARCH("C.",$B3))=TRUE),INDEX(fertrate_LDLR_C,MATCH($I3,fertrate_CROPS,0))
)))))))))</f>
        <v>100</v>
      </c>
      <c r="AH3" s="234">
        <f>IF(AND(ISNUMBER(SEARCH("H-Dsty.",$B3))=TRUE,ISNUMBER(SEARCH("H-Res",$B3))=TRUE,ISNUMBER(SEARCH("E.",$B3))=TRUE),INDEX(fertrate_HDHR_E,MATCH($J3,fertrate_CROPS,0)),
IF(AND(ISNUMBER(SEARCH("H-Dsty.",$B3))=TRUE,ISNUMBER(SEARCH("H-Res",$B3))=TRUE,ISNUMBER(SEARCH("N.",$B3))=TRUE),INDEX(fertrate_HDHR_N,MATCH($J3,fertrate_CROPS,0)),
IF(AND(ISNUMBER(SEARCH("H-Dsty.",$B3))=TRUE,ISNUMBER(SEARCH("H-Res",$B3))=TRUE,ISNUMBER(SEARCH("C.",$B3))=TRUE),INDEX(fertrate_HDHR_C,MATCH($J3,fertrate_CROPS,0)),
IF(AND(ISNUMBER(SEARCH("L-Dsty.",$B3))=TRUE,ISNUMBER(SEARCH("H-Res",$B3))=TRUE,ISNUMBER(SEARCH("E.",$B3))=TRUE),INDEX(fertrate_LDHR_E,MATCH($J3,fertrate_CROPS,0)),
IF(AND(ISNUMBER(SEARCH("L-Dsty.",$B3))=TRUE,ISNUMBER(SEARCH("H-Res",$B3))=TRUE,ISNUMBER(SEARCH("N.",$B3))=TRUE),INDEX(fertrate_LDHR_N,MATCH($J3,fertrate_CROPS,0)),
IF(AND(ISNUMBER(SEARCH("L-Dsty.",$B3))=TRUE,ISNUMBER(SEARCH("H-Res",$B3))=TRUE,ISNUMBER(SEARCH("C.",$B3))=TRUE),INDEX(fertrate_LDHR_C,MATCH($J3,fertrate_CROPS,0)),
IF(AND(ISNUMBER(SEARCH("L-Dsty.",$B3))=TRUE,ISNUMBER(SEARCH("L-Res",$B3))=TRUE,ISNUMBER(SEARCH("E.",$B3))=TRUE),INDEX(fertrate_LDLR_E,MATCH($J3,fertrate_CROPS,0)),
IF(AND(ISNUMBER(SEARCH("L-Dsty.",$B3))=TRUE,ISNUMBER(SEARCH("L-Res",$B3))=TRUE,ISNUMBER(SEARCH("N.",$B3))=TRUE),INDEX(fertrate_LDLR_N,MATCH($J3,fertrate_CROPS,0)),
IF(AND(ISNUMBER(SEARCH("L-Dsty.",$B3))=TRUE,ISNUMBER(SEARCH("L-Res",$B3))=TRUE,ISNUMBER(SEARCH("C.",$B3))=TRUE),INDEX(fertrate_LDLR_C,MATCH($J3,fertrate_CROPS,0))
)))))))))</f>
        <v>220</v>
      </c>
      <c r="AI3" s="234">
        <f>IF(AND(ISNUMBER(SEARCH("H-Dsty.",$B3))=TRUE,ISNUMBER(SEARCH("H-Res",$B3))=TRUE,ISNUMBER(SEARCH("E.",$B3))=TRUE),INDEX(fertrate_HDHR_E,MATCH($K3,fertrate_CROPS,0)),
IF(AND(ISNUMBER(SEARCH("H-Dsty.",$B3))=TRUE,ISNUMBER(SEARCH("H-Res",$B3))=TRUE,ISNUMBER(SEARCH("N.",$B3))=TRUE),INDEX(fertrate_HDHR_N,MATCH($K3,fertrate_CROPS,0)),
IF(AND(ISNUMBER(SEARCH("H-Dsty.",$B3))=TRUE,ISNUMBER(SEARCH("H-Res",$B3))=TRUE,ISNUMBER(SEARCH("C.",$B3))=TRUE),INDEX(fertrate_HDHR_C,MATCH($K3,fertrate_CROPS,0)),
IF(AND(ISNUMBER(SEARCH("L-Dsty.",$B3))=TRUE,ISNUMBER(SEARCH("H-Res",$B3))=TRUE,ISNUMBER(SEARCH("E.",$B3))=TRUE),INDEX(fertrate_LDHR_E,MATCH($K3,fertrate_CROPS,0)),
IF(AND(ISNUMBER(SEARCH("L-Dsty.",$B3))=TRUE,ISNUMBER(SEARCH("H-Res",$B3))=TRUE,ISNUMBER(SEARCH("N.",$B3))=TRUE),INDEX(fertrate_LDHR_N,MATCH($K3,fertrate_CROPS,0)),
IF(AND(ISNUMBER(SEARCH("L-Dsty.",$B3))=TRUE,ISNUMBER(SEARCH("H-Res",$B3))=TRUE,ISNUMBER(SEARCH("C.",$B3))=TRUE),INDEX(fertrate_LDHR_C,MATCH($K3,fertrate_CROPS,0)),
IF(AND(ISNUMBER(SEARCH("L-Dsty.",$B3))=TRUE,ISNUMBER(SEARCH("L-Res",$B3))=TRUE,ISNUMBER(SEARCH("E.",$B3))=TRUE),INDEX(fertrate_LDLR_E,MATCH($K3,fertrate_CROPS,0)),
IF(AND(ISNUMBER(SEARCH("L-Dsty.",$B3))=TRUE,ISNUMBER(SEARCH("L-Res",$B3))=TRUE,ISNUMBER(SEARCH("N.",$B3))=TRUE),INDEX(fertrate_LDLR_N,MATCH($K3,fertrate_CROPS,0)),
IF(AND(ISNUMBER(SEARCH("L-Dsty.",$B3))=TRUE,ISNUMBER(SEARCH("L-Res",$B3))=TRUE,ISNUMBER(SEARCH("C.",$B3))=TRUE),INDEX(fertrate_LDLR_C,MATCH($K3,fertrate_CROPS,0))
)))))))))</f>
        <v>80</v>
      </c>
      <c r="AJ3" s="154">
        <f t="shared" si="23"/>
        <v>30</v>
      </c>
      <c r="AK3" s="154">
        <f t="shared" si="24"/>
        <v>43</v>
      </c>
      <c r="AL3" s="154">
        <f t="shared" si="25"/>
        <v>67</v>
      </c>
      <c r="AM3" s="238">
        <f t="shared" si="26"/>
        <v>43</v>
      </c>
      <c r="AN3" s="154">
        <f t="shared" si="27"/>
        <v>67</v>
      </c>
      <c r="AO3" s="154">
        <f t="shared" si="28"/>
        <v>30</v>
      </c>
      <c r="AP3" s="154">
        <f t="shared" si="29"/>
        <v>10</v>
      </c>
      <c r="AQ3" s="154">
        <f t="shared" si="30"/>
        <v>47</v>
      </c>
      <c r="AR3" s="154">
        <f t="shared" si="31"/>
        <v>48</v>
      </c>
      <c r="AS3" s="238">
        <f t="shared" si="32"/>
        <v>31</v>
      </c>
      <c r="AT3" s="154">
        <f t="shared" si="33"/>
        <v>48</v>
      </c>
      <c r="AU3" s="154">
        <f t="shared" si="34"/>
        <v>10</v>
      </c>
      <c r="AV3" s="234">
        <f t="shared" si="35"/>
        <v>5</v>
      </c>
      <c r="AW3" s="234">
        <f t="shared" si="36"/>
        <v>9</v>
      </c>
      <c r="AX3" s="234">
        <f t="shared" si="37"/>
        <v>10.84</v>
      </c>
      <c r="AY3" s="234">
        <f t="shared" si="38"/>
        <v>0.25</v>
      </c>
      <c r="AZ3" s="234">
        <f t="shared" si="39"/>
        <v>10.84</v>
      </c>
      <c r="BA3" s="234">
        <f t="shared" si="40"/>
        <v>5</v>
      </c>
      <c r="BB3" s="234">
        <f t="shared" si="41"/>
        <v>9.3000000000000007</v>
      </c>
      <c r="BC3" s="234">
        <f t="shared" si="42"/>
        <v>8.3000000000000007</v>
      </c>
      <c r="BD3" s="234">
        <f t="shared" si="43"/>
        <v>6.3</v>
      </c>
      <c r="BE3" s="234">
        <f t="shared" si="44"/>
        <v>6.3</v>
      </c>
      <c r="BF3" s="234">
        <f t="shared" si="45"/>
        <v>6.3</v>
      </c>
      <c r="BG3" s="234">
        <f t="shared" si="46"/>
        <v>9.3000000000000007</v>
      </c>
      <c r="BH3" s="234">
        <f t="shared" si="47"/>
        <v>5</v>
      </c>
      <c r="BI3" s="234">
        <f t="shared" si="48"/>
        <v>5</v>
      </c>
      <c r="BJ3" s="234">
        <f t="shared" si="49"/>
        <v>6</v>
      </c>
      <c r="BK3" s="234">
        <f t="shared" si="50"/>
        <v>4</v>
      </c>
      <c r="BL3" s="234">
        <f t="shared" si="51"/>
        <v>6</v>
      </c>
      <c r="BM3" s="234">
        <f t="shared" si="52"/>
        <v>5</v>
      </c>
      <c r="BN3" s="154" t="s">
        <v>483</v>
      </c>
      <c r="BO3" s="154" t="str">
        <f t="shared" si="53"/>
        <v>veryhigh</v>
      </c>
      <c r="BP3" s="154" t="str">
        <f t="shared" si="54"/>
        <v>high</v>
      </c>
      <c r="BQ3" s="154" t="str">
        <f t="shared" si="55"/>
        <v>medium</v>
      </c>
      <c r="BR3" s="154" t="s">
        <v>182</v>
      </c>
      <c r="BS3" s="154" t="s">
        <v>182</v>
      </c>
      <c r="BT3" s="154" t="s">
        <v>182</v>
      </c>
      <c r="BU3" s="154">
        <f t="shared" si="56"/>
        <v>380</v>
      </c>
      <c r="BV3" s="154">
        <f t="shared" si="57"/>
        <v>185</v>
      </c>
      <c r="BW3" s="154">
        <f t="shared" si="58"/>
        <v>150</v>
      </c>
      <c r="BX3" s="238">
        <f t="shared" si="59"/>
        <v>140</v>
      </c>
      <c r="BY3" s="154">
        <f t="shared" si="60"/>
        <v>150</v>
      </c>
      <c r="BZ3" s="154">
        <f t="shared" si="61"/>
        <v>380</v>
      </c>
      <c r="CA3" s="356">
        <f t="array" ref="CA3">IF(yieldsetting1="estimate",0,INDEX(cropdata, MATCH(yieldsource,outputs,0), MATCH($F3,cropdatacrops,0)))</f>
        <v>0</v>
      </c>
      <c r="CB3" s="356">
        <f t="array" ref="CB3">IF(yieldsetting1="estimate",0,INDEX(cropdata, MATCH(yieldsource,outputs,0), MATCH($G3,cropdatacrops,0)))</f>
        <v>0</v>
      </c>
      <c r="CC3" s="356">
        <f t="array" ref="CC3">IF(yieldsetting1="estimate",0,INDEX(cropdata, MATCH(yieldsource,outputs,0), MATCH($H3,cropdatacrops,0)))</f>
        <v>0</v>
      </c>
      <c r="CD3" s="357">
        <f t="array" ref="CD3">IF(yieldsetting1="estimate",0,INDEX(cropdata, MATCH(yieldsource,outputs,0), MATCH($I3,cropdatacrops,0)))</f>
        <v>0</v>
      </c>
      <c r="CE3" s="356">
        <f t="array" ref="CE3">IF(yieldsetting1="estimate",0,INDEX(cropdata, MATCH(yieldsource,outputs,0), MATCH($J3,cropdatacrops,0)))</f>
        <v>0</v>
      </c>
      <c r="CF3" s="356">
        <f t="array" ref="CF3">IF(yieldsetting1="estimate",0,INDEX(cropdata, MATCH(yieldsource,outputs,0), MATCH($K3,cropdatacrops,0)))</f>
        <v>0</v>
      </c>
      <c r="CG3" s="154" t="str">
        <f t="shared" si="62"/>
        <v>estimate</v>
      </c>
      <c r="CH3" s="235">
        <f t="shared" si="63"/>
        <v>0.8</v>
      </c>
      <c r="CI3" s="235">
        <f t="shared" si="64"/>
        <v>0.72</v>
      </c>
      <c r="CJ3" s="154">
        <f t="shared" si="65"/>
        <v>0.46</v>
      </c>
      <c r="CK3" s="154">
        <f t="shared" si="66"/>
        <v>1.6</v>
      </c>
      <c r="CL3" s="154">
        <f t="shared" si="67"/>
        <v>0.38</v>
      </c>
      <c r="CM3" s="154">
        <f t="shared" si="68"/>
        <v>0.36</v>
      </c>
      <c r="CN3" s="238">
        <f t="shared" si="69"/>
        <v>0.38</v>
      </c>
      <c r="CO3" s="154">
        <f t="shared" si="70"/>
        <v>0.36</v>
      </c>
      <c r="CP3" s="154">
        <f t="shared" si="71"/>
        <v>1.6</v>
      </c>
      <c r="CQ3" s="154">
        <f t="shared" si="72"/>
        <v>19.5</v>
      </c>
      <c r="CR3" s="154">
        <f t="shared" si="72"/>
        <v>19.5</v>
      </c>
      <c r="CS3" s="154">
        <f t="shared" si="72"/>
        <v>19.5</v>
      </c>
      <c r="CT3" s="154">
        <f t="shared" si="72"/>
        <v>19.5</v>
      </c>
      <c r="CU3" s="154">
        <f t="shared" si="72"/>
        <v>19.5</v>
      </c>
      <c r="CV3" s="154">
        <f t="shared" si="72"/>
        <v>19.5</v>
      </c>
      <c r="CW3" s="154">
        <f t="shared" si="73"/>
        <v>2.4300000000000002</v>
      </c>
      <c r="CX3" s="154">
        <f t="shared" si="73"/>
        <v>2.4300000000000002</v>
      </c>
      <c r="CY3" s="154">
        <f t="shared" si="73"/>
        <v>2.4300000000000002</v>
      </c>
      <c r="CZ3" s="154">
        <f t="shared" si="73"/>
        <v>2.4300000000000002</v>
      </c>
      <c r="DA3" s="154">
        <f t="shared" si="73"/>
        <v>2.4300000000000002</v>
      </c>
      <c r="DB3" s="154">
        <f t="shared" si="73"/>
        <v>2.4300000000000002</v>
      </c>
      <c r="DC3" s="154">
        <v>102</v>
      </c>
      <c r="DD3" s="154">
        <v>6</v>
      </c>
      <c r="DE3" s="154">
        <v>4</v>
      </c>
      <c r="DF3" s="154">
        <v>1400</v>
      </c>
      <c r="DG3" s="154">
        <v>125</v>
      </c>
      <c r="DH3" s="154">
        <f t="shared" si="74"/>
        <v>0.625</v>
      </c>
      <c r="DI3" s="154">
        <f t="shared" si="75"/>
        <v>10.08</v>
      </c>
    </row>
    <row r="4" spans="1:113" ht="15" customHeight="1" x14ac:dyDescent="0.2">
      <c r="A4" s="331" t="s">
        <v>1730</v>
      </c>
      <c r="B4" s="330" t="s">
        <v>505</v>
      </c>
      <c r="C4" s="330" t="s">
        <v>1612</v>
      </c>
      <c r="D4" s="233" t="str">
        <f>IF(ISNUMBER(SEARCH("heavy",B4))=TRUE,"2.25",
IF(ISNUMBER(SEARCH("medium",B4))=TRUE,"1.50",
IF(ISNUMBER(SEARCH("light",B4))=TRUE,"0.75")))</f>
        <v>1.50</v>
      </c>
      <c r="E4" s="154">
        <v>6</v>
      </c>
      <c r="F4" s="234" t="str" cm="1">
        <f t="array" ref="F4">IF(AND(ISNUMBER(SEARCH("H-Dsty.H-Res",$B4))=TRUE,ISNUMBER(SEARCH("E.",$B4))=TRUE,OR(ISNUMBER(SEARCH("heavy",$B4)),ISNUMBER(SEARCH("MEDIUM",$B4)))=TRUE),INDEX(croprotn_HDHR_E_h,MATCH(RIGHT($F$1,1),rotation_heavy,0)),
IF(AND(ISNUMBER(SEARCH("H-Dsty.H-Res",$B4))=TRUE,ISNUMBER(SEARCH("N.",$B4))=TRUE,OR(ISNUMBER(SEARCH("heavy",$B4)),ISNUMBER(SEARCH("MEDIUM",$B4)))=TRUE),INDEX(croprotn_HDHR_N_h,MATCH(RIGHT($F$1,1),rotation_heavy,0)),
IF(AND(ISNUMBER(SEARCH("H-Dsty.H-Res",$B4))=TRUE,ISNUMBER(SEARCH("C.",$B4))=TRUE,OR(ISNUMBER(SEARCH("heavy",$B4)),ISNUMBER(SEARCH("MEDIUM",$B4)))=TRUE),INDEX(croprotn_HDHR_C_h,MATCH(RIGHT($F$1,1),rotation_heavy,0)),
IF(AND(ISNUMBER(SEARCH("L-Dsty.H-Res",$B4))=TRUE,ISNUMBER(SEARCH("E.",$B4))=TRUE,OR(ISNUMBER(SEARCH("heavy",$B4)),ISNUMBER(SEARCH("MEDIUM",$B4)))=TRUE),INDEX(croprotn_LDHR_E_h,MATCH(RIGHT($F$1,1),rotation_heavy,0)),
IF(AND(ISNUMBER(SEARCH("L-Dsty.H-Res",$B4))=TRUE,ISNUMBER(SEARCH("N.",$B4))=TRUE,OR(ISNUMBER(SEARCH("heavy",$B4)),ISNUMBER(SEARCH("MEDIUM",$B4)))=TRUE),INDEX(croprotn_LDHR_N_h,MATCH(RIGHT($F$1,1),rotation_heavy,0)),
IF(AND(ISNUMBER(SEARCH("L-Dsty.H-Res",$B4))=TRUE,ISNUMBER(SEARCH("C.",$B4))=TRUE,OR(ISNUMBER(SEARCH("heavy",$B4)),ISNUMBER(SEARCH("MEDIUM",$B4)))=TRUE),INDEX(croprotn_LDHR_C_h,MATCH(RIGHT($F$1,1),rotation_heavy,0)),
IF(AND(ISNUMBER(SEARCH("L-Dsty.L-Res",$B4))=TRUE,ISNUMBER(SEARCH("E.",$B4))=TRUE,OR(ISNUMBER(SEARCH("heavy",$B4)),ISNUMBER(SEARCH("MEDIUM",$B4)))=TRUE),INDEX(croprotn_LDLR_E_h,MATCH(RIGHT($F$1,1),rotation_heavy,0)),
IF(AND(ISNUMBER(SEARCH("L-Dsty.L-Res",$B4))=TRUE,ISNUMBER(SEARCH("N.",$B4))=TRUE,OR(ISNUMBER(SEARCH("heavy",$B4)),ISNUMBER(SEARCH("MEDIUM",$B4)))=TRUE),INDEX(croprotn_LDLR_N_h,MATCH(RIGHT($F$1,1),rotation_heavy,0)),
IF(AND(ISNUMBER(SEARCH("L-Dsty.L-Res",$B4))=TRUE,ISNUMBER(SEARCH("C.",$B4))=TRUE,OR(ISNUMBER(SEARCH("heavy",$B4)),ISNUMBER(SEARCH("MEDIUM",$B4)))=TRUE),INDEX(croprotn_LDLR_C_h,MATCH(RIGHT($F$1,1),rotation_heavy,0)),
IF(AND(ISNUMBER(SEARCH("H-Dsty.H-Res",$B4))=TRUE,ISNUMBER(SEARCH("E.",$B4))=TRUE,ISNUMBER(SEARCH("light",$B4))=TRUE),INDEX(croprotn_HDHR_E_l,MATCH(RIGHT($F$1,1),rotation_light,0)),
IF(AND(ISNUMBER(SEARCH("H-Dsty.H-Res",$B4))=TRUE,ISNUMBER(SEARCH("N.",$B4))=TRUE,ISNUMBER(SEARCH("light",$B4))=TRUE),INDEX(croprotn_HDHR_N_l,MATCH(RIGHT($F$1,1),rotation_light,0)),
IF(AND(ISNUMBER(SEARCH("H-Dsty.H-Res",$B4))=TRUE,ISNUMBER(SEARCH("C.",$B4))=TRUE,ISNUMBER(SEARCH("light",$B4))=TRUE),INDEX(croprotn_HDHR_C_l,MATCH(RIGHT($F$1,1),rotation_light,0)),
IF(AND(ISNUMBER(SEARCH("L-Dsty.H-Res",$B4))=TRUE,ISNUMBER(SEARCH("E.",$B4))=TRUE,ISNUMBER(SEARCH("light",$B4))=TRUE),INDEX(croprotn_LDHR_E_l,MATCH(RIGHT($F$1,1),rotation_light,0)),
IF(AND(ISNUMBER(SEARCH("L-Dsty.H-Res",$B4))=TRUE,ISNUMBER(SEARCH("N.",$B4))=TRUE,ISNUMBER(SEARCH("light",$B4))=TRUE),INDEX(croprotn_LDHR_N_l,MATCH(RIGHT($F$1,1),rotation_light,0)),
IF(AND(ISNUMBER(SEARCH("L-Dsty.H-Res",$B4))=TRUE,ISNUMBER(SEARCH("C.",$B4))=TRUE,ISNUMBER(SEARCH("light",$B4))=TRUE),INDEX(croprotn_LDHR_C_l,MATCH(RIGHT($F$1,1),rotation_light,0)),
IF(AND(ISNUMBER(SEARCH("L-Dsty.L-Res",$B4))=TRUE,ISNUMBER(SEARCH("E.",$B4))=TRUE,ISNUMBER(SEARCH("light",$B4))=TRUE),INDEX(croprotn_LDLR_E_l,MATCH(RIGHT($F$1,1),rotation_light,0)),
IF(AND(ISNUMBER(SEARCH("L-Dsty.L-Res",$B4))=TRUE,ISNUMBER(SEARCH("N.",$B4))=TRUE,ISNUMBER(SEARCH("light",$B4))=TRUE),INDEX(croprotn_LDLR_N_l,MATCH(RIGHT($F$1,1),rotation_light,0)),
IF(AND(ISNUMBER(SEARCH("L-Dsty.L-Res",$B4))=TRUE,ISNUMBER(SEARCH("C.",$B4))=TRUE,ISNUMBER(SEARCH("light",$B4))=TRUE),INDEX(croprotn_LDLR_C_l,MATCH(RIGHT($F$1,1),rotation_light,0))
))))))))))))))))))</f>
        <v>springlinseed</v>
      </c>
      <c r="G4" s="234" t="str">
        <f t="shared" si="0"/>
        <v>springbeans</v>
      </c>
      <c r="H4" s="234" t="str">
        <f t="shared" si="1"/>
        <v>winterwheat</v>
      </c>
      <c r="I4" s="344" t="str">
        <f t="shared" si="2"/>
        <v>springoats</v>
      </c>
      <c r="J4" s="234" t="str">
        <f t="shared" si="3"/>
        <v>winterwheat</v>
      </c>
      <c r="K4" s="234" t="str">
        <f t="shared" si="4"/>
        <v>springlinseed</v>
      </c>
      <c r="L4" s="154" t="str">
        <f t="shared" si="5"/>
        <v>lightcultivation</v>
      </c>
      <c r="M4" s="154" t="str">
        <f t="shared" si="6"/>
        <v>subsoiling</v>
      </c>
      <c r="N4" s="154" t="str">
        <f t="shared" si="7"/>
        <v>lightcultivation</v>
      </c>
      <c r="O4" s="154" t="str">
        <f t="shared" si="8"/>
        <v>lightcultivation</v>
      </c>
      <c r="P4" s="263" t="s">
        <v>273</v>
      </c>
      <c r="Q4" s="154" t="str">
        <f>IF(AND(ISNUMBER(SEARCH("H-Dsty.",$B4))=TRUE,ISNUMBER(SEARCH("H-Res",$B4))=TRUE,ISNUMBER(SEARCH("E.",$B4))=TRUE),INDEX(tillage_HDHR_E,MATCH($K4,tillage_CROPS,0)),
IF(AND(ISNUMBER(SEARCH("H-Dsty.",$B4))=TRUE,ISNUMBER(SEARCH("H-Res",$B4))=TRUE,ISNUMBER(SEARCH("N.",$B4))=TRUE),INDEX(tillage_HDHR_N,MATCH($K4,tillage_CROPS,0)),
IF(AND(ISNUMBER(SEARCH("H-Dsty.",$B4))=TRUE,ISNUMBER(SEARCH("H-Res",$B4))=TRUE,ISNUMBER(SEARCH("C.",$B4))=TRUE),INDEX(tillage_HDHR_C,MATCH($K4,tillage_CROPS,0)),
IF(AND(ISNUMBER(SEARCH("L-Dsty.",$B4))=TRUE,ISNUMBER(SEARCH("H-Res",$B4))=TRUE,ISNUMBER(SEARCH("E.",$B4))=TRUE),INDEX(tillage_LDHR_E,MATCH($K4,tillage_CROPS,0)),
IF(AND(ISNUMBER(SEARCH("L-Dsty.",$B4))=TRUE,ISNUMBER(SEARCH("H-Res",$B4))=TRUE,ISNUMBER(SEARCH("N.",$B4))=TRUE),INDEX(tillage_LDHR_N,MATCH($K4,tillage_CROPS,0)),
IF(AND(ISNUMBER(SEARCH("L-Dsty.",$B4))=TRUE,ISNUMBER(SEARCH("H-Res",$B4))=TRUE,ISNUMBER(SEARCH("C.",$B4))=TRUE),INDEX(tillage_LDHR_C,MATCH($K4,tillage_CROPS,0)),
IF(AND(ISNUMBER(SEARCH("L-Dsty.",$B4))=TRUE,ISNUMBER(SEARCH("L-Res",$B4))=TRUE,ISNUMBER(SEARCH("E.",$B4))=TRUE),INDEX(tillage_LDLR_E,MATCH($K4,tillage_CROPS,0)),
IF(AND(ISNUMBER(SEARCH("L-Dsty.",$B4))=TRUE,ISNUMBER(SEARCH("L-Res",$B4))=TRUE,ISNUMBER(SEARCH("N.",$B4))=TRUE),INDEX(tillage_LDLR_N,MATCH($K4,tillage_CROPS,0)),
IF(AND(ISNUMBER(SEARCH("L-Dsty.",$B4))=TRUE,ISNUMBER(SEARCH("L-Res",$B4))=TRUE,ISNUMBER(SEARCH("C.",$B4))=TRUE),INDEX(tillage_LDLR_C,MATCH($K4,tillage_CROPS,0))
)))))))))</f>
        <v>lightcultivation</v>
      </c>
      <c r="R4" s="234">
        <f t="shared" si="9"/>
        <v>52</v>
      </c>
      <c r="S4" s="234">
        <f t="shared" si="10"/>
        <v>365</v>
      </c>
      <c r="T4" s="234">
        <f t="shared" si="11"/>
        <v>200</v>
      </c>
      <c r="U4" s="344">
        <f t="shared" si="12"/>
        <v>130</v>
      </c>
      <c r="V4" s="234">
        <f t="shared" si="13"/>
        <v>200</v>
      </c>
      <c r="W4" s="234">
        <f t="shared" si="14"/>
        <v>52</v>
      </c>
      <c r="X4" s="154" t="str">
        <f t="shared" si="15"/>
        <v>no</v>
      </c>
      <c r="Y4" s="154" t="str">
        <f t="shared" si="16"/>
        <v>no</v>
      </c>
      <c r="Z4" s="154" t="str">
        <f t="shared" si="17"/>
        <v>late</v>
      </c>
      <c r="AA4" s="238" t="str">
        <f t="shared" si="18"/>
        <v>no</v>
      </c>
      <c r="AB4" s="154" t="str">
        <f t="shared" si="19"/>
        <v>late</v>
      </c>
      <c r="AC4" s="154" t="str">
        <f t="shared" si="20"/>
        <v>no</v>
      </c>
      <c r="AD4" s="234">
        <f t="shared" si="21"/>
        <v>80</v>
      </c>
      <c r="AE4" s="234">
        <f t="shared" si="22"/>
        <v>0</v>
      </c>
      <c r="AF4" s="234">
        <f>IF(AND(ISNUMBER(SEARCH("H-Dsty.",$B4))=TRUE,ISNUMBER(SEARCH("H-Res",$B4))=TRUE,ISNUMBER(SEARCH("E.",$B4))=TRUE),INDEX(fertrate_HDHR_E,MATCH($H4,fertrate_CROPS,0)),
IF(AND(ISNUMBER(SEARCH("H-Dsty.",$B4))=TRUE,ISNUMBER(SEARCH("H-Res",$B4))=TRUE,ISNUMBER(SEARCH("N.",$B4))=TRUE),INDEX(fertrate_HDHR_N,MATCH($H4,fertrate_CROPS,0)),
IF(AND(ISNUMBER(SEARCH("H-Dsty.",$B4))=TRUE,ISNUMBER(SEARCH("H-Res",$B4))=TRUE,ISNUMBER(SEARCH("C.",$B4))=TRUE),INDEX(fertrate_HDHR_C,MATCH($H4,fertrate_CROPS,0)),
IF(AND(ISNUMBER(SEARCH("L-Dsty.",$B4))=TRUE,ISNUMBER(SEARCH("H-Res",$B4))=TRUE,ISNUMBER(SEARCH("E.",$B4))=TRUE),INDEX(fertrate_LDHR_E,MATCH($H4,fertrate_CROPS,0)),
IF(AND(ISNUMBER(SEARCH("L-Dsty.",$B4))=TRUE,ISNUMBER(SEARCH("H-Res",$B4))=TRUE,ISNUMBER(SEARCH("N.",$B4))=TRUE),INDEX(fertrate_LDHR_N,MATCH($H4,fertrate_CROPS,0)),
IF(AND(ISNUMBER(SEARCH("L-Dsty.",$B4))=TRUE,ISNUMBER(SEARCH("H-Res",$B4))=TRUE,ISNUMBER(SEARCH("C.",$B4))=TRUE),INDEX(fertrate_LDHR_C,MATCH($H4,fertrate_CROPS,0)),
IF(AND(ISNUMBER(SEARCH("L-Dsty.",$B4))=TRUE,ISNUMBER(SEARCH("L-Res",$B4))=TRUE,ISNUMBER(SEARCH("E.",$B4))=TRUE),INDEX(fertrate_LDLR_E,MATCH($H4,fertrate_CROPS,0)),
IF(AND(ISNUMBER(SEARCH("L-Dsty.",$B4))=TRUE,ISNUMBER(SEARCH("L-Res",$B4))=TRUE,ISNUMBER(SEARCH("N.",$B4))=TRUE),INDEX(fertrate_LDLR_N,MATCH($H4,fertrate_CROPS,0)),
IF(AND(ISNUMBER(SEARCH("L-Dsty.",$B4))=TRUE,ISNUMBER(SEARCH("L-Res",$B4))=TRUE,ISNUMBER(SEARCH("C.",$B4))=TRUE),INDEX(fertrate_LDLR_C,MATCH($H4,fertrate_CROPS,0))
)))))))))</f>
        <v>220</v>
      </c>
      <c r="AG4" s="238">
        <v>100</v>
      </c>
      <c r="AH4" s="234">
        <f>IF(AND(ISNUMBER(SEARCH("H-Dsty.",$B4))=TRUE,ISNUMBER(SEARCH("H-Res",$B4))=TRUE,ISNUMBER(SEARCH("E.",$B4))=TRUE),INDEX(fertrate_HDHR_E,MATCH($J4,fertrate_CROPS,0)),
IF(AND(ISNUMBER(SEARCH("H-Dsty.",$B4))=TRUE,ISNUMBER(SEARCH("H-Res",$B4))=TRUE,ISNUMBER(SEARCH("N.",$B4))=TRUE),INDEX(fertrate_HDHR_N,MATCH($J4,fertrate_CROPS,0)),
IF(AND(ISNUMBER(SEARCH("H-Dsty.",$B4))=TRUE,ISNUMBER(SEARCH("H-Res",$B4))=TRUE,ISNUMBER(SEARCH("C.",$B4))=TRUE),INDEX(fertrate_HDHR_C,MATCH($J4,fertrate_CROPS,0)),
IF(AND(ISNUMBER(SEARCH("L-Dsty.",$B4))=TRUE,ISNUMBER(SEARCH("H-Res",$B4))=TRUE,ISNUMBER(SEARCH("E.",$B4))=TRUE),INDEX(fertrate_LDHR_E,MATCH($J4,fertrate_CROPS,0)),
IF(AND(ISNUMBER(SEARCH("L-Dsty.",$B4))=TRUE,ISNUMBER(SEARCH("H-Res",$B4))=TRUE,ISNUMBER(SEARCH("N.",$B4))=TRUE),INDEX(fertrate_LDHR_N,MATCH($J4,fertrate_CROPS,0)),
IF(AND(ISNUMBER(SEARCH("L-Dsty.",$B4))=TRUE,ISNUMBER(SEARCH("H-Res",$B4))=TRUE,ISNUMBER(SEARCH("C.",$B4))=TRUE),INDEX(fertrate_LDHR_C,MATCH($J4,fertrate_CROPS,0)),
IF(AND(ISNUMBER(SEARCH("L-Dsty.",$B4))=TRUE,ISNUMBER(SEARCH("L-Res",$B4))=TRUE,ISNUMBER(SEARCH("E.",$B4))=TRUE),INDEX(fertrate_LDLR_E,MATCH($J4,fertrate_CROPS,0)),
IF(AND(ISNUMBER(SEARCH("L-Dsty.",$B4))=TRUE,ISNUMBER(SEARCH("L-Res",$B4))=TRUE,ISNUMBER(SEARCH("N.",$B4))=TRUE),INDEX(fertrate_LDLR_N,MATCH($J4,fertrate_CROPS,0)),
IF(AND(ISNUMBER(SEARCH("L-Dsty.",$B4))=TRUE,ISNUMBER(SEARCH("L-Res",$B4))=TRUE,ISNUMBER(SEARCH("C.",$B4))=TRUE),INDEX(fertrate_LDLR_C,MATCH($J4,fertrate_CROPS,0))
)))))))))</f>
        <v>220</v>
      </c>
      <c r="AI4" s="234">
        <f>IF(AND(ISNUMBER(SEARCH("H-Dsty.",$B4))=TRUE,ISNUMBER(SEARCH("H-Res",$B4))=TRUE,ISNUMBER(SEARCH("E.",$B4))=TRUE),INDEX(fertrate_HDHR_E,MATCH($K4,fertrate_CROPS,0)),
IF(AND(ISNUMBER(SEARCH("H-Dsty.",$B4))=TRUE,ISNUMBER(SEARCH("H-Res",$B4))=TRUE,ISNUMBER(SEARCH("N.",$B4))=TRUE),INDEX(fertrate_HDHR_N,MATCH($K4,fertrate_CROPS,0)),
IF(AND(ISNUMBER(SEARCH("H-Dsty.",$B4))=TRUE,ISNUMBER(SEARCH("H-Res",$B4))=TRUE,ISNUMBER(SEARCH("C.",$B4))=TRUE),INDEX(fertrate_HDHR_C,MATCH($K4,fertrate_CROPS,0)),
IF(AND(ISNUMBER(SEARCH("L-Dsty.",$B4))=TRUE,ISNUMBER(SEARCH("H-Res",$B4))=TRUE,ISNUMBER(SEARCH("E.",$B4))=TRUE),INDEX(fertrate_LDHR_E,MATCH($K4,fertrate_CROPS,0)),
IF(AND(ISNUMBER(SEARCH("L-Dsty.",$B4))=TRUE,ISNUMBER(SEARCH("H-Res",$B4))=TRUE,ISNUMBER(SEARCH("N.",$B4))=TRUE),INDEX(fertrate_LDHR_N,MATCH($K4,fertrate_CROPS,0)),
IF(AND(ISNUMBER(SEARCH("L-Dsty.",$B4))=TRUE,ISNUMBER(SEARCH("H-Res",$B4))=TRUE,ISNUMBER(SEARCH("C.",$B4))=TRUE),INDEX(fertrate_LDHR_C,MATCH($K4,fertrate_CROPS,0)),
IF(AND(ISNUMBER(SEARCH("L-Dsty.",$B4))=TRUE,ISNUMBER(SEARCH("L-Res",$B4))=TRUE,ISNUMBER(SEARCH("E.",$B4))=TRUE),INDEX(fertrate_LDLR_E,MATCH($K4,fertrate_CROPS,0)),
IF(AND(ISNUMBER(SEARCH("L-Dsty.",$B4))=TRUE,ISNUMBER(SEARCH("L-Res",$B4))=TRUE,ISNUMBER(SEARCH("N.",$B4))=TRUE),INDEX(fertrate_LDLR_N,MATCH($K4,fertrate_CROPS,0)),
IF(AND(ISNUMBER(SEARCH("L-Dsty.",$B4))=TRUE,ISNUMBER(SEARCH("L-Res",$B4))=TRUE,ISNUMBER(SEARCH("C.",$B4))=TRUE),INDEX(fertrate_LDLR_C,MATCH($K4,fertrate_CROPS,0))
)))))))))</f>
        <v>80</v>
      </c>
      <c r="AJ4" s="154">
        <f t="shared" si="23"/>
        <v>30</v>
      </c>
      <c r="AK4" s="154">
        <f t="shared" si="24"/>
        <v>43</v>
      </c>
      <c r="AL4" s="154">
        <f t="shared" si="25"/>
        <v>67</v>
      </c>
      <c r="AM4" s="238">
        <f t="shared" si="26"/>
        <v>43</v>
      </c>
      <c r="AN4" s="154">
        <f t="shared" si="27"/>
        <v>67</v>
      </c>
      <c r="AO4" s="154">
        <f t="shared" si="28"/>
        <v>30</v>
      </c>
      <c r="AP4" s="154">
        <f t="shared" si="29"/>
        <v>10</v>
      </c>
      <c r="AQ4" s="154">
        <f t="shared" si="30"/>
        <v>47</v>
      </c>
      <c r="AR4" s="154">
        <f t="shared" si="31"/>
        <v>48</v>
      </c>
      <c r="AS4" s="238">
        <f t="shared" si="32"/>
        <v>31</v>
      </c>
      <c r="AT4" s="154">
        <f t="shared" si="33"/>
        <v>48</v>
      </c>
      <c r="AU4" s="154">
        <f t="shared" si="34"/>
        <v>10</v>
      </c>
      <c r="AV4" s="234">
        <f t="shared" si="35"/>
        <v>5</v>
      </c>
      <c r="AW4" s="234">
        <f t="shared" si="36"/>
        <v>9</v>
      </c>
      <c r="AX4" s="234">
        <f t="shared" si="37"/>
        <v>10.84</v>
      </c>
      <c r="AY4" s="234">
        <f t="shared" si="38"/>
        <v>0.25</v>
      </c>
      <c r="AZ4" s="234">
        <f t="shared" si="39"/>
        <v>10.84</v>
      </c>
      <c r="BA4" s="234">
        <f t="shared" si="40"/>
        <v>5</v>
      </c>
      <c r="BB4" s="234">
        <f t="shared" si="41"/>
        <v>9.3000000000000007</v>
      </c>
      <c r="BC4" s="234">
        <f t="shared" si="42"/>
        <v>8.3000000000000007</v>
      </c>
      <c r="BD4" s="234">
        <f t="shared" si="43"/>
        <v>6.3</v>
      </c>
      <c r="BE4" s="234">
        <f t="shared" si="44"/>
        <v>6.3</v>
      </c>
      <c r="BF4" s="234">
        <f t="shared" si="45"/>
        <v>6.3</v>
      </c>
      <c r="BG4" s="234">
        <f t="shared" si="46"/>
        <v>9.3000000000000007</v>
      </c>
      <c r="BH4" s="234">
        <f t="shared" si="47"/>
        <v>5</v>
      </c>
      <c r="BI4" s="234">
        <f t="shared" si="48"/>
        <v>5</v>
      </c>
      <c r="BJ4" s="234">
        <f t="shared" si="49"/>
        <v>6</v>
      </c>
      <c r="BK4" s="234">
        <f t="shared" si="50"/>
        <v>4</v>
      </c>
      <c r="BL4" s="234">
        <f t="shared" si="51"/>
        <v>6</v>
      </c>
      <c r="BM4" s="234">
        <f t="shared" si="52"/>
        <v>5</v>
      </c>
      <c r="BN4" s="154" t="s">
        <v>483</v>
      </c>
      <c r="BO4" s="154" t="str">
        <f t="shared" si="53"/>
        <v>high</v>
      </c>
      <c r="BP4" s="154" t="str">
        <f t="shared" si="54"/>
        <v>medium</v>
      </c>
      <c r="BQ4" s="154" t="str">
        <f t="shared" si="55"/>
        <v>low</v>
      </c>
      <c r="BR4" s="154" t="s">
        <v>183</v>
      </c>
      <c r="BS4" s="154" t="s">
        <v>183</v>
      </c>
      <c r="BT4" s="154" t="s">
        <v>183</v>
      </c>
      <c r="BU4" s="154">
        <f t="shared" si="56"/>
        <v>380</v>
      </c>
      <c r="BV4" s="154">
        <f t="shared" si="57"/>
        <v>185</v>
      </c>
      <c r="BW4" s="154">
        <f t="shared" si="58"/>
        <v>150</v>
      </c>
      <c r="BX4" s="238">
        <f t="shared" si="59"/>
        <v>140</v>
      </c>
      <c r="BY4" s="154">
        <f t="shared" si="60"/>
        <v>150</v>
      </c>
      <c r="BZ4" s="154">
        <f t="shared" si="61"/>
        <v>380</v>
      </c>
      <c r="CA4" s="356">
        <f t="array" ref="CA4">IF(yieldsetting1="estimate",0,INDEX(cropdata, MATCH(yieldsource,outputs,0), MATCH($F4,cropdatacrops,0)))</f>
        <v>0</v>
      </c>
      <c r="CB4" s="356">
        <f t="array" ref="CB4">IF(yieldsetting1="estimate",0,INDEX(cropdata, MATCH(yieldsource,outputs,0), MATCH($G4,cropdatacrops,0)))</f>
        <v>0</v>
      </c>
      <c r="CC4" s="356">
        <f t="array" ref="CC4">IF(yieldsetting1="estimate",0,INDEX(cropdata, MATCH(yieldsource,outputs,0), MATCH($H4,cropdatacrops,0)))</f>
        <v>0</v>
      </c>
      <c r="CD4" s="357">
        <f t="array" ref="CD4">IF(yieldsetting1="estimate",0,INDEX(cropdata, MATCH(yieldsource,outputs,0), MATCH($I4,cropdatacrops,0)))</f>
        <v>0</v>
      </c>
      <c r="CE4" s="356">
        <f t="array" ref="CE4">IF(yieldsetting1="estimate",0,INDEX(cropdata, MATCH(yieldsource,outputs,0), MATCH($J4,cropdatacrops,0)))</f>
        <v>0</v>
      </c>
      <c r="CF4" s="356">
        <f t="array" ref="CF4">IF(yieldsetting1="estimate",0,INDEX(cropdata, MATCH(yieldsource,outputs,0), MATCH($K4,cropdatacrops,0)))</f>
        <v>0</v>
      </c>
      <c r="CG4" s="154" t="str">
        <f t="shared" si="62"/>
        <v>estimate</v>
      </c>
      <c r="CH4" s="235">
        <f t="shared" si="63"/>
        <v>0.8</v>
      </c>
      <c r="CI4" s="235">
        <f t="shared" si="64"/>
        <v>0.72</v>
      </c>
      <c r="CJ4" s="154">
        <f t="shared" si="65"/>
        <v>0.46</v>
      </c>
      <c r="CK4" s="154">
        <f t="shared" si="66"/>
        <v>1.6</v>
      </c>
      <c r="CL4" s="154">
        <f t="shared" si="67"/>
        <v>0.38</v>
      </c>
      <c r="CM4" s="154">
        <f t="shared" si="68"/>
        <v>0.36</v>
      </c>
      <c r="CN4" s="238">
        <f t="shared" si="69"/>
        <v>0.38</v>
      </c>
      <c r="CO4" s="154">
        <f t="shared" si="70"/>
        <v>0.36</v>
      </c>
      <c r="CP4" s="154">
        <f t="shared" si="71"/>
        <v>1.6</v>
      </c>
      <c r="CQ4" s="154">
        <f t="shared" si="72"/>
        <v>19.5</v>
      </c>
      <c r="CR4" s="154">
        <f t="shared" si="72"/>
        <v>19.5</v>
      </c>
      <c r="CS4" s="154">
        <f t="shared" si="72"/>
        <v>19.5</v>
      </c>
      <c r="CT4" s="154">
        <f t="shared" si="72"/>
        <v>19.5</v>
      </c>
      <c r="CU4" s="154">
        <f t="shared" si="72"/>
        <v>19.5</v>
      </c>
      <c r="CV4" s="154">
        <f t="shared" si="72"/>
        <v>19.5</v>
      </c>
      <c r="CW4" s="154">
        <f t="shared" si="73"/>
        <v>2.4300000000000002</v>
      </c>
      <c r="CX4" s="154">
        <f t="shared" si="73"/>
        <v>2.4300000000000002</v>
      </c>
      <c r="CY4" s="154">
        <f t="shared" si="73"/>
        <v>2.4300000000000002</v>
      </c>
      <c r="CZ4" s="154">
        <f t="shared" si="73"/>
        <v>2.4300000000000002</v>
      </c>
      <c r="DA4" s="154">
        <f t="shared" si="73"/>
        <v>2.4300000000000002</v>
      </c>
      <c r="DB4" s="154">
        <f t="shared" si="73"/>
        <v>2.4300000000000002</v>
      </c>
      <c r="DC4" s="154">
        <v>102</v>
      </c>
      <c r="DD4" s="154">
        <v>6</v>
      </c>
      <c r="DE4" s="154">
        <v>4</v>
      </c>
      <c r="DF4" s="154">
        <v>1400</v>
      </c>
      <c r="DG4" s="154">
        <v>125</v>
      </c>
      <c r="DH4" s="154">
        <f t="shared" si="74"/>
        <v>0.625</v>
      </c>
      <c r="DI4" s="154">
        <f t="shared" si="75"/>
        <v>10.08</v>
      </c>
    </row>
    <row r="5" spans="1:113" x14ac:dyDescent="0.2">
      <c r="A5" s="331" t="s">
        <v>1731</v>
      </c>
      <c r="B5" s="330" t="s">
        <v>505</v>
      </c>
      <c r="C5" s="330" t="s">
        <v>1613</v>
      </c>
      <c r="D5" s="233" t="str">
        <f>IF(ISNUMBER(SEARCH("heavy",B5))=TRUE,"2.25",
IF(ISNUMBER(SEARCH("medium",B5))=TRUE,"1.50",
IF(ISNUMBER(SEARCH("light",B5))=TRUE,"0.75")))</f>
        <v>1.50</v>
      </c>
      <c r="E5" s="154">
        <v>6</v>
      </c>
      <c r="F5" s="234" t="str" cm="1">
        <f t="array" ref="F5">IF(AND(ISNUMBER(SEARCH("H-Dsty.H-Res",$B5))=TRUE,ISNUMBER(SEARCH("E.",$B5))=TRUE,OR(ISNUMBER(SEARCH("heavy",$B5)),ISNUMBER(SEARCH("MEDIUM",$B5)))=TRUE),INDEX(croprotn_HDHR_E_h,MATCH(RIGHT($F$1,1),rotation_heavy,0)),
IF(AND(ISNUMBER(SEARCH("H-Dsty.H-Res",$B5))=TRUE,ISNUMBER(SEARCH("N.",$B5))=TRUE,OR(ISNUMBER(SEARCH("heavy",$B5)),ISNUMBER(SEARCH("MEDIUM",$B5)))=TRUE),INDEX(croprotn_HDHR_N_h,MATCH(RIGHT($F$1,1),rotation_heavy,0)),
IF(AND(ISNUMBER(SEARCH("H-Dsty.H-Res",$B5))=TRUE,ISNUMBER(SEARCH("C.",$B5))=TRUE,OR(ISNUMBER(SEARCH("heavy",$B5)),ISNUMBER(SEARCH("MEDIUM",$B5)))=TRUE),INDEX(croprotn_HDHR_C_h,MATCH(RIGHT($F$1,1),rotation_heavy,0)),
IF(AND(ISNUMBER(SEARCH("L-Dsty.H-Res",$B5))=TRUE,ISNUMBER(SEARCH("E.",$B5))=TRUE,OR(ISNUMBER(SEARCH("heavy",$B5)),ISNUMBER(SEARCH("MEDIUM",$B5)))=TRUE),INDEX(croprotn_LDHR_E_h,MATCH(RIGHT($F$1,1),rotation_heavy,0)),
IF(AND(ISNUMBER(SEARCH("L-Dsty.H-Res",$B5))=TRUE,ISNUMBER(SEARCH("N.",$B5))=TRUE,OR(ISNUMBER(SEARCH("heavy",$B5)),ISNUMBER(SEARCH("MEDIUM",$B5)))=TRUE),INDEX(croprotn_LDHR_N_h,MATCH(RIGHT($F$1,1),rotation_heavy,0)),
IF(AND(ISNUMBER(SEARCH("L-Dsty.H-Res",$B5))=TRUE,ISNUMBER(SEARCH("C.",$B5))=TRUE,OR(ISNUMBER(SEARCH("heavy",$B5)),ISNUMBER(SEARCH("MEDIUM",$B5)))=TRUE),INDEX(croprotn_LDHR_C_h,MATCH(RIGHT($F$1,1),rotation_heavy,0)),
IF(AND(ISNUMBER(SEARCH("L-Dsty.L-Res",$B5))=TRUE,ISNUMBER(SEARCH("E.",$B5))=TRUE,OR(ISNUMBER(SEARCH("heavy",$B5)),ISNUMBER(SEARCH("MEDIUM",$B5)))=TRUE),INDEX(croprotn_LDLR_E_h,MATCH(RIGHT($F$1,1),rotation_heavy,0)),
IF(AND(ISNUMBER(SEARCH("L-Dsty.L-Res",$B5))=TRUE,ISNUMBER(SEARCH("N.",$B5))=TRUE,OR(ISNUMBER(SEARCH("heavy",$B5)),ISNUMBER(SEARCH("MEDIUM",$B5)))=TRUE),INDEX(croprotn_LDLR_N_h,MATCH(RIGHT($F$1,1),rotation_heavy,0)),
IF(AND(ISNUMBER(SEARCH("L-Dsty.L-Res",$B5))=TRUE,ISNUMBER(SEARCH("C.",$B5))=TRUE,OR(ISNUMBER(SEARCH("heavy",$B5)),ISNUMBER(SEARCH("MEDIUM",$B5)))=TRUE),INDEX(croprotn_LDLR_C_h,MATCH(RIGHT($F$1,1),rotation_heavy,0)),
IF(AND(ISNUMBER(SEARCH("H-Dsty.H-Res",$B5))=TRUE,ISNUMBER(SEARCH("E.",$B5))=TRUE,ISNUMBER(SEARCH("light",$B5))=TRUE),INDEX(croprotn_HDHR_E_l,MATCH(RIGHT($F$1,1),rotation_light,0)),
IF(AND(ISNUMBER(SEARCH("H-Dsty.H-Res",$B5))=TRUE,ISNUMBER(SEARCH("N.",$B5))=TRUE,ISNUMBER(SEARCH("light",$B5))=TRUE),INDEX(croprotn_HDHR_N_l,MATCH(RIGHT($F$1,1),rotation_light,0)),
IF(AND(ISNUMBER(SEARCH("H-Dsty.H-Res",$B5))=TRUE,ISNUMBER(SEARCH("C.",$B5))=TRUE,ISNUMBER(SEARCH("light",$B5))=TRUE),INDEX(croprotn_HDHR_C_l,MATCH(RIGHT($F$1,1),rotation_light,0)),
IF(AND(ISNUMBER(SEARCH("L-Dsty.H-Res",$B5))=TRUE,ISNUMBER(SEARCH("E.",$B5))=TRUE,ISNUMBER(SEARCH("light",$B5))=TRUE),INDEX(croprotn_LDHR_E_l,MATCH(RIGHT($F$1,1),rotation_light,0)),
IF(AND(ISNUMBER(SEARCH("L-Dsty.H-Res",$B5))=TRUE,ISNUMBER(SEARCH("N.",$B5))=TRUE,ISNUMBER(SEARCH("light",$B5))=TRUE),INDEX(croprotn_LDHR_N_l,MATCH(RIGHT($F$1,1),rotation_light,0)),
IF(AND(ISNUMBER(SEARCH("L-Dsty.H-Res",$B5))=TRUE,ISNUMBER(SEARCH("C.",$B5))=TRUE,ISNUMBER(SEARCH("light",$B5))=TRUE),INDEX(croprotn_LDHR_C_l,MATCH(RIGHT($F$1,1),rotation_light,0)),
IF(AND(ISNUMBER(SEARCH("L-Dsty.L-Res",$B5))=TRUE,ISNUMBER(SEARCH("E.",$B5))=TRUE,ISNUMBER(SEARCH("light",$B5))=TRUE),INDEX(croprotn_LDLR_E_l,MATCH(RIGHT($F$1,1),rotation_light,0)),
IF(AND(ISNUMBER(SEARCH("L-Dsty.L-Res",$B5))=TRUE,ISNUMBER(SEARCH("N.",$B5))=TRUE,ISNUMBER(SEARCH("light",$B5))=TRUE),INDEX(croprotn_LDLR_N_l,MATCH(RIGHT($F$1,1),rotation_light,0)),
IF(AND(ISNUMBER(SEARCH("L-Dsty.L-Res",$B5))=TRUE,ISNUMBER(SEARCH("C.",$B5))=TRUE,ISNUMBER(SEARCH("light",$B5))=TRUE),INDEX(croprotn_LDLR_C_l,MATCH(RIGHT($F$1,1),rotation_light,0))
))))))))))))))))))</f>
        <v>springlinseed</v>
      </c>
      <c r="G5" s="234" t="str">
        <f t="shared" si="0"/>
        <v>springbeans</v>
      </c>
      <c r="H5" s="234" t="str">
        <f t="shared" si="1"/>
        <v>winterwheat</v>
      </c>
      <c r="I5" s="344" t="str">
        <f t="shared" si="2"/>
        <v>springoats</v>
      </c>
      <c r="J5" s="234" t="str">
        <f t="shared" si="3"/>
        <v>winterwheat</v>
      </c>
      <c r="K5" s="234" t="str">
        <f t="shared" si="4"/>
        <v>springlinseed</v>
      </c>
      <c r="L5" s="154" t="str">
        <f t="shared" si="5"/>
        <v>lightcultivation</v>
      </c>
      <c r="M5" s="154" t="str">
        <f t="shared" si="6"/>
        <v>subsoiling</v>
      </c>
      <c r="N5" s="154" t="str">
        <f t="shared" si="7"/>
        <v>lightcultivation</v>
      </c>
      <c r="O5" s="154" t="str">
        <f t="shared" si="8"/>
        <v>lightcultivation</v>
      </c>
      <c r="P5" s="263" t="s">
        <v>273</v>
      </c>
      <c r="Q5" s="154" t="str">
        <f>IF(AND(ISNUMBER(SEARCH("H-Dsty.",$B5))=TRUE,ISNUMBER(SEARCH("H-Res",$B5))=TRUE,ISNUMBER(SEARCH("E.",$B5))=TRUE),INDEX(tillage_HDHR_E,MATCH($K5,tillage_CROPS,0)),
IF(AND(ISNUMBER(SEARCH("H-Dsty.",$B5))=TRUE,ISNUMBER(SEARCH("H-Res",$B5))=TRUE,ISNUMBER(SEARCH("N.",$B5))=TRUE),INDEX(tillage_HDHR_N,MATCH($K5,tillage_CROPS,0)),
IF(AND(ISNUMBER(SEARCH("H-Dsty.",$B5))=TRUE,ISNUMBER(SEARCH("H-Res",$B5))=TRUE,ISNUMBER(SEARCH("C.",$B5))=TRUE),INDEX(tillage_HDHR_C,MATCH($K5,tillage_CROPS,0)),
IF(AND(ISNUMBER(SEARCH("L-Dsty.",$B5))=TRUE,ISNUMBER(SEARCH("H-Res",$B5))=TRUE,ISNUMBER(SEARCH("E.",$B5))=TRUE),INDEX(tillage_LDHR_E,MATCH($K5,tillage_CROPS,0)),
IF(AND(ISNUMBER(SEARCH("L-Dsty.",$B5))=TRUE,ISNUMBER(SEARCH("H-Res",$B5))=TRUE,ISNUMBER(SEARCH("N.",$B5))=TRUE),INDEX(tillage_LDHR_N,MATCH($K5,tillage_CROPS,0)),
IF(AND(ISNUMBER(SEARCH("L-Dsty.",$B5))=TRUE,ISNUMBER(SEARCH("H-Res",$B5))=TRUE,ISNUMBER(SEARCH("C.",$B5))=TRUE),INDEX(tillage_LDHR_C,MATCH($K5,tillage_CROPS,0)),
IF(AND(ISNUMBER(SEARCH("L-Dsty.",$B5))=TRUE,ISNUMBER(SEARCH("L-Res",$B5))=TRUE,ISNUMBER(SEARCH("E.",$B5))=TRUE),INDEX(tillage_LDLR_E,MATCH($K5,tillage_CROPS,0)),
IF(AND(ISNUMBER(SEARCH("L-Dsty.",$B5))=TRUE,ISNUMBER(SEARCH("L-Res",$B5))=TRUE,ISNUMBER(SEARCH("N.",$B5))=TRUE),INDEX(tillage_LDLR_N,MATCH($K5,tillage_CROPS,0)),
IF(AND(ISNUMBER(SEARCH("L-Dsty.",$B5))=TRUE,ISNUMBER(SEARCH("L-Res",$B5))=TRUE,ISNUMBER(SEARCH("C.",$B5))=TRUE),INDEX(tillage_LDLR_C,MATCH($K5,tillage_CROPS,0))
)))))))))</f>
        <v>lightcultivation</v>
      </c>
      <c r="R5" s="234">
        <f t="shared" si="9"/>
        <v>52</v>
      </c>
      <c r="S5" s="234">
        <f t="shared" si="10"/>
        <v>365</v>
      </c>
      <c r="T5" s="234">
        <f t="shared" si="11"/>
        <v>200</v>
      </c>
      <c r="U5" s="344">
        <f t="shared" si="12"/>
        <v>130</v>
      </c>
      <c r="V5" s="234">
        <f t="shared" si="13"/>
        <v>200</v>
      </c>
      <c r="W5" s="234">
        <f t="shared" si="14"/>
        <v>52</v>
      </c>
      <c r="X5" s="154" t="str">
        <f t="shared" si="15"/>
        <v>no</v>
      </c>
      <c r="Y5" s="154" t="str">
        <f t="shared" si="16"/>
        <v>no</v>
      </c>
      <c r="Z5" s="154" t="str">
        <f t="shared" si="17"/>
        <v>late</v>
      </c>
      <c r="AA5" s="238" t="str">
        <f t="shared" si="18"/>
        <v>no</v>
      </c>
      <c r="AB5" s="154" t="str">
        <f t="shared" si="19"/>
        <v>late</v>
      </c>
      <c r="AC5" s="154" t="str">
        <f t="shared" si="20"/>
        <v>no</v>
      </c>
      <c r="AD5" s="234">
        <f t="shared" si="21"/>
        <v>80</v>
      </c>
      <c r="AE5" s="234">
        <f t="shared" si="22"/>
        <v>0</v>
      </c>
      <c r="AF5" s="234">
        <f>IF(AND(ISNUMBER(SEARCH("H-Dsty.",$B5))=TRUE,ISNUMBER(SEARCH("H-Res",$B5))=TRUE,ISNUMBER(SEARCH("E.",$B5))=TRUE),INDEX(fertrate_HDHR_E,MATCH($H5,fertrate_CROPS,0)),
IF(AND(ISNUMBER(SEARCH("H-Dsty.",$B5))=TRUE,ISNUMBER(SEARCH("H-Res",$B5))=TRUE,ISNUMBER(SEARCH("N.",$B5))=TRUE),INDEX(fertrate_HDHR_N,MATCH($H5,fertrate_CROPS,0)),
IF(AND(ISNUMBER(SEARCH("H-Dsty.",$B5))=TRUE,ISNUMBER(SEARCH("H-Res",$B5))=TRUE,ISNUMBER(SEARCH("C.",$B5))=TRUE),INDEX(fertrate_HDHR_C,MATCH($H5,fertrate_CROPS,0)),
IF(AND(ISNUMBER(SEARCH("L-Dsty.",$B5))=TRUE,ISNUMBER(SEARCH("H-Res",$B5))=TRUE,ISNUMBER(SEARCH("E.",$B5))=TRUE),INDEX(fertrate_LDHR_E,MATCH($H5,fertrate_CROPS,0)),
IF(AND(ISNUMBER(SEARCH("L-Dsty.",$B5))=TRUE,ISNUMBER(SEARCH("H-Res",$B5))=TRUE,ISNUMBER(SEARCH("N.",$B5))=TRUE),INDEX(fertrate_LDHR_N,MATCH($H5,fertrate_CROPS,0)),
IF(AND(ISNUMBER(SEARCH("L-Dsty.",$B5))=TRUE,ISNUMBER(SEARCH("H-Res",$B5))=TRUE,ISNUMBER(SEARCH("C.",$B5))=TRUE),INDEX(fertrate_LDHR_C,MATCH($H5,fertrate_CROPS,0)),
IF(AND(ISNUMBER(SEARCH("L-Dsty.",$B5))=TRUE,ISNUMBER(SEARCH("L-Res",$B5))=TRUE,ISNUMBER(SEARCH("E.",$B5))=TRUE),INDEX(fertrate_LDLR_E,MATCH($H5,fertrate_CROPS,0)),
IF(AND(ISNUMBER(SEARCH("L-Dsty.",$B5))=TRUE,ISNUMBER(SEARCH("L-Res",$B5))=TRUE,ISNUMBER(SEARCH("N.",$B5))=TRUE),INDEX(fertrate_LDLR_N,MATCH($H5,fertrate_CROPS,0)),
IF(AND(ISNUMBER(SEARCH("L-Dsty.",$B5))=TRUE,ISNUMBER(SEARCH("L-Res",$B5))=TRUE,ISNUMBER(SEARCH("C.",$B5))=TRUE),INDEX(fertrate_LDLR_C,MATCH($H5,fertrate_CROPS,0))
)))))))))</f>
        <v>220</v>
      </c>
      <c r="AG5" s="238">
        <v>100</v>
      </c>
      <c r="AH5" s="234">
        <f>IF(AND(ISNUMBER(SEARCH("H-Dsty.",$B5))=TRUE,ISNUMBER(SEARCH("H-Res",$B5))=TRUE,ISNUMBER(SEARCH("E.",$B5))=TRUE),INDEX(fertrate_HDHR_E,MATCH($J5,fertrate_CROPS,0)),
IF(AND(ISNUMBER(SEARCH("H-Dsty.",$B5))=TRUE,ISNUMBER(SEARCH("H-Res",$B5))=TRUE,ISNUMBER(SEARCH("N.",$B5))=TRUE),INDEX(fertrate_HDHR_N,MATCH($J5,fertrate_CROPS,0)),
IF(AND(ISNUMBER(SEARCH("H-Dsty.",$B5))=TRUE,ISNUMBER(SEARCH("H-Res",$B5))=TRUE,ISNUMBER(SEARCH("C.",$B5))=TRUE),INDEX(fertrate_HDHR_C,MATCH($J5,fertrate_CROPS,0)),
IF(AND(ISNUMBER(SEARCH("L-Dsty.",$B5))=TRUE,ISNUMBER(SEARCH("H-Res",$B5))=TRUE,ISNUMBER(SEARCH("E.",$B5))=TRUE),INDEX(fertrate_LDHR_E,MATCH($J5,fertrate_CROPS,0)),
IF(AND(ISNUMBER(SEARCH("L-Dsty.",$B5))=TRUE,ISNUMBER(SEARCH("H-Res",$B5))=TRUE,ISNUMBER(SEARCH("N.",$B5))=TRUE),INDEX(fertrate_LDHR_N,MATCH($J5,fertrate_CROPS,0)),
IF(AND(ISNUMBER(SEARCH("L-Dsty.",$B5))=TRUE,ISNUMBER(SEARCH("H-Res",$B5))=TRUE,ISNUMBER(SEARCH("C.",$B5))=TRUE),INDEX(fertrate_LDHR_C,MATCH($J5,fertrate_CROPS,0)),
IF(AND(ISNUMBER(SEARCH("L-Dsty.",$B5))=TRUE,ISNUMBER(SEARCH("L-Res",$B5))=TRUE,ISNUMBER(SEARCH("E.",$B5))=TRUE),INDEX(fertrate_LDLR_E,MATCH($J5,fertrate_CROPS,0)),
IF(AND(ISNUMBER(SEARCH("L-Dsty.",$B5))=TRUE,ISNUMBER(SEARCH("L-Res",$B5))=TRUE,ISNUMBER(SEARCH("N.",$B5))=TRUE),INDEX(fertrate_LDLR_N,MATCH($J5,fertrate_CROPS,0)),
IF(AND(ISNUMBER(SEARCH("L-Dsty.",$B5))=TRUE,ISNUMBER(SEARCH("L-Res",$B5))=TRUE,ISNUMBER(SEARCH("C.",$B5))=TRUE),INDEX(fertrate_LDLR_C,MATCH($J5,fertrate_CROPS,0))
)))))))))</f>
        <v>220</v>
      </c>
      <c r="AI5" s="234">
        <f>IF(AND(ISNUMBER(SEARCH("H-Dsty.",$B5))=TRUE,ISNUMBER(SEARCH("H-Res",$B5))=TRUE,ISNUMBER(SEARCH("E.",$B5))=TRUE),INDEX(fertrate_HDHR_E,MATCH($K5,fertrate_CROPS,0)),
IF(AND(ISNUMBER(SEARCH("H-Dsty.",$B5))=TRUE,ISNUMBER(SEARCH("H-Res",$B5))=TRUE,ISNUMBER(SEARCH("N.",$B5))=TRUE),INDEX(fertrate_HDHR_N,MATCH($K5,fertrate_CROPS,0)),
IF(AND(ISNUMBER(SEARCH("H-Dsty.",$B5))=TRUE,ISNUMBER(SEARCH("H-Res",$B5))=TRUE,ISNUMBER(SEARCH("C.",$B5))=TRUE),INDEX(fertrate_HDHR_C,MATCH($K5,fertrate_CROPS,0)),
IF(AND(ISNUMBER(SEARCH("L-Dsty.",$B5))=TRUE,ISNUMBER(SEARCH("H-Res",$B5))=TRUE,ISNUMBER(SEARCH("E.",$B5))=TRUE),INDEX(fertrate_LDHR_E,MATCH($K5,fertrate_CROPS,0)),
IF(AND(ISNUMBER(SEARCH("L-Dsty.",$B5))=TRUE,ISNUMBER(SEARCH("H-Res",$B5))=TRUE,ISNUMBER(SEARCH("N.",$B5))=TRUE),INDEX(fertrate_LDHR_N,MATCH($K5,fertrate_CROPS,0)),
IF(AND(ISNUMBER(SEARCH("L-Dsty.",$B5))=TRUE,ISNUMBER(SEARCH("H-Res",$B5))=TRUE,ISNUMBER(SEARCH("C.",$B5))=TRUE),INDEX(fertrate_LDHR_C,MATCH($K5,fertrate_CROPS,0)),
IF(AND(ISNUMBER(SEARCH("L-Dsty.",$B5))=TRUE,ISNUMBER(SEARCH("L-Res",$B5))=TRUE,ISNUMBER(SEARCH("E.",$B5))=TRUE),INDEX(fertrate_LDLR_E,MATCH($K5,fertrate_CROPS,0)),
IF(AND(ISNUMBER(SEARCH("L-Dsty.",$B5))=TRUE,ISNUMBER(SEARCH("L-Res",$B5))=TRUE,ISNUMBER(SEARCH("N.",$B5))=TRUE),INDEX(fertrate_LDLR_N,MATCH($K5,fertrate_CROPS,0)),
IF(AND(ISNUMBER(SEARCH("L-Dsty.",$B5))=TRUE,ISNUMBER(SEARCH("L-Res",$B5))=TRUE,ISNUMBER(SEARCH("C.",$B5))=TRUE),INDEX(fertrate_LDLR_C,MATCH($K5,fertrate_CROPS,0))
)))))))))</f>
        <v>80</v>
      </c>
      <c r="AJ5" s="154">
        <f t="shared" si="23"/>
        <v>30</v>
      </c>
      <c r="AK5" s="154">
        <f t="shared" si="24"/>
        <v>43</v>
      </c>
      <c r="AL5" s="154">
        <f t="shared" si="25"/>
        <v>67</v>
      </c>
      <c r="AM5" s="238">
        <f t="shared" si="26"/>
        <v>43</v>
      </c>
      <c r="AN5" s="154">
        <f t="shared" si="27"/>
        <v>67</v>
      </c>
      <c r="AO5" s="154">
        <f t="shared" si="28"/>
        <v>30</v>
      </c>
      <c r="AP5" s="154">
        <f t="shared" si="29"/>
        <v>10</v>
      </c>
      <c r="AQ5" s="154">
        <f t="shared" si="30"/>
        <v>47</v>
      </c>
      <c r="AR5" s="154">
        <f t="shared" si="31"/>
        <v>48</v>
      </c>
      <c r="AS5" s="238">
        <f t="shared" si="32"/>
        <v>31</v>
      </c>
      <c r="AT5" s="154">
        <f t="shared" si="33"/>
        <v>48</v>
      </c>
      <c r="AU5" s="154">
        <f t="shared" si="34"/>
        <v>10</v>
      </c>
      <c r="AV5" s="234">
        <f t="shared" si="35"/>
        <v>5</v>
      </c>
      <c r="AW5" s="234">
        <f t="shared" si="36"/>
        <v>9</v>
      </c>
      <c r="AX5" s="234">
        <f t="shared" si="37"/>
        <v>10.84</v>
      </c>
      <c r="AY5" s="234">
        <f t="shared" si="38"/>
        <v>0.25</v>
      </c>
      <c r="AZ5" s="234">
        <f t="shared" si="39"/>
        <v>10.84</v>
      </c>
      <c r="BA5" s="234">
        <f t="shared" si="40"/>
        <v>5</v>
      </c>
      <c r="BB5" s="234">
        <f t="shared" si="41"/>
        <v>9.3000000000000007</v>
      </c>
      <c r="BC5" s="234">
        <f t="shared" si="42"/>
        <v>8.3000000000000007</v>
      </c>
      <c r="BD5" s="234">
        <f t="shared" si="43"/>
        <v>6.3</v>
      </c>
      <c r="BE5" s="234">
        <f t="shared" si="44"/>
        <v>6.3</v>
      </c>
      <c r="BF5" s="234">
        <f t="shared" si="45"/>
        <v>6.3</v>
      </c>
      <c r="BG5" s="234">
        <f t="shared" si="46"/>
        <v>9.3000000000000007</v>
      </c>
      <c r="BH5" s="234">
        <f t="shared" si="47"/>
        <v>5</v>
      </c>
      <c r="BI5" s="234">
        <f t="shared" si="48"/>
        <v>5</v>
      </c>
      <c r="BJ5" s="234">
        <f t="shared" si="49"/>
        <v>6</v>
      </c>
      <c r="BK5" s="234">
        <f t="shared" si="50"/>
        <v>4</v>
      </c>
      <c r="BL5" s="234">
        <f t="shared" si="51"/>
        <v>6</v>
      </c>
      <c r="BM5" s="234">
        <f t="shared" si="52"/>
        <v>5</v>
      </c>
      <c r="BN5" s="154" t="s">
        <v>483</v>
      </c>
      <c r="BO5" s="154" t="str">
        <f t="shared" si="53"/>
        <v>veryhigh</v>
      </c>
      <c r="BP5" s="154" t="str">
        <f t="shared" si="54"/>
        <v>high</v>
      </c>
      <c r="BQ5" s="154" t="str">
        <f t="shared" si="55"/>
        <v>medium</v>
      </c>
      <c r="BR5" s="154" t="s">
        <v>18</v>
      </c>
      <c r="BS5" s="154" t="s">
        <v>18</v>
      </c>
      <c r="BT5" s="154" t="s">
        <v>18</v>
      </c>
      <c r="BU5" s="154">
        <f t="shared" si="56"/>
        <v>380</v>
      </c>
      <c r="BV5" s="154">
        <f t="shared" si="57"/>
        <v>185</v>
      </c>
      <c r="BW5" s="154">
        <f t="shared" si="58"/>
        <v>150</v>
      </c>
      <c r="BX5" s="238">
        <f t="shared" si="59"/>
        <v>140</v>
      </c>
      <c r="BY5" s="154">
        <f t="shared" si="60"/>
        <v>150</v>
      </c>
      <c r="BZ5" s="154">
        <f t="shared" si="61"/>
        <v>380</v>
      </c>
      <c r="CA5" s="356">
        <f t="array" ref="CA5">IF(yieldsetting1="estimate",0,INDEX(cropdata, MATCH(yieldsource,outputs,0), MATCH($F5,cropdatacrops,0)))</f>
        <v>0</v>
      </c>
      <c r="CB5" s="356">
        <f t="array" ref="CB5">IF(yieldsetting1="estimate",0,INDEX(cropdata, MATCH(yieldsource,outputs,0), MATCH($G5,cropdatacrops,0)))</f>
        <v>0</v>
      </c>
      <c r="CC5" s="356">
        <f t="array" ref="CC5">IF(yieldsetting1="estimate",0,INDEX(cropdata, MATCH(yieldsource,outputs,0), MATCH($H5,cropdatacrops,0)))</f>
        <v>0</v>
      </c>
      <c r="CD5" s="357">
        <f t="array" ref="CD5">IF(yieldsetting1="estimate",0,INDEX(cropdata, MATCH(yieldsource,outputs,0), MATCH($I5,cropdatacrops,0)))</f>
        <v>0</v>
      </c>
      <c r="CE5" s="356">
        <f t="array" ref="CE5">IF(yieldsetting1="estimate",0,INDEX(cropdata, MATCH(yieldsource,outputs,0), MATCH($J5,cropdatacrops,0)))</f>
        <v>0</v>
      </c>
      <c r="CF5" s="356">
        <f t="array" ref="CF5">IF(yieldsetting1="estimate",0,INDEX(cropdata, MATCH(yieldsource,outputs,0), MATCH($K5,cropdatacrops,0)))</f>
        <v>0</v>
      </c>
      <c r="CG5" s="154" t="str">
        <f t="shared" si="62"/>
        <v>estimate</v>
      </c>
      <c r="CH5" s="235">
        <f t="shared" si="63"/>
        <v>0.8</v>
      </c>
      <c r="CI5" s="235">
        <f t="shared" si="64"/>
        <v>0.72</v>
      </c>
      <c r="CJ5" s="154">
        <f t="shared" si="65"/>
        <v>0.46</v>
      </c>
      <c r="CK5" s="154">
        <f t="shared" si="66"/>
        <v>1.6</v>
      </c>
      <c r="CL5" s="154">
        <f t="shared" si="67"/>
        <v>0.38</v>
      </c>
      <c r="CM5" s="154">
        <f t="shared" si="68"/>
        <v>0.36</v>
      </c>
      <c r="CN5" s="238">
        <f t="shared" si="69"/>
        <v>0.38</v>
      </c>
      <c r="CO5" s="154">
        <f t="shared" si="70"/>
        <v>0.36</v>
      </c>
      <c r="CP5" s="154">
        <f t="shared" si="71"/>
        <v>1.6</v>
      </c>
      <c r="CQ5" s="154">
        <f t="shared" si="72"/>
        <v>19.5</v>
      </c>
      <c r="CR5" s="154">
        <f t="shared" si="72"/>
        <v>19.5</v>
      </c>
      <c r="CS5" s="154">
        <f t="shared" si="72"/>
        <v>19.5</v>
      </c>
      <c r="CT5" s="154">
        <f t="shared" si="72"/>
        <v>19.5</v>
      </c>
      <c r="CU5" s="154">
        <f t="shared" si="72"/>
        <v>19.5</v>
      </c>
      <c r="CV5" s="154">
        <f t="shared" si="72"/>
        <v>19.5</v>
      </c>
      <c r="CW5" s="154">
        <f t="shared" si="73"/>
        <v>2.4300000000000002</v>
      </c>
      <c r="CX5" s="154">
        <f t="shared" si="73"/>
        <v>2.4300000000000002</v>
      </c>
      <c r="CY5" s="154">
        <f t="shared" si="73"/>
        <v>2.4300000000000002</v>
      </c>
      <c r="CZ5" s="154">
        <f t="shared" si="73"/>
        <v>2.4300000000000002</v>
      </c>
      <c r="DA5" s="154">
        <f t="shared" si="73"/>
        <v>2.4300000000000002</v>
      </c>
      <c r="DB5" s="154">
        <f t="shared" si="73"/>
        <v>2.4300000000000002</v>
      </c>
      <c r="DC5" s="154">
        <v>102</v>
      </c>
      <c r="DD5" s="154">
        <v>6</v>
      </c>
      <c r="DE5" s="154">
        <v>4</v>
      </c>
      <c r="DF5" s="154">
        <v>1400</v>
      </c>
      <c r="DG5" s="154">
        <v>125</v>
      </c>
      <c r="DH5" s="154">
        <f t="shared" si="74"/>
        <v>0.625</v>
      </c>
      <c r="DI5" s="154">
        <f t="shared" si="75"/>
        <v>10.08</v>
      </c>
    </row>
    <row r="6" spans="1:113" x14ac:dyDescent="0.2">
      <c r="A6" s="331" t="s">
        <v>1732</v>
      </c>
      <c r="B6" s="330" t="s">
        <v>508</v>
      </c>
      <c r="C6" s="330" t="s">
        <v>1626</v>
      </c>
      <c r="D6" s="233" t="str">
        <f>IF(ISNUMBER(SEARCH("heavy",B6))=TRUE,"2.25",
IF(ISNUMBER(SEARCH("medium",B6))=TRUE,"1.5",
IF(ISNUMBER(SEARCH("light",B6))=TRUE,"0.75")))</f>
        <v>0.75</v>
      </c>
      <c r="E6" s="154">
        <v>6</v>
      </c>
      <c r="F6" s="234" t="str" cm="1">
        <f t="array" ref="F6">IF(AND(ISNUMBER(SEARCH("H-Dsty.H-Res",$B6))=TRUE,ISNUMBER(SEARCH("E.",$B6))=TRUE,OR(ISNUMBER(SEARCH("heavy",$B6)),ISNUMBER(SEARCH("MEDIUM",$B6)))=TRUE),INDEX(croprotn_HDHR_E_h,MATCH(RIGHT($F$1,1),rotation_heavy,0)),
IF(AND(ISNUMBER(SEARCH("H-Dsty.H-Res",$B6))=TRUE,ISNUMBER(SEARCH("N.",$B6))=TRUE,OR(ISNUMBER(SEARCH("heavy",$B6)),ISNUMBER(SEARCH("MEDIUM",$B6)))=TRUE),INDEX(croprotn_HDHR_N_h,MATCH(RIGHT($F$1,1),rotation_heavy,0)),
IF(AND(ISNUMBER(SEARCH("H-Dsty.H-Res",$B6))=TRUE,ISNUMBER(SEARCH("C.",$B6))=TRUE,OR(ISNUMBER(SEARCH("heavy",$B6)),ISNUMBER(SEARCH("MEDIUM",$B6)))=TRUE),INDEX(croprotn_HDHR_C_h,MATCH(RIGHT($F$1,1),rotation_heavy,0)),
IF(AND(ISNUMBER(SEARCH("L-Dsty.H-Res",$B6))=TRUE,ISNUMBER(SEARCH("E.",$B6))=TRUE,OR(ISNUMBER(SEARCH("heavy",$B6)),ISNUMBER(SEARCH("MEDIUM",$B6)))=TRUE),INDEX(croprotn_LDHR_E_h,MATCH(RIGHT($F$1,1),rotation_heavy,0)),
IF(AND(ISNUMBER(SEARCH("L-Dsty.H-Res",$B6))=TRUE,ISNUMBER(SEARCH("N.",$B6))=TRUE,OR(ISNUMBER(SEARCH("heavy",$B6)),ISNUMBER(SEARCH("MEDIUM",$B6)))=TRUE),INDEX(croprotn_LDHR_N_h,MATCH(RIGHT($F$1,1),rotation_heavy,0)),
IF(AND(ISNUMBER(SEARCH("L-Dsty.H-Res",$B6))=TRUE,ISNUMBER(SEARCH("C.",$B6))=TRUE,OR(ISNUMBER(SEARCH("heavy",$B6)),ISNUMBER(SEARCH("MEDIUM",$B6)))=TRUE),INDEX(croprotn_LDHR_C_h,MATCH(RIGHT($F$1,1),rotation_heavy,0)),
IF(AND(ISNUMBER(SEARCH("L-Dsty.L-Res",$B6))=TRUE,ISNUMBER(SEARCH("E.",$B6))=TRUE,OR(ISNUMBER(SEARCH("heavy",$B6)),ISNUMBER(SEARCH("MEDIUM",$B6)))=TRUE),INDEX(croprotn_LDLR_E_h,MATCH(RIGHT($F$1,1),rotation_heavy,0)),
IF(AND(ISNUMBER(SEARCH("L-Dsty.L-Res",$B6))=TRUE,ISNUMBER(SEARCH("N.",$B6))=TRUE,OR(ISNUMBER(SEARCH("heavy",$B6)),ISNUMBER(SEARCH("MEDIUM",$B6)))=TRUE),INDEX(croprotn_LDLR_N_h,MATCH(RIGHT($F$1,1),rotation_heavy,0)),
IF(AND(ISNUMBER(SEARCH("L-Dsty.L-Res",$B6))=TRUE,ISNUMBER(SEARCH("C.",$B6))=TRUE,OR(ISNUMBER(SEARCH("heavy",$B6)),ISNUMBER(SEARCH("MEDIUM",$B6)))=TRUE),INDEX(croprotn_LDLR_C_h,MATCH(RIGHT($F$1,1),rotation_heavy,0)),
IF(AND(ISNUMBER(SEARCH("H-Dsty.H-Res",$B6))=TRUE,ISNUMBER(SEARCH("E.",$B6))=TRUE,ISNUMBER(SEARCH("light",$B6))=TRUE),INDEX(croprotn_HDHR_E_l,MATCH(RIGHT($F$1,1),rotation_light,0)),
IF(AND(ISNUMBER(SEARCH("H-Dsty.H-Res",$B6))=TRUE,ISNUMBER(SEARCH("N.",$B6))=TRUE,ISNUMBER(SEARCH("light",$B6))=TRUE),INDEX(croprotn_HDHR_N_l,MATCH(RIGHT($F$1,1),rotation_light,0)),
IF(AND(ISNUMBER(SEARCH("H-Dsty.H-Res",$B6))=TRUE,ISNUMBER(SEARCH("C.",$B6))=TRUE,ISNUMBER(SEARCH("light",$B6))=TRUE),INDEX(croprotn_HDHR_C_l,MATCH(RIGHT($F$1,1),rotation_light,0)),
IF(AND(ISNUMBER(SEARCH("L-Dsty.H-Res",$B6))=TRUE,ISNUMBER(SEARCH("E.",$B6))=TRUE,ISNUMBER(SEARCH("light",$B6))=TRUE),INDEX(croprotn_LDHR_E_l,MATCH(RIGHT($F$1,1),rotation_light,0)),
IF(AND(ISNUMBER(SEARCH("L-Dsty.H-Res",$B6))=TRUE,ISNUMBER(SEARCH("N.",$B6))=TRUE,ISNUMBER(SEARCH("light",$B6))=TRUE),INDEX(croprotn_LDHR_N_l,MATCH(RIGHT($F$1,1),rotation_light,0)),
IF(AND(ISNUMBER(SEARCH("L-Dsty.H-Res",$B6))=TRUE,ISNUMBER(SEARCH("C.",$B6))=TRUE,ISNUMBER(SEARCH("light",$B6))=TRUE),INDEX(croprotn_LDHR_C_l,MATCH(RIGHT($F$1,1),rotation_light,0)),
IF(AND(ISNUMBER(SEARCH("L-Dsty.L-Res",$B6))=TRUE,ISNUMBER(SEARCH("E.",$B6))=TRUE,ISNUMBER(SEARCH("light",$B6))=TRUE),INDEX(croprotn_LDLR_E_l,MATCH(RIGHT($F$1,1),rotation_light,0)),
IF(AND(ISNUMBER(SEARCH("L-Dsty.L-Res",$B6))=TRUE,ISNUMBER(SEARCH("N.",$B6))=TRUE,ISNUMBER(SEARCH("light",$B6))=TRUE),INDEX(croprotn_LDLR_N_l,MATCH(RIGHT($F$1,1),rotation_light,0)),
IF(AND(ISNUMBER(SEARCH("L-Dsty.L-Res",$B6))=TRUE,ISNUMBER(SEARCH("C.",$B6))=TRUE,ISNUMBER(SEARCH("light",$B6))=TRUE),INDEX(croprotn_LDLR_C_l,MATCH(RIGHT($F$1,1),rotation_light,0))
))))))))))))))))))</f>
        <v>springlinseed</v>
      </c>
      <c r="G6" s="234" t="str">
        <f t="shared" si="0"/>
        <v>driedpeas</v>
      </c>
      <c r="H6" s="234" t="str">
        <f t="shared" si="1"/>
        <v>winterwheat</v>
      </c>
      <c r="I6" s="234" t="str">
        <f t="shared" si="2"/>
        <v>sugarbeet</v>
      </c>
      <c r="J6" s="344" t="str">
        <f t="shared" si="3"/>
        <v>springoats</v>
      </c>
      <c r="K6" s="234" t="str">
        <f t="shared" si="4"/>
        <v>winterwheat</v>
      </c>
      <c r="L6" s="154" t="str">
        <f t="shared" si="5"/>
        <v>lightcultivation</v>
      </c>
      <c r="M6" s="154" t="str">
        <f t="shared" si="6"/>
        <v>subsoiling</v>
      </c>
      <c r="N6" s="154" t="str">
        <f t="shared" si="7"/>
        <v>lightcultivation</v>
      </c>
      <c r="O6" s="154" t="str">
        <f t="shared" si="8"/>
        <v>lightcultivation</v>
      </c>
      <c r="P6" s="154" t="str">
        <f t="shared" ref="P6:P37" si="76">IF(AND(ISNUMBER(SEARCH("H-Dsty.",$B6))=TRUE,ISNUMBER(SEARCH("H-Res",$B6))=TRUE,ISNUMBER(SEARCH("E.",$B6))=TRUE),INDEX(tillage_HDHR_E,MATCH($J6,tillage_CROPS,0)),
IF(AND(ISNUMBER(SEARCH("H-Dsty.",$B6))=TRUE,ISNUMBER(SEARCH("H-Res",$B6))=TRUE,ISNUMBER(SEARCH("N.",$B6))=TRUE),INDEX(tillage_HDHR_N,MATCH($J6,tillage_CROPS,0)),
IF(AND(ISNUMBER(SEARCH("H-Dsty.",$B6))=TRUE,ISNUMBER(SEARCH("H-Res",$B6))=TRUE,ISNUMBER(SEARCH("C.",$B6))=TRUE),INDEX(tillage_HDHR_C,MATCH($J6,tillage_CROPS,0)),
IF(AND(ISNUMBER(SEARCH("L-Dsty.",$B6))=TRUE,ISNUMBER(SEARCH("H-Res",$B6))=TRUE,ISNUMBER(SEARCH("E.",$B6))=TRUE),INDEX(tillage_LDHR_E,MATCH($J6,tillage_CROPS,0)),
IF(AND(ISNUMBER(SEARCH("L-Dsty.",$B6))=TRUE,ISNUMBER(SEARCH("H-Res",$B6))=TRUE,ISNUMBER(SEARCH("N.",$B6))=TRUE),INDEX(tillage_LDHR_N,MATCH($J6,tillage_CROPS,0)),
IF(AND(ISNUMBER(SEARCH("L-Dsty.",$B6))=TRUE,ISNUMBER(SEARCH("H-Res",$B6))=TRUE,ISNUMBER(SEARCH("C.",$B6))=TRUE),INDEX(tillage_LDHR_C,MATCH($J6,tillage_CROPS,0)),
IF(AND(ISNUMBER(SEARCH("L-Dsty.",$B6))=TRUE,ISNUMBER(SEARCH("L-Res",$B6))=TRUE,ISNUMBER(SEARCH("E.",$B6))=TRUE),INDEX(tillage_LDLR_E,MATCH($J6,tillage_CROPS,0)),
IF(AND(ISNUMBER(SEARCH("L-Dsty.",$B6))=TRUE,ISNUMBER(SEARCH("L-Res",$B6))=TRUE,ISNUMBER(SEARCH("N.",$B6))=TRUE),INDEX(tillage_LDLR_N,MATCH($J6,tillage_CROPS,0)),
IF(AND(ISNUMBER(SEARCH("L-Dsty.",$B6))=TRUE,ISNUMBER(SEARCH("L-Res",$B6))=TRUE,ISNUMBER(SEARCH("C.",$B6))=TRUE),INDEX(tillage_LDLR_C,MATCH($J6,tillage_CROPS,0))
)))))))))</f>
        <v>lightcultivation</v>
      </c>
      <c r="Q6" s="263" t="s">
        <v>273</v>
      </c>
      <c r="R6" s="234">
        <f t="shared" si="9"/>
        <v>52</v>
      </c>
      <c r="S6" s="234">
        <f t="shared" si="10"/>
        <v>300</v>
      </c>
      <c r="T6" s="234">
        <f t="shared" si="11"/>
        <v>200</v>
      </c>
      <c r="U6" s="234">
        <f t="shared" si="12"/>
        <v>1.25</v>
      </c>
      <c r="V6" s="344">
        <f t="shared" si="13"/>
        <v>130</v>
      </c>
      <c r="W6" s="234">
        <f t="shared" si="14"/>
        <v>200</v>
      </c>
      <c r="X6" s="154" t="str">
        <f t="shared" si="15"/>
        <v>no</v>
      </c>
      <c r="Y6" s="154" t="str">
        <f t="shared" si="16"/>
        <v>no</v>
      </c>
      <c r="Z6" s="154" t="str">
        <f t="shared" si="17"/>
        <v>late</v>
      </c>
      <c r="AA6" s="154" t="str">
        <f t="shared" si="18"/>
        <v>late</v>
      </c>
      <c r="AB6" s="238" t="str">
        <f t="shared" si="19"/>
        <v>no</v>
      </c>
      <c r="AC6" s="154" t="str">
        <f t="shared" si="20"/>
        <v>late</v>
      </c>
      <c r="AD6" s="234">
        <f t="shared" si="21"/>
        <v>80</v>
      </c>
      <c r="AE6" s="234">
        <f t="shared" si="22"/>
        <v>0</v>
      </c>
      <c r="AF6" s="345">
        <v>150</v>
      </c>
      <c r="AG6" s="234">
        <f t="shared" ref="AG6:AG11" si="77">IF(AND(ISNUMBER(SEARCH("H-Dsty.",$B6))=TRUE,ISNUMBER(SEARCH("H-Res",$B6))=TRUE,ISNUMBER(SEARCH("E.",$B6))=TRUE),INDEX(fertrate_HDHR_E,MATCH($I6,fertrate_CROPS,0)),
IF(AND(ISNUMBER(SEARCH("H-Dsty.",$B6))=TRUE,ISNUMBER(SEARCH("H-Res",$B6))=TRUE,ISNUMBER(SEARCH("N.",$B6))=TRUE),INDEX(fertrate_HDHR_N,MATCH($I6,fertrate_CROPS,0)),
IF(AND(ISNUMBER(SEARCH("H-Dsty.",$B6))=TRUE,ISNUMBER(SEARCH("H-Res",$B6))=TRUE,ISNUMBER(SEARCH("C.",$B6))=TRUE),INDEX(fertrate_HDHR_C,MATCH($I6,fertrate_CROPS,0)),
IF(AND(ISNUMBER(SEARCH("L-Dsty.",$B6))=TRUE,ISNUMBER(SEARCH("H-Res",$B6))=TRUE,ISNUMBER(SEARCH("E.",$B6))=TRUE),INDEX(fertrate_LDHR_E,MATCH($I6,fertrate_CROPS,0)),
IF(AND(ISNUMBER(SEARCH("L-Dsty.",$B6))=TRUE,ISNUMBER(SEARCH("H-Res",$B6))=TRUE,ISNUMBER(SEARCH("N.",$B6))=TRUE),INDEX(fertrate_LDHR_N,MATCH($I6,fertrate_CROPS,0)),
IF(AND(ISNUMBER(SEARCH("L-Dsty.",$B6))=TRUE,ISNUMBER(SEARCH("H-Res",$B6))=TRUE,ISNUMBER(SEARCH("C.",$B6))=TRUE),INDEX(fertrate_LDHR_C,MATCH($I6,fertrate_CROPS,0)),
IF(AND(ISNUMBER(SEARCH("L-Dsty.",$B6))=TRUE,ISNUMBER(SEARCH("L-Res",$B6))=TRUE,ISNUMBER(SEARCH("E.",$B6))=TRUE),INDEX(fertrate_LDLR_E,MATCH($I6,fertrate_CROPS,0)),
IF(AND(ISNUMBER(SEARCH("L-Dsty.",$B6))=TRUE,ISNUMBER(SEARCH("L-Res",$B6))=TRUE,ISNUMBER(SEARCH("N.",$B6))=TRUE),INDEX(fertrate_LDLR_N,MATCH($I6,fertrate_CROPS,0)),
IF(AND(ISNUMBER(SEARCH("L-Dsty.",$B6))=TRUE,ISNUMBER(SEARCH("L-Res",$B6))=TRUE,ISNUMBER(SEARCH("C.",$B6))=TRUE),INDEX(fertrate_LDLR_C,MATCH($I6,fertrate_CROPS,0))
)))))))))</f>
        <v>85</v>
      </c>
      <c r="AH6" s="238">
        <v>100</v>
      </c>
      <c r="AI6" s="345">
        <v>150</v>
      </c>
      <c r="AJ6" s="154">
        <f t="shared" si="23"/>
        <v>30</v>
      </c>
      <c r="AK6" s="154">
        <f t="shared" si="24"/>
        <v>35</v>
      </c>
      <c r="AL6" s="154">
        <f t="shared" si="25"/>
        <v>67</v>
      </c>
      <c r="AM6" s="154">
        <f t="shared" si="26"/>
        <v>65</v>
      </c>
      <c r="AN6" s="238">
        <f t="shared" si="27"/>
        <v>43</v>
      </c>
      <c r="AO6" s="154">
        <f t="shared" si="28"/>
        <v>67</v>
      </c>
      <c r="AP6" s="154">
        <f t="shared" si="29"/>
        <v>10</v>
      </c>
      <c r="AQ6" s="154">
        <f t="shared" si="30"/>
        <v>40</v>
      </c>
      <c r="AR6" s="154">
        <f t="shared" si="31"/>
        <v>48</v>
      </c>
      <c r="AS6" s="154">
        <f t="shared" si="32"/>
        <v>131</v>
      </c>
      <c r="AT6" s="238">
        <f t="shared" si="33"/>
        <v>31</v>
      </c>
      <c r="AU6" s="154">
        <f t="shared" si="34"/>
        <v>48</v>
      </c>
      <c r="AV6" s="234">
        <f t="shared" si="35"/>
        <v>5</v>
      </c>
      <c r="AW6" s="234">
        <f t="shared" si="36"/>
        <v>9</v>
      </c>
      <c r="AX6" s="234">
        <f t="shared" si="37"/>
        <v>10.84</v>
      </c>
      <c r="AY6" s="234">
        <f t="shared" si="38"/>
        <v>8.5500000000000007</v>
      </c>
      <c r="AZ6" s="234">
        <f t="shared" si="39"/>
        <v>0.25</v>
      </c>
      <c r="BA6" s="234">
        <f t="shared" si="40"/>
        <v>10.84</v>
      </c>
      <c r="BB6" s="234">
        <f t="shared" si="41"/>
        <v>9.3000000000000007</v>
      </c>
      <c r="BC6" s="234">
        <f t="shared" si="42"/>
        <v>8.3000000000000007</v>
      </c>
      <c r="BD6" s="234">
        <f t="shared" si="43"/>
        <v>6.3</v>
      </c>
      <c r="BE6" s="234">
        <f t="shared" si="44"/>
        <v>6.3</v>
      </c>
      <c r="BF6" s="234">
        <f t="shared" si="45"/>
        <v>6.3</v>
      </c>
      <c r="BG6" s="234">
        <f t="shared" si="46"/>
        <v>6.3</v>
      </c>
      <c r="BH6" s="234">
        <f t="shared" si="47"/>
        <v>5</v>
      </c>
      <c r="BI6" s="234">
        <f t="shared" si="48"/>
        <v>5</v>
      </c>
      <c r="BJ6" s="234">
        <f t="shared" si="49"/>
        <v>6</v>
      </c>
      <c r="BK6" s="234">
        <f t="shared" si="50"/>
        <v>6</v>
      </c>
      <c r="BL6" s="234">
        <f t="shared" si="51"/>
        <v>4</v>
      </c>
      <c r="BM6" s="234">
        <f t="shared" si="52"/>
        <v>6</v>
      </c>
      <c r="BN6" s="154" t="s">
        <v>483</v>
      </c>
      <c r="BO6" s="154" t="str">
        <f t="shared" si="53"/>
        <v>high</v>
      </c>
      <c r="BP6" s="154" t="str">
        <f t="shared" si="54"/>
        <v>medium</v>
      </c>
      <c r="BQ6" s="154" t="str">
        <f t="shared" si="55"/>
        <v>low</v>
      </c>
      <c r="BR6" s="154" t="s">
        <v>182</v>
      </c>
      <c r="BS6" s="154" t="s">
        <v>182</v>
      </c>
      <c r="BT6" s="154" t="s">
        <v>182</v>
      </c>
      <c r="BU6" s="154">
        <f t="shared" si="56"/>
        <v>380</v>
      </c>
      <c r="BV6" s="154">
        <f t="shared" si="57"/>
        <v>225</v>
      </c>
      <c r="BW6" s="154">
        <f t="shared" si="58"/>
        <v>150</v>
      </c>
      <c r="BX6" s="154">
        <f t="shared" si="59"/>
        <v>27.16</v>
      </c>
      <c r="BY6" s="238">
        <f t="shared" si="60"/>
        <v>140</v>
      </c>
      <c r="BZ6" s="154">
        <f t="shared" si="61"/>
        <v>150</v>
      </c>
      <c r="CA6" s="356">
        <f t="array" ref="CA6">IF(yieldsetting1="estimate",0,INDEX(cropdata, MATCH(yieldsource,outputs,0), MATCH($F6,cropdatacrops,0)))</f>
        <v>0</v>
      </c>
      <c r="CB6" s="356">
        <f t="array" ref="CB6">IF(yieldsetting1="estimate",0,INDEX(cropdata, MATCH(yieldsource,outputs,0), MATCH($G6,cropdatacrops,0)))</f>
        <v>0</v>
      </c>
      <c r="CC6" s="356">
        <f t="array" ref="CC6">IF(yieldsetting1="estimate",0,INDEX(cropdata, MATCH(yieldsource,outputs,0), MATCH($H6,cropdatacrops,0)))</f>
        <v>0</v>
      </c>
      <c r="CD6" s="356">
        <f t="array" ref="CD6">IF(yieldsetting1="estimate",0,INDEX(cropdata, MATCH(yieldsource,outputs,0), MATCH($I6,cropdatacrops,0)))</f>
        <v>0</v>
      </c>
      <c r="CE6" s="357">
        <f t="array" ref="CE6">IF(yieldsetting1="estimate",0,INDEX(cropdata, MATCH(yieldsource,outputs,0), MATCH($J6,cropdatacrops,0)))</f>
        <v>0</v>
      </c>
      <c r="CF6" s="356">
        <f t="array" ref="CF6">IF(yieldsetting1="estimate",0,INDEX(cropdata, MATCH(yieldsource,outputs,0), MATCH($K6,cropdatacrops,0)))</f>
        <v>0</v>
      </c>
      <c r="CG6" s="154" t="str">
        <f t="shared" si="62"/>
        <v>estimate</v>
      </c>
      <c r="CH6" s="235">
        <f t="shared" si="63"/>
        <v>0.8</v>
      </c>
      <c r="CI6" s="235">
        <f t="shared" si="64"/>
        <v>0.72</v>
      </c>
      <c r="CJ6" s="154">
        <f t="shared" si="65"/>
        <v>0.46</v>
      </c>
      <c r="CK6" s="154">
        <f t="shared" si="66"/>
        <v>1.6</v>
      </c>
      <c r="CL6" s="154">
        <f t="shared" si="67"/>
        <v>0.47</v>
      </c>
      <c r="CM6" s="154">
        <f t="shared" si="68"/>
        <v>0.36</v>
      </c>
      <c r="CN6" s="154">
        <f t="shared" si="69"/>
        <v>175</v>
      </c>
      <c r="CO6" s="238">
        <f t="shared" si="70"/>
        <v>0.38</v>
      </c>
      <c r="CP6" s="154">
        <f t="shared" si="71"/>
        <v>0.36</v>
      </c>
      <c r="CQ6" s="154">
        <f t="shared" si="72"/>
        <v>19.5</v>
      </c>
      <c r="CR6" s="154">
        <f t="shared" si="72"/>
        <v>19.5</v>
      </c>
      <c r="CS6" s="154">
        <f t="shared" si="72"/>
        <v>19.5</v>
      </c>
      <c r="CT6" s="154">
        <f t="shared" si="72"/>
        <v>19.5</v>
      </c>
      <c r="CU6" s="154">
        <f t="shared" si="72"/>
        <v>19.5</v>
      </c>
      <c r="CV6" s="154">
        <f t="shared" si="72"/>
        <v>19.5</v>
      </c>
      <c r="CW6" s="154">
        <f t="shared" si="73"/>
        <v>2.4300000000000002</v>
      </c>
      <c r="CX6" s="154">
        <f t="shared" si="73"/>
        <v>2.4300000000000002</v>
      </c>
      <c r="CY6" s="154">
        <f t="shared" si="73"/>
        <v>2.4300000000000002</v>
      </c>
      <c r="CZ6" s="154">
        <f t="shared" si="73"/>
        <v>2.4300000000000002</v>
      </c>
      <c r="DA6" s="154">
        <f t="shared" si="73"/>
        <v>2.4300000000000002</v>
      </c>
      <c r="DB6" s="154">
        <f t="shared" si="73"/>
        <v>2.4300000000000002</v>
      </c>
      <c r="DC6" s="154">
        <v>102</v>
      </c>
      <c r="DD6" s="154">
        <v>6</v>
      </c>
      <c r="DE6" s="154">
        <v>4</v>
      </c>
      <c r="DF6" s="154">
        <v>1400</v>
      </c>
      <c r="DG6" s="154">
        <v>125</v>
      </c>
      <c r="DH6" s="154">
        <f t="shared" si="74"/>
        <v>0.625</v>
      </c>
      <c r="DI6" s="154">
        <f t="shared" si="75"/>
        <v>10.08</v>
      </c>
    </row>
    <row r="7" spans="1:113" x14ac:dyDescent="0.2">
      <c r="A7" s="331" t="s">
        <v>1733</v>
      </c>
      <c r="B7" s="330" t="s">
        <v>508</v>
      </c>
      <c r="C7" s="330" t="s">
        <v>1627</v>
      </c>
      <c r="D7" s="233" t="str">
        <f>IF(ISNUMBER(SEARCH("heavy",B7))=TRUE,"2.25",
IF(ISNUMBER(SEARCH("medium",B7))=TRUE,"1.5",
IF(ISNUMBER(SEARCH("light",B7))=TRUE,"0.75")))</f>
        <v>0.75</v>
      </c>
      <c r="E7" s="154">
        <v>6</v>
      </c>
      <c r="F7" s="234" t="str" cm="1">
        <f t="array" ref="F7">IF(AND(ISNUMBER(SEARCH("H-Dsty.H-Res",$B7))=TRUE,ISNUMBER(SEARCH("E.",$B7))=TRUE,OR(ISNUMBER(SEARCH("heavy",$B7)),ISNUMBER(SEARCH("MEDIUM",$B7)))=TRUE),INDEX(croprotn_HDHR_E_h,MATCH(RIGHT($F$1,1),rotation_heavy,0)),
IF(AND(ISNUMBER(SEARCH("H-Dsty.H-Res",$B7))=TRUE,ISNUMBER(SEARCH("N.",$B7))=TRUE,OR(ISNUMBER(SEARCH("heavy",$B7)),ISNUMBER(SEARCH("MEDIUM",$B7)))=TRUE),INDEX(croprotn_HDHR_N_h,MATCH(RIGHT($F$1,1),rotation_heavy,0)),
IF(AND(ISNUMBER(SEARCH("H-Dsty.H-Res",$B7))=TRUE,ISNUMBER(SEARCH("C.",$B7))=TRUE,OR(ISNUMBER(SEARCH("heavy",$B7)),ISNUMBER(SEARCH("MEDIUM",$B7)))=TRUE),INDEX(croprotn_HDHR_C_h,MATCH(RIGHT($F$1,1),rotation_heavy,0)),
IF(AND(ISNUMBER(SEARCH("L-Dsty.H-Res",$B7))=TRUE,ISNUMBER(SEARCH("E.",$B7))=TRUE,OR(ISNUMBER(SEARCH("heavy",$B7)),ISNUMBER(SEARCH("MEDIUM",$B7)))=TRUE),INDEX(croprotn_LDHR_E_h,MATCH(RIGHT($F$1,1),rotation_heavy,0)),
IF(AND(ISNUMBER(SEARCH("L-Dsty.H-Res",$B7))=TRUE,ISNUMBER(SEARCH("N.",$B7))=TRUE,OR(ISNUMBER(SEARCH("heavy",$B7)),ISNUMBER(SEARCH("MEDIUM",$B7)))=TRUE),INDEX(croprotn_LDHR_N_h,MATCH(RIGHT($F$1,1),rotation_heavy,0)),
IF(AND(ISNUMBER(SEARCH("L-Dsty.H-Res",$B7))=TRUE,ISNUMBER(SEARCH("C.",$B7))=TRUE,OR(ISNUMBER(SEARCH("heavy",$B7)),ISNUMBER(SEARCH("MEDIUM",$B7)))=TRUE),INDEX(croprotn_LDHR_C_h,MATCH(RIGHT($F$1,1),rotation_heavy,0)),
IF(AND(ISNUMBER(SEARCH("L-Dsty.L-Res",$B7))=TRUE,ISNUMBER(SEARCH("E.",$B7))=TRUE,OR(ISNUMBER(SEARCH("heavy",$B7)),ISNUMBER(SEARCH("MEDIUM",$B7)))=TRUE),INDEX(croprotn_LDLR_E_h,MATCH(RIGHT($F$1,1),rotation_heavy,0)),
IF(AND(ISNUMBER(SEARCH("L-Dsty.L-Res",$B7))=TRUE,ISNUMBER(SEARCH("N.",$B7))=TRUE,OR(ISNUMBER(SEARCH("heavy",$B7)),ISNUMBER(SEARCH("MEDIUM",$B7)))=TRUE),INDEX(croprotn_LDLR_N_h,MATCH(RIGHT($F$1,1),rotation_heavy,0)),
IF(AND(ISNUMBER(SEARCH("L-Dsty.L-Res",$B7))=TRUE,ISNUMBER(SEARCH("C.",$B7))=TRUE,OR(ISNUMBER(SEARCH("heavy",$B7)),ISNUMBER(SEARCH("MEDIUM",$B7)))=TRUE),INDEX(croprotn_LDLR_C_h,MATCH(RIGHT($F$1,1),rotation_heavy,0)),
IF(AND(ISNUMBER(SEARCH("H-Dsty.H-Res",$B7))=TRUE,ISNUMBER(SEARCH("E.",$B7))=TRUE,ISNUMBER(SEARCH("light",$B7))=TRUE),INDEX(croprotn_HDHR_E_l,MATCH(RIGHT($F$1,1),rotation_light,0)),
IF(AND(ISNUMBER(SEARCH("H-Dsty.H-Res",$B7))=TRUE,ISNUMBER(SEARCH("N.",$B7))=TRUE,ISNUMBER(SEARCH("light",$B7))=TRUE),INDEX(croprotn_HDHR_N_l,MATCH(RIGHT($F$1,1),rotation_light,0)),
IF(AND(ISNUMBER(SEARCH("H-Dsty.H-Res",$B7))=TRUE,ISNUMBER(SEARCH("C.",$B7))=TRUE,ISNUMBER(SEARCH("light",$B7))=TRUE),INDEX(croprotn_HDHR_C_l,MATCH(RIGHT($F$1,1),rotation_light,0)),
IF(AND(ISNUMBER(SEARCH("L-Dsty.H-Res",$B7))=TRUE,ISNUMBER(SEARCH("E.",$B7))=TRUE,ISNUMBER(SEARCH("light",$B7))=TRUE),INDEX(croprotn_LDHR_E_l,MATCH(RIGHT($F$1,1),rotation_light,0)),
IF(AND(ISNUMBER(SEARCH("L-Dsty.H-Res",$B7))=TRUE,ISNUMBER(SEARCH("N.",$B7))=TRUE,ISNUMBER(SEARCH("light",$B7))=TRUE),INDEX(croprotn_LDHR_N_l,MATCH(RIGHT($F$1,1),rotation_light,0)),
IF(AND(ISNUMBER(SEARCH("L-Dsty.H-Res",$B7))=TRUE,ISNUMBER(SEARCH("C.",$B7))=TRUE,ISNUMBER(SEARCH("light",$B7))=TRUE),INDEX(croprotn_LDHR_C_l,MATCH(RIGHT($F$1,1),rotation_light,0)),
IF(AND(ISNUMBER(SEARCH("L-Dsty.L-Res",$B7))=TRUE,ISNUMBER(SEARCH("E.",$B7))=TRUE,ISNUMBER(SEARCH("light",$B7))=TRUE),INDEX(croprotn_LDLR_E_l,MATCH(RIGHT($F$1,1),rotation_light,0)),
IF(AND(ISNUMBER(SEARCH("L-Dsty.L-Res",$B7))=TRUE,ISNUMBER(SEARCH("N.",$B7))=TRUE,ISNUMBER(SEARCH("light",$B7))=TRUE),INDEX(croprotn_LDLR_N_l,MATCH(RIGHT($F$1,1),rotation_light,0)),
IF(AND(ISNUMBER(SEARCH("L-Dsty.L-Res",$B7))=TRUE,ISNUMBER(SEARCH("C.",$B7))=TRUE,ISNUMBER(SEARCH("light",$B7))=TRUE),INDEX(croprotn_LDLR_C_l,MATCH(RIGHT($F$1,1),rotation_light,0))
))))))))))))))))))</f>
        <v>springlinseed</v>
      </c>
      <c r="G7" s="234" t="str">
        <f t="shared" si="0"/>
        <v>driedpeas</v>
      </c>
      <c r="H7" s="234" t="str">
        <f t="shared" si="1"/>
        <v>winterwheat</v>
      </c>
      <c r="I7" s="234" t="str">
        <f t="shared" si="2"/>
        <v>sugarbeet</v>
      </c>
      <c r="J7" s="344" t="str">
        <f t="shared" si="3"/>
        <v>springoats</v>
      </c>
      <c r="K7" s="234" t="str">
        <f t="shared" si="4"/>
        <v>winterwheat</v>
      </c>
      <c r="L7" s="154" t="str">
        <f t="shared" si="5"/>
        <v>lightcultivation</v>
      </c>
      <c r="M7" s="154" t="str">
        <f t="shared" si="6"/>
        <v>subsoiling</v>
      </c>
      <c r="N7" s="154" t="str">
        <f t="shared" si="7"/>
        <v>lightcultivation</v>
      </c>
      <c r="O7" s="154" t="str">
        <f t="shared" si="8"/>
        <v>lightcultivation</v>
      </c>
      <c r="P7" s="154" t="str">
        <f t="shared" si="76"/>
        <v>lightcultivation</v>
      </c>
      <c r="Q7" s="263" t="s">
        <v>273</v>
      </c>
      <c r="R7" s="234">
        <f t="shared" si="9"/>
        <v>52</v>
      </c>
      <c r="S7" s="234">
        <f t="shared" si="10"/>
        <v>300</v>
      </c>
      <c r="T7" s="234">
        <f t="shared" si="11"/>
        <v>200</v>
      </c>
      <c r="U7" s="234">
        <f t="shared" si="12"/>
        <v>1.25</v>
      </c>
      <c r="V7" s="344">
        <f t="shared" si="13"/>
        <v>130</v>
      </c>
      <c r="W7" s="234">
        <f t="shared" si="14"/>
        <v>200</v>
      </c>
      <c r="X7" s="154" t="str">
        <f t="shared" si="15"/>
        <v>no</v>
      </c>
      <c r="Y7" s="154" t="str">
        <f t="shared" si="16"/>
        <v>no</v>
      </c>
      <c r="Z7" s="154" t="str">
        <f t="shared" si="17"/>
        <v>late</v>
      </c>
      <c r="AA7" s="154" t="str">
        <f t="shared" si="18"/>
        <v>late</v>
      </c>
      <c r="AB7" s="238" t="str">
        <f t="shared" si="19"/>
        <v>no</v>
      </c>
      <c r="AC7" s="154" t="str">
        <f t="shared" si="20"/>
        <v>late</v>
      </c>
      <c r="AD7" s="234">
        <f t="shared" si="21"/>
        <v>80</v>
      </c>
      <c r="AE7" s="234">
        <f t="shared" si="22"/>
        <v>0</v>
      </c>
      <c r="AF7" s="345">
        <v>150</v>
      </c>
      <c r="AG7" s="234">
        <f t="shared" si="77"/>
        <v>85</v>
      </c>
      <c r="AH7" s="238">
        <v>100</v>
      </c>
      <c r="AI7" s="345">
        <v>150</v>
      </c>
      <c r="AJ7" s="154">
        <f t="shared" si="23"/>
        <v>30</v>
      </c>
      <c r="AK7" s="154">
        <f t="shared" si="24"/>
        <v>35</v>
      </c>
      <c r="AL7" s="154">
        <f t="shared" si="25"/>
        <v>67</v>
      </c>
      <c r="AM7" s="154">
        <f t="shared" si="26"/>
        <v>65</v>
      </c>
      <c r="AN7" s="238">
        <f t="shared" si="27"/>
        <v>43</v>
      </c>
      <c r="AO7" s="154">
        <f t="shared" si="28"/>
        <v>67</v>
      </c>
      <c r="AP7" s="154">
        <f t="shared" si="29"/>
        <v>10</v>
      </c>
      <c r="AQ7" s="154">
        <f t="shared" si="30"/>
        <v>40</v>
      </c>
      <c r="AR7" s="154">
        <f t="shared" si="31"/>
        <v>48</v>
      </c>
      <c r="AS7" s="154">
        <f t="shared" si="32"/>
        <v>131</v>
      </c>
      <c r="AT7" s="238">
        <f t="shared" si="33"/>
        <v>31</v>
      </c>
      <c r="AU7" s="154">
        <f t="shared" si="34"/>
        <v>48</v>
      </c>
      <c r="AV7" s="234">
        <f t="shared" si="35"/>
        <v>5</v>
      </c>
      <c r="AW7" s="234">
        <f t="shared" si="36"/>
        <v>9</v>
      </c>
      <c r="AX7" s="234">
        <f t="shared" si="37"/>
        <v>10.84</v>
      </c>
      <c r="AY7" s="234">
        <f t="shared" si="38"/>
        <v>8.5500000000000007</v>
      </c>
      <c r="AZ7" s="234">
        <f t="shared" si="39"/>
        <v>0.25</v>
      </c>
      <c r="BA7" s="234">
        <f t="shared" si="40"/>
        <v>10.84</v>
      </c>
      <c r="BB7" s="234">
        <f t="shared" si="41"/>
        <v>9.3000000000000007</v>
      </c>
      <c r="BC7" s="234">
        <f t="shared" si="42"/>
        <v>8.3000000000000007</v>
      </c>
      <c r="BD7" s="234">
        <f t="shared" si="43"/>
        <v>6.3</v>
      </c>
      <c r="BE7" s="234">
        <f t="shared" si="44"/>
        <v>6.3</v>
      </c>
      <c r="BF7" s="234">
        <f t="shared" si="45"/>
        <v>6.3</v>
      </c>
      <c r="BG7" s="234">
        <f t="shared" si="46"/>
        <v>6.3</v>
      </c>
      <c r="BH7" s="234">
        <f t="shared" si="47"/>
        <v>5</v>
      </c>
      <c r="BI7" s="234">
        <f t="shared" si="48"/>
        <v>5</v>
      </c>
      <c r="BJ7" s="234">
        <f t="shared" si="49"/>
        <v>6</v>
      </c>
      <c r="BK7" s="234">
        <f t="shared" si="50"/>
        <v>6</v>
      </c>
      <c r="BL7" s="234">
        <f t="shared" si="51"/>
        <v>4</v>
      </c>
      <c r="BM7" s="234">
        <f t="shared" si="52"/>
        <v>6</v>
      </c>
      <c r="BN7" s="154" t="s">
        <v>483</v>
      </c>
      <c r="BO7" s="154" t="str">
        <f t="shared" si="53"/>
        <v>veryhigh</v>
      </c>
      <c r="BP7" s="154" t="str">
        <f t="shared" si="54"/>
        <v>high</v>
      </c>
      <c r="BQ7" s="154" t="str">
        <f t="shared" si="55"/>
        <v>medium</v>
      </c>
      <c r="BR7" s="154" t="s">
        <v>183</v>
      </c>
      <c r="BS7" s="154" t="s">
        <v>183</v>
      </c>
      <c r="BT7" s="154" t="s">
        <v>183</v>
      </c>
      <c r="BU7" s="154">
        <f t="shared" si="56"/>
        <v>380</v>
      </c>
      <c r="BV7" s="154">
        <f t="shared" si="57"/>
        <v>225</v>
      </c>
      <c r="BW7" s="154">
        <f t="shared" si="58"/>
        <v>150</v>
      </c>
      <c r="BX7" s="154">
        <f t="shared" si="59"/>
        <v>27.16</v>
      </c>
      <c r="BY7" s="238">
        <f t="shared" si="60"/>
        <v>140</v>
      </c>
      <c r="BZ7" s="154">
        <f t="shared" si="61"/>
        <v>150</v>
      </c>
      <c r="CA7" s="356">
        <f t="array" ref="CA7">IF(yieldsetting1="estimate",0,INDEX(cropdata, MATCH(yieldsource,outputs,0), MATCH($F7,cropdatacrops,0)))</f>
        <v>0</v>
      </c>
      <c r="CB7" s="356">
        <f t="array" ref="CB7">IF(yieldsetting1="estimate",0,INDEX(cropdata, MATCH(yieldsource,outputs,0), MATCH($G7,cropdatacrops,0)))</f>
        <v>0</v>
      </c>
      <c r="CC7" s="356">
        <f t="array" ref="CC7">IF(yieldsetting1="estimate",0,INDEX(cropdata, MATCH(yieldsource,outputs,0), MATCH($H7,cropdatacrops,0)))</f>
        <v>0</v>
      </c>
      <c r="CD7" s="356">
        <f t="array" ref="CD7">IF(yieldsetting1="estimate",0,INDEX(cropdata, MATCH(yieldsource,outputs,0), MATCH($I7,cropdatacrops,0)))</f>
        <v>0</v>
      </c>
      <c r="CE7" s="357">
        <f t="array" ref="CE7">IF(yieldsetting1="estimate",0,INDEX(cropdata, MATCH(yieldsource,outputs,0), MATCH($J7,cropdatacrops,0)))</f>
        <v>0</v>
      </c>
      <c r="CF7" s="356">
        <f t="array" ref="CF7">IF(yieldsetting1="estimate",0,INDEX(cropdata, MATCH(yieldsource,outputs,0), MATCH($K7,cropdatacrops,0)))</f>
        <v>0</v>
      </c>
      <c r="CG7" s="154" t="str">
        <f t="shared" si="62"/>
        <v>estimate</v>
      </c>
      <c r="CH7" s="235">
        <f t="shared" si="63"/>
        <v>0.8</v>
      </c>
      <c r="CI7" s="235">
        <f t="shared" si="64"/>
        <v>0.72</v>
      </c>
      <c r="CJ7" s="154">
        <f t="shared" si="65"/>
        <v>0.46</v>
      </c>
      <c r="CK7" s="154">
        <f t="shared" si="66"/>
        <v>1.6</v>
      </c>
      <c r="CL7" s="154">
        <f t="shared" si="67"/>
        <v>0.47</v>
      </c>
      <c r="CM7" s="154">
        <f t="shared" si="68"/>
        <v>0.36</v>
      </c>
      <c r="CN7" s="154">
        <f t="shared" si="69"/>
        <v>175</v>
      </c>
      <c r="CO7" s="238">
        <f t="shared" si="70"/>
        <v>0.38</v>
      </c>
      <c r="CP7" s="154">
        <f t="shared" si="71"/>
        <v>0.36</v>
      </c>
      <c r="CQ7" s="154">
        <f t="shared" si="72"/>
        <v>19.5</v>
      </c>
      <c r="CR7" s="154">
        <f t="shared" si="72"/>
        <v>19.5</v>
      </c>
      <c r="CS7" s="154">
        <f t="shared" si="72"/>
        <v>19.5</v>
      </c>
      <c r="CT7" s="154">
        <f t="shared" si="72"/>
        <v>19.5</v>
      </c>
      <c r="CU7" s="154">
        <f t="shared" si="72"/>
        <v>19.5</v>
      </c>
      <c r="CV7" s="154">
        <f t="shared" si="72"/>
        <v>19.5</v>
      </c>
      <c r="CW7" s="154">
        <f t="shared" si="73"/>
        <v>2.4300000000000002</v>
      </c>
      <c r="CX7" s="154">
        <f t="shared" si="73"/>
        <v>2.4300000000000002</v>
      </c>
      <c r="CY7" s="154">
        <f t="shared" si="73"/>
        <v>2.4300000000000002</v>
      </c>
      <c r="CZ7" s="154">
        <f t="shared" si="73"/>
        <v>2.4300000000000002</v>
      </c>
      <c r="DA7" s="154">
        <f t="shared" si="73"/>
        <v>2.4300000000000002</v>
      </c>
      <c r="DB7" s="154">
        <f t="shared" si="73"/>
        <v>2.4300000000000002</v>
      </c>
      <c r="DC7" s="154">
        <v>102</v>
      </c>
      <c r="DD7" s="154">
        <v>6</v>
      </c>
      <c r="DE7" s="154">
        <v>4</v>
      </c>
      <c r="DF7" s="154">
        <v>1400</v>
      </c>
      <c r="DG7" s="154">
        <v>125</v>
      </c>
      <c r="DH7" s="154">
        <f t="shared" si="74"/>
        <v>0.625</v>
      </c>
      <c r="DI7" s="154">
        <f t="shared" si="75"/>
        <v>10.08</v>
      </c>
    </row>
    <row r="8" spans="1:113" x14ac:dyDescent="0.2">
      <c r="A8" s="331" t="s">
        <v>1716</v>
      </c>
      <c r="B8" s="330" t="s">
        <v>482</v>
      </c>
      <c r="C8" s="330" t="s">
        <v>1634</v>
      </c>
      <c r="D8" s="233" t="str">
        <f>IF(ISNUMBER(SEARCH("heavy",B8))=TRUE,"2.25",
IF(ISNUMBER(SEARCH("medium",B8))=TRUE,"1.5",
IF(ISNUMBER(SEARCH("light",B8))=TRUE,"0.75")))</f>
        <v>2.25</v>
      </c>
      <c r="E8" s="154">
        <v>6</v>
      </c>
      <c r="F8" s="234" t="str" cm="1">
        <f t="array" ref="F8">IF(AND(ISNUMBER(SEARCH("H-Dsty.H-Res",$B8))=TRUE,ISNUMBER(SEARCH("E.",$B8))=TRUE,OR(ISNUMBER(SEARCH("heavy",$B8)),ISNUMBER(SEARCH("MEDIUM",$B8)))=TRUE),INDEX(croprotn_HDHR_E_h,MATCH(RIGHT($F$1,1),rotation_heavy,0)),
IF(AND(ISNUMBER(SEARCH("H-Dsty.H-Res",$B8))=TRUE,ISNUMBER(SEARCH("N.",$B8))=TRUE,OR(ISNUMBER(SEARCH("heavy",$B8)),ISNUMBER(SEARCH("MEDIUM",$B8)))=TRUE),INDEX(croprotn_HDHR_N_h,MATCH(RIGHT($F$1,1),rotation_heavy,0)),
IF(AND(ISNUMBER(SEARCH("H-Dsty.H-Res",$B8))=TRUE,ISNUMBER(SEARCH("C.",$B8))=TRUE,OR(ISNUMBER(SEARCH("heavy",$B8)),ISNUMBER(SEARCH("MEDIUM",$B8)))=TRUE),INDEX(croprotn_HDHR_C_h,MATCH(RIGHT($F$1,1),rotation_heavy,0)),
IF(AND(ISNUMBER(SEARCH("L-Dsty.H-Res",$B8))=TRUE,ISNUMBER(SEARCH("E.",$B8))=TRUE,OR(ISNUMBER(SEARCH("heavy",$B8)),ISNUMBER(SEARCH("MEDIUM",$B8)))=TRUE),INDEX(croprotn_LDHR_E_h,MATCH(RIGHT($F$1,1),rotation_heavy,0)),
IF(AND(ISNUMBER(SEARCH("L-Dsty.H-Res",$B8))=TRUE,ISNUMBER(SEARCH("N.",$B8))=TRUE,OR(ISNUMBER(SEARCH("heavy",$B8)),ISNUMBER(SEARCH("MEDIUM",$B8)))=TRUE),INDEX(croprotn_LDHR_N_h,MATCH(RIGHT($F$1,1),rotation_heavy,0)),
IF(AND(ISNUMBER(SEARCH("L-Dsty.H-Res",$B8))=TRUE,ISNUMBER(SEARCH("C.",$B8))=TRUE,OR(ISNUMBER(SEARCH("heavy",$B8)),ISNUMBER(SEARCH("MEDIUM",$B8)))=TRUE),INDEX(croprotn_LDHR_C_h,MATCH(RIGHT($F$1,1),rotation_heavy,0)),
IF(AND(ISNUMBER(SEARCH("L-Dsty.L-Res",$B8))=TRUE,ISNUMBER(SEARCH("E.",$B8))=TRUE,OR(ISNUMBER(SEARCH("heavy",$B8)),ISNUMBER(SEARCH("MEDIUM",$B8)))=TRUE),INDEX(croprotn_LDLR_E_h,MATCH(RIGHT($F$1,1),rotation_heavy,0)),
IF(AND(ISNUMBER(SEARCH("L-Dsty.L-Res",$B8))=TRUE,ISNUMBER(SEARCH("N.",$B8))=TRUE,OR(ISNUMBER(SEARCH("heavy",$B8)),ISNUMBER(SEARCH("MEDIUM",$B8)))=TRUE),INDEX(croprotn_LDLR_N_h,MATCH(RIGHT($F$1,1),rotation_heavy,0)),
IF(AND(ISNUMBER(SEARCH("L-Dsty.L-Res",$B8))=TRUE,ISNUMBER(SEARCH("C.",$B8))=TRUE,OR(ISNUMBER(SEARCH("heavy",$B8)),ISNUMBER(SEARCH("MEDIUM",$B8)))=TRUE),INDEX(croprotn_LDLR_C_h,MATCH(RIGHT($F$1,1),rotation_heavy,0)),
IF(AND(ISNUMBER(SEARCH("H-Dsty.H-Res",$B8))=TRUE,ISNUMBER(SEARCH("E.",$B8))=TRUE,ISNUMBER(SEARCH("light",$B8))=TRUE),INDEX(croprotn_HDHR_E_l,MATCH(RIGHT($F$1,1),rotation_light,0)),
IF(AND(ISNUMBER(SEARCH("H-Dsty.H-Res",$B8))=TRUE,ISNUMBER(SEARCH("N.",$B8))=TRUE,ISNUMBER(SEARCH("light",$B8))=TRUE),INDEX(croprotn_HDHR_N_l,MATCH(RIGHT($F$1,1),rotation_light,0)),
IF(AND(ISNUMBER(SEARCH("H-Dsty.H-Res",$B8))=TRUE,ISNUMBER(SEARCH("C.",$B8))=TRUE,ISNUMBER(SEARCH("light",$B8))=TRUE),INDEX(croprotn_HDHR_C_l,MATCH(RIGHT($F$1,1),rotation_light,0)),
IF(AND(ISNUMBER(SEARCH("L-Dsty.H-Res",$B8))=TRUE,ISNUMBER(SEARCH("E.",$B8))=TRUE,ISNUMBER(SEARCH("light",$B8))=TRUE),INDEX(croprotn_LDHR_E_l,MATCH(RIGHT($F$1,1),rotation_light,0)),
IF(AND(ISNUMBER(SEARCH("L-Dsty.H-Res",$B8))=TRUE,ISNUMBER(SEARCH("N.",$B8))=TRUE,ISNUMBER(SEARCH("light",$B8))=TRUE),INDEX(croprotn_LDHR_N_l,MATCH(RIGHT($F$1,1),rotation_light,0)),
IF(AND(ISNUMBER(SEARCH("L-Dsty.H-Res",$B8))=TRUE,ISNUMBER(SEARCH("C.",$B8))=TRUE,ISNUMBER(SEARCH("light",$B8))=TRUE),INDEX(croprotn_LDHR_C_l,MATCH(RIGHT($F$1,1),rotation_light,0)),
IF(AND(ISNUMBER(SEARCH("L-Dsty.L-Res",$B8))=TRUE,ISNUMBER(SEARCH("E.",$B8))=TRUE,ISNUMBER(SEARCH("light",$B8))=TRUE),INDEX(croprotn_LDLR_E_l,MATCH(RIGHT($F$1,1),rotation_light,0)),
IF(AND(ISNUMBER(SEARCH("L-Dsty.L-Res",$B8))=TRUE,ISNUMBER(SEARCH("N.",$B8))=TRUE,ISNUMBER(SEARCH("light",$B8))=TRUE),INDEX(croprotn_LDLR_N_l,MATCH(RIGHT($F$1,1),rotation_light,0)),
IF(AND(ISNUMBER(SEARCH("L-Dsty.L-Res",$B8))=TRUE,ISNUMBER(SEARCH("C.",$B8))=TRUE,ISNUMBER(SEARCH("light",$B8))=TRUE),INDEX(croprotn_LDLR_C_l,MATCH(RIGHT($F$1,1),rotation_light,0))
))))))))))))))))))</f>
        <v>setaside</v>
      </c>
      <c r="G8" s="344" t="s">
        <v>285</v>
      </c>
      <c r="H8" s="234" t="str">
        <f t="shared" si="1"/>
        <v>springbarley</v>
      </c>
      <c r="I8" s="234" t="str">
        <f t="shared" si="2"/>
        <v>winterwheat</v>
      </c>
      <c r="J8" s="234" t="str">
        <f t="shared" si="3"/>
        <v>wosr</v>
      </c>
      <c r="K8" s="234" t="str">
        <f t="shared" si="4"/>
        <v>winterwheat</v>
      </c>
      <c r="L8" s="154" t="str">
        <f t="shared" si="5"/>
        <v>lightcultivation</v>
      </c>
      <c r="M8" s="154" t="str">
        <f t="shared" si="6"/>
        <v>directdrilling</v>
      </c>
      <c r="N8" s="154" t="str">
        <f t="shared" si="7"/>
        <v>lightcultivation</v>
      </c>
      <c r="O8" s="154" t="str">
        <f t="shared" si="8"/>
        <v>lightcultivation</v>
      </c>
      <c r="P8" s="154" t="str">
        <f t="shared" si="76"/>
        <v>directdrilling</v>
      </c>
      <c r="Q8" s="154" t="str">
        <f t="shared" ref="Q8:Q19" si="78">IF(AND(ISNUMBER(SEARCH("H-Dsty.",$B8))=TRUE,ISNUMBER(SEARCH("H-Res",$B8))=TRUE,ISNUMBER(SEARCH("E.",$B8))=TRUE),INDEX(tillage_HDHR_E,MATCH($K8,tillage_CROPS,0)),
IF(AND(ISNUMBER(SEARCH("H-Dsty.",$B8))=TRUE,ISNUMBER(SEARCH("H-Res",$B8))=TRUE,ISNUMBER(SEARCH("N.",$B8))=TRUE),INDEX(tillage_HDHR_N,MATCH($K8,tillage_CROPS,0)),
IF(AND(ISNUMBER(SEARCH("H-Dsty.",$B8))=TRUE,ISNUMBER(SEARCH("H-Res",$B8))=TRUE,ISNUMBER(SEARCH("C.",$B8))=TRUE),INDEX(tillage_HDHR_C,MATCH($K8,tillage_CROPS,0)),
IF(AND(ISNUMBER(SEARCH("L-Dsty.",$B8))=TRUE,ISNUMBER(SEARCH("H-Res",$B8))=TRUE,ISNUMBER(SEARCH("E.",$B8))=TRUE),INDEX(tillage_LDHR_E,MATCH($K8,tillage_CROPS,0)),
IF(AND(ISNUMBER(SEARCH("L-Dsty.",$B8))=TRUE,ISNUMBER(SEARCH("H-Res",$B8))=TRUE,ISNUMBER(SEARCH("N.",$B8))=TRUE),INDEX(tillage_LDHR_N,MATCH($K8,tillage_CROPS,0)),
IF(AND(ISNUMBER(SEARCH("L-Dsty.",$B8))=TRUE,ISNUMBER(SEARCH("H-Res",$B8))=TRUE,ISNUMBER(SEARCH("C.",$B8))=TRUE),INDEX(tillage_LDHR_C,MATCH($K8,tillage_CROPS,0)),
IF(AND(ISNUMBER(SEARCH("L-Dsty.",$B8))=TRUE,ISNUMBER(SEARCH("L-Res",$B8))=TRUE,ISNUMBER(SEARCH("E.",$B8))=TRUE),INDEX(tillage_LDLR_E,MATCH($K8,tillage_CROPS,0)),
IF(AND(ISNUMBER(SEARCH("L-Dsty.",$B8))=TRUE,ISNUMBER(SEARCH("L-Res",$B8))=TRUE,ISNUMBER(SEARCH("N.",$B8))=TRUE),INDEX(tillage_LDLR_N,MATCH($K8,tillage_CROPS,0)),
IF(AND(ISNUMBER(SEARCH("L-Dsty.",$B8))=TRUE,ISNUMBER(SEARCH("L-Res",$B8))=TRUE,ISNUMBER(SEARCH("C.",$B8))=TRUE),INDEX(tillage_LDLR_C,MATCH($K8,tillage_CROPS,0))
)))))))))</f>
        <v>lightcultivation</v>
      </c>
      <c r="R8" s="234">
        <f t="shared" si="9"/>
        <v>0</v>
      </c>
      <c r="S8" s="344">
        <f t="shared" si="10"/>
        <v>4.8</v>
      </c>
      <c r="T8" s="234">
        <f t="shared" si="11"/>
        <v>200</v>
      </c>
      <c r="U8" s="234">
        <f t="shared" si="12"/>
        <v>250</v>
      </c>
      <c r="V8" s="234">
        <f t="shared" si="13"/>
        <v>3.2</v>
      </c>
      <c r="W8" s="234">
        <f t="shared" si="14"/>
        <v>250</v>
      </c>
      <c r="X8" s="154" t="str">
        <f t="shared" si="15"/>
        <v>no</v>
      </c>
      <c r="Y8" s="154" t="str">
        <f t="shared" si="16"/>
        <v>no</v>
      </c>
      <c r="Z8" s="154" t="str">
        <f t="shared" si="17"/>
        <v>no</v>
      </c>
      <c r="AA8" s="154" t="str">
        <f t="shared" si="18"/>
        <v>late</v>
      </c>
      <c r="AB8" s="154" t="str">
        <f t="shared" si="19"/>
        <v>no</v>
      </c>
      <c r="AC8" s="154" t="str">
        <f t="shared" si="20"/>
        <v>late</v>
      </c>
      <c r="AD8" s="234">
        <f t="shared" si="21"/>
        <v>0</v>
      </c>
      <c r="AE8" s="238">
        <v>100</v>
      </c>
      <c r="AF8" s="234">
        <f t="shared" ref="AF8:AF23" si="79">IF(AND(ISNUMBER(SEARCH("H-Dsty.",$B8))=TRUE,ISNUMBER(SEARCH("H-Res",$B8))=TRUE,ISNUMBER(SEARCH("E.",$B8))=TRUE),INDEX(fertrate_HDHR_E,MATCH($H8,fertrate_CROPS,0)),
IF(AND(ISNUMBER(SEARCH("H-Dsty.",$B8))=TRUE,ISNUMBER(SEARCH("H-Res",$B8))=TRUE,ISNUMBER(SEARCH("N.",$B8))=TRUE),INDEX(fertrate_HDHR_N,MATCH($H8,fertrate_CROPS,0)),
IF(AND(ISNUMBER(SEARCH("H-Dsty.",$B8))=TRUE,ISNUMBER(SEARCH("H-Res",$B8))=TRUE,ISNUMBER(SEARCH("C.",$B8))=TRUE),INDEX(fertrate_HDHR_C,MATCH($H8,fertrate_CROPS,0)),
IF(AND(ISNUMBER(SEARCH("L-Dsty.",$B8))=TRUE,ISNUMBER(SEARCH("H-Res",$B8))=TRUE,ISNUMBER(SEARCH("E.",$B8))=TRUE),INDEX(fertrate_LDHR_E,MATCH($H8,fertrate_CROPS,0)),
IF(AND(ISNUMBER(SEARCH("L-Dsty.",$B8))=TRUE,ISNUMBER(SEARCH("H-Res",$B8))=TRUE,ISNUMBER(SEARCH("N.",$B8))=TRUE),INDEX(fertrate_LDHR_N,MATCH($H8,fertrate_CROPS,0)),
IF(AND(ISNUMBER(SEARCH("L-Dsty.",$B8))=TRUE,ISNUMBER(SEARCH("H-Res",$B8))=TRUE,ISNUMBER(SEARCH("C.",$B8))=TRUE),INDEX(fertrate_LDHR_C,MATCH($H8,fertrate_CROPS,0)),
IF(AND(ISNUMBER(SEARCH("L-Dsty.",$B8))=TRUE,ISNUMBER(SEARCH("L-Res",$B8))=TRUE,ISNUMBER(SEARCH("E.",$B8))=TRUE),INDEX(fertrate_LDLR_E,MATCH($H8,fertrate_CROPS,0)),
IF(AND(ISNUMBER(SEARCH("L-Dsty.",$B8))=TRUE,ISNUMBER(SEARCH("L-Res",$B8))=TRUE,ISNUMBER(SEARCH("N.",$B8))=TRUE),INDEX(fertrate_LDLR_N,MATCH($H8,fertrate_CROPS,0)),
IF(AND(ISNUMBER(SEARCH("L-Dsty.",$B8))=TRUE,ISNUMBER(SEARCH("L-Res",$B8))=TRUE,ISNUMBER(SEARCH("C.",$B8))=TRUE),INDEX(fertrate_LDLR_C,MATCH($H8,fertrate_CROPS,0))
)))))))))</f>
        <v>110</v>
      </c>
      <c r="AG8" s="234">
        <f t="shared" si="77"/>
        <v>220</v>
      </c>
      <c r="AH8" s="234">
        <f t="shared" ref="AH8:AH55" si="80">IF(AND(ISNUMBER(SEARCH("H-Dsty.",$B8))=TRUE,ISNUMBER(SEARCH("H-Res",$B8))=TRUE,ISNUMBER(SEARCH("E.",$B8))=TRUE),INDEX(fertrate_HDHR_E,MATCH($J8,fertrate_CROPS,0)),
IF(AND(ISNUMBER(SEARCH("H-Dsty.",$B8))=TRUE,ISNUMBER(SEARCH("H-Res",$B8))=TRUE,ISNUMBER(SEARCH("N.",$B8))=TRUE),INDEX(fertrate_HDHR_N,MATCH($J8,fertrate_CROPS,0)),
IF(AND(ISNUMBER(SEARCH("H-Dsty.",$B8))=TRUE,ISNUMBER(SEARCH("H-Res",$B8))=TRUE,ISNUMBER(SEARCH("C.",$B8))=TRUE),INDEX(fertrate_HDHR_C,MATCH($J8,fertrate_CROPS,0)),
IF(AND(ISNUMBER(SEARCH("L-Dsty.",$B8))=TRUE,ISNUMBER(SEARCH("H-Res",$B8))=TRUE,ISNUMBER(SEARCH("E.",$B8))=TRUE),INDEX(fertrate_LDHR_E,MATCH($J8,fertrate_CROPS,0)),
IF(AND(ISNUMBER(SEARCH("L-Dsty.",$B8))=TRUE,ISNUMBER(SEARCH("H-Res",$B8))=TRUE,ISNUMBER(SEARCH("N.",$B8))=TRUE),INDEX(fertrate_LDHR_N,MATCH($J8,fertrate_CROPS,0)),
IF(AND(ISNUMBER(SEARCH("L-Dsty.",$B8))=TRUE,ISNUMBER(SEARCH("H-Res",$B8))=TRUE,ISNUMBER(SEARCH("C.",$B8))=TRUE),INDEX(fertrate_LDHR_C,MATCH($J8,fertrate_CROPS,0)),
IF(AND(ISNUMBER(SEARCH("L-Dsty.",$B8))=TRUE,ISNUMBER(SEARCH("L-Res",$B8))=TRUE,ISNUMBER(SEARCH("E.",$B8))=TRUE),INDEX(fertrate_LDLR_E,MATCH($J8,fertrate_CROPS,0)),
IF(AND(ISNUMBER(SEARCH("L-Dsty.",$B8))=TRUE,ISNUMBER(SEARCH("L-Res",$B8))=TRUE,ISNUMBER(SEARCH("N.",$B8))=TRUE),INDEX(fertrate_LDLR_N,MATCH($J8,fertrate_CROPS,0)),
IF(AND(ISNUMBER(SEARCH("L-Dsty.",$B8))=TRUE,ISNUMBER(SEARCH("L-Res",$B8))=TRUE,ISNUMBER(SEARCH("C.",$B8))=TRUE),INDEX(fertrate_LDLR_C,MATCH($J8,fertrate_CROPS,0))
)))))))))</f>
        <v>180</v>
      </c>
      <c r="AI8" s="234">
        <f t="shared" ref="AI8:AI23" si="81">IF(AND(ISNUMBER(SEARCH("H-Dsty.",$B8))=TRUE,ISNUMBER(SEARCH("H-Res",$B8))=TRUE,ISNUMBER(SEARCH("E.",$B8))=TRUE),INDEX(fertrate_HDHR_E,MATCH($K8,fertrate_CROPS,0)),
IF(AND(ISNUMBER(SEARCH("H-Dsty.",$B8))=TRUE,ISNUMBER(SEARCH("H-Res",$B8))=TRUE,ISNUMBER(SEARCH("N.",$B8))=TRUE),INDEX(fertrate_HDHR_N,MATCH($K8,fertrate_CROPS,0)),
IF(AND(ISNUMBER(SEARCH("H-Dsty.",$B8))=TRUE,ISNUMBER(SEARCH("H-Res",$B8))=TRUE,ISNUMBER(SEARCH("C.",$B8))=TRUE),INDEX(fertrate_HDHR_C,MATCH($K8,fertrate_CROPS,0)),
IF(AND(ISNUMBER(SEARCH("L-Dsty.",$B8))=TRUE,ISNUMBER(SEARCH("H-Res",$B8))=TRUE,ISNUMBER(SEARCH("E.",$B8))=TRUE),INDEX(fertrate_LDHR_E,MATCH($K8,fertrate_CROPS,0)),
IF(AND(ISNUMBER(SEARCH("L-Dsty.",$B8))=TRUE,ISNUMBER(SEARCH("H-Res",$B8))=TRUE,ISNUMBER(SEARCH("N.",$B8))=TRUE),INDEX(fertrate_LDHR_N,MATCH($K8,fertrate_CROPS,0)),
IF(AND(ISNUMBER(SEARCH("L-Dsty.",$B8))=TRUE,ISNUMBER(SEARCH("H-Res",$B8))=TRUE,ISNUMBER(SEARCH("C.",$B8))=TRUE),INDEX(fertrate_LDHR_C,MATCH($K8,fertrate_CROPS,0)),
IF(AND(ISNUMBER(SEARCH("L-Dsty.",$B8))=TRUE,ISNUMBER(SEARCH("L-Res",$B8))=TRUE,ISNUMBER(SEARCH("E.",$B8))=TRUE),INDEX(fertrate_LDLR_E,MATCH($K8,fertrate_CROPS,0)),
IF(AND(ISNUMBER(SEARCH("L-Dsty.",$B8))=TRUE,ISNUMBER(SEARCH("L-Res",$B8))=TRUE,ISNUMBER(SEARCH("N.",$B8))=TRUE),INDEX(fertrate_LDLR_N,MATCH($K8,fertrate_CROPS,0)),
IF(AND(ISNUMBER(SEARCH("L-Dsty.",$B8))=TRUE,ISNUMBER(SEARCH("L-Res",$B8))=TRUE,ISNUMBER(SEARCH("C.",$B8))=TRUE),INDEX(fertrate_LDLR_C,MATCH($K8,fertrate_CROPS,0))
)))))))))</f>
        <v>220</v>
      </c>
      <c r="AJ8" s="154">
        <f t="shared" si="23"/>
        <v>0</v>
      </c>
      <c r="AK8" s="238">
        <f t="shared" si="24"/>
        <v>32</v>
      </c>
      <c r="AL8" s="154">
        <f t="shared" si="25"/>
        <v>44</v>
      </c>
      <c r="AM8" s="154">
        <f t="shared" si="26"/>
        <v>67</v>
      </c>
      <c r="AN8" s="154">
        <f t="shared" si="27"/>
        <v>49</v>
      </c>
      <c r="AO8" s="154">
        <f t="shared" si="28"/>
        <v>67</v>
      </c>
      <c r="AP8" s="154">
        <f t="shared" si="29"/>
        <v>0</v>
      </c>
      <c r="AQ8" s="238">
        <f t="shared" si="30"/>
        <v>25</v>
      </c>
      <c r="AR8" s="154">
        <f t="shared" si="31"/>
        <v>32</v>
      </c>
      <c r="AS8" s="154">
        <f t="shared" si="32"/>
        <v>48</v>
      </c>
      <c r="AT8" s="154">
        <f t="shared" si="33"/>
        <v>39</v>
      </c>
      <c r="AU8" s="154">
        <f t="shared" si="34"/>
        <v>48</v>
      </c>
      <c r="AV8" s="234">
        <f t="shared" si="35"/>
        <v>0</v>
      </c>
      <c r="AW8" s="234">
        <f t="shared" si="36"/>
        <v>0</v>
      </c>
      <c r="AX8" s="234">
        <f t="shared" si="37"/>
        <v>4</v>
      </c>
      <c r="AY8" s="234">
        <f t="shared" si="38"/>
        <v>9.3000000000000007</v>
      </c>
      <c r="AZ8" s="234">
        <f t="shared" si="39"/>
        <v>3.1</v>
      </c>
      <c r="BA8" s="234">
        <f t="shared" si="40"/>
        <v>9.3000000000000007</v>
      </c>
      <c r="BB8" s="234">
        <f t="shared" si="41"/>
        <v>8.1999999999999993</v>
      </c>
      <c r="BC8" s="234">
        <f t="shared" si="42"/>
        <v>4.2</v>
      </c>
      <c r="BD8" s="234">
        <f t="shared" si="43"/>
        <v>4.2</v>
      </c>
      <c r="BE8" s="234">
        <f t="shared" si="44"/>
        <v>4.2</v>
      </c>
      <c r="BF8" s="234">
        <f t="shared" si="45"/>
        <v>2</v>
      </c>
      <c r="BG8" s="234">
        <f t="shared" si="46"/>
        <v>4.2</v>
      </c>
      <c r="BH8" s="234">
        <f t="shared" si="47"/>
        <v>5</v>
      </c>
      <c r="BI8" s="234">
        <f t="shared" si="48"/>
        <v>3</v>
      </c>
      <c r="BJ8" s="234">
        <f t="shared" si="49"/>
        <v>5</v>
      </c>
      <c r="BK8" s="234">
        <f t="shared" si="50"/>
        <v>5</v>
      </c>
      <c r="BL8" s="234">
        <f t="shared" si="51"/>
        <v>3</v>
      </c>
      <c r="BM8" s="234">
        <f t="shared" si="52"/>
        <v>5</v>
      </c>
      <c r="BN8" s="154" t="s">
        <v>483</v>
      </c>
      <c r="BO8" s="154" t="str">
        <f t="shared" si="53"/>
        <v>high</v>
      </c>
      <c r="BP8" s="154" t="str">
        <f t="shared" si="54"/>
        <v>medium</v>
      </c>
      <c r="BQ8" s="154" t="str">
        <f t="shared" si="55"/>
        <v>low</v>
      </c>
      <c r="BR8" s="154" t="s">
        <v>18</v>
      </c>
      <c r="BS8" s="154" t="s">
        <v>18</v>
      </c>
      <c r="BT8" s="154" t="s">
        <v>18</v>
      </c>
      <c r="BU8" s="154">
        <f t="shared" si="56"/>
        <v>0</v>
      </c>
      <c r="BV8" s="238">
        <f t="shared" si="57"/>
        <v>335</v>
      </c>
      <c r="BW8" s="154">
        <f t="shared" si="58"/>
        <v>157</v>
      </c>
      <c r="BX8" s="154">
        <f t="shared" si="59"/>
        <v>150</v>
      </c>
      <c r="BY8" s="154">
        <f t="shared" si="60"/>
        <v>335</v>
      </c>
      <c r="BZ8" s="154">
        <f t="shared" si="61"/>
        <v>150</v>
      </c>
      <c r="CA8" s="356">
        <f t="array" ref="CA8">IF(yieldsetting1="estimate",0,INDEX(cropdata, MATCH(yieldsource,outputs,0), MATCH($F8,cropdatacrops,0)))</f>
        <v>0</v>
      </c>
      <c r="CB8" s="357">
        <f t="array" ref="CB8">IF(yieldsetting1="estimate",0,INDEX(cropdata, MATCH(yieldsource,outputs,0), MATCH($G8,cropdatacrops,0)))</f>
        <v>0</v>
      </c>
      <c r="CC8" s="356">
        <f t="array" ref="CC8">IF(yieldsetting1="estimate",0,INDEX(cropdata, MATCH(yieldsource,outputs,0), MATCH($H8,cropdatacrops,0)))</f>
        <v>0</v>
      </c>
      <c r="CD8" s="356">
        <f t="array" ref="CD8">IF(yieldsetting1="estimate",0,INDEX(cropdata, MATCH(yieldsource,outputs,0), MATCH($I8,cropdatacrops,0)))</f>
        <v>0</v>
      </c>
      <c r="CE8" s="356">
        <f t="array" ref="CE8">IF(yieldsetting1="estimate",0,INDEX(cropdata, MATCH(yieldsource,outputs,0), MATCH($J8,cropdatacrops,0)))</f>
        <v>0</v>
      </c>
      <c r="CF8" s="356">
        <f t="array" ref="CF8">IF(yieldsetting1="estimate",0,INDEX(cropdata, MATCH(yieldsource,outputs,0), MATCH($K8,cropdatacrops,0)))</f>
        <v>0</v>
      </c>
      <c r="CG8" s="154" t="str">
        <f t="shared" si="62"/>
        <v>estimate</v>
      </c>
      <c r="CH8" s="235">
        <f t="shared" si="63"/>
        <v>0.8</v>
      </c>
      <c r="CI8" s="235">
        <f t="shared" si="64"/>
        <v>0.72</v>
      </c>
      <c r="CJ8" s="154">
        <f t="shared" si="65"/>
        <v>0.46</v>
      </c>
      <c r="CK8" s="154">
        <f t="shared" si="66"/>
        <v>0</v>
      </c>
      <c r="CL8" s="238">
        <f t="shared" si="67"/>
        <v>7.64</v>
      </c>
      <c r="CM8" s="154">
        <f t="shared" si="68"/>
        <v>0.38</v>
      </c>
      <c r="CN8" s="154">
        <f t="shared" si="69"/>
        <v>0.36</v>
      </c>
      <c r="CO8" s="154">
        <f t="shared" si="70"/>
        <v>7.34</v>
      </c>
      <c r="CP8" s="154">
        <f t="shared" si="71"/>
        <v>0.36</v>
      </c>
      <c r="CQ8" s="154">
        <f t="shared" si="72"/>
        <v>19.5</v>
      </c>
      <c r="CR8" s="154">
        <f t="shared" si="72"/>
        <v>19.5</v>
      </c>
      <c r="CS8" s="154">
        <f t="shared" si="72"/>
        <v>19.5</v>
      </c>
      <c r="CT8" s="154">
        <f t="shared" si="72"/>
        <v>19.5</v>
      </c>
      <c r="CU8" s="154">
        <f t="shared" si="72"/>
        <v>19.5</v>
      </c>
      <c r="CV8" s="154">
        <f t="shared" si="72"/>
        <v>19.5</v>
      </c>
      <c r="CW8" s="154">
        <f t="shared" si="73"/>
        <v>2.4300000000000002</v>
      </c>
      <c r="CX8" s="154">
        <f t="shared" si="73"/>
        <v>2.4300000000000002</v>
      </c>
      <c r="CY8" s="154">
        <f t="shared" si="73"/>
        <v>2.4300000000000002</v>
      </c>
      <c r="CZ8" s="154">
        <f t="shared" si="73"/>
        <v>2.4300000000000002</v>
      </c>
      <c r="DA8" s="154">
        <f t="shared" si="73"/>
        <v>2.4300000000000002</v>
      </c>
      <c r="DB8" s="154">
        <f t="shared" si="73"/>
        <v>2.4300000000000002</v>
      </c>
      <c r="DC8" s="154">
        <v>102</v>
      </c>
      <c r="DD8" s="154">
        <v>6</v>
      </c>
      <c r="DE8" s="154">
        <v>4</v>
      </c>
      <c r="DF8" s="154">
        <v>1400</v>
      </c>
      <c r="DG8" s="154">
        <v>125</v>
      </c>
      <c r="DH8" s="154">
        <f t="shared" si="74"/>
        <v>0.625</v>
      </c>
      <c r="DI8" s="154">
        <f t="shared" si="75"/>
        <v>10.08</v>
      </c>
    </row>
    <row r="9" spans="1:113" x14ac:dyDescent="0.2">
      <c r="A9" s="331" t="s">
        <v>1717</v>
      </c>
      <c r="B9" s="330" t="s">
        <v>482</v>
      </c>
      <c r="C9" s="330" t="s">
        <v>1635</v>
      </c>
      <c r="D9" s="233" t="str">
        <f>IF(ISNUMBER(SEARCH("heavy",B9))=TRUE,"2.25",
IF(ISNUMBER(SEARCH("medium",B9))=TRUE,"1.5",
IF(ISNUMBER(SEARCH("light",B9))=TRUE,"0.75")))</f>
        <v>2.25</v>
      </c>
      <c r="E9" s="154">
        <v>6</v>
      </c>
      <c r="F9" s="234" t="str" cm="1">
        <f t="array" ref="F9">IF(AND(ISNUMBER(SEARCH("H-Dsty.H-Res",$B9))=TRUE,ISNUMBER(SEARCH("E.",$B9))=TRUE,OR(ISNUMBER(SEARCH("heavy",$B9)),ISNUMBER(SEARCH("MEDIUM",$B9)))=TRUE),INDEX(croprotn_HDHR_E_h,MATCH(RIGHT($F$1,1),rotation_heavy,0)),
IF(AND(ISNUMBER(SEARCH("H-Dsty.H-Res",$B9))=TRUE,ISNUMBER(SEARCH("N.",$B9))=TRUE,OR(ISNUMBER(SEARCH("heavy",$B9)),ISNUMBER(SEARCH("MEDIUM",$B9)))=TRUE),INDEX(croprotn_HDHR_N_h,MATCH(RIGHT($F$1,1),rotation_heavy,0)),
IF(AND(ISNUMBER(SEARCH("H-Dsty.H-Res",$B9))=TRUE,ISNUMBER(SEARCH("C.",$B9))=TRUE,OR(ISNUMBER(SEARCH("heavy",$B9)),ISNUMBER(SEARCH("MEDIUM",$B9)))=TRUE),INDEX(croprotn_HDHR_C_h,MATCH(RIGHT($F$1,1),rotation_heavy,0)),
IF(AND(ISNUMBER(SEARCH("L-Dsty.H-Res",$B9))=TRUE,ISNUMBER(SEARCH("E.",$B9))=TRUE,OR(ISNUMBER(SEARCH("heavy",$B9)),ISNUMBER(SEARCH("MEDIUM",$B9)))=TRUE),INDEX(croprotn_LDHR_E_h,MATCH(RIGHT($F$1,1),rotation_heavy,0)),
IF(AND(ISNUMBER(SEARCH("L-Dsty.H-Res",$B9))=TRUE,ISNUMBER(SEARCH("N.",$B9))=TRUE,OR(ISNUMBER(SEARCH("heavy",$B9)),ISNUMBER(SEARCH("MEDIUM",$B9)))=TRUE),INDEX(croprotn_LDHR_N_h,MATCH(RIGHT($F$1,1),rotation_heavy,0)),
IF(AND(ISNUMBER(SEARCH("L-Dsty.H-Res",$B9))=TRUE,ISNUMBER(SEARCH("C.",$B9))=TRUE,OR(ISNUMBER(SEARCH("heavy",$B9)),ISNUMBER(SEARCH("MEDIUM",$B9)))=TRUE),INDEX(croprotn_LDHR_C_h,MATCH(RIGHT($F$1,1),rotation_heavy,0)),
IF(AND(ISNUMBER(SEARCH("L-Dsty.L-Res",$B9))=TRUE,ISNUMBER(SEARCH("E.",$B9))=TRUE,OR(ISNUMBER(SEARCH("heavy",$B9)),ISNUMBER(SEARCH("MEDIUM",$B9)))=TRUE),INDEX(croprotn_LDLR_E_h,MATCH(RIGHT($F$1,1),rotation_heavy,0)),
IF(AND(ISNUMBER(SEARCH("L-Dsty.L-Res",$B9))=TRUE,ISNUMBER(SEARCH("N.",$B9))=TRUE,OR(ISNUMBER(SEARCH("heavy",$B9)),ISNUMBER(SEARCH("MEDIUM",$B9)))=TRUE),INDEX(croprotn_LDLR_N_h,MATCH(RIGHT($F$1,1),rotation_heavy,0)),
IF(AND(ISNUMBER(SEARCH("L-Dsty.L-Res",$B9))=TRUE,ISNUMBER(SEARCH("C.",$B9))=TRUE,OR(ISNUMBER(SEARCH("heavy",$B9)),ISNUMBER(SEARCH("MEDIUM",$B9)))=TRUE),INDEX(croprotn_LDLR_C_h,MATCH(RIGHT($F$1,1),rotation_heavy,0)),
IF(AND(ISNUMBER(SEARCH("H-Dsty.H-Res",$B9))=TRUE,ISNUMBER(SEARCH("E.",$B9))=TRUE,ISNUMBER(SEARCH("light",$B9))=TRUE),INDEX(croprotn_HDHR_E_l,MATCH(RIGHT($F$1,1),rotation_light,0)),
IF(AND(ISNUMBER(SEARCH("H-Dsty.H-Res",$B9))=TRUE,ISNUMBER(SEARCH("N.",$B9))=TRUE,ISNUMBER(SEARCH("light",$B9))=TRUE),INDEX(croprotn_HDHR_N_l,MATCH(RIGHT($F$1,1),rotation_light,0)),
IF(AND(ISNUMBER(SEARCH("H-Dsty.H-Res",$B9))=TRUE,ISNUMBER(SEARCH("C.",$B9))=TRUE,ISNUMBER(SEARCH("light",$B9))=TRUE),INDEX(croprotn_HDHR_C_l,MATCH(RIGHT($F$1,1),rotation_light,0)),
IF(AND(ISNUMBER(SEARCH("L-Dsty.H-Res",$B9))=TRUE,ISNUMBER(SEARCH("E.",$B9))=TRUE,ISNUMBER(SEARCH("light",$B9))=TRUE),INDEX(croprotn_LDHR_E_l,MATCH(RIGHT($F$1,1),rotation_light,0)),
IF(AND(ISNUMBER(SEARCH("L-Dsty.H-Res",$B9))=TRUE,ISNUMBER(SEARCH("N.",$B9))=TRUE,ISNUMBER(SEARCH("light",$B9))=TRUE),INDEX(croprotn_LDHR_N_l,MATCH(RIGHT($F$1,1),rotation_light,0)),
IF(AND(ISNUMBER(SEARCH("L-Dsty.H-Res",$B9))=TRUE,ISNUMBER(SEARCH("C.",$B9))=TRUE,ISNUMBER(SEARCH("light",$B9))=TRUE),INDEX(croprotn_LDHR_C_l,MATCH(RIGHT($F$1,1),rotation_light,0)),
IF(AND(ISNUMBER(SEARCH("L-Dsty.L-Res",$B9))=TRUE,ISNUMBER(SEARCH("E.",$B9))=TRUE,ISNUMBER(SEARCH("light",$B9))=TRUE),INDEX(croprotn_LDLR_E_l,MATCH(RIGHT($F$1,1),rotation_light,0)),
IF(AND(ISNUMBER(SEARCH("L-Dsty.L-Res",$B9))=TRUE,ISNUMBER(SEARCH("N.",$B9))=TRUE,ISNUMBER(SEARCH("light",$B9))=TRUE),INDEX(croprotn_LDLR_N_l,MATCH(RIGHT($F$1,1),rotation_light,0)),
IF(AND(ISNUMBER(SEARCH("L-Dsty.L-Res",$B9))=TRUE,ISNUMBER(SEARCH("C.",$B9))=TRUE,ISNUMBER(SEARCH("light",$B9))=TRUE),INDEX(croprotn_LDLR_C_l,MATCH(RIGHT($F$1,1),rotation_light,0))
))))))))))))))))))</f>
        <v>setaside</v>
      </c>
      <c r="G9" s="344" t="s">
        <v>285</v>
      </c>
      <c r="H9" s="234" t="str">
        <f t="shared" si="1"/>
        <v>springbarley</v>
      </c>
      <c r="I9" s="234" t="str">
        <f t="shared" si="2"/>
        <v>winterwheat</v>
      </c>
      <c r="J9" s="234" t="str">
        <f t="shared" si="3"/>
        <v>wosr</v>
      </c>
      <c r="K9" s="234" t="str">
        <f t="shared" si="4"/>
        <v>winterwheat</v>
      </c>
      <c r="L9" s="154" t="str">
        <f t="shared" si="5"/>
        <v>lightcultivation</v>
      </c>
      <c r="M9" s="154" t="str">
        <f t="shared" si="6"/>
        <v>directdrilling</v>
      </c>
      <c r="N9" s="154" t="str">
        <f t="shared" si="7"/>
        <v>lightcultivation</v>
      </c>
      <c r="O9" s="154" t="str">
        <f t="shared" si="8"/>
        <v>lightcultivation</v>
      </c>
      <c r="P9" s="154" t="str">
        <f t="shared" si="76"/>
        <v>directdrilling</v>
      </c>
      <c r="Q9" s="154" t="str">
        <f t="shared" si="78"/>
        <v>lightcultivation</v>
      </c>
      <c r="R9" s="234">
        <f t="shared" si="9"/>
        <v>0</v>
      </c>
      <c r="S9" s="344">
        <f t="shared" si="10"/>
        <v>4.8</v>
      </c>
      <c r="T9" s="234">
        <f t="shared" si="11"/>
        <v>200</v>
      </c>
      <c r="U9" s="234">
        <f t="shared" si="12"/>
        <v>250</v>
      </c>
      <c r="V9" s="234">
        <f t="shared" si="13"/>
        <v>3.2</v>
      </c>
      <c r="W9" s="234">
        <f t="shared" si="14"/>
        <v>250</v>
      </c>
      <c r="X9" s="154" t="str">
        <f t="shared" si="15"/>
        <v>no</v>
      </c>
      <c r="Y9" s="154" t="str">
        <f t="shared" si="16"/>
        <v>no</v>
      </c>
      <c r="Z9" s="154" t="str">
        <f t="shared" si="17"/>
        <v>no</v>
      </c>
      <c r="AA9" s="154" t="str">
        <f t="shared" si="18"/>
        <v>late</v>
      </c>
      <c r="AB9" s="154" t="str">
        <f t="shared" si="19"/>
        <v>no</v>
      </c>
      <c r="AC9" s="154" t="str">
        <f t="shared" si="20"/>
        <v>late</v>
      </c>
      <c r="AD9" s="234">
        <f t="shared" si="21"/>
        <v>0</v>
      </c>
      <c r="AE9" s="238">
        <v>100</v>
      </c>
      <c r="AF9" s="234">
        <f t="shared" si="79"/>
        <v>110</v>
      </c>
      <c r="AG9" s="234">
        <f t="shared" si="77"/>
        <v>220</v>
      </c>
      <c r="AH9" s="234">
        <f t="shared" si="80"/>
        <v>180</v>
      </c>
      <c r="AI9" s="234">
        <f t="shared" si="81"/>
        <v>220</v>
      </c>
      <c r="AJ9" s="154">
        <f t="shared" si="23"/>
        <v>0</v>
      </c>
      <c r="AK9" s="238">
        <f t="shared" si="24"/>
        <v>32</v>
      </c>
      <c r="AL9" s="154">
        <f t="shared" si="25"/>
        <v>44</v>
      </c>
      <c r="AM9" s="154">
        <f t="shared" si="26"/>
        <v>67</v>
      </c>
      <c r="AN9" s="154">
        <f t="shared" si="27"/>
        <v>49</v>
      </c>
      <c r="AO9" s="154">
        <f t="shared" si="28"/>
        <v>67</v>
      </c>
      <c r="AP9" s="154">
        <f t="shared" si="29"/>
        <v>0</v>
      </c>
      <c r="AQ9" s="238">
        <f t="shared" si="30"/>
        <v>25</v>
      </c>
      <c r="AR9" s="154">
        <f t="shared" si="31"/>
        <v>32</v>
      </c>
      <c r="AS9" s="154">
        <f t="shared" si="32"/>
        <v>48</v>
      </c>
      <c r="AT9" s="154">
        <f t="shared" si="33"/>
        <v>39</v>
      </c>
      <c r="AU9" s="154">
        <f t="shared" si="34"/>
        <v>48</v>
      </c>
      <c r="AV9" s="234">
        <f t="shared" si="35"/>
        <v>0</v>
      </c>
      <c r="AW9" s="234">
        <f t="shared" si="36"/>
        <v>0</v>
      </c>
      <c r="AX9" s="234">
        <f t="shared" si="37"/>
        <v>4</v>
      </c>
      <c r="AY9" s="234">
        <f t="shared" si="38"/>
        <v>9.3000000000000007</v>
      </c>
      <c r="AZ9" s="234">
        <f t="shared" si="39"/>
        <v>3.1</v>
      </c>
      <c r="BA9" s="234">
        <f t="shared" si="40"/>
        <v>9.3000000000000007</v>
      </c>
      <c r="BB9" s="234">
        <f t="shared" si="41"/>
        <v>8.1999999999999993</v>
      </c>
      <c r="BC9" s="234">
        <f t="shared" si="42"/>
        <v>4.2</v>
      </c>
      <c r="BD9" s="234">
        <f t="shared" si="43"/>
        <v>4.2</v>
      </c>
      <c r="BE9" s="234">
        <f t="shared" si="44"/>
        <v>4.2</v>
      </c>
      <c r="BF9" s="234">
        <f t="shared" si="45"/>
        <v>2</v>
      </c>
      <c r="BG9" s="234">
        <f t="shared" si="46"/>
        <v>4.2</v>
      </c>
      <c r="BH9" s="234">
        <f t="shared" si="47"/>
        <v>5</v>
      </c>
      <c r="BI9" s="234">
        <f t="shared" si="48"/>
        <v>3</v>
      </c>
      <c r="BJ9" s="234">
        <f t="shared" si="49"/>
        <v>5</v>
      </c>
      <c r="BK9" s="234">
        <f t="shared" si="50"/>
        <v>5</v>
      </c>
      <c r="BL9" s="234">
        <f t="shared" si="51"/>
        <v>3</v>
      </c>
      <c r="BM9" s="234">
        <f t="shared" si="52"/>
        <v>5</v>
      </c>
      <c r="BN9" s="154" t="s">
        <v>483</v>
      </c>
      <c r="BO9" s="154" t="str">
        <f t="shared" si="53"/>
        <v>veryhigh</v>
      </c>
      <c r="BP9" s="154" t="str">
        <f t="shared" si="54"/>
        <v>high</v>
      </c>
      <c r="BQ9" s="154" t="str">
        <f t="shared" si="55"/>
        <v>medium</v>
      </c>
      <c r="BR9" s="154" t="s">
        <v>182</v>
      </c>
      <c r="BS9" s="154" t="s">
        <v>182</v>
      </c>
      <c r="BT9" s="154" t="s">
        <v>182</v>
      </c>
      <c r="BU9" s="154">
        <f t="shared" si="56"/>
        <v>0</v>
      </c>
      <c r="BV9" s="238">
        <f t="shared" si="57"/>
        <v>335</v>
      </c>
      <c r="BW9" s="154">
        <f t="shared" si="58"/>
        <v>157</v>
      </c>
      <c r="BX9" s="154">
        <f t="shared" si="59"/>
        <v>150</v>
      </c>
      <c r="BY9" s="154">
        <f t="shared" si="60"/>
        <v>335</v>
      </c>
      <c r="BZ9" s="154">
        <f t="shared" si="61"/>
        <v>150</v>
      </c>
      <c r="CA9" s="356">
        <f t="array" ref="CA9">IF(yieldsetting1="estimate",0,INDEX(cropdata, MATCH(yieldsource,outputs,0), MATCH($F9,cropdatacrops,0)))</f>
        <v>0</v>
      </c>
      <c r="CB9" s="357">
        <f t="array" ref="CB9">IF(yieldsetting1="estimate",0,INDEX(cropdata, MATCH(yieldsource,outputs,0), MATCH($G9,cropdatacrops,0)))</f>
        <v>0</v>
      </c>
      <c r="CC9" s="356">
        <f t="array" ref="CC9">IF(yieldsetting1="estimate",0,INDEX(cropdata, MATCH(yieldsource,outputs,0), MATCH($H9,cropdatacrops,0)))</f>
        <v>0</v>
      </c>
      <c r="CD9" s="356">
        <f t="array" ref="CD9">IF(yieldsetting1="estimate",0,INDEX(cropdata, MATCH(yieldsource,outputs,0), MATCH($I9,cropdatacrops,0)))</f>
        <v>0</v>
      </c>
      <c r="CE9" s="356">
        <f t="array" ref="CE9">IF(yieldsetting1="estimate",0,INDEX(cropdata, MATCH(yieldsource,outputs,0), MATCH($J9,cropdatacrops,0)))</f>
        <v>0</v>
      </c>
      <c r="CF9" s="356">
        <f t="array" ref="CF9">IF(yieldsetting1="estimate",0,INDEX(cropdata, MATCH(yieldsource,outputs,0), MATCH($K9,cropdatacrops,0)))</f>
        <v>0</v>
      </c>
      <c r="CG9" s="154" t="str">
        <f t="shared" si="62"/>
        <v>estimate</v>
      </c>
      <c r="CH9" s="235">
        <f t="shared" si="63"/>
        <v>0.8</v>
      </c>
      <c r="CI9" s="235">
        <f t="shared" si="64"/>
        <v>0.72</v>
      </c>
      <c r="CJ9" s="154">
        <f t="shared" si="65"/>
        <v>0.46</v>
      </c>
      <c r="CK9" s="154">
        <f t="shared" si="66"/>
        <v>0</v>
      </c>
      <c r="CL9" s="238">
        <f t="shared" si="67"/>
        <v>7.64</v>
      </c>
      <c r="CM9" s="154">
        <f t="shared" si="68"/>
        <v>0.38</v>
      </c>
      <c r="CN9" s="154">
        <f t="shared" si="69"/>
        <v>0.36</v>
      </c>
      <c r="CO9" s="154">
        <f t="shared" si="70"/>
        <v>7.34</v>
      </c>
      <c r="CP9" s="154">
        <f t="shared" si="71"/>
        <v>0.36</v>
      </c>
      <c r="CQ9" s="154">
        <f t="shared" si="72"/>
        <v>19.5</v>
      </c>
      <c r="CR9" s="154">
        <f t="shared" si="72"/>
        <v>19.5</v>
      </c>
      <c r="CS9" s="154">
        <f t="shared" si="72"/>
        <v>19.5</v>
      </c>
      <c r="CT9" s="154">
        <f t="shared" si="72"/>
        <v>19.5</v>
      </c>
      <c r="CU9" s="154">
        <f t="shared" si="72"/>
        <v>19.5</v>
      </c>
      <c r="CV9" s="154">
        <f t="shared" si="72"/>
        <v>19.5</v>
      </c>
      <c r="CW9" s="154">
        <f t="shared" si="73"/>
        <v>2.4300000000000002</v>
      </c>
      <c r="CX9" s="154">
        <f t="shared" si="73"/>
        <v>2.4300000000000002</v>
      </c>
      <c r="CY9" s="154">
        <f t="shared" si="73"/>
        <v>2.4300000000000002</v>
      </c>
      <c r="CZ9" s="154">
        <f t="shared" si="73"/>
        <v>2.4300000000000002</v>
      </c>
      <c r="DA9" s="154">
        <f t="shared" si="73"/>
        <v>2.4300000000000002</v>
      </c>
      <c r="DB9" s="154">
        <f t="shared" si="73"/>
        <v>2.4300000000000002</v>
      </c>
      <c r="DC9" s="154">
        <v>102</v>
      </c>
      <c r="DD9" s="154">
        <v>6</v>
      </c>
      <c r="DE9" s="154">
        <v>4</v>
      </c>
      <c r="DF9" s="154">
        <v>1400</v>
      </c>
      <c r="DG9" s="154">
        <v>125</v>
      </c>
      <c r="DH9" s="154">
        <f t="shared" si="74"/>
        <v>0.625</v>
      </c>
      <c r="DI9" s="154">
        <f t="shared" si="75"/>
        <v>10.08</v>
      </c>
    </row>
    <row r="10" spans="1:113" x14ac:dyDescent="0.2">
      <c r="A10" s="331" t="s">
        <v>1718</v>
      </c>
      <c r="B10" s="330" t="s">
        <v>487</v>
      </c>
      <c r="C10" s="330" t="s">
        <v>1645</v>
      </c>
      <c r="D10" s="233" t="str">
        <f>IF(ISNUMBER(SEARCH("heavy",B10))=TRUE,"2.25",
IF(ISNUMBER(SEARCH("medium",B10))=TRUE,"1.50",
IF(ISNUMBER(SEARCH("light",B10))=TRUE,"0.75")))</f>
        <v>1.50</v>
      </c>
      <c r="E10" s="154">
        <v>6</v>
      </c>
      <c r="F10" s="234" t="str" cm="1">
        <f t="array" ref="F10">IF(AND(ISNUMBER(SEARCH("H-Dsty.H-Res",$B10))=TRUE,ISNUMBER(SEARCH("E.",$B10))=TRUE,OR(ISNUMBER(SEARCH("heavy",$B10)),ISNUMBER(SEARCH("MEDIUM",$B10)))=TRUE),INDEX(croprotn_HDHR_E_h,MATCH(RIGHT($F$1,1),rotation_heavy,0)),
IF(AND(ISNUMBER(SEARCH("H-Dsty.H-Res",$B10))=TRUE,ISNUMBER(SEARCH("N.",$B10))=TRUE,OR(ISNUMBER(SEARCH("heavy",$B10)),ISNUMBER(SEARCH("MEDIUM",$B10)))=TRUE),INDEX(croprotn_HDHR_N_h,MATCH(RIGHT($F$1,1),rotation_heavy,0)),
IF(AND(ISNUMBER(SEARCH("H-Dsty.H-Res",$B10))=TRUE,ISNUMBER(SEARCH("C.",$B10))=TRUE,OR(ISNUMBER(SEARCH("heavy",$B10)),ISNUMBER(SEARCH("MEDIUM",$B10)))=TRUE),INDEX(croprotn_HDHR_C_h,MATCH(RIGHT($F$1,1),rotation_heavy,0)),
IF(AND(ISNUMBER(SEARCH("L-Dsty.H-Res",$B10))=TRUE,ISNUMBER(SEARCH("E.",$B10))=TRUE,OR(ISNUMBER(SEARCH("heavy",$B10)),ISNUMBER(SEARCH("MEDIUM",$B10)))=TRUE),INDEX(croprotn_LDHR_E_h,MATCH(RIGHT($F$1,1),rotation_heavy,0)),
IF(AND(ISNUMBER(SEARCH("L-Dsty.H-Res",$B10))=TRUE,ISNUMBER(SEARCH("N.",$B10))=TRUE,OR(ISNUMBER(SEARCH("heavy",$B10)),ISNUMBER(SEARCH("MEDIUM",$B10)))=TRUE),INDEX(croprotn_LDHR_N_h,MATCH(RIGHT($F$1,1),rotation_heavy,0)),
IF(AND(ISNUMBER(SEARCH("L-Dsty.H-Res",$B10))=TRUE,ISNUMBER(SEARCH("C.",$B10))=TRUE,OR(ISNUMBER(SEARCH("heavy",$B10)),ISNUMBER(SEARCH("MEDIUM",$B10)))=TRUE),INDEX(croprotn_LDHR_C_h,MATCH(RIGHT($F$1,1),rotation_heavy,0)),
IF(AND(ISNUMBER(SEARCH("L-Dsty.L-Res",$B10))=TRUE,ISNUMBER(SEARCH("E.",$B10))=TRUE,OR(ISNUMBER(SEARCH("heavy",$B10)),ISNUMBER(SEARCH("MEDIUM",$B10)))=TRUE),INDEX(croprotn_LDLR_E_h,MATCH(RIGHT($F$1,1),rotation_heavy,0)),
IF(AND(ISNUMBER(SEARCH("L-Dsty.L-Res",$B10))=TRUE,ISNUMBER(SEARCH("N.",$B10))=TRUE,OR(ISNUMBER(SEARCH("heavy",$B10)),ISNUMBER(SEARCH("MEDIUM",$B10)))=TRUE),INDEX(croprotn_LDLR_N_h,MATCH(RIGHT($F$1,1),rotation_heavy,0)),
IF(AND(ISNUMBER(SEARCH("L-Dsty.L-Res",$B10))=TRUE,ISNUMBER(SEARCH("C.",$B10))=TRUE,OR(ISNUMBER(SEARCH("heavy",$B10)),ISNUMBER(SEARCH("MEDIUM",$B10)))=TRUE),INDEX(croprotn_LDLR_C_h,MATCH(RIGHT($F$1,1),rotation_heavy,0)),
IF(AND(ISNUMBER(SEARCH("H-Dsty.H-Res",$B10))=TRUE,ISNUMBER(SEARCH("E.",$B10))=TRUE,ISNUMBER(SEARCH("light",$B10))=TRUE),INDEX(croprotn_HDHR_E_l,MATCH(RIGHT($F$1,1),rotation_light,0)),
IF(AND(ISNUMBER(SEARCH("H-Dsty.H-Res",$B10))=TRUE,ISNUMBER(SEARCH("N.",$B10))=TRUE,ISNUMBER(SEARCH("light",$B10))=TRUE),INDEX(croprotn_HDHR_N_l,MATCH(RIGHT($F$1,1),rotation_light,0)),
IF(AND(ISNUMBER(SEARCH("H-Dsty.H-Res",$B10))=TRUE,ISNUMBER(SEARCH("C.",$B10))=TRUE,ISNUMBER(SEARCH("light",$B10))=TRUE),INDEX(croprotn_HDHR_C_l,MATCH(RIGHT($F$1,1),rotation_light,0)),
IF(AND(ISNUMBER(SEARCH("L-Dsty.H-Res",$B10))=TRUE,ISNUMBER(SEARCH("E.",$B10))=TRUE,ISNUMBER(SEARCH("light",$B10))=TRUE),INDEX(croprotn_LDHR_E_l,MATCH(RIGHT($F$1,1),rotation_light,0)),
IF(AND(ISNUMBER(SEARCH("L-Dsty.H-Res",$B10))=TRUE,ISNUMBER(SEARCH("N.",$B10))=TRUE,ISNUMBER(SEARCH("light",$B10))=TRUE),INDEX(croprotn_LDHR_N_l,MATCH(RIGHT($F$1,1),rotation_light,0)),
IF(AND(ISNUMBER(SEARCH("L-Dsty.H-Res",$B10))=TRUE,ISNUMBER(SEARCH("C.",$B10))=TRUE,ISNUMBER(SEARCH("light",$B10))=TRUE),INDEX(croprotn_LDHR_C_l,MATCH(RIGHT($F$1,1),rotation_light,0)),
IF(AND(ISNUMBER(SEARCH("L-Dsty.L-Res",$B10))=TRUE,ISNUMBER(SEARCH("E.",$B10))=TRUE,ISNUMBER(SEARCH("light",$B10))=TRUE),INDEX(croprotn_LDLR_E_l,MATCH(RIGHT($F$1,1),rotation_light,0)),
IF(AND(ISNUMBER(SEARCH("L-Dsty.L-Res",$B10))=TRUE,ISNUMBER(SEARCH("N.",$B10))=TRUE,ISNUMBER(SEARCH("light",$B10))=TRUE),INDEX(croprotn_LDLR_N_l,MATCH(RIGHT($F$1,1),rotation_light,0)),
IF(AND(ISNUMBER(SEARCH("L-Dsty.L-Res",$B10))=TRUE,ISNUMBER(SEARCH("C.",$B10))=TRUE,ISNUMBER(SEARCH("light",$B10))=TRUE),INDEX(croprotn_LDLR_C_l,MATCH(RIGHT($F$1,1),rotation_light,0))
))))))))))))))))))</f>
        <v>setaside</v>
      </c>
      <c r="G10" s="344" t="s">
        <v>285</v>
      </c>
      <c r="H10" s="234" t="str">
        <f t="shared" si="1"/>
        <v>springbarley</v>
      </c>
      <c r="I10" s="234" t="str">
        <f t="shared" si="2"/>
        <v>winterwheat</v>
      </c>
      <c r="J10" s="234" t="str">
        <f t="shared" si="3"/>
        <v>wosr</v>
      </c>
      <c r="K10" s="234" t="str">
        <f t="shared" si="4"/>
        <v>winterwheat</v>
      </c>
      <c r="L10" s="154" t="str">
        <f t="shared" si="5"/>
        <v>lightcultivation</v>
      </c>
      <c r="M10" s="154" t="str">
        <f t="shared" si="6"/>
        <v>directdrilling</v>
      </c>
      <c r="N10" s="154" t="str">
        <f t="shared" si="7"/>
        <v>lightcultivation</v>
      </c>
      <c r="O10" s="154" t="str">
        <f t="shared" si="8"/>
        <v>lightcultivation</v>
      </c>
      <c r="P10" s="154" t="str">
        <f t="shared" si="76"/>
        <v>directdrilling</v>
      </c>
      <c r="Q10" s="154" t="str">
        <f t="shared" si="78"/>
        <v>lightcultivation</v>
      </c>
      <c r="R10" s="234">
        <f t="shared" si="9"/>
        <v>0</v>
      </c>
      <c r="S10" s="344">
        <f t="shared" si="10"/>
        <v>4.8</v>
      </c>
      <c r="T10" s="234">
        <f t="shared" si="11"/>
        <v>200</v>
      </c>
      <c r="U10" s="234">
        <f t="shared" si="12"/>
        <v>250</v>
      </c>
      <c r="V10" s="234">
        <f t="shared" si="13"/>
        <v>3.2</v>
      </c>
      <c r="W10" s="234">
        <f t="shared" si="14"/>
        <v>250</v>
      </c>
      <c r="X10" s="154" t="str">
        <f t="shared" si="15"/>
        <v>no</v>
      </c>
      <c r="Y10" s="154" t="str">
        <f t="shared" si="16"/>
        <v>no</v>
      </c>
      <c r="Z10" s="154" t="str">
        <f t="shared" si="17"/>
        <v>no</v>
      </c>
      <c r="AA10" s="154" t="str">
        <f t="shared" si="18"/>
        <v>late</v>
      </c>
      <c r="AB10" s="154" t="str">
        <f t="shared" si="19"/>
        <v>no</v>
      </c>
      <c r="AC10" s="154" t="str">
        <f t="shared" si="20"/>
        <v>late</v>
      </c>
      <c r="AD10" s="234">
        <f t="shared" si="21"/>
        <v>0</v>
      </c>
      <c r="AE10" s="238">
        <v>100</v>
      </c>
      <c r="AF10" s="234">
        <f t="shared" si="79"/>
        <v>110</v>
      </c>
      <c r="AG10" s="234">
        <f t="shared" si="77"/>
        <v>220</v>
      </c>
      <c r="AH10" s="234">
        <f t="shared" si="80"/>
        <v>180</v>
      </c>
      <c r="AI10" s="234">
        <f t="shared" si="81"/>
        <v>220</v>
      </c>
      <c r="AJ10" s="154">
        <f t="shared" si="23"/>
        <v>0</v>
      </c>
      <c r="AK10" s="238">
        <f t="shared" si="24"/>
        <v>32</v>
      </c>
      <c r="AL10" s="154">
        <f t="shared" si="25"/>
        <v>44</v>
      </c>
      <c r="AM10" s="154">
        <f t="shared" si="26"/>
        <v>67</v>
      </c>
      <c r="AN10" s="154">
        <f t="shared" si="27"/>
        <v>49</v>
      </c>
      <c r="AO10" s="154">
        <f t="shared" si="28"/>
        <v>67</v>
      </c>
      <c r="AP10" s="154">
        <f t="shared" si="29"/>
        <v>0</v>
      </c>
      <c r="AQ10" s="238">
        <f t="shared" si="30"/>
        <v>25</v>
      </c>
      <c r="AR10" s="154">
        <f t="shared" si="31"/>
        <v>32</v>
      </c>
      <c r="AS10" s="154">
        <f t="shared" si="32"/>
        <v>48</v>
      </c>
      <c r="AT10" s="154">
        <f t="shared" si="33"/>
        <v>39</v>
      </c>
      <c r="AU10" s="154">
        <f t="shared" si="34"/>
        <v>48</v>
      </c>
      <c r="AV10" s="234">
        <f t="shared" si="35"/>
        <v>0</v>
      </c>
      <c r="AW10" s="234">
        <f t="shared" si="36"/>
        <v>0</v>
      </c>
      <c r="AX10" s="234">
        <f t="shared" si="37"/>
        <v>4</v>
      </c>
      <c r="AY10" s="234">
        <f t="shared" si="38"/>
        <v>9.3000000000000007</v>
      </c>
      <c r="AZ10" s="234">
        <f t="shared" si="39"/>
        <v>3.1</v>
      </c>
      <c r="BA10" s="234">
        <f t="shared" si="40"/>
        <v>9.3000000000000007</v>
      </c>
      <c r="BB10" s="234">
        <f t="shared" si="41"/>
        <v>8.1999999999999993</v>
      </c>
      <c r="BC10" s="234">
        <f t="shared" si="42"/>
        <v>4.2</v>
      </c>
      <c r="BD10" s="234">
        <f t="shared" si="43"/>
        <v>4.2</v>
      </c>
      <c r="BE10" s="234">
        <f t="shared" si="44"/>
        <v>4.2</v>
      </c>
      <c r="BF10" s="234">
        <f t="shared" si="45"/>
        <v>2</v>
      </c>
      <c r="BG10" s="234">
        <f t="shared" si="46"/>
        <v>4.2</v>
      </c>
      <c r="BH10" s="234">
        <f t="shared" si="47"/>
        <v>5</v>
      </c>
      <c r="BI10" s="234">
        <f t="shared" si="48"/>
        <v>3</v>
      </c>
      <c r="BJ10" s="234">
        <f t="shared" si="49"/>
        <v>5</v>
      </c>
      <c r="BK10" s="234">
        <f t="shared" si="50"/>
        <v>5</v>
      </c>
      <c r="BL10" s="234">
        <f t="shared" si="51"/>
        <v>3</v>
      </c>
      <c r="BM10" s="234">
        <f t="shared" si="52"/>
        <v>5</v>
      </c>
      <c r="BN10" s="154" t="s">
        <v>483</v>
      </c>
      <c r="BO10" s="154" t="str">
        <f t="shared" si="53"/>
        <v>high</v>
      </c>
      <c r="BP10" s="154" t="str">
        <f t="shared" si="54"/>
        <v>medium</v>
      </c>
      <c r="BQ10" s="154" t="str">
        <f t="shared" si="55"/>
        <v>low</v>
      </c>
      <c r="BR10" s="154" t="s">
        <v>183</v>
      </c>
      <c r="BS10" s="154" t="s">
        <v>183</v>
      </c>
      <c r="BT10" s="154" t="s">
        <v>183</v>
      </c>
      <c r="BU10" s="154">
        <f t="shared" si="56"/>
        <v>0</v>
      </c>
      <c r="BV10" s="238">
        <f t="shared" si="57"/>
        <v>335</v>
      </c>
      <c r="BW10" s="154">
        <f t="shared" si="58"/>
        <v>157</v>
      </c>
      <c r="BX10" s="154">
        <f t="shared" si="59"/>
        <v>150</v>
      </c>
      <c r="BY10" s="154">
        <f t="shared" si="60"/>
        <v>335</v>
      </c>
      <c r="BZ10" s="154">
        <f t="shared" si="61"/>
        <v>150</v>
      </c>
      <c r="CA10" s="356">
        <f t="array" ref="CA10">IF(yieldsetting1="estimate",0,INDEX(cropdata, MATCH(yieldsource,outputs,0), MATCH($F10,cropdatacrops,0)))</f>
        <v>0</v>
      </c>
      <c r="CB10" s="357">
        <f t="array" ref="CB10">IF(yieldsetting1="estimate",0,INDEX(cropdata, MATCH(yieldsource,outputs,0), MATCH($G10,cropdatacrops,0)))</f>
        <v>0</v>
      </c>
      <c r="CC10" s="356">
        <f t="array" ref="CC10">IF(yieldsetting1="estimate",0,INDEX(cropdata, MATCH(yieldsource,outputs,0), MATCH($H10,cropdatacrops,0)))</f>
        <v>0</v>
      </c>
      <c r="CD10" s="356">
        <f t="array" ref="CD10">IF(yieldsetting1="estimate",0,INDEX(cropdata, MATCH(yieldsource,outputs,0), MATCH($I10,cropdatacrops,0)))</f>
        <v>0</v>
      </c>
      <c r="CE10" s="356">
        <f t="array" ref="CE10">IF(yieldsetting1="estimate",0,INDEX(cropdata, MATCH(yieldsource,outputs,0), MATCH($J10,cropdatacrops,0)))</f>
        <v>0</v>
      </c>
      <c r="CF10" s="356">
        <f t="array" ref="CF10">IF(yieldsetting1="estimate",0,INDEX(cropdata, MATCH(yieldsource,outputs,0), MATCH($K10,cropdatacrops,0)))</f>
        <v>0</v>
      </c>
      <c r="CG10" s="154" t="str">
        <f t="shared" si="62"/>
        <v>estimate</v>
      </c>
      <c r="CH10" s="235">
        <f t="shared" si="63"/>
        <v>0.8</v>
      </c>
      <c r="CI10" s="235">
        <f t="shared" si="64"/>
        <v>0.72</v>
      </c>
      <c r="CJ10" s="154">
        <f t="shared" si="65"/>
        <v>0.46</v>
      </c>
      <c r="CK10" s="154">
        <f t="shared" si="66"/>
        <v>0</v>
      </c>
      <c r="CL10" s="238">
        <f t="shared" si="67"/>
        <v>7.64</v>
      </c>
      <c r="CM10" s="154">
        <f t="shared" si="68"/>
        <v>0.38</v>
      </c>
      <c r="CN10" s="154">
        <f t="shared" si="69"/>
        <v>0.36</v>
      </c>
      <c r="CO10" s="154">
        <f t="shared" si="70"/>
        <v>7.34</v>
      </c>
      <c r="CP10" s="154">
        <f t="shared" si="71"/>
        <v>0.36</v>
      </c>
      <c r="CQ10" s="154">
        <f t="shared" si="72"/>
        <v>19.5</v>
      </c>
      <c r="CR10" s="154">
        <f t="shared" si="72"/>
        <v>19.5</v>
      </c>
      <c r="CS10" s="154">
        <f t="shared" si="72"/>
        <v>19.5</v>
      </c>
      <c r="CT10" s="154">
        <f t="shared" si="72"/>
        <v>19.5</v>
      </c>
      <c r="CU10" s="154">
        <f t="shared" si="72"/>
        <v>19.5</v>
      </c>
      <c r="CV10" s="154">
        <f t="shared" si="72"/>
        <v>19.5</v>
      </c>
      <c r="CW10" s="154">
        <f t="shared" si="73"/>
        <v>2.4300000000000002</v>
      </c>
      <c r="CX10" s="154">
        <f t="shared" si="73"/>
        <v>2.4300000000000002</v>
      </c>
      <c r="CY10" s="154">
        <f t="shared" si="73"/>
        <v>2.4300000000000002</v>
      </c>
      <c r="CZ10" s="154">
        <f t="shared" si="73"/>
        <v>2.4300000000000002</v>
      </c>
      <c r="DA10" s="154">
        <f t="shared" si="73"/>
        <v>2.4300000000000002</v>
      </c>
      <c r="DB10" s="154">
        <f t="shared" si="73"/>
        <v>2.4300000000000002</v>
      </c>
      <c r="DC10" s="154">
        <v>102</v>
      </c>
      <c r="DD10" s="154">
        <v>6</v>
      </c>
      <c r="DE10" s="154">
        <v>4</v>
      </c>
      <c r="DF10" s="154">
        <v>1400</v>
      </c>
      <c r="DG10" s="154">
        <v>125</v>
      </c>
      <c r="DH10" s="154">
        <f t="shared" si="74"/>
        <v>0.625</v>
      </c>
      <c r="DI10" s="154">
        <f t="shared" si="75"/>
        <v>10.08</v>
      </c>
    </row>
    <row r="11" spans="1:113" x14ac:dyDescent="0.2">
      <c r="A11" s="331" t="s">
        <v>1719</v>
      </c>
      <c r="B11" s="330" t="s">
        <v>487</v>
      </c>
      <c r="C11" s="330" t="s">
        <v>1646</v>
      </c>
      <c r="D11" s="233" t="str">
        <f>IF(ISNUMBER(SEARCH("heavy",B11))=TRUE,"2.25",
IF(ISNUMBER(SEARCH("medium",B11))=TRUE,"1.50",
IF(ISNUMBER(SEARCH("light",B11))=TRUE,"0.75")))</f>
        <v>1.50</v>
      </c>
      <c r="E11" s="154">
        <v>6</v>
      </c>
      <c r="F11" s="234" t="str" cm="1">
        <f t="array" ref="F11">IF(AND(ISNUMBER(SEARCH("H-Dsty.H-Res",$B11))=TRUE,ISNUMBER(SEARCH("E.",$B11))=TRUE,OR(ISNUMBER(SEARCH("heavy",$B11)),ISNUMBER(SEARCH("MEDIUM",$B11)))=TRUE),INDEX(croprotn_HDHR_E_h,MATCH(RIGHT($F$1,1),rotation_heavy,0)),
IF(AND(ISNUMBER(SEARCH("H-Dsty.H-Res",$B11))=TRUE,ISNUMBER(SEARCH("N.",$B11))=TRUE,OR(ISNUMBER(SEARCH("heavy",$B11)),ISNUMBER(SEARCH("MEDIUM",$B11)))=TRUE),INDEX(croprotn_HDHR_N_h,MATCH(RIGHT($F$1,1),rotation_heavy,0)),
IF(AND(ISNUMBER(SEARCH("H-Dsty.H-Res",$B11))=TRUE,ISNUMBER(SEARCH("C.",$B11))=TRUE,OR(ISNUMBER(SEARCH("heavy",$B11)),ISNUMBER(SEARCH("MEDIUM",$B11)))=TRUE),INDEX(croprotn_HDHR_C_h,MATCH(RIGHT($F$1,1),rotation_heavy,0)),
IF(AND(ISNUMBER(SEARCH("L-Dsty.H-Res",$B11))=TRUE,ISNUMBER(SEARCH("E.",$B11))=TRUE,OR(ISNUMBER(SEARCH("heavy",$B11)),ISNUMBER(SEARCH("MEDIUM",$B11)))=TRUE),INDEX(croprotn_LDHR_E_h,MATCH(RIGHT($F$1,1),rotation_heavy,0)),
IF(AND(ISNUMBER(SEARCH("L-Dsty.H-Res",$B11))=TRUE,ISNUMBER(SEARCH("N.",$B11))=TRUE,OR(ISNUMBER(SEARCH("heavy",$B11)),ISNUMBER(SEARCH("MEDIUM",$B11)))=TRUE),INDEX(croprotn_LDHR_N_h,MATCH(RIGHT($F$1,1),rotation_heavy,0)),
IF(AND(ISNUMBER(SEARCH("L-Dsty.H-Res",$B11))=TRUE,ISNUMBER(SEARCH("C.",$B11))=TRUE,OR(ISNUMBER(SEARCH("heavy",$B11)),ISNUMBER(SEARCH("MEDIUM",$B11)))=TRUE),INDEX(croprotn_LDHR_C_h,MATCH(RIGHT($F$1,1),rotation_heavy,0)),
IF(AND(ISNUMBER(SEARCH("L-Dsty.L-Res",$B11))=TRUE,ISNUMBER(SEARCH("E.",$B11))=TRUE,OR(ISNUMBER(SEARCH("heavy",$B11)),ISNUMBER(SEARCH("MEDIUM",$B11)))=TRUE),INDEX(croprotn_LDLR_E_h,MATCH(RIGHT($F$1,1),rotation_heavy,0)),
IF(AND(ISNUMBER(SEARCH("L-Dsty.L-Res",$B11))=TRUE,ISNUMBER(SEARCH("N.",$B11))=TRUE,OR(ISNUMBER(SEARCH("heavy",$B11)),ISNUMBER(SEARCH("MEDIUM",$B11)))=TRUE),INDEX(croprotn_LDLR_N_h,MATCH(RIGHT($F$1,1),rotation_heavy,0)),
IF(AND(ISNUMBER(SEARCH("L-Dsty.L-Res",$B11))=TRUE,ISNUMBER(SEARCH("C.",$B11))=TRUE,OR(ISNUMBER(SEARCH("heavy",$B11)),ISNUMBER(SEARCH("MEDIUM",$B11)))=TRUE),INDEX(croprotn_LDLR_C_h,MATCH(RIGHT($F$1,1),rotation_heavy,0)),
IF(AND(ISNUMBER(SEARCH("H-Dsty.H-Res",$B11))=TRUE,ISNUMBER(SEARCH("E.",$B11))=TRUE,ISNUMBER(SEARCH("light",$B11))=TRUE),INDEX(croprotn_HDHR_E_l,MATCH(RIGHT($F$1,1),rotation_light,0)),
IF(AND(ISNUMBER(SEARCH("H-Dsty.H-Res",$B11))=TRUE,ISNUMBER(SEARCH("N.",$B11))=TRUE,ISNUMBER(SEARCH("light",$B11))=TRUE),INDEX(croprotn_HDHR_N_l,MATCH(RIGHT($F$1,1),rotation_light,0)),
IF(AND(ISNUMBER(SEARCH("H-Dsty.H-Res",$B11))=TRUE,ISNUMBER(SEARCH("C.",$B11))=TRUE,ISNUMBER(SEARCH("light",$B11))=TRUE),INDEX(croprotn_HDHR_C_l,MATCH(RIGHT($F$1,1),rotation_light,0)),
IF(AND(ISNUMBER(SEARCH("L-Dsty.H-Res",$B11))=TRUE,ISNUMBER(SEARCH("E.",$B11))=TRUE,ISNUMBER(SEARCH("light",$B11))=TRUE),INDEX(croprotn_LDHR_E_l,MATCH(RIGHT($F$1,1),rotation_light,0)),
IF(AND(ISNUMBER(SEARCH("L-Dsty.H-Res",$B11))=TRUE,ISNUMBER(SEARCH("N.",$B11))=TRUE,ISNUMBER(SEARCH("light",$B11))=TRUE),INDEX(croprotn_LDHR_N_l,MATCH(RIGHT($F$1,1),rotation_light,0)),
IF(AND(ISNUMBER(SEARCH("L-Dsty.H-Res",$B11))=TRUE,ISNUMBER(SEARCH("C.",$B11))=TRUE,ISNUMBER(SEARCH("light",$B11))=TRUE),INDEX(croprotn_LDHR_C_l,MATCH(RIGHT($F$1,1),rotation_light,0)),
IF(AND(ISNUMBER(SEARCH("L-Dsty.L-Res",$B11))=TRUE,ISNUMBER(SEARCH("E.",$B11))=TRUE,ISNUMBER(SEARCH("light",$B11))=TRUE),INDEX(croprotn_LDLR_E_l,MATCH(RIGHT($F$1,1),rotation_light,0)),
IF(AND(ISNUMBER(SEARCH("L-Dsty.L-Res",$B11))=TRUE,ISNUMBER(SEARCH("N.",$B11))=TRUE,ISNUMBER(SEARCH("light",$B11))=TRUE),INDEX(croprotn_LDLR_N_l,MATCH(RIGHT($F$1,1),rotation_light,0)),
IF(AND(ISNUMBER(SEARCH("L-Dsty.L-Res",$B11))=TRUE,ISNUMBER(SEARCH("C.",$B11))=TRUE,ISNUMBER(SEARCH("light",$B11))=TRUE),INDEX(croprotn_LDLR_C_l,MATCH(RIGHT($F$1,1),rotation_light,0))
))))))))))))))))))</f>
        <v>setaside</v>
      </c>
      <c r="G11" s="344" t="s">
        <v>285</v>
      </c>
      <c r="H11" s="234" t="str">
        <f t="shared" si="1"/>
        <v>springbarley</v>
      </c>
      <c r="I11" s="234" t="str">
        <f t="shared" si="2"/>
        <v>winterwheat</v>
      </c>
      <c r="J11" s="234" t="str">
        <f t="shared" si="3"/>
        <v>wosr</v>
      </c>
      <c r="K11" s="234" t="str">
        <f t="shared" si="4"/>
        <v>winterwheat</v>
      </c>
      <c r="L11" s="154" t="str">
        <f t="shared" si="5"/>
        <v>lightcultivation</v>
      </c>
      <c r="M11" s="154" t="str">
        <f t="shared" si="6"/>
        <v>directdrilling</v>
      </c>
      <c r="N11" s="154" t="str">
        <f t="shared" si="7"/>
        <v>lightcultivation</v>
      </c>
      <c r="O11" s="154" t="str">
        <f t="shared" si="8"/>
        <v>lightcultivation</v>
      </c>
      <c r="P11" s="154" t="str">
        <f t="shared" si="76"/>
        <v>directdrilling</v>
      </c>
      <c r="Q11" s="154" t="str">
        <f t="shared" si="78"/>
        <v>lightcultivation</v>
      </c>
      <c r="R11" s="234">
        <f t="shared" si="9"/>
        <v>0</v>
      </c>
      <c r="S11" s="344">
        <f t="shared" si="10"/>
        <v>4.8</v>
      </c>
      <c r="T11" s="234">
        <f t="shared" si="11"/>
        <v>200</v>
      </c>
      <c r="U11" s="234">
        <f t="shared" si="12"/>
        <v>250</v>
      </c>
      <c r="V11" s="234">
        <f t="shared" si="13"/>
        <v>3.2</v>
      </c>
      <c r="W11" s="234">
        <f t="shared" si="14"/>
        <v>250</v>
      </c>
      <c r="X11" s="154" t="str">
        <f t="shared" si="15"/>
        <v>no</v>
      </c>
      <c r="Y11" s="154" t="str">
        <f t="shared" si="16"/>
        <v>no</v>
      </c>
      <c r="Z11" s="154" t="str">
        <f t="shared" si="17"/>
        <v>no</v>
      </c>
      <c r="AA11" s="154" t="str">
        <f t="shared" si="18"/>
        <v>late</v>
      </c>
      <c r="AB11" s="154" t="str">
        <f t="shared" si="19"/>
        <v>no</v>
      </c>
      <c r="AC11" s="154" t="str">
        <f t="shared" si="20"/>
        <v>late</v>
      </c>
      <c r="AD11" s="234">
        <f t="shared" si="21"/>
        <v>0</v>
      </c>
      <c r="AE11" s="238">
        <v>100</v>
      </c>
      <c r="AF11" s="234">
        <f t="shared" si="79"/>
        <v>110</v>
      </c>
      <c r="AG11" s="234">
        <f t="shared" si="77"/>
        <v>220</v>
      </c>
      <c r="AH11" s="234">
        <f t="shared" si="80"/>
        <v>180</v>
      </c>
      <c r="AI11" s="234">
        <f t="shared" si="81"/>
        <v>220</v>
      </c>
      <c r="AJ11" s="154">
        <f t="shared" si="23"/>
        <v>0</v>
      </c>
      <c r="AK11" s="238">
        <f t="shared" si="24"/>
        <v>32</v>
      </c>
      <c r="AL11" s="154">
        <f t="shared" si="25"/>
        <v>44</v>
      </c>
      <c r="AM11" s="154">
        <f t="shared" si="26"/>
        <v>67</v>
      </c>
      <c r="AN11" s="154">
        <f t="shared" si="27"/>
        <v>49</v>
      </c>
      <c r="AO11" s="154">
        <f t="shared" si="28"/>
        <v>67</v>
      </c>
      <c r="AP11" s="154">
        <f t="shared" si="29"/>
        <v>0</v>
      </c>
      <c r="AQ11" s="238">
        <f t="shared" si="30"/>
        <v>25</v>
      </c>
      <c r="AR11" s="154">
        <f t="shared" si="31"/>
        <v>32</v>
      </c>
      <c r="AS11" s="154">
        <f t="shared" si="32"/>
        <v>48</v>
      </c>
      <c r="AT11" s="154">
        <f t="shared" si="33"/>
        <v>39</v>
      </c>
      <c r="AU11" s="154">
        <f t="shared" si="34"/>
        <v>48</v>
      </c>
      <c r="AV11" s="234">
        <f t="shared" si="35"/>
        <v>0</v>
      </c>
      <c r="AW11" s="234">
        <f t="shared" si="36"/>
        <v>0</v>
      </c>
      <c r="AX11" s="234">
        <f t="shared" si="37"/>
        <v>4</v>
      </c>
      <c r="AY11" s="234">
        <f t="shared" si="38"/>
        <v>9.3000000000000007</v>
      </c>
      <c r="AZ11" s="234">
        <f t="shared" si="39"/>
        <v>3.1</v>
      </c>
      <c r="BA11" s="234">
        <f t="shared" si="40"/>
        <v>9.3000000000000007</v>
      </c>
      <c r="BB11" s="234">
        <f t="shared" si="41"/>
        <v>8.1999999999999993</v>
      </c>
      <c r="BC11" s="234">
        <f t="shared" si="42"/>
        <v>4.2</v>
      </c>
      <c r="BD11" s="234">
        <f t="shared" si="43"/>
        <v>4.2</v>
      </c>
      <c r="BE11" s="234">
        <f t="shared" si="44"/>
        <v>4.2</v>
      </c>
      <c r="BF11" s="234">
        <f t="shared" si="45"/>
        <v>2</v>
      </c>
      <c r="BG11" s="234">
        <f t="shared" si="46"/>
        <v>4.2</v>
      </c>
      <c r="BH11" s="234">
        <f t="shared" si="47"/>
        <v>5</v>
      </c>
      <c r="BI11" s="234">
        <f t="shared" si="48"/>
        <v>3</v>
      </c>
      <c r="BJ11" s="234">
        <f t="shared" si="49"/>
        <v>5</v>
      </c>
      <c r="BK11" s="234">
        <f t="shared" si="50"/>
        <v>5</v>
      </c>
      <c r="BL11" s="234">
        <f t="shared" si="51"/>
        <v>3</v>
      </c>
      <c r="BM11" s="234">
        <f t="shared" si="52"/>
        <v>5</v>
      </c>
      <c r="BN11" s="154" t="s">
        <v>483</v>
      </c>
      <c r="BO11" s="154" t="str">
        <f t="shared" si="53"/>
        <v>veryhigh</v>
      </c>
      <c r="BP11" s="154" t="str">
        <f t="shared" si="54"/>
        <v>high</v>
      </c>
      <c r="BQ11" s="154" t="str">
        <f t="shared" si="55"/>
        <v>medium</v>
      </c>
      <c r="BR11" s="154" t="s">
        <v>18</v>
      </c>
      <c r="BS11" s="154" t="s">
        <v>18</v>
      </c>
      <c r="BT11" s="154" t="s">
        <v>18</v>
      </c>
      <c r="BU11" s="154">
        <f t="shared" si="56"/>
        <v>0</v>
      </c>
      <c r="BV11" s="238">
        <f t="shared" si="57"/>
        <v>335</v>
      </c>
      <c r="BW11" s="154">
        <f t="shared" si="58"/>
        <v>157</v>
      </c>
      <c r="BX11" s="154">
        <f t="shared" si="59"/>
        <v>150</v>
      </c>
      <c r="BY11" s="154">
        <f t="shared" si="60"/>
        <v>335</v>
      </c>
      <c r="BZ11" s="154">
        <f t="shared" si="61"/>
        <v>150</v>
      </c>
      <c r="CA11" s="356">
        <f t="array" ref="CA11">IF(yieldsetting1="estimate",0,INDEX(cropdata, MATCH(yieldsource,outputs,0), MATCH($F11,cropdatacrops,0)))</f>
        <v>0</v>
      </c>
      <c r="CB11" s="357">
        <f t="array" ref="CB11">IF(yieldsetting1="estimate",0,INDEX(cropdata, MATCH(yieldsource,outputs,0), MATCH($G11,cropdatacrops,0)))</f>
        <v>0</v>
      </c>
      <c r="CC11" s="356">
        <f t="array" ref="CC11">IF(yieldsetting1="estimate",0,INDEX(cropdata, MATCH(yieldsource,outputs,0), MATCH($H11,cropdatacrops,0)))</f>
        <v>0</v>
      </c>
      <c r="CD11" s="356">
        <f t="array" ref="CD11">IF(yieldsetting1="estimate",0,INDEX(cropdata, MATCH(yieldsource,outputs,0), MATCH($I11,cropdatacrops,0)))</f>
        <v>0</v>
      </c>
      <c r="CE11" s="356">
        <f t="array" ref="CE11">IF(yieldsetting1="estimate",0,INDEX(cropdata, MATCH(yieldsource,outputs,0), MATCH($J11,cropdatacrops,0)))</f>
        <v>0</v>
      </c>
      <c r="CF11" s="356">
        <f t="array" ref="CF11">IF(yieldsetting1="estimate",0,INDEX(cropdata, MATCH(yieldsource,outputs,0), MATCH($K11,cropdatacrops,0)))</f>
        <v>0</v>
      </c>
      <c r="CG11" s="154" t="str">
        <f t="shared" si="62"/>
        <v>estimate</v>
      </c>
      <c r="CH11" s="235">
        <f t="shared" si="63"/>
        <v>0.8</v>
      </c>
      <c r="CI11" s="235">
        <f t="shared" si="64"/>
        <v>0.72</v>
      </c>
      <c r="CJ11" s="154">
        <f t="shared" si="65"/>
        <v>0.46</v>
      </c>
      <c r="CK11" s="154">
        <f t="shared" si="66"/>
        <v>0</v>
      </c>
      <c r="CL11" s="238">
        <f t="shared" si="67"/>
        <v>7.64</v>
      </c>
      <c r="CM11" s="154">
        <f t="shared" si="68"/>
        <v>0.38</v>
      </c>
      <c r="CN11" s="154">
        <f t="shared" si="69"/>
        <v>0.36</v>
      </c>
      <c r="CO11" s="154">
        <f t="shared" si="70"/>
        <v>7.34</v>
      </c>
      <c r="CP11" s="154">
        <f t="shared" si="71"/>
        <v>0.36</v>
      </c>
      <c r="CQ11" s="154">
        <f t="shared" si="72"/>
        <v>19.5</v>
      </c>
      <c r="CR11" s="154">
        <f t="shared" si="72"/>
        <v>19.5</v>
      </c>
      <c r="CS11" s="154">
        <f t="shared" si="72"/>
        <v>19.5</v>
      </c>
      <c r="CT11" s="154">
        <f t="shared" si="72"/>
        <v>19.5</v>
      </c>
      <c r="CU11" s="154">
        <f t="shared" si="72"/>
        <v>19.5</v>
      </c>
      <c r="CV11" s="154">
        <f t="shared" si="72"/>
        <v>19.5</v>
      </c>
      <c r="CW11" s="154">
        <f t="shared" si="73"/>
        <v>2.4300000000000002</v>
      </c>
      <c r="CX11" s="154">
        <f t="shared" si="73"/>
        <v>2.4300000000000002</v>
      </c>
      <c r="CY11" s="154">
        <f t="shared" si="73"/>
        <v>2.4300000000000002</v>
      </c>
      <c r="CZ11" s="154">
        <f t="shared" si="73"/>
        <v>2.4300000000000002</v>
      </c>
      <c r="DA11" s="154">
        <f t="shared" si="73"/>
        <v>2.4300000000000002</v>
      </c>
      <c r="DB11" s="154">
        <f t="shared" si="73"/>
        <v>2.4300000000000002</v>
      </c>
      <c r="DC11" s="154">
        <v>102</v>
      </c>
      <c r="DD11" s="154">
        <v>6</v>
      </c>
      <c r="DE11" s="154">
        <v>4</v>
      </c>
      <c r="DF11" s="154">
        <v>1400</v>
      </c>
      <c r="DG11" s="154">
        <v>125</v>
      </c>
      <c r="DH11" s="154">
        <f t="shared" si="74"/>
        <v>0.625</v>
      </c>
      <c r="DI11" s="154">
        <f t="shared" si="75"/>
        <v>10.08</v>
      </c>
    </row>
    <row r="12" spans="1:113" x14ac:dyDescent="0.2">
      <c r="A12" s="331" t="s">
        <v>1720</v>
      </c>
      <c r="B12" s="330" t="s">
        <v>490</v>
      </c>
      <c r="C12" s="330" t="s">
        <v>1653</v>
      </c>
      <c r="D12" s="233" t="str">
        <f>IF(ISNUMBER(SEARCH("heavy",B12))=TRUE,"2.25",
IF(ISNUMBER(SEARCH("medium",B12))=TRUE,"1.5",
IF(ISNUMBER(SEARCH("light",B12))=TRUE,"0.75")))</f>
        <v>0.75</v>
      </c>
      <c r="E12" s="154">
        <v>6</v>
      </c>
      <c r="F12" s="234" t="str" cm="1">
        <f t="array" ref="F12">IF(AND(ISNUMBER(SEARCH("H-Dsty.H-Res",$B12))=TRUE,ISNUMBER(SEARCH("E.",$B12))=TRUE,OR(ISNUMBER(SEARCH("heavy",$B12)),ISNUMBER(SEARCH("MEDIUM",$B12)))=TRUE),INDEX(croprotn_HDHR_E_h,MATCH(RIGHT($F$1,1),rotation_heavy,0)),
IF(AND(ISNUMBER(SEARCH("H-Dsty.H-Res",$B12))=TRUE,ISNUMBER(SEARCH("N.",$B12))=TRUE,OR(ISNUMBER(SEARCH("heavy",$B12)),ISNUMBER(SEARCH("MEDIUM",$B12)))=TRUE),INDEX(croprotn_HDHR_N_h,MATCH(RIGHT($F$1,1),rotation_heavy,0)),
IF(AND(ISNUMBER(SEARCH("H-Dsty.H-Res",$B12))=TRUE,ISNUMBER(SEARCH("C.",$B12))=TRUE,OR(ISNUMBER(SEARCH("heavy",$B12)),ISNUMBER(SEARCH("MEDIUM",$B12)))=TRUE),INDEX(croprotn_HDHR_C_h,MATCH(RIGHT($F$1,1),rotation_heavy,0)),
IF(AND(ISNUMBER(SEARCH("L-Dsty.H-Res",$B12))=TRUE,ISNUMBER(SEARCH("E.",$B12))=TRUE,OR(ISNUMBER(SEARCH("heavy",$B12)),ISNUMBER(SEARCH("MEDIUM",$B12)))=TRUE),INDEX(croprotn_LDHR_E_h,MATCH(RIGHT($F$1,1),rotation_heavy,0)),
IF(AND(ISNUMBER(SEARCH("L-Dsty.H-Res",$B12))=TRUE,ISNUMBER(SEARCH("N.",$B12))=TRUE,OR(ISNUMBER(SEARCH("heavy",$B12)),ISNUMBER(SEARCH("MEDIUM",$B12)))=TRUE),INDEX(croprotn_LDHR_N_h,MATCH(RIGHT($F$1,1),rotation_heavy,0)),
IF(AND(ISNUMBER(SEARCH("L-Dsty.H-Res",$B12))=TRUE,ISNUMBER(SEARCH("C.",$B12))=TRUE,OR(ISNUMBER(SEARCH("heavy",$B12)),ISNUMBER(SEARCH("MEDIUM",$B12)))=TRUE),INDEX(croprotn_LDHR_C_h,MATCH(RIGHT($F$1,1),rotation_heavy,0)),
IF(AND(ISNUMBER(SEARCH("L-Dsty.L-Res",$B12))=TRUE,ISNUMBER(SEARCH("E.",$B12))=TRUE,OR(ISNUMBER(SEARCH("heavy",$B12)),ISNUMBER(SEARCH("MEDIUM",$B12)))=TRUE),INDEX(croprotn_LDLR_E_h,MATCH(RIGHT($F$1,1),rotation_heavy,0)),
IF(AND(ISNUMBER(SEARCH("L-Dsty.L-Res",$B12))=TRUE,ISNUMBER(SEARCH("N.",$B12))=TRUE,OR(ISNUMBER(SEARCH("heavy",$B12)),ISNUMBER(SEARCH("MEDIUM",$B12)))=TRUE),INDEX(croprotn_LDLR_N_h,MATCH(RIGHT($F$1,1),rotation_heavy,0)),
IF(AND(ISNUMBER(SEARCH("L-Dsty.L-Res",$B12))=TRUE,ISNUMBER(SEARCH("C.",$B12))=TRUE,OR(ISNUMBER(SEARCH("heavy",$B12)),ISNUMBER(SEARCH("MEDIUM",$B12)))=TRUE),INDEX(croprotn_LDLR_C_h,MATCH(RIGHT($F$1,1),rotation_heavy,0)),
IF(AND(ISNUMBER(SEARCH("H-Dsty.H-Res",$B12))=TRUE,ISNUMBER(SEARCH("E.",$B12))=TRUE,ISNUMBER(SEARCH("light",$B12))=TRUE),INDEX(croprotn_HDHR_E_l,MATCH(RIGHT($F$1,1),rotation_light,0)),
IF(AND(ISNUMBER(SEARCH("H-Dsty.H-Res",$B12))=TRUE,ISNUMBER(SEARCH("N.",$B12))=TRUE,ISNUMBER(SEARCH("light",$B12))=TRUE),INDEX(croprotn_HDHR_N_l,MATCH(RIGHT($F$1,1),rotation_light,0)),
IF(AND(ISNUMBER(SEARCH("H-Dsty.H-Res",$B12))=TRUE,ISNUMBER(SEARCH("C.",$B12))=TRUE,ISNUMBER(SEARCH("light",$B12))=TRUE),INDEX(croprotn_HDHR_C_l,MATCH(RIGHT($F$1,1),rotation_light,0)),
IF(AND(ISNUMBER(SEARCH("L-Dsty.H-Res",$B12))=TRUE,ISNUMBER(SEARCH("E.",$B12))=TRUE,ISNUMBER(SEARCH("light",$B12))=TRUE),INDEX(croprotn_LDHR_E_l,MATCH(RIGHT($F$1,1),rotation_light,0)),
IF(AND(ISNUMBER(SEARCH("L-Dsty.H-Res",$B12))=TRUE,ISNUMBER(SEARCH("N.",$B12))=TRUE,ISNUMBER(SEARCH("light",$B12))=TRUE),INDEX(croprotn_LDHR_N_l,MATCH(RIGHT($F$1,1),rotation_light,0)),
IF(AND(ISNUMBER(SEARCH("L-Dsty.H-Res",$B12))=TRUE,ISNUMBER(SEARCH("C.",$B12))=TRUE,ISNUMBER(SEARCH("light",$B12))=TRUE),INDEX(croprotn_LDHR_C_l,MATCH(RIGHT($F$1,1),rotation_light,0)),
IF(AND(ISNUMBER(SEARCH("L-Dsty.L-Res",$B12))=TRUE,ISNUMBER(SEARCH("E.",$B12))=TRUE,ISNUMBER(SEARCH("light",$B12))=TRUE),INDEX(croprotn_LDLR_E_l,MATCH(RIGHT($F$1,1),rotation_light,0)),
IF(AND(ISNUMBER(SEARCH("L-Dsty.L-Res",$B12))=TRUE,ISNUMBER(SEARCH("N.",$B12))=TRUE,ISNUMBER(SEARCH("light",$B12))=TRUE),INDEX(croprotn_LDLR_N_l,MATCH(RIGHT($F$1,1),rotation_light,0)),
IF(AND(ISNUMBER(SEARCH("L-Dsty.L-Res",$B12))=TRUE,ISNUMBER(SEARCH("C.",$B12))=TRUE,ISNUMBER(SEARCH("light",$B12))=TRUE),INDEX(croprotn_LDLR_C_l,MATCH(RIGHT($F$1,1),rotation_light,0))
))))))))))))))))))</f>
        <v>setaside</v>
      </c>
      <c r="G12" s="344" t="s">
        <v>285</v>
      </c>
      <c r="H12" s="234" t="str">
        <f t="shared" si="1"/>
        <v>springbarley</v>
      </c>
      <c r="I12" s="234" t="str">
        <f t="shared" si="2"/>
        <v>winterwheat</v>
      </c>
      <c r="J12" s="234" t="str">
        <f t="shared" si="3"/>
        <v>wosr</v>
      </c>
      <c r="K12" s="234" t="str">
        <f t="shared" si="4"/>
        <v>winterwheat</v>
      </c>
      <c r="L12" s="154" t="str">
        <f t="shared" si="5"/>
        <v>lightcultivation</v>
      </c>
      <c r="M12" s="154" t="str">
        <f t="shared" si="6"/>
        <v>directdrilling</v>
      </c>
      <c r="N12" s="154" t="str">
        <f t="shared" si="7"/>
        <v>lightcultivation</v>
      </c>
      <c r="O12" s="154" t="str">
        <f t="shared" si="8"/>
        <v>lightcultivation</v>
      </c>
      <c r="P12" s="154" t="str">
        <f t="shared" si="76"/>
        <v>directdrilling</v>
      </c>
      <c r="Q12" s="154" t="str">
        <f t="shared" si="78"/>
        <v>lightcultivation</v>
      </c>
      <c r="R12" s="234">
        <f t="shared" si="9"/>
        <v>0</v>
      </c>
      <c r="S12" s="344">
        <f t="shared" si="10"/>
        <v>4.8</v>
      </c>
      <c r="T12" s="234">
        <f t="shared" si="11"/>
        <v>200</v>
      </c>
      <c r="U12" s="234">
        <f t="shared" si="12"/>
        <v>250</v>
      </c>
      <c r="V12" s="234">
        <f t="shared" si="13"/>
        <v>3.2</v>
      </c>
      <c r="W12" s="234">
        <f t="shared" si="14"/>
        <v>250</v>
      </c>
      <c r="X12" s="154" t="str">
        <f t="shared" si="15"/>
        <v>no</v>
      </c>
      <c r="Y12" s="154" t="str">
        <f t="shared" si="16"/>
        <v>no</v>
      </c>
      <c r="Z12" s="154" t="str">
        <f t="shared" si="17"/>
        <v>no</v>
      </c>
      <c r="AA12" s="154" t="str">
        <f t="shared" si="18"/>
        <v>late</v>
      </c>
      <c r="AB12" s="154" t="str">
        <f t="shared" si="19"/>
        <v>no</v>
      </c>
      <c r="AC12" s="154" t="str">
        <f t="shared" si="20"/>
        <v>late</v>
      </c>
      <c r="AD12" s="234">
        <f t="shared" si="21"/>
        <v>0</v>
      </c>
      <c r="AE12" s="238">
        <v>100</v>
      </c>
      <c r="AF12" s="234">
        <f t="shared" si="79"/>
        <v>110</v>
      </c>
      <c r="AG12" s="345">
        <v>150</v>
      </c>
      <c r="AH12" s="234">
        <f t="shared" si="80"/>
        <v>180</v>
      </c>
      <c r="AI12" s="234">
        <f t="shared" si="81"/>
        <v>220</v>
      </c>
      <c r="AJ12" s="154">
        <f t="shared" si="23"/>
        <v>0</v>
      </c>
      <c r="AK12" s="238">
        <f t="shared" si="24"/>
        <v>32</v>
      </c>
      <c r="AL12" s="154">
        <f t="shared" si="25"/>
        <v>44</v>
      </c>
      <c r="AM12" s="154">
        <f t="shared" si="26"/>
        <v>67</v>
      </c>
      <c r="AN12" s="154">
        <f t="shared" si="27"/>
        <v>49</v>
      </c>
      <c r="AO12" s="154">
        <f t="shared" si="28"/>
        <v>67</v>
      </c>
      <c r="AP12" s="154">
        <f t="shared" si="29"/>
        <v>0</v>
      </c>
      <c r="AQ12" s="238">
        <f t="shared" si="30"/>
        <v>25</v>
      </c>
      <c r="AR12" s="154">
        <f t="shared" si="31"/>
        <v>32</v>
      </c>
      <c r="AS12" s="154">
        <f t="shared" si="32"/>
        <v>48</v>
      </c>
      <c r="AT12" s="154">
        <f t="shared" si="33"/>
        <v>39</v>
      </c>
      <c r="AU12" s="154">
        <f t="shared" si="34"/>
        <v>48</v>
      </c>
      <c r="AV12" s="234">
        <f t="shared" si="35"/>
        <v>0</v>
      </c>
      <c r="AW12" s="234">
        <f t="shared" si="36"/>
        <v>0</v>
      </c>
      <c r="AX12" s="234">
        <f t="shared" si="37"/>
        <v>4</v>
      </c>
      <c r="AY12" s="234">
        <f t="shared" si="38"/>
        <v>9.3000000000000007</v>
      </c>
      <c r="AZ12" s="234">
        <f t="shared" si="39"/>
        <v>3.1</v>
      </c>
      <c r="BA12" s="234">
        <f t="shared" si="40"/>
        <v>9.3000000000000007</v>
      </c>
      <c r="BB12" s="234">
        <f t="shared" si="41"/>
        <v>8.1999999999999993</v>
      </c>
      <c r="BC12" s="234">
        <f t="shared" si="42"/>
        <v>4.2</v>
      </c>
      <c r="BD12" s="234">
        <f t="shared" si="43"/>
        <v>4.2</v>
      </c>
      <c r="BE12" s="234">
        <f t="shared" si="44"/>
        <v>4.2</v>
      </c>
      <c r="BF12" s="234">
        <f t="shared" si="45"/>
        <v>2</v>
      </c>
      <c r="BG12" s="234">
        <f t="shared" si="46"/>
        <v>4.2</v>
      </c>
      <c r="BH12" s="234">
        <f t="shared" si="47"/>
        <v>5</v>
      </c>
      <c r="BI12" s="234">
        <f t="shared" si="48"/>
        <v>3</v>
      </c>
      <c r="BJ12" s="234">
        <f t="shared" si="49"/>
        <v>5</v>
      </c>
      <c r="BK12" s="234">
        <f t="shared" si="50"/>
        <v>5</v>
      </c>
      <c r="BL12" s="234">
        <f t="shared" si="51"/>
        <v>3</v>
      </c>
      <c r="BM12" s="234">
        <f t="shared" si="52"/>
        <v>5</v>
      </c>
      <c r="BN12" s="154" t="s">
        <v>483</v>
      </c>
      <c r="BO12" s="154" t="str">
        <f t="shared" si="53"/>
        <v>high</v>
      </c>
      <c r="BP12" s="154" t="str">
        <f t="shared" si="54"/>
        <v>medium</v>
      </c>
      <c r="BQ12" s="154" t="str">
        <f t="shared" si="55"/>
        <v>low</v>
      </c>
      <c r="BR12" s="154" t="s">
        <v>182</v>
      </c>
      <c r="BS12" s="154" t="s">
        <v>182</v>
      </c>
      <c r="BT12" s="154" t="s">
        <v>182</v>
      </c>
      <c r="BU12" s="154">
        <f t="shared" si="56"/>
        <v>0</v>
      </c>
      <c r="BV12" s="238">
        <f t="shared" si="57"/>
        <v>335</v>
      </c>
      <c r="BW12" s="154">
        <f t="shared" si="58"/>
        <v>157</v>
      </c>
      <c r="BX12" s="154">
        <f t="shared" si="59"/>
        <v>150</v>
      </c>
      <c r="BY12" s="154">
        <f t="shared" si="60"/>
        <v>335</v>
      </c>
      <c r="BZ12" s="154">
        <f t="shared" si="61"/>
        <v>150</v>
      </c>
      <c r="CA12" s="356">
        <f t="array" ref="CA12">IF(yieldsetting1="estimate",0,INDEX(cropdata, MATCH(yieldsource,outputs,0), MATCH($F12,cropdatacrops,0)))</f>
        <v>0</v>
      </c>
      <c r="CB12" s="357">
        <f t="array" ref="CB12">IF(yieldsetting1="estimate",0,INDEX(cropdata, MATCH(yieldsource,outputs,0), MATCH($G12,cropdatacrops,0)))</f>
        <v>0</v>
      </c>
      <c r="CC12" s="356">
        <f t="array" ref="CC12">IF(yieldsetting1="estimate",0,INDEX(cropdata, MATCH(yieldsource,outputs,0), MATCH($H12,cropdatacrops,0)))</f>
        <v>0</v>
      </c>
      <c r="CD12" s="356">
        <f t="array" ref="CD12">IF(yieldsetting1="estimate",0,INDEX(cropdata, MATCH(yieldsource,outputs,0), MATCH($I12,cropdatacrops,0)))</f>
        <v>0</v>
      </c>
      <c r="CE12" s="356">
        <f t="array" ref="CE12">IF(yieldsetting1="estimate",0,INDEX(cropdata, MATCH(yieldsource,outputs,0), MATCH($J12,cropdatacrops,0)))</f>
        <v>0</v>
      </c>
      <c r="CF12" s="356">
        <f t="array" ref="CF12">IF(yieldsetting1="estimate",0,INDEX(cropdata, MATCH(yieldsource,outputs,0), MATCH($K12,cropdatacrops,0)))</f>
        <v>0</v>
      </c>
      <c r="CG12" s="154" t="str">
        <f t="shared" si="62"/>
        <v>estimate</v>
      </c>
      <c r="CH12" s="235">
        <f t="shared" si="63"/>
        <v>0.8</v>
      </c>
      <c r="CI12" s="235">
        <f t="shared" si="64"/>
        <v>0.72</v>
      </c>
      <c r="CJ12" s="154">
        <f t="shared" si="65"/>
        <v>0.46</v>
      </c>
      <c r="CK12" s="154">
        <f t="shared" si="66"/>
        <v>0</v>
      </c>
      <c r="CL12" s="238">
        <f t="shared" si="67"/>
        <v>7.64</v>
      </c>
      <c r="CM12" s="154">
        <f t="shared" si="68"/>
        <v>0.38</v>
      </c>
      <c r="CN12" s="154">
        <f t="shared" si="69"/>
        <v>0.36</v>
      </c>
      <c r="CO12" s="154">
        <f t="shared" si="70"/>
        <v>7.34</v>
      </c>
      <c r="CP12" s="154">
        <f t="shared" si="71"/>
        <v>0.36</v>
      </c>
      <c r="CQ12" s="154">
        <f t="shared" ref="CQ12:CV21" si="82">herbprice</f>
        <v>19.5</v>
      </c>
      <c r="CR12" s="154">
        <f t="shared" si="82"/>
        <v>19.5</v>
      </c>
      <c r="CS12" s="154">
        <f t="shared" si="82"/>
        <v>19.5</v>
      </c>
      <c r="CT12" s="154">
        <f t="shared" si="82"/>
        <v>19.5</v>
      </c>
      <c r="CU12" s="154">
        <f t="shared" si="82"/>
        <v>19.5</v>
      </c>
      <c r="CV12" s="154">
        <f t="shared" si="82"/>
        <v>19.5</v>
      </c>
      <c r="CW12" s="154">
        <f t="shared" ref="CW12:DB21" si="83">glyprice</f>
        <v>2.4300000000000002</v>
      </c>
      <c r="CX12" s="154">
        <f t="shared" si="83"/>
        <v>2.4300000000000002</v>
      </c>
      <c r="CY12" s="154">
        <f t="shared" si="83"/>
        <v>2.4300000000000002</v>
      </c>
      <c r="CZ12" s="154">
        <f t="shared" si="83"/>
        <v>2.4300000000000002</v>
      </c>
      <c r="DA12" s="154">
        <f t="shared" si="83"/>
        <v>2.4300000000000002</v>
      </c>
      <c r="DB12" s="154">
        <f t="shared" si="83"/>
        <v>2.4300000000000002</v>
      </c>
      <c r="DC12" s="154">
        <v>102</v>
      </c>
      <c r="DD12" s="154">
        <v>6</v>
      </c>
      <c r="DE12" s="154">
        <v>4</v>
      </c>
      <c r="DF12" s="154">
        <v>1400</v>
      </c>
      <c r="DG12" s="154">
        <v>125</v>
      </c>
      <c r="DH12" s="154">
        <f t="shared" si="74"/>
        <v>0.625</v>
      </c>
      <c r="DI12" s="154">
        <f t="shared" si="75"/>
        <v>10.08</v>
      </c>
    </row>
    <row r="13" spans="1:113" x14ac:dyDescent="0.2">
      <c r="A13" s="331" t="s">
        <v>1721</v>
      </c>
      <c r="B13" s="330" t="s">
        <v>490</v>
      </c>
      <c r="C13" s="330" t="s">
        <v>1654</v>
      </c>
      <c r="D13" s="233" t="str">
        <f>IF(ISNUMBER(SEARCH("heavy",B13))=TRUE,"2.25",
IF(ISNUMBER(SEARCH("medium",B13))=TRUE,"1.5",
IF(ISNUMBER(SEARCH("light",B13))=TRUE,"0.75")))</f>
        <v>0.75</v>
      </c>
      <c r="E13" s="154">
        <v>6</v>
      </c>
      <c r="F13" s="234" t="str" cm="1">
        <f t="array" ref="F13">IF(AND(ISNUMBER(SEARCH("H-Dsty.H-Res",$B13))=TRUE,ISNUMBER(SEARCH("E.",$B13))=TRUE,OR(ISNUMBER(SEARCH("heavy",$B13)),ISNUMBER(SEARCH("MEDIUM",$B13)))=TRUE),INDEX(croprotn_HDHR_E_h,MATCH(RIGHT($F$1,1),rotation_heavy,0)),
IF(AND(ISNUMBER(SEARCH("H-Dsty.H-Res",$B13))=TRUE,ISNUMBER(SEARCH("N.",$B13))=TRUE,OR(ISNUMBER(SEARCH("heavy",$B13)),ISNUMBER(SEARCH("MEDIUM",$B13)))=TRUE),INDEX(croprotn_HDHR_N_h,MATCH(RIGHT($F$1,1),rotation_heavy,0)),
IF(AND(ISNUMBER(SEARCH("H-Dsty.H-Res",$B13))=TRUE,ISNUMBER(SEARCH("C.",$B13))=TRUE,OR(ISNUMBER(SEARCH("heavy",$B13)),ISNUMBER(SEARCH("MEDIUM",$B13)))=TRUE),INDEX(croprotn_HDHR_C_h,MATCH(RIGHT($F$1,1),rotation_heavy,0)),
IF(AND(ISNUMBER(SEARCH("L-Dsty.H-Res",$B13))=TRUE,ISNUMBER(SEARCH("E.",$B13))=TRUE,OR(ISNUMBER(SEARCH("heavy",$B13)),ISNUMBER(SEARCH("MEDIUM",$B13)))=TRUE),INDEX(croprotn_LDHR_E_h,MATCH(RIGHT($F$1,1),rotation_heavy,0)),
IF(AND(ISNUMBER(SEARCH("L-Dsty.H-Res",$B13))=TRUE,ISNUMBER(SEARCH("N.",$B13))=TRUE,OR(ISNUMBER(SEARCH("heavy",$B13)),ISNUMBER(SEARCH("MEDIUM",$B13)))=TRUE),INDEX(croprotn_LDHR_N_h,MATCH(RIGHT($F$1,1),rotation_heavy,0)),
IF(AND(ISNUMBER(SEARCH("L-Dsty.H-Res",$B13))=TRUE,ISNUMBER(SEARCH("C.",$B13))=TRUE,OR(ISNUMBER(SEARCH("heavy",$B13)),ISNUMBER(SEARCH("MEDIUM",$B13)))=TRUE),INDEX(croprotn_LDHR_C_h,MATCH(RIGHT($F$1,1),rotation_heavy,0)),
IF(AND(ISNUMBER(SEARCH("L-Dsty.L-Res",$B13))=TRUE,ISNUMBER(SEARCH("E.",$B13))=TRUE,OR(ISNUMBER(SEARCH("heavy",$B13)),ISNUMBER(SEARCH("MEDIUM",$B13)))=TRUE),INDEX(croprotn_LDLR_E_h,MATCH(RIGHT($F$1,1),rotation_heavy,0)),
IF(AND(ISNUMBER(SEARCH("L-Dsty.L-Res",$B13))=TRUE,ISNUMBER(SEARCH("N.",$B13))=TRUE,OR(ISNUMBER(SEARCH("heavy",$B13)),ISNUMBER(SEARCH("MEDIUM",$B13)))=TRUE),INDEX(croprotn_LDLR_N_h,MATCH(RIGHT($F$1,1),rotation_heavy,0)),
IF(AND(ISNUMBER(SEARCH("L-Dsty.L-Res",$B13))=TRUE,ISNUMBER(SEARCH("C.",$B13))=TRUE,OR(ISNUMBER(SEARCH("heavy",$B13)),ISNUMBER(SEARCH("MEDIUM",$B13)))=TRUE),INDEX(croprotn_LDLR_C_h,MATCH(RIGHT($F$1,1),rotation_heavy,0)),
IF(AND(ISNUMBER(SEARCH("H-Dsty.H-Res",$B13))=TRUE,ISNUMBER(SEARCH("E.",$B13))=TRUE,ISNUMBER(SEARCH("light",$B13))=TRUE),INDEX(croprotn_HDHR_E_l,MATCH(RIGHT($F$1,1),rotation_light,0)),
IF(AND(ISNUMBER(SEARCH("H-Dsty.H-Res",$B13))=TRUE,ISNUMBER(SEARCH("N.",$B13))=TRUE,ISNUMBER(SEARCH("light",$B13))=TRUE),INDEX(croprotn_HDHR_N_l,MATCH(RIGHT($F$1,1),rotation_light,0)),
IF(AND(ISNUMBER(SEARCH("H-Dsty.H-Res",$B13))=TRUE,ISNUMBER(SEARCH("C.",$B13))=TRUE,ISNUMBER(SEARCH("light",$B13))=TRUE),INDEX(croprotn_HDHR_C_l,MATCH(RIGHT($F$1,1),rotation_light,0)),
IF(AND(ISNUMBER(SEARCH("L-Dsty.H-Res",$B13))=TRUE,ISNUMBER(SEARCH("E.",$B13))=TRUE,ISNUMBER(SEARCH("light",$B13))=TRUE),INDEX(croprotn_LDHR_E_l,MATCH(RIGHT($F$1,1),rotation_light,0)),
IF(AND(ISNUMBER(SEARCH("L-Dsty.H-Res",$B13))=TRUE,ISNUMBER(SEARCH("N.",$B13))=TRUE,ISNUMBER(SEARCH("light",$B13))=TRUE),INDEX(croprotn_LDHR_N_l,MATCH(RIGHT($F$1,1),rotation_light,0)),
IF(AND(ISNUMBER(SEARCH("L-Dsty.H-Res",$B13))=TRUE,ISNUMBER(SEARCH("C.",$B13))=TRUE,ISNUMBER(SEARCH("light",$B13))=TRUE),INDEX(croprotn_LDHR_C_l,MATCH(RIGHT($F$1,1),rotation_light,0)),
IF(AND(ISNUMBER(SEARCH("L-Dsty.L-Res",$B13))=TRUE,ISNUMBER(SEARCH("E.",$B13))=TRUE,ISNUMBER(SEARCH("light",$B13))=TRUE),INDEX(croprotn_LDLR_E_l,MATCH(RIGHT($F$1,1),rotation_light,0)),
IF(AND(ISNUMBER(SEARCH("L-Dsty.L-Res",$B13))=TRUE,ISNUMBER(SEARCH("N.",$B13))=TRUE,ISNUMBER(SEARCH("light",$B13))=TRUE),INDEX(croprotn_LDLR_N_l,MATCH(RIGHT($F$1,1),rotation_light,0)),
IF(AND(ISNUMBER(SEARCH("L-Dsty.L-Res",$B13))=TRUE,ISNUMBER(SEARCH("C.",$B13))=TRUE,ISNUMBER(SEARCH("light",$B13))=TRUE),INDEX(croprotn_LDLR_C_l,MATCH(RIGHT($F$1,1),rotation_light,0))
))))))))))))))))))</f>
        <v>setaside</v>
      </c>
      <c r="G13" s="344" t="s">
        <v>285</v>
      </c>
      <c r="H13" s="234" t="str">
        <f t="shared" si="1"/>
        <v>springbarley</v>
      </c>
      <c r="I13" s="234" t="str">
        <f t="shared" si="2"/>
        <v>winterwheat</v>
      </c>
      <c r="J13" s="234" t="str">
        <f t="shared" si="3"/>
        <v>wosr</v>
      </c>
      <c r="K13" s="234" t="str">
        <f t="shared" si="4"/>
        <v>winterwheat</v>
      </c>
      <c r="L13" s="154" t="str">
        <f t="shared" si="5"/>
        <v>lightcultivation</v>
      </c>
      <c r="M13" s="154" t="str">
        <f t="shared" si="6"/>
        <v>directdrilling</v>
      </c>
      <c r="N13" s="154" t="str">
        <f t="shared" si="7"/>
        <v>lightcultivation</v>
      </c>
      <c r="O13" s="154" t="str">
        <f t="shared" si="8"/>
        <v>lightcultivation</v>
      </c>
      <c r="P13" s="154" t="str">
        <f t="shared" si="76"/>
        <v>directdrilling</v>
      </c>
      <c r="Q13" s="154" t="str">
        <f t="shared" si="78"/>
        <v>lightcultivation</v>
      </c>
      <c r="R13" s="234">
        <f t="shared" si="9"/>
        <v>0</v>
      </c>
      <c r="S13" s="344">
        <f t="shared" si="10"/>
        <v>4.8</v>
      </c>
      <c r="T13" s="234">
        <f t="shared" si="11"/>
        <v>200</v>
      </c>
      <c r="U13" s="234">
        <f t="shared" si="12"/>
        <v>250</v>
      </c>
      <c r="V13" s="234">
        <f t="shared" si="13"/>
        <v>3.2</v>
      </c>
      <c r="W13" s="234">
        <f t="shared" si="14"/>
        <v>250</v>
      </c>
      <c r="X13" s="154" t="str">
        <f t="shared" si="15"/>
        <v>no</v>
      </c>
      <c r="Y13" s="154" t="str">
        <f t="shared" si="16"/>
        <v>no</v>
      </c>
      <c r="Z13" s="154" t="str">
        <f t="shared" si="17"/>
        <v>no</v>
      </c>
      <c r="AA13" s="154" t="str">
        <f t="shared" si="18"/>
        <v>late</v>
      </c>
      <c r="AB13" s="154" t="str">
        <f t="shared" si="19"/>
        <v>no</v>
      </c>
      <c r="AC13" s="154" t="str">
        <f t="shared" si="20"/>
        <v>late</v>
      </c>
      <c r="AD13" s="234">
        <f t="shared" si="21"/>
        <v>0</v>
      </c>
      <c r="AE13" s="238">
        <v>100</v>
      </c>
      <c r="AF13" s="234">
        <f t="shared" si="79"/>
        <v>110</v>
      </c>
      <c r="AG13" s="345">
        <v>150</v>
      </c>
      <c r="AH13" s="234">
        <f t="shared" si="80"/>
        <v>180</v>
      </c>
      <c r="AI13" s="234">
        <f t="shared" si="81"/>
        <v>220</v>
      </c>
      <c r="AJ13" s="154">
        <f t="shared" si="23"/>
        <v>0</v>
      </c>
      <c r="AK13" s="238">
        <f t="shared" si="24"/>
        <v>32</v>
      </c>
      <c r="AL13" s="154">
        <f t="shared" si="25"/>
        <v>44</v>
      </c>
      <c r="AM13" s="154">
        <f t="shared" si="26"/>
        <v>67</v>
      </c>
      <c r="AN13" s="154">
        <f t="shared" si="27"/>
        <v>49</v>
      </c>
      <c r="AO13" s="154">
        <f t="shared" si="28"/>
        <v>67</v>
      </c>
      <c r="AP13" s="154">
        <f t="shared" si="29"/>
        <v>0</v>
      </c>
      <c r="AQ13" s="238">
        <f t="shared" si="30"/>
        <v>25</v>
      </c>
      <c r="AR13" s="154">
        <f t="shared" si="31"/>
        <v>32</v>
      </c>
      <c r="AS13" s="154">
        <f t="shared" si="32"/>
        <v>48</v>
      </c>
      <c r="AT13" s="154">
        <f t="shared" si="33"/>
        <v>39</v>
      </c>
      <c r="AU13" s="154">
        <f t="shared" si="34"/>
        <v>48</v>
      </c>
      <c r="AV13" s="234">
        <f t="shared" si="35"/>
        <v>0</v>
      </c>
      <c r="AW13" s="234">
        <f t="shared" si="36"/>
        <v>0</v>
      </c>
      <c r="AX13" s="234">
        <f t="shared" si="37"/>
        <v>4</v>
      </c>
      <c r="AY13" s="234">
        <f t="shared" si="38"/>
        <v>9.3000000000000007</v>
      </c>
      <c r="AZ13" s="234">
        <f t="shared" si="39"/>
        <v>3.1</v>
      </c>
      <c r="BA13" s="234">
        <f t="shared" si="40"/>
        <v>9.3000000000000007</v>
      </c>
      <c r="BB13" s="234">
        <f t="shared" si="41"/>
        <v>8.1999999999999993</v>
      </c>
      <c r="BC13" s="234">
        <f t="shared" si="42"/>
        <v>4.2</v>
      </c>
      <c r="BD13" s="234">
        <f t="shared" si="43"/>
        <v>4.2</v>
      </c>
      <c r="BE13" s="234">
        <f t="shared" si="44"/>
        <v>4.2</v>
      </c>
      <c r="BF13" s="234">
        <f t="shared" si="45"/>
        <v>2</v>
      </c>
      <c r="BG13" s="234">
        <f t="shared" si="46"/>
        <v>4.2</v>
      </c>
      <c r="BH13" s="234">
        <f t="shared" si="47"/>
        <v>5</v>
      </c>
      <c r="BI13" s="234">
        <f t="shared" si="48"/>
        <v>3</v>
      </c>
      <c r="BJ13" s="234">
        <f t="shared" si="49"/>
        <v>5</v>
      </c>
      <c r="BK13" s="234">
        <f t="shared" si="50"/>
        <v>5</v>
      </c>
      <c r="BL13" s="234">
        <f t="shared" si="51"/>
        <v>3</v>
      </c>
      <c r="BM13" s="234">
        <f t="shared" si="52"/>
        <v>5</v>
      </c>
      <c r="BN13" s="154" t="s">
        <v>483</v>
      </c>
      <c r="BO13" s="154" t="str">
        <f t="shared" si="53"/>
        <v>veryhigh</v>
      </c>
      <c r="BP13" s="154" t="str">
        <f t="shared" si="54"/>
        <v>high</v>
      </c>
      <c r="BQ13" s="154" t="str">
        <f t="shared" si="55"/>
        <v>medium</v>
      </c>
      <c r="BR13" s="154" t="s">
        <v>183</v>
      </c>
      <c r="BS13" s="154" t="s">
        <v>183</v>
      </c>
      <c r="BT13" s="154" t="s">
        <v>183</v>
      </c>
      <c r="BU13" s="154">
        <f t="shared" si="56"/>
        <v>0</v>
      </c>
      <c r="BV13" s="238">
        <f t="shared" si="57"/>
        <v>335</v>
      </c>
      <c r="BW13" s="154">
        <f t="shared" si="58"/>
        <v>157</v>
      </c>
      <c r="BX13" s="154">
        <f t="shared" si="59"/>
        <v>150</v>
      </c>
      <c r="BY13" s="154">
        <f t="shared" si="60"/>
        <v>335</v>
      </c>
      <c r="BZ13" s="154">
        <f t="shared" si="61"/>
        <v>150</v>
      </c>
      <c r="CA13" s="356">
        <f t="array" ref="CA13">IF(yieldsetting1="estimate",0,INDEX(cropdata, MATCH(yieldsource,outputs,0), MATCH($F13,cropdatacrops,0)))</f>
        <v>0</v>
      </c>
      <c r="CB13" s="357">
        <f t="array" ref="CB13">IF(yieldsetting1="estimate",0,INDEX(cropdata, MATCH(yieldsource,outputs,0), MATCH($G13,cropdatacrops,0)))</f>
        <v>0</v>
      </c>
      <c r="CC13" s="356">
        <f t="array" ref="CC13">IF(yieldsetting1="estimate",0,INDEX(cropdata, MATCH(yieldsource,outputs,0), MATCH($H13,cropdatacrops,0)))</f>
        <v>0</v>
      </c>
      <c r="CD13" s="356">
        <f t="array" ref="CD13">IF(yieldsetting1="estimate",0,INDEX(cropdata, MATCH(yieldsource,outputs,0), MATCH($I13,cropdatacrops,0)))</f>
        <v>0</v>
      </c>
      <c r="CE13" s="356">
        <f t="array" ref="CE13">IF(yieldsetting1="estimate",0,INDEX(cropdata, MATCH(yieldsource,outputs,0), MATCH($J13,cropdatacrops,0)))</f>
        <v>0</v>
      </c>
      <c r="CF13" s="356">
        <f t="array" ref="CF13">IF(yieldsetting1="estimate",0,INDEX(cropdata, MATCH(yieldsource,outputs,0), MATCH($K13,cropdatacrops,0)))</f>
        <v>0</v>
      </c>
      <c r="CG13" s="154" t="str">
        <f t="shared" si="62"/>
        <v>estimate</v>
      </c>
      <c r="CH13" s="235">
        <f t="shared" si="63"/>
        <v>0.8</v>
      </c>
      <c r="CI13" s="235">
        <f t="shared" si="64"/>
        <v>0.72</v>
      </c>
      <c r="CJ13" s="154">
        <f t="shared" si="65"/>
        <v>0.46</v>
      </c>
      <c r="CK13" s="154">
        <f t="shared" si="66"/>
        <v>0</v>
      </c>
      <c r="CL13" s="238">
        <f t="shared" si="67"/>
        <v>7.64</v>
      </c>
      <c r="CM13" s="154">
        <f t="shared" si="68"/>
        <v>0.38</v>
      </c>
      <c r="CN13" s="154">
        <f t="shared" si="69"/>
        <v>0.36</v>
      </c>
      <c r="CO13" s="154">
        <f t="shared" si="70"/>
        <v>7.34</v>
      </c>
      <c r="CP13" s="154">
        <f t="shared" si="71"/>
        <v>0.36</v>
      </c>
      <c r="CQ13" s="154">
        <f t="shared" si="82"/>
        <v>19.5</v>
      </c>
      <c r="CR13" s="154">
        <f t="shared" si="82"/>
        <v>19.5</v>
      </c>
      <c r="CS13" s="154">
        <f t="shared" si="82"/>
        <v>19.5</v>
      </c>
      <c r="CT13" s="154">
        <f t="shared" si="82"/>
        <v>19.5</v>
      </c>
      <c r="CU13" s="154">
        <f t="shared" si="82"/>
        <v>19.5</v>
      </c>
      <c r="CV13" s="154">
        <f t="shared" si="82"/>
        <v>19.5</v>
      </c>
      <c r="CW13" s="154">
        <f t="shared" si="83"/>
        <v>2.4300000000000002</v>
      </c>
      <c r="CX13" s="154">
        <f t="shared" si="83"/>
        <v>2.4300000000000002</v>
      </c>
      <c r="CY13" s="154">
        <f t="shared" si="83"/>
        <v>2.4300000000000002</v>
      </c>
      <c r="CZ13" s="154">
        <f t="shared" si="83"/>
        <v>2.4300000000000002</v>
      </c>
      <c r="DA13" s="154">
        <f t="shared" si="83"/>
        <v>2.4300000000000002</v>
      </c>
      <c r="DB13" s="154">
        <f t="shared" si="83"/>
        <v>2.4300000000000002</v>
      </c>
      <c r="DC13" s="154">
        <v>102</v>
      </c>
      <c r="DD13" s="154">
        <v>6</v>
      </c>
      <c r="DE13" s="154">
        <v>4</v>
      </c>
      <c r="DF13" s="154">
        <v>1400</v>
      </c>
      <c r="DG13" s="154">
        <v>125</v>
      </c>
      <c r="DH13" s="154">
        <f t="shared" si="74"/>
        <v>0.625</v>
      </c>
      <c r="DI13" s="154">
        <f t="shared" si="75"/>
        <v>10.08</v>
      </c>
    </row>
    <row r="14" spans="1:113" x14ac:dyDescent="0.2">
      <c r="A14" s="331" t="s">
        <v>1722</v>
      </c>
      <c r="B14" s="330" t="s">
        <v>493</v>
      </c>
      <c r="C14" s="330" t="s">
        <v>1662</v>
      </c>
      <c r="D14" s="233" t="str">
        <f>IF(ISNUMBER(SEARCH("heavy",B14))=TRUE,"2.25",
IF(ISNUMBER(SEARCH("medium",B14))=TRUE,"1.5",
IF(ISNUMBER(SEARCH("light",B14))=TRUE,"0.75")))</f>
        <v>2.25</v>
      </c>
      <c r="E14" s="154">
        <v>6</v>
      </c>
      <c r="F14" s="234" t="str" cm="1">
        <f t="array" ref="F14">IF(AND(ISNUMBER(SEARCH("H-Dsty.H-Res",$B14))=TRUE,ISNUMBER(SEARCH("E.",$B14))=TRUE,OR(ISNUMBER(SEARCH("heavy",$B14)),ISNUMBER(SEARCH("MEDIUM",$B14)))=TRUE),INDEX(croprotn_HDHR_E_h,MATCH(RIGHT($F$1,1),rotation_heavy,0)),
IF(AND(ISNUMBER(SEARCH("H-Dsty.H-Res",$B14))=TRUE,ISNUMBER(SEARCH("N.",$B14))=TRUE,OR(ISNUMBER(SEARCH("heavy",$B14)),ISNUMBER(SEARCH("MEDIUM",$B14)))=TRUE),INDEX(croprotn_HDHR_N_h,MATCH(RIGHT($F$1,1),rotation_heavy,0)),
IF(AND(ISNUMBER(SEARCH("H-Dsty.H-Res",$B14))=TRUE,ISNUMBER(SEARCH("C.",$B14))=TRUE,OR(ISNUMBER(SEARCH("heavy",$B14)),ISNUMBER(SEARCH("MEDIUM",$B14)))=TRUE),INDEX(croprotn_HDHR_C_h,MATCH(RIGHT($F$1,1),rotation_heavy,0)),
IF(AND(ISNUMBER(SEARCH("L-Dsty.H-Res",$B14))=TRUE,ISNUMBER(SEARCH("E.",$B14))=TRUE,OR(ISNUMBER(SEARCH("heavy",$B14)),ISNUMBER(SEARCH("MEDIUM",$B14)))=TRUE),INDEX(croprotn_LDHR_E_h,MATCH(RIGHT($F$1,1),rotation_heavy,0)),
IF(AND(ISNUMBER(SEARCH("L-Dsty.H-Res",$B14))=TRUE,ISNUMBER(SEARCH("N.",$B14))=TRUE,OR(ISNUMBER(SEARCH("heavy",$B14)),ISNUMBER(SEARCH("MEDIUM",$B14)))=TRUE),INDEX(croprotn_LDHR_N_h,MATCH(RIGHT($F$1,1),rotation_heavy,0)),
IF(AND(ISNUMBER(SEARCH("L-Dsty.H-Res",$B14))=TRUE,ISNUMBER(SEARCH("C.",$B14))=TRUE,OR(ISNUMBER(SEARCH("heavy",$B14)),ISNUMBER(SEARCH("MEDIUM",$B14)))=TRUE),INDEX(croprotn_LDHR_C_h,MATCH(RIGHT($F$1,1),rotation_heavy,0)),
IF(AND(ISNUMBER(SEARCH("L-Dsty.L-Res",$B14))=TRUE,ISNUMBER(SEARCH("E.",$B14))=TRUE,OR(ISNUMBER(SEARCH("heavy",$B14)),ISNUMBER(SEARCH("MEDIUM",$B14)))=TRUE),INDEX(croprotn_LDLR_E_h,MATCH(RIGHT($F$1,1),rotation_heavy,0)),
IF(AND(ISNUMBER(SEARCH("L-Dsty.L-Res",$B14))=TRUE,ISNUMBER(SEARCH("N.",$B14))=TRUE,OR(ISNUMBER(SEARCH("heavy",$B14)),ISNUMBER(SEARCH("MEDIUM",$B14)))=TRUE),INDEX(croprotn_LDLR_N_h,MATCH(RIGHT($F$1,1),rotation_heavy,0)),
IF(AND(ISNUMBER(SEARCH("L-Dsty.L-Res",$B14))=TRUE,ISNUMBER(SEARCH("C.",$B14))=TRUE,OR(ISNUMBER(SEARCH("heavy",$B14)),ISNUMBER(SEARCH("MEDIUM",$B14)))=TRUE),INDEX(croprotn_LDLR_C_h,MATCH(RIGHT($F$1,1),rotation_heavy,0)),
IF(AND(ISNUMBER(SEARCH("H-Dsty.H-Res",$B14))=TRUE,ISNUMBER(SEARCH("E.",$B14))=TRUE,ISNUMBER(SEARCH("light",$B14))=TRUE),INDEX(croprotn_HDHR_E_l,MATCH(RIGHT($F$1,1),rotation_light,0)),
IF(AND(ISNUMBER(SEARCH("H-Dsty.H-Res",$B14))=TRUE,ISNUMBER(SEARCH("N.",$B14))=TRUE,ISNUMBER(SEARCH("light",$B14))=TRUE),INDEX(croprotn_HDHR_N_l,MATCH(RIGHT($F$1,1),rotation_light,0)),
IF(AND(ISNUMBER(SEARCH("H-Dsty.H-Res",$B14))=TRUE,ISNUMBER(SEARCH("C.",$B14))=TRUE,ISNUMBER(SEARCH("light",$B14))=TRUE),INDEX(croprotn_HDHR_C_l,MATCH(RIGHT($F$1,1),rotation_light,0)),
IF(AND(ISNUMBER(SEARCH("L-Dsty.H-Res",$B14))=TRUE,ISNUMBER(SEARCH("E.",$B14))=TRUE,ISNUMBER(SEARCH("light",$B14))=TRUE),INDEX(croprotn_LDHR_E_l,MATCH(RIGHT($F$1,1),rotation_light,0)),
IF(AND(ISNUMBER(SEARCH("L-Dsty.H-Res",$B14))=TRUE,ISNUMBER(SEARCH("N.",$B14))=TRUE,ISNUMBER(SEARCH("light",$B14))=TRUE),INDEX(croprotn_LDHR_N_l,MATCH(RIGHT($F$1,1),rotation_light,0)),
IF(AND(ISNUMBER(SEARCH("L-Dsty.H-Res",$B14))=TRUE,ISNUMBER(SEARCH("C.",$B14))=TRUE,ISNUMBER(SEARCH("light",$B14))=TRUE),INDEX(croprotn_LDHR_C_l,MATCH(RIGHT($F$1,1),rotation_light,0)),
IF(AND(ISNUMBER(SEARCH("L-Dsty.L-Res",$B14))=TRUE,ISNUMBER(SEARCH("E.",$B14))=TRUE,ISNUMBER(SEARCH("light",$B14))=TRUE),INDEX(croprotn_LDLR_E_l,MATCH(RIGHT($F$1,1),rotation_light,0)),
IF(AND(ISNUMBER(SEARCH("L-Dsty.L-Res",$B14))=TRUE,ISNUMBER(SEARCH("N.",$B14))=TRUE,ISNUMBER(SEARCH("light",$B14))=TRUE),INDEX(croprotn_LDLR_N_l,MATCH(RIGHT($F$1,1),rotation_light,0)),
IF(AND(ISNUMBER(SEARCH("L-Dsty.L-Res",$B14))=TRUE,ISNUMBER(SEARCH("C.",$B14))=TRUE,ISNUMBER(SEARCH("light",$B14))=TRUE),INDEX(croprotn_LDLR_C_l,MATCH(RIGHT($F$1,1),rotation_light,0))
))))))))))))))))))</f>
        <v>winterwheat</v>
      </c>
      <c r="G14" s="234" t="str">
        <f t="shared" ref="G14:G55" si="84">IF(AND(ISNUMBER(SEARCH("H-Dsty.H-Res",$B14))=TRUE,ISNUMBER(SEARCH("E.",$B14))=TRUE,OR(ISNUMBER(SEARCH("heavy",$B14)),ISNUMBER(SEARCH("MEDIUM",$B14)))=TRUE),INDEX(croprotn_HDHR_E_h,MATCH(RIGHT($G$1,1),rotation_heavy,0)),
IF(AND(ISNUMBER(SEARCH("H-Dsty.H-Res",$B14))=TRUE,ISNUMBER(SEARCH("N.",$B14))=TRUE,OR(ISNUMBER(SEARCH("heavy",$B14)),ISNUMBER(SEARCH("MEDIUM",$B14)))=TRUE),INDEX(croprotn_HDHR_N_h,MATCH(RIGHT($G$1,1),rotation_heavy,0)),
IF(AND(ISNUMBER(SEARCH("H-Dsty.H-Res",$B14))=TRUE,ISNUMBER(SEARCH("C.",$B14))=TRUE,OR(ISNUMBER(SEARCH("heavy",$B14)),ISNUMBER(SEARCH("MEDIUM",$B14)))=TRUE),INDEX(croprotn_HDHR_C_h,MATCH(RIGHT($G$1,1),rotation_heavy,0)),
IF(AND(ISNUMBER(SEARCH("L-Dsty.H-Res",$B14))=TRUE,ISNUMBER(SEARCH("E.",$B14))=TRUE,OR(ISNUMBER(SEARCH("heavy",$B14)),ISNUMBER(SEARCH("MEDIUM",$B14)))=TRUE),INDEX(croprotn_LDHR_E_h,MATCH(RIGHT($G$1,1),rotation_heavy,0)),
IF(AND(ISNUMBER(SEARCH("L-Dsty.H-Res",$B14))=TRUE,ISNUMBER(SEARCH("N.",$B14))=TRUE,OR(ISNUMBER(SEARCH("heavy",$B14)),ISNUMBER(SEARCH("MEDIUM",$B14)))=TRUE),INDEX(croprotn_LDHR_N_h,MATCH(RIGHT($G$1,1),rotation_heavy,0)),
IF(AND(ISNUMBER(SEARCH("L-Dsty.H-Res",$B14))=TRUE,ISNUMBER(SEARCH("C.",$B14))=TRUE,OR(ISNUMBER(SEARCH("heavy",$B14)),ISNUMBER(SEARCH("MEDIUM",$B14)))=TRUE),INDEX(croprotn_LDHR_C_h,MATCH(RIGHT($G$1,1),rotation_heavy,0)),
IF(AND(ISNUMBER(SEARCH("L-Dsty.L-Res",$B14))=TRUE,ISNUMBER(SEARCH("E.",$B14))=TRUE,OR(ISNUMBER(SEARCH("heavy",$B14)),ISNUMBER(SEARCH("MEDIUM",$B14)))=TRUE),INDEX(croprotn_LDLR_E_h,MATCH(RIGHT($G$1,1),rotation_heavy,0)),
IF(AND(ISNUMBER(SEARCH("L-Dsty.L-Res",$B14))=TRUE,ISNUMBER(SEARCH("N.",$B14))=TRUE,OR(ISNUMBER(SEARCH("heavy",$B14)),ISNUMBER(SEARCH("MEDIUM",$B14)))=TRUE),INDEX(croprotn_LDLR_N_h,MATCH(RIGHT($G$1,1),rotation_heavy,0)),
IF(AND(ISNUMBER(SEARCH("L-Dsty.L-Res",$B14))=TRUE,ISNUMBER(SEARCH("C.",$B14))=TRUE,OR(ISNUMBER(SEARCH("heavy",$B14)),ISNUMBER(SEARCH("MEDIUM",$B14)))=TRUE),INDEX(croprotn_LDLR_C_h,MATCH(RIGHT($G$1,1),rotation_heavy,0)),
IF(AND(ISNUMBER(SEARCH("H-Dsty.H-Res",$B14))=TRUE,ISNUMBER(SEARCH("E.",$B14))=TRUE,ISNUMBER(SEARCH("light",$B14))=TRUE),INDEX(croprotn_HDHR_E_l,MATCH(RIGHT($G$1,1),rotation_light,0)),
IF(AND(ISNUMBER(SEARCH("H-Dsty.H-Res",$B14))=TRUE,ISNUMBER(SEARCH("N.",$B14))=TRUE,ISNUMBER(SEARCH("light",$B14))=TRUE),INDEX(croprotn_HDHR_N_l,MATCH(RIGHT($G$1,1),rotation_light,0)),
IF(AND(ISNUMBER(SEARCH("H-Dsty.H-Res",$B14))=TRUE,ISNUMBER(SEARCH("C.",$B14))=TRUE,ISNUMBER(SEARCH("light",$B14))=TRUE),INDEX(croprotn_HDHR_C_l,MATCH(RIGHT($G$1,1),rotation_light,0)),
IF(AND(ISNUMBER(SEARCH("L-Dsty.H-Res",$B14))=TRUE,ISNUMBER(SEARCH("E.",$B14))=TRUE,ISNUMBER(SEARCH("light",$B14))=TRUE),INDEX(croprotn_LDHR_E_l,MATCH(RIGHT($G$1,1),rotation_light,0)),
IF(AND(ISNUMBER(SEARCH("L-Dsty.H-Res",$B14))=TRUE,ISNUMBER(SEARCH("N.",$B14))=TRUE,ISNUMBER(SEARCH("light",$B14))=TRUE),INDEX(croprotn_LDHR_N_l,MATCH(RIGHT($G$1,1),rotation_light,0)),
IF(AND(ISNUMBER(SEARCH("L-Dsty.H-Res",$B14))=TRUE,ISNUMBER(SEARCH("C.",$B14))=TRUE,ISNUMBER(SEARCH("light",$B14))=TRUE),INDEX(croprotn_LDHR_C_l,MATCH(RIGHT($G$1,1),rotation_light,0)),
IF(AND(ISNUMBER(SEARCH("L-Dsty.L-Res",$B14))=TRUE,ISNUMBER(SEARCH("E.",$B14))=TRUE,ISNUMBER(SEARCH("light",$B14))=TRUE),INDEX(croprotn_LDLR_E_l,MATCH(RIGHT($G$1,1),rotation_light,0)),
IF(AND(ISNUMBER(SEARCH("L-Dsty.L-Res",$B14))=TRUE,ISNUMBER(SEARCH("N.",$B14))=TRUE,ISNUMBER(SEARCH("light",$B14))=TRUE),INDEX(croprotn_LDLR_N_l,MATCH(RIGHT($G$1,1),rotation_light,0)),
IF(AND(ISNUMBER(SEARCH("L-Dsty.L-Res",$B14))=TRUE,ISNUMBER(SEARCH("C.",$B14))=TRUE,ISNUMBER(SEARCH("light",$B14))=TRUE),INDEX(croprotn_LDLR_C_l,MATCH(RIGHT($G$1,1),rotation_light,0))
))))))))))))))))))</f>
        <v>springbarley</v>
      </c>
      <c r="H14" s="234" t="str">
        <f t="shared" si="1"/>
        <v>springbeans</v>
      </c>
      <c r="I14" s="234" t="str">
        <f t="shared" si="2"/>
        <v>winterwheat</v>
      </c>
      <c r="J14" s="234" t="str">
        <f t="shared" si="3"/>
        <v>springbarley</v>
      </c>
      <c r="K14" s="234" t="str">
        <f t="shared" si="4"/>
        <v>wosr</v>
      </c>
      <c r="L14" s="154" t="str">
        <f t="shared" si="5"/>
        <v>lightcultivation</v>
      </c>
      <c r="M14" s="154" t="str">
        <f t="shared" si="6"/>
        <v>lightcultivation</v>
      </c>
      <c r="N14" s="154" t="str">
        <f t="shared" si="7"/>
        <v>ploughing</v>
      </c>
      <c r="O14" s="154" t="str">
        <f t="shared" si="8"/>
        <v>lightcultivation</v>
      </c>
      <c r="P14" s="154" t="str">
        <f t="shared" si="76"/>
        <v>lightcultivation</v>
      </c>
      <c r="Q14" s="154" t="str">
        <f t="shared" si="78"/>
        <v>directdrilling</v>
      </c>
      <c r="R14" s="234">
        <f t="shared" si="9"/>
        <v>250</v>
      </c>
      <c r="S14" s="234">
        <f t="shared" si="10"/>
        <v>200</v>
      </c>
      <c r="T14" s="234">
        <f t="shared" si="11"/>
        <v>365</v>
      </c>
      <c r="U14" s="234">
        <f t="shared" si="12"/>
        <v>250</v>
      </c>
      <c r="V14" s="234">
        <f t="shared" si="13"/>
        <v>200</v>
      </c>
      <c r="W14" s="234">
        <f t="shared" si="14"/>
        <v>3.2</v>
      </c>
      <c r="X14" s="154" t="str">
        <f t="shared" si="15"/>
        <v>late</v>
      </c>
      <c r="Y14" s="154" t="str">
        <f t="shared" si="16"/>
        <v>late</v>
      </c>
      <c r="Z14" s="154" t="str">
        <f t="shared" si="17"/>
        <v>no</v>
      </c>
      <c r="AA14" s="154" t="str">
        <f t="shared" si="18"/>
        <v>late</v>
      </c>
      <c r="AB14" s="154" t="str">
        <f t="shared" si="19"/>
        <v>late</v>
      </c>
      <c r="AC14" s="154" t="str">
        <f t="shared" si="20"/>
        <v>no</v>
      </c>
      <c r="AD14" s="234">
        <f t="shared" si="21"/>
        <v>250</v>
      </c>
      <c r="AE14" s="234">
        <f t="shared" ref="AE14:AE55" si="85">IF(AND(ISNUMBER(SEARCH("H-Dsty.",$B14))=TRUE,ISNUMBER(SEARCH("H-Res",$B14))=TRUE,ISNUMBER(SEARCH("E.",$B14))=TRUE),INDEX(fertrate_HDHR_E,MATCH($G14,fertrate_CROPS,0)),
IF(AND(ISNUMBER(SEARCH("H-Dsty.",$B14))=TRUE,ISNUMBER(SEARCH("H-Res",$B14))=TRUE,ISNUMBER(SEARCH("N.",$B14))=TRUE),INDEX(fertrate_HDHR_N,MATCH($G14,fertrate_CROPS,0)),
IF(AND(ISNUMBER(SEARCH("H-Dsty.",$B14))=TRUE,ISNUMBER(SEARCH("H-Res",$B14))=TRUE,ISNUMBER(SEARCH("C.",$B14))=TRUE),INDEX(fertrate_HDHR_C,MATCH($G14,fertrate_CROPS,0)),
IF(AND(ISNUMBER(SEARCH("L-Dsty.",$B14))=TRUE,ISNUMBER(SEARCH("H-Res",$B14))=TRUE,ISNUMBER(SEARCH("E.",$B14))=TRUE),INDEX(fertrate_LDHR_E,MATCH($G14,fertrate_CROPS,0)),
IF(AND(ISNUMBER(SEARCH("L-Dsty.",$B14))=TRUE,ISNUMBER(SEARCH("H-Res",$B14))=TRUE,ISNUMBER(SEARCH("N.",$B14))=TRUE),INDEX(fertrate_LDHR_N,MATCH($G14,fertrate_CROPS,0)),
IF(AND(ISNUMBER(SEARCH("L-Dsty.",$B14))=TRUE,ISNUMBER(SEARCH("H-Res",$B14))=TRUE,ISNUMBER(SEARCH("C.",$B14))=TRUE),INDEX(fertrate_LDHR_C,MATCH($G14,fertrate_CROPS,0)),
IF(AND(ISNUMBER(SEARCH("L-Dsty.",$B14))=TRUE,ISNUMBER(SEARCH("L-Res",$B14))=TRUE,ISNUMBER(SEARCH("E.",$B14))=TRUE),INDEX(fertrate_LDLR_E,MATCH($G14,fertrate_CROPS,0)),
IF(AND(ISNUMBER(SEARCH("L-Dsty.",$B14))=TRUE,ISNUMBER(SEARCH("L-Res",$B14))=TRUE,ISNUMBER(SEARCH("N.",$B14))=TRUE),INDEX(fertrate_LDLR_N,MATCH($G14,fertrate_CROPS,0)),
IF(AND(ISNUMBER(SEARCH("L-Dsty.",$B14))=TRUE,ISNUMBER(SEARCH("L-Res",$B14))=TRUE,ISNUMBER(SEARCH("C.",$B14))=TRUE),INDEX(fertrate_LDLR_C,MATCH($G14,fertrate_CROPS,0))
)))))))))</f>
        <v>150</v>
      </c>
      <c r="AF14" s="234">
        <f t="shared" si="79"/>
        <v>0</v>
      </c>
      <c r="AG14" s="234">
        <f>IF(AND(ISNUMBER(SEARCH("H-Dsty.",$B14))=TRUE,ISNUMBER(SEARCH("H-Res",$B14))=TRUE,ISNUMBER(SEARCH("E.",$B14))=TRUE),INDEX(fertrate_HDHR_E,MATCH($I14,fertrate_CROPS,0)),
IF(AND(ISNUMBER(SEARCH("H-Dsty.",$B14))=TRUE,ISNUMBER(SEARCH("H-Res",$B14))=TRUE,ISNUMBER(SEARCH("N.",$B14))=TRUE),INDEX(fertrate_HDHR_N,MATCH($I14,fertrate_CROPS,0)),
IF(AND(ISNUMBER(SEARCH("H-Dsty.",$B14))=TRUE,ISNUMBER(SEARCH("H-Res",$B14))=TRUE,ISNUMBER(SEARCH("C.",$B14))=TRUE),INDEX(fertrate_HDHR_C,MATCH($I14,fertrate_CROPS,0)),
IF(AND(ISNUMBER(SEARCH("L-Dsty.",$B14))=TRUE,ISNUMBER(SEARCH("H-Res",$B14))=TRUE,ISNUMBER(SEARCH("E.",$B14))=TRUE),INDEX(fertrate_LDHR_E,MATCH($I14,fertrate_CROPS,0)),
IF(AND(ISNUMBER(SEARCH("L-Dsty.",$B14))=TRUE,ISNUMBER(SEARCH("H-Res",$B14))=TRUE,ISNUMBER(SEARCH("N.",$B14))=TRUE),INDEX(fertrate_LDHR_N,MATCH($I14,fertrate_CROPS,0)),
IF(AND(ISNUMBER(SEARCH("L-Dsty.",$B14))=TRUE,ISNUMBER(SEARCH("H-Res",$B14))=TRUE,ISNUMBER(SEARCH("C.",$B14))=TRUE),INDEX(fertrate_LDHR_C,MATCH($I14,fertrate_CROPS,0)),
IF(AND(ISNUMBER(SEARCH("L-Dsty.",$B14))=TRUE,ISNUMBER(SEARCH("L-Res",$B14))=TRUE,ISNUMBER(SEARCH("E.",$B14))=TRUE),INDEX(fertrate_LDLR_E,MATCH($I14,fertrate_CROPS,0)),
IF(AND(ISNUMBER(SEARCH("L-Dsty.",$B14))=TRUE,ISNUMBER(SEARCH("L-Res",$B14))=TRUE,ISNUMBER(SEARCH("N.",$B14))=TRUE),INDEX(fertrate_LDLR_N,MATCH($I14,fertrate_CROPS,0)),
IF(AND(ISNUMBER(SEARCH("L-Dsty.",$B14))=TRUE,ISNUMBER(SEARCH("L-Res",$B14))=TRUE,ISNUMBER(SEARCH("C.",$B14))=TRUE),INDEX(fertrate_LDLR_C,MATCH($I14,fertrate_CROPS,0))
)))))))))</f>
        <v>250</v>
      </c>
      <c r="AH14" s="234">
        <f t="shared" si="80"/>
        <v>150</v>
      </c>
      <c r="AI14" s="234">
        <f t="shared" si="81"/>
        <v>180</v>
      </c>
      <c r="AJ14" s="154">
        <f t="shared" si="23"/>
        <v>67</v>
      </c>
      <c r="AK14" s="154">
        <f t="shared" si="24"/>
        <v>44</v>
      </c>
      <c r="AL14" s="154">
        <f t="shared" si="25"/>
        <v>43</v>
      </c>
      <c r="AM14" s="154">
        <f t="shared" si="26"/>
        <v>67</v>
      </c>
      <c r="AN14" s="154">
        <f t="shared" si="27"/>
        <v>44</v>
      </c>
      <c r="AO14" s="154">
        <f t="shared" si="28"/>
        <v>49</v>
      </c>
      <c r="AP14" s="154">
        <f t="shared" si="29"/>
        <v>48</v>
      </c>
      <c r="AQ14" s="154">
        <f t="shared" si="30"/>
        <v>32</v>
      </c>
      <c r="AR14" s="154">
        <f t="shared" si="31"/>
        <v>47</v>
      </c>
      <c r="AS14" s="154">
        <f t="shared" si="32"/>
        <v>48</v>
      </c>
      <c r="AT14" s="154">
        <f t="shared" si="33"/>
        <v>32</v>
      </c>
      <c r="AU14" s="154">
        <f t="shared" si="34"/>
        <v>39</v>
      </c>
      <c r="AV14" s="234">
        <f t="shared" si="35"/>
        <v>11.9</v>
      </c>
      <c r="AW14" s="234">
        <f t="shared" si="36"/>
        <v>0.4</v>
      </c>
      <c r="AX14" s="234">
        <f t="shared" si="37"/>
        <v>4</v>
      </c>
      <c r="AY14" s="234">
        <f t="shared" si="38"/>
        <v>11.9</v>
      </c>
      <c r="AZ14" s="234">
        <f t="shared" si="39"/>
        <v>0.4</v>
      </c>
      <c r="BA14" s="234">
        <f t="shared" si="40"/>
        <v>3.8</v>
      </c>
      <c r="BB14" s="234">
        <f t="shared" si="41"/>
        <v>9.3000000000000007</v>
      </c>
      <c r="BC14" s="234">
        <f t="shared" si="42"/>
        <v>12.3</v>
      </c>
      <c r="BD14" s="234">
        <f t="shared" si="43"/>
        <v>12.3</v>
      </c>
      <c r="BE14" s="263">
        <v>3.3</v>
      </c>
      <c r="BF14" s="234">
        <f t="shared" si="45"/>
        <v>12.3</v>
      </c>
      <c r="BG14" s="234">
        <f t="shared" si="46"/>
        <v>0</v>
      </c>
      <c r="BH14" s="234">
        <f t="shared" si="47"/>
        <v>7</v>
      </c>
      <c r="BI14" s="234">
        <f t="shared" si="48"/>
        <v>6</v>
      </c>
      <c r="BJ14" s="234">
        <f t="shared" si="49"/>
        <v>6</v>
      </c>
      <c r="BK14" s="345">
        <v>5</v>
      </c>
      <c r="BL14" s="234">
        <f t="shared" si="51"/>
        <v>6</v>
      </c>
      <c r="BM14" s="234">
        <f t="shared" si="52"/>
        <v>4</v>
      </c>
      <c r="BN14" s="154" t="s">
        <v>483</v>
      </c>
      <c r="BO14" s="154" t="str">
        <f t="shared" si="53"/>
        <v>high</v>
      </c>
      <c r="BP14" s="154" t="str">
        <f t="shared" si="54"/>
        <v>medium</v>
      </c>
      <c r="BQ14" s="154" t="str">
        <f t="shared" si="55"/>
        <v>low</v>
      </c>
      <c r="BR14" s="154" t="s">
        <v>18</v>
      </c>
      <c r="BS14" s="154" t="s">
        <v>18</v>
      </c>
      <c r="BT14" s="154" t="s">
        <v>18</v>
      </c>
      <c r="BU14" s="154">
        <f t="shared" si="56"/>
        <v>150</v>
      </c>
      <c r="BV14" s="154">
        <f t="shared" si="57"/>
        <v>157</v>
      </c>
      <c r="BW14" s="154">
        <f t="shared" si="58"/>
        <v>185</v>
      </c>
      <c r="BX14" s="154">
        <f t="shared" si="59"/>
        <v>150</v>
      </c>
      <c r="BY14" s="154">
        <f t="shared" si="60"/>
        <v>157</v>
      </c>
      <c r="BZ14" s="154">
        <f t="shared" si="61"/>
        <v>335</v>
      </c>
      <c r="CA14" s="356">
        <f t="array" ref="CA14">IF(yieldsetting1="estimate",0,INDEX(cropdata, MATCH(yieldsource,outputs,0), MATCH($F14,cropdatacrops,0)))</f>
        <v>0</v>
      </c>
      <c r="CB14" s="356">
        <f t="array" ref="CB14">IF(yieldsetting1="estimate",0,INDEX(cropdata, MATCH(yieldsource,outputs,0), MATCH($G14,cropdatacrops,0)))</f>
        <v>0</v>
      </c>
      <c r="CC14" s="356">
        <f t="array" ref="CC14">IF(yieldsetting1="estimate",0,INDEX(cropdata, MATCH(yieldsource,outputs,0), MATCH($H14,cropdatacrops,0)))</f>
        <v>0</v>
      </c>
      <c r="CD14" s="356">
        <f t="array" ref="CD14">IF(yieldsetting1="estimate",0,INDEX(cropdata, MATCH(yieldsource,outputs,0), MATCH($I14,cropdatacrops,0)))</f>
        <v>0</v>
      </c>
      <c r="CE14" s="356">
        <f t="array" ref="CE14">IF(yieldsetting1="estimate",0,INDEX(cropdata, MATCH(yieldsource,outputs,0), MATCH($J14,cropdatacrops,0)))</f>
        <v>0</v>
      </c>
      <c r="CF14" s="356">
        <f t="array" ref="CF14">IF(yieldsetting1="estimate",0,INDEX(cropdata, MATCH(yieldsource,outputs,0), MATCH($K14,cropdatacrops,0)))</f>
        <v>0</v>
      </c>
      <c r="CG14" s="154" t="str">
        <f t="shared" si="62"/>
        <v>estimate</v>
      </c>
      <c r="CH14" s="235">
        <f t="shared" si="63"/>
        <v>0.8</v>
      </c>
      <c r="CI14" s="235">
        <f t="shared" si="64"/>
        <v>0.72</v>
      </c>
      <c r="CJ14" s="154">
        <f t="shared" si="65"/>
        <v>0.46</v>
      </c>
      <c r="CK14" s="154">
        <f t="shared" si="66"/>
        <v>0.36</v>
      </c>
      <c r="CL14" s="154">
        <f t="shared" si="67"/>
        <v>0.38</v>
      </c>
      <c r="CM14" s="154">
        <f t="shared" si="68"/>
        <v>0.38</v>
      </c>
      <c r="CN14" s="154">
        <f t="shared" si="69"/>
        <v>0.36</v>
      </c>
      <c r="CO14" s="154">
        <f t="shared" si="70"/>
        <v>0.38</v>
      </c>
      <c r="CP14" s="154">
        <f t="shared" si="71"/>
        <v>7.34</v>
      </c>
      <c r="CQ14" s="154">
        <f t="shared" si="82"/>
        <v>19.5</v>
      </c>
      <c r="CR14" s="154">
        <f t="shared" si="82"/>
        <v>19.5</v>
      </c>
      <c r="CS14" s="154">
        <f t="shared" si="82"/>
        <v>19.5</v>
      </c>
      <c r="CT14" s="154">
        <f t="shared" si="82"/>
        <v>19.5</v>
      </c>
      <c r="CU14" s="154">
        <f t="shared" si="82"/>
        <v>19.5</v>
      </c>
      <c r="CV14" s="154">
        <f t="shared" si="82"/>
        <v>19.5</v>
      </c>
      <c r="CW14" s="154">
        <f t="shared" si="83"/>
        <v>2.4300000000000002</v>
      </c>
      <c r="CX14" s="154">
        <f t="shared" si="83"/>
        <v>2.4300000000000002</v>
      </c>
      <c r="CY14" s="154">
        <f t="shared" si="83"/>
        <v>2.4300000000000002</v>
      </c>
      <c r="CZ14" s="154">
        <f t="shared" si="83"/>
        <v>2.4300000000000002</v>
      </c>
      <c r="DA14" s="154">
        <f t="shared" si="83"/>
        <v>2.4300000000000002</v>
      </c>
      <c r="DB14" s="154">
        <f t="shared" si="83"/>
        <v>2.4300000000000002</v>
      </c>
      <c r="DC14" s="154">
        <v>102</v>
      </c>
      <c r="DD14" s="154">
        <v>6</v>
      </c>
      <c r="DE14" s="154">
        <v>4</v>
      </c>
      <c r="DF14" s="154">
        <v>1400</v>
      </c>
      <c r="DG14" s="154">
        <v>125</v>
      </c>
      <c r="DH14" s="154">
        <f t="shared" si="74"/>
        <v>0.625</v>
      </c>
      <c r="DI14" s="154">
        <f t="shared" si="75"/>
        <v>10.08</v>
      </c>
    </row>
    <row r="15" spans="1:113" x14ac:dyDescent="0.2">
      <c r="A15" s="331" t="s">
        <v>1723</v>
      </c>
      <c r="B15" s="330" t="s">
        <v>493</v>
      </c>
      <c r="C15" s="330" t="s">
        <v>1663</v>
      </c>
      <c r="D15" s="233" t="str">
        <f>IF(ISNUMBER(SEARCH("heavy",B15))=TRUE,"2.25",
IF(ISNUMBER(SEARCH("medium",B15))=TRUE,"1.5",
IF(ISNUMBER(SEARCH("light",B15))=TRUE,"0.75")))</f>
        <v>2.25</v>
      </c>
      <c r="E15" s="154">
        <v>6</v>
      </c>
      <c r="F15" s="234" t="str" cm="1">
        <f t="array" ref="F15">IF(AND(ISNUMBER(SEARCH("H-Dsty.H-Res",$B15))=TRUE,ISNUMBER(SEARCH("E.",$B15))=TRUE,OR(ISNUMBER(SEARCH("heavy",$B15)),ISNUMBER(SEARCH("MEDIUM",$B15)))=TRUE),INDEX(croprotn_HDHR_E_h,MATCH(RIGHT($F$1,1),rotation_heavy,0)),
IF(AND(ISNUMBER(SEARCH("H-Dsty.H-Res",$B15))=TRUE,ISNUMBER(SEARCH("N.",$B15))=TRUE,OR(ISNUMBER(SEARCH("heavy",$B15)),ISNUMBER(SEARCH("MEDIUM",$B15)))=TRUE),INDEX(croprotn_HDHR_N_h,MATCH(RIGHT($F$1,1),rotation_heavy,0)),
IF(AND(ISNUMBER(SEARCH("H-Dsty.H-Res",$B15))=TRUE,ISNUMBER(SEARCH("C.",$B15))=TRUE,OR(ISNUMBER(SEARCH("heavy",$B15)),ISNUMBER(SEARCH("MEDIUM",$B15)))=TRUE),INDEX(croprotn_HDHR_C_h,MATCH(RIGHT($F$1,1),rotation_heavy,0)),
IF(AND(ISNUMBER(SEARCH("L-Dsty.H-Res",$B15))=TRUE,ISNUMBER(SEARCH("E.",$B15))=TRUE,OR(ISNUMBER(SEARCH("heavy",$B15)),ISNUMBER(SEARCH("MEDIUM",$B15)))=TRUE),INDEX(croprotn_LDHR_E_h,MATCH(RIGHT($F$1,1),rotation_heavy,0)),
IF(AND(ISNUMBER(SEARCH("L-Dsty.H-Res",$B15))=TRUE,ISNUMBER(SEARCH("N.",$B15))=TRUE,OR(ISNUMBER(SEARCH("heavy",$B15)),ISNUMBER(SEARCH("MEDIUM",$B15)))=TRUE),INDEX(croprotn_LDHR_N_h,MATCH(RIGHT($F$1,1),rotation_heavy,0)),
IF(AND(ISNUMBER(SEARCH("L-Dsty.H-Res",$B15))=TRUE,ISNUMBER(SEARCH("C.",$B15))=TRUE,OR(ISNUMBER(SEARCH("heavy",$B15)),ISNUMBER(SEARCH("MEDIUM",$B15)))=TRUE),INDEX(croprotn_LDHR_C_h,MATCH(RIGHT($F$1,1),rotation_heavy,0)),
IF(AND(ISNUMBER(SEARCH("L-Dsty.L-Res",$B15))=TRUE,ISNUMBER(SEARCH("E.",$B15))=TRUE,OR(ISNUMBER(SEARCH("heavy",$B15)),ISNUMBER(SEARCH("MEDIUM",$B15)))=TRUE),INDEX(croprotn_LDLR_E_h,MATCH(RIGHT($F$1,1),rotation_heavy,0)),
IF(AND(ISNUMBER(SEARCH("L-Dsty.L-Res",$B15))=TRUE,ISNUMBER(SEARCH("N.",$B15))=TRUE,OR(ISNUMBER(SEARCH("heavy",$B15)),ISNUMBER(SEARCH("MEDIUM",$B15)))=TRUE),INDEX(croprotn_LDLR_N_h,MATCH(RIGHT($F$1,1),rotation_heavy,0)),
IF(AND(ISNUMBER(SEARCH("L-Dsty.L-Res",$B15))=TRUE,ISNUMBER(SEARCH("C.",$B15))=TRUE,OR(ISNUMBER(SEARCH("heavy",$B15)),ISNUMBER(SEARCH("MEDIUM",$B15)))=TRUE),INDEX(croprotn_LDLR_C_h,MATCH(RIGHT($F$1,1),rotation_heavy,0)),
IF(AND(ISNUMBER(SEARCH("H-Dsty.H-Res",$B15))=TRUE,ISNUMBER(SEARCH("E.",$B15))=TRUE,ISNUMBER(SEARCH("light",$B15))=TRUE),INDEX(croprotn_HDHR_E_l,MATCH(RIGHT($F$1,1),rotation_light,0)),
IF(AND(ISNUMBER(SEARCH("H-Dsty.H-Res",$B15))=TRUE,ISNUMBER(SEARCH("N.",$B15))=TRUE,ISNUMBER(SEARCH("light",$B15))=TRUE),INDEX(croprotn_HDHR_N_l,MATCH(RIGHT($F$1,1),rotation_light,0)),
IF(AND(ISNUMBER(SEARCH("H-Dsty.H-Res",$B15))=TRUE,ISNUMBER(SEARCH("C.",$B15))=TRUE,ISNUMBER(SEARCH("light",$B15))=TRUE),INDEX(croprotn_HDHR_C_l,MATCH(RIGHT($F$1,1),rotation_light,0)),
IF(AND(ISNUMBER(SEARCH("L-Dsty.H-Res",$B15))=TRUE,ISNUMBER(SEARCH("E.",$B15))=TRUE,ISNUMBER(SEARCH("light",$B15))=TRUE),INDEX(croprotn_LDHR_E_l,MATCH(RIGHT($F$1,1),rotation_light,0)),
IF(AND(ISNUMBER(SEARCH("L-Dsty.H-Res",$B15))=TRUE,ISNUMBER(SEARCH("N.",$B15))=TRUE,ISNUMBER(SEARCH("light",$B15))=TRUE),INDEX(croprotn_LDHR_N_l,MATCH(RIGHT($F$1,1),rotation_light,0)),
IF(AND(ISNUMBER(SEARCH("L-Dsty.H-Res",$B15))=TRUE,ISNUMBER(SEARCH("C.",$B15))=TRUE,ISNUMBER(SEARCH("light",$B15))=TRUE),INDEX(croprotn_LDHR_C_l,MATCH(RIGHT($F$1,1),rotation_light,0)),
IF(AND(ISNUMBER(SEARCH("L-Dsty.L-Res",$B15))=TRUE,ISNUMBER(SEARCH("E.",$B15))=TRUE,ISNUMBER(SEARCH("light",$B15))=TRUE),INDEX(croprotn_LDLR_E_l,MATCH(RIGHT($F$1,1),rotation_light,0)),
IF(AND(ISNUMBER(SEARCH("L-Dsty.L-Res",$B15))=TRUE,ISNUMBER(SEARCH("N.",$B15))=TRUE,ISNUMBER(SEARCH("light",$B15))=TRUE),INDEX(croprotn_LDLR_N_l,MATCH(RIGHT($F$1,1),rotation_light,0)),
IF(AND(ISNUMBER(SEARCH("L-Dsty.L-Res",$B15))=TRUE,ISNUMBER(SEARCH("C.",$B15))=TRUE,ISNUMBER(SEARCH("light",$B15))=TRUE),INDEX(croprotn_LDLR_C_l,MATCH(RIGHT($F$1,1),rotation_light,0))
))))))))))))))))))</f>
        <v>winterwheat</v>
      </c>
      <c r="G15" s="234" t="str">
        <f t="shared" si="84"/>
        <v>springbarley</v>
      </c>
      <c r="H15" s="234" t="str">
        <f t="shared" si="1"/>
        <v>springbeans</v>
      </c>
      <c r="I15" s="234" t="str">
        <f t="shared" si="2"/>
        <v>winterwheat</v>
      </c>
      <c r="J15" s="234" t="str">
        <f t="shared" si="3"/>
        <v>springbarley</v>
      </c>
      <c r="K15" s="234" t="str">
        <f t="shared" si="4"/>
        <v>wosr</v>
      </c>
      <c r="L15" s="154" t="str">
        <f t="shared" si="5"/>
        <v>lightcultivation</v>
      </c>
      <c r="M15" s="154" t="str">
        <f t="shared" si="6"/>
        <v>lightcultivation</v>
      </c>
      <c r="N15" s="154" t="str">
        <f t="shared" si="7"/>
        <v>ploughing</v>
      </c>
      <c r="O15" s="154" t="str">
        <f t="shared" si="8"/>
        <v>lightcultivation</v>
      </c>
      <c r="P15" s="154" t="str">
        <f t="shared" si="76"/>
        <v>lightcultivation</v>
      </c>
      <c r="Q15" s="154" t="str">
        <f t="shared" si="78"/>
        <v>directdrilling</v>
      </c>
      <c r="R15" s="234">
        <f t="shared" si="9"/>
        <v>250</v>
      </c>
      <c r="S15" s="234">
        <f t="shared" si="10"/>
        <v>200</v>
      </c>
      <c r="T15" s="234">
        <f t="shared" si="11"/>
        <v>365</v>
      </c>
      <c r="U15" s="234">
        <f t="shared" si="12"/>
        <v>250</v>
      </c>
      <c r="V15" s="234">
        <f t="shared" si="13"/>
        <v>200</v>
      </c>
      <c r="W15" s="234">
        <f t="shared" si="14"/>
        <v>3.2</v>
      </c>
      <c r="X15" s="154" t="str">
        <f t="shared" si="15"/>
        <v>late</v>
      </c>
      <c r="Y15" s="154" t="str">
        <f t="shared" si="16"/>
        <v>late</v>
      </c>
      <c r="Z15" s="154" t="str">
        <f t="shared" si="17"/>
        <v>no</v>
      </c>
      <c r="AA15" s="154" t="str">
        <f t="shared" si="18"/>
        <v>late</v>
      </c>
      <c r="AB15" s="154" t="str">
        <f t="shared" si="19"/>
        <v>late</v>
      </c>
      <c r="AC15" s="154" t="str">
        <f t="shared" si="20"/>
        <v>no</v>
      </c>
      <c r="AD15" s="234">
        <f t="shared" si="21"/>
        <v>250</v>
      </c>
      <c r="AE15" s="234">
        <f t="shared" si="85"/>
        <v>150</v>
      </c>
      <c r="AF15" s="234">
        <f t="shared" si="79"/>
        <v>0</v>
      </c>
      <c r="AG15" s="234">
        <f>IF(AND(ISNUMBER(SEARCH("H-Dsty.",$B15))=TRUE,ISNUMBER(SEARCH("H-Res",$B15))=TRUE,ISNUMBER(SEARCH("E.",$B15))=TRUE),INDEX(fertrate_HDHR_E,MATCH($I15,fertrate_CROPS,0)),
IF(AND(ISNUMBER(SEARCH("H-Dsty.",$B15))=TRUE,ISNUMBER(SEARCH("H-Res",$B15))=TRUE,ISNUMBER(SEARCH("N.",$B15))=TRUE),INDEX(fertrate_HDHR_N,MATCH($I15,fertrate_CROPS,0)),
IF(AND(ISNUMBER(SEARCH("H-Dsty.",$B15))=TRUE,ISNUMBER(SEARCH("H-Res",$B15))=TRUE,ISNUMBER(SEARCH("C.",$B15))=TRUE),INDEX(fertrate_HDHR_C,MATCH($I15,fertrate_CROPS,0)),
IF(AND(ISNUMBER(SEARCH("L-Dsty.",$B15))=TRUE,ISNUMBER(SEARCH("H-Res",$B15))=TRUE,ISNUMBER(SEARCH("E.",$B15))=TRUE),INDEX(fertrate_LDHR_E,MATCH($I15,fertrate_CROPS,0)),
IF(AND(ISNUMBER(SEARCH("L-Dsty.",$B15))=TRUE,ISNUMBER(SEARCH("H-Res",$B15))=TRUE,ISNUMBER(SEARCH("N.",$B15))=TRUE),INDEX(fertrate_LDHR_N,MATCH($I15,fertrate_CROPS,0)),
IF(AND(ISNUMBER(SEARCH("L-Dsty.",$B15))=TRUE,ISNUMBER(SEARCH("H-Res",$B15))=TRUE,ISNUMBER(SEARCH("C.",$B15))=TRUE),INDEX(fertrate_LDHR_C,MATCH($I15,fertrate_CROPS,0)),
IF(AND(ISNUMBER(SEARCH("L-Dsty.",$B15))=TRUE,ISNUMBER(SEARCH("L-Res",$B15))=TRUE,ISNUMBER(SEARCH("E.",$B15))=TRUE),INDEX(fertrate_LDLR_E,MATCH($I15,fertrate_CROPS,0)),
IF(AND(ISNUMBER(SEARCH("L-Dsty.",$B15))=TRUE,ISNUMBER(SEARCH("L-Res",$B15))=TRUE,ISNUMBER(SEARCH("N.",$B15))=TRUE),INDEX(fertrate_LDLR_N,MATCH($I15,fertrate_CROPS,0)),
IF(AND(ISNUMBER(SEARCH("L-Dsty.",$B15))=TRUE,ISNUMBER(SEARCH("L-Res",$B15))=TRUE,ISNUMBER(SEARCH("C.",$B15))=TRUE),INDEX(fertrate_LDLR_C,MATCH($I15,fertrate_CROPS,0))
)))))))))</f>
        <v>250</v>
      </c>
      <c r="AH15" s="234">
        <f t="shared" si="80"/>
        <v>150</v>
      </c>
      <c r="AI15" s="234">
        <f t="shared" si="81"/>
        <v>180</v>
      </c>
      <c r="AJ15" s="154">
        <f t="shared" si="23"/>
        <v>67</v>
      </c>
      <c r="AK15" s="154">
        <f t="shared" si="24"/>
        <v>44</v>
      </c>
      <c r="AL15" s="154">
        <f t="shared" si="25"/>
        <v>43</v>
      </c>
      <c r="AM15" s="154">
        <f t="shared" si="26"/>
        <v>67</v>
      </c>
      <c r="AN15" s="154">
        <f t="shared" si="27"/>
        <v>44</v>
      </c>
      <c r="AO15" s="154">
        <f t="shared" si="28"/>
        <v>49</v>
      </c>
      <c r="AP15" s="154">
        <f t="shared" si="29"/>
        <v>48</v>
      </c>
      <c r="AQ15" s="154">
        <f t="shared" si="30"/>
        <v>32</v>
      </c>
      <c r="AR15" s="154">
        <f t="shared" si="31"/>
        <v>47</v>
      </c>
      <c r="AS15" s="154">
        <f t="shared" si="32"/>
        <v>48</v>
      </c>
      <c r="AT15" s="154">
        <f t="shared" si="33"/>
        <v>32</v>
      </c>
      <c r="AU15" s="154">
        <f t="shared" si="34"/>
        <v>39</v>
      </c>
      <c r="AV15" s="234">
        <f t="shared" si="35"/>
        <v>11.9</v>
      </c>
      <c r="AW15" s="234">
        <f t="shared" si="36"/>
        <v>0.4</v>
      </c>
      <c r="AX15" s="234">
        <f t="shared" si="37"/>
        <v>4</v>
      </c>
      <c r="AY15" s="234">
        <f t="shared" si="38"/>
        <v>11.9</v>
      </c>
      <c r="AZ15" s="234">
        <f t="shared" si="39"/>
        <v>0.4</v>
      </c>
      <c r="BA15" s="234">
        <f t="shared" si="40"/>
        <v>3.8</v>
      </c>
      <c r="BB15" s="234">
        <f t="shared" si="41"/>
        <v>9.3000000000000007</v>
      </c>
      <c r="BC15" s="234">
        <f t="shared" si="42"/>
        <v>12.3</v>
      </c>
      <c r="BD15" s="234">
        <f t="shared" si="43"/>
        <v>12.3</v>
      </c>
      <c r="BE15" s="263">
        <v>3.3</v>
      </c>
      <c r="BF15" s="234">
        <f t="shared" si="45"/>
        <v>12.3</v>
      </c>
      <c r="BG15" s="234">
        <f t="shared" si="46"/>
        <v>0</v>
      </c>
      <c r="BH15" s="234">
        <f t="shared" si="47"/>
        <v>7</v>
      </c>
      <c r="BI15" s="234">
        <f t="shared" si="48"/>
        <v>6</v>
      </c>
      <c r="BJ15" s="234">
        <f t="shared" si="49"/>
        <v>6</v>
      </c>
      <c r="BK15" s="345">
        <v>5</v>
      </c>
      <c r="BL15" s="234">
        <f t="shared" si="51"/>
        <v>6</v>
      </c>
      <c r="BM15" s="234">
        <f t="shared" si="52"/>
        <v>4</v>
      </c>
      <c r="BN15" s="154" t="s">
        <v>483</v>
      </c>
      <c r="BO15" s="154" t="str">
        <f t="shared" si="53"/>
        <v>veryhigh</v>
      </c>
      <c r="BP15" s="154" t="str">
        <f t="shared" si="54"/>
        <v>high</v>
      </c>
      <c r="BQ15" s="154" t="str">
        <f t="shared" si="55"/>
        <v>medium</v>
      </c>
      <c r="BR15" s="154" t="s">
        <v>182</v>
      </c>
      <c r="BS15" s="154" t="s">
        <v>182</v>
      </c>
      <c r="BT15" s="154" t="s">
        <v>182</v>
      </c>
      <c r="BU15" s="154">
        <f t="shared" si="56"/>
        <v>150</v>
      </c>
      <c r="BV15" s="154">
        <f t="shared" si="57"/>
        <v>157</v>
      </c>
      <c r="BW15" s="154">
        <f t="shared" si="58"/>
        <v>185</v>
      </c>
      <c r="BX15" s="154">
        <f t="shared" si="59"/>
        <v>150</v>
      </c>
      <c r="BY15" s="154">
        <f t="shared" si="60"/>
        <v>157</v>
      </c>
      <c r="BZ15" s="154">
        <f t="shared" si="61"/>
        <v>335</v>
      </c>
      <c r="CA15" s="356">
        <f t="array" ref="CA15">IF(yieldsetting1="estimate",0,INDEX(cropdata, MATCH(yieldsource,outputs,0), MATCH($F15,cropdatacrops,0)))</f>
        <v>0</v>
      </c>
      <c r="CB15" s="356">
        <f t="array" ref="CB15">IF(yieldsetting1="estimate",0,INDEX(cropdata, MATCH(yieldsource,outputs,0), MATCH($G15,cropdatacrops,0)))</f>
        <v>0</v>
      </c>
      <c r="CC15" s="356">
        <f t="array" ref="CC15">IF(yieldsetting1="estimate",0,INDEX(cropdata, MATCH(yieldsource,outputs,0), MATCH($H15,cropdatacrops,0)))</f>
        <v>0</v>
      </c>
      <c r="CD15" s="356">
        <f t="array" ref="CD15">IF(yieldsetting1="estimate",0,INDEX(cropdata, MATCH(yieldsource,outputs,0), MATCH($I15,cropdatacrops,0)))</f>
        <v>0</v>
      </c>
      <c r="CE15" s="356">
        <f t="array" ref="CE15">IF(yieldsetting1="estimate",0,INDEX(cropdata, MATCH(yieldsource,outputs,0), MATCH($J15,cropdatacrops,0)))</f>
        <v>0</v>
      </c>
      <c r="CF15" s="356">
        <f t="array" ref="CF15">IF(yieldsetting1="estimate",0,INDEX(cropdata, MATCH(yieldsource,outputs,0), MATCH($K15,cropdatacrops,0)))</f>
        <v>0</v>
      </c>
      <c r="CG15" s="154" t="str">
        <f t="shared" si="62"/>
        <v>estimate</v>
      </c>
      <c r="CH15" s="235">
        <f t="shared" si="63"/>
        <v>0.8</v>
      </c>
      <c r="CI15" s="235">
        <f t="shared" si="64"/>
        <v>0.72</v>
      </c>
      <c r="CJ15" s="154">
        <f t="shared" si="65"/>
        <v>0.46</v>
      </c>
      <c r="CK15" s="154">
        <f t="shared" si="66"/>
        <v>0.36</v>
      </c>
      <c r="CL15" s="154">
        <f t="shared" si="67"/>
        <v>0.38</v>
      </c>
      <c r="CM15" s="154">
        <f t="shared" si="68"/>
        <v>0.38</v>
      </c>
      <c r="CN15" s="154">
        <f t="shared" si="69"/>
        <v>0.36</v>
      </c>
      <c r="CO15" s="154">
        <f t="shared" si="70"/>
        <v>0.38</v>
      </c>
      <c r="CP15" s="154">
        <f t="shared" si="71"/>
        <v>7.34</v>
      </c>
      <c r="CQ15" s="154">
        <f t="shared" si="82"/>
        <v>19.5</v>
      </c>
      <c r="CR15" s="154">
        <f t="shared" si="82"/>
        <v>19.5</v>
      </c>
      <c r="CS15" s="154">
        <f t="shared" si="82"/>
        <v>19.5</v>
      </c>
      <c r="CT15" s="154">
        <f t="shared" si="82"/>
        <v>19.5</v>
      </c>
      <c r="CU15" s="154">
        <f t="shared" si="82"/>
        <v>19.5</v>
      </c>
      <c r="CV15" s="154">
        <f t="shared" si="82"/>
        <v>19.5</v>
      </c>
      <c r="CW15" s="154">
        <f t="shared" si="83"/>
        <v>2.4300000000000002</v>
      </c>
      <c r="CX15" s="154">
        <f t="shared" si="83"/>
        <v>2.4300000000000002</v>
      </c>
      <c r="CY15" s="154">
        <f t="shared" si="83"/>
        <v>2.4300000000000002</v>
      </c>
      <c r="CZ15" s="154">
        <f t="shared" si="83"/>
        <v>2.4300000000000002</v>
      </c>
      <c r="DA15" s="154">
        <f t="shared" si="83"/>
        <v>2.4300000000000002</v>
      </c>
      <c r="DB15" s="154">
        <f t="shared" si="83"/>
        <v>2.4300000000000002</v>
      </c>
      <c r="DC15" s="154">
        <v>102</v>
      </c>
      <c r="DD15" s="154">
        <v>6</v>
      </c>
      <c r="DE15" s="154">
        <v>4</v>
      </c>
      <c r="DF15" s="154">
        <v>1400</v>
      </c>
      <c r="DG15" s="154">
        <v>125</v>
      </c>
      <c r="DH15" s="154">
        <f t="shared" si="74"/>
        <v>0.625</v>
      </c>
      <c r="DI15" s="154">
        <f t="shared" si="75"/>
        <v>10.08</v>
      </c>
    </row>
    <row r="16" spans="1:113" x14ac:dyDescent="0.2">
      <c r="A16" s="331" t="s">
        <v>1724</v>
      </c>
      <c r="B16" s="330" t="s">
        <v>496</v>
      </c>
      <c r="C16" s="330" t="s">
        <v>1671</v>
      </c>
      <c r="D16" s="233" t="str">
        <f>IF(ISNUMBER(SEARCH("heavy",B16))=TRUE,"2.25",
IF(ISNUMBER(SEARCH("medium",B16))=TRUE,"1.50",
IF(ISNUMBER(SEARCH("light",B16))=TRUE,"0.75")))</f>
        <v>1.50</v>
      </c>
      <c r="E16" s="154">
        <v>6</v>
      </c>
      <c r="F16" s="234" t="str" cm="1">
        <f t="array" ref="F16">IF(AND(ISNUMBER(SEARCH("H-Dsty.H-Res",$B16))=TRUE,ISNUMBER(SEARCH("E.",$B16))=TRUE,OR(ISNUMBER(SEARCH("heavy",$B16)),ISNUMBER(SEARCH("MEDIUM",$B16)))=TRUE),INDEX(croprotn_HDHR_E_h,MATCH(RIGHT($F$1,1),rotation_heavy,0)),
IF(AND(ISNUMBER(SEARCH("H-Dsty.H-Res",$B16))=TRUE,ISNUMBER(SEARCH("N.",$B16))=TRUE,OR(ISNUMBER(SEARCH("heavy",$B16)),ISNUMBER(SEARCH("MEDIUM",$B16)))=TRUE),INDEX(croprotn_HDHR_N_h,MATCH(RIGHT($F$1,1),rotation_heavy,0)),
IF(AND(ISNUMBER(SEARCH("H-Dsty.H-Res",$B16))=TRUE,ISNUMBER(SEARCH("C.",$B16))=TRUE,OR(ISNUMBER(SEARCH("heavy",$B16)),ISNUMBER(SEARCH("MEDIUM",$B16)))=TRUE),INDEX(croprotn_HDHR_C_h,MATCH(RIGHT($F$1,1),rotation_heavy,0)),
IF(AND(ISNUMBER(SEARCH("L-Dsty.H-Res",$B16))=TRUE,ISNUMBER(SEARCH("E.",$B16))=TRUE,OR(ISNUMBER(SEARCH("heavy",$B16)),ISNUMBER(SEARCH("MEDIUM",$B16)))=TRUE),INDEX(croprotn_LDHR_E_h,MATCH(RIGHT($F$1,1),rotation_heavy,0)),
IF(AND(ISNUMBER(SEARCH("L-Dsty.H-Res",$B16))=TRUE,ISNUMBER(SEARCH("N.",$B16))=TRUE,OR(ISNUMBER(SEARCH("heavy",$B16)),ISNUMBER(SEARCH("MEDIUM",$B16)))=TRUE),INDEX(croprotn_LDHR_N_h,MATCH(RIGHT($F$1,1),rotation_heavy,0)),
IF(AND(ISNUMBER(SEARCH("L-Dsty.H-Res",$B16))=TRUE,ISNUMBER(SEARCH("C.",$B16))=TRUE,OR(ISNUMBER(SEARCH("heavy",$B16)),ISNUMBER(SEARCH("MEDIUM",$B16)))=TRUE),INDEX(croprotn_LDHR_C_h,MATCH(RIGHT($F$1,1),rotation_heavy,0)),
IF(AND(ISNUMBER(SEARCH("L-Dsty.L-Res",$B16))=TRUE,ISNUMBER(SEARCH("E.",$B16))=TRUE,OR(ISNUMBER(SEARCH("heavy",$B16)),ISNUMBER(SEARCH("MEDIUM",$B16)))=TRUE),INDEX(croprotn_LDLR_E_h,MATCH(RIGHT($F$1,1),rotation_heavy,0)),
IF(AND(ISNUMBER(SEARCH("L-Dsty.L-Res",$B16))=TRUE,ISNUMBER(SEARCH("N.",$B16))=TRUE,OR(ISNUMBER(SEARCH("heavy",$B16)),ISNUMBER(SEARCH("MEDIUM",$B16)))=TRUE),INDEX(croprotn_LDLR_N_h,MATCH(RIGHT($F$1,1),rotation_heavy,0)),
IF(AND(ISNUMBER(SEARCH("L-Dsty.L-Res",$B16))=TRUE,ISNUMBER(SEARCH("C.",$B16))=TRUE,OR(ISNUMBER(SEARCH("heavy",$B16)),ISNUMBER(SEARCH("MEDIUM",$B16)))=TRUE),INDEX(croprotn_LDLR_C_h,MATCH(RIGHT($F$1,1),rotation_heavy,0)),
IF(AND(ISNUMBER(SEARCH("H-Dsty.H-Res",$B16))=TRUE,ISNUMBER(SEARCH("E.",$B16))=TRUE,ISNUMBER(SEARCH("light",$B16))=TRUE),INDEX(croprotn_HDHR_E_l,MATCH(RIGHT($F$1,1),rotation_light,0)),
IF(AND(ISNUMBER(SEARCH("H-Dsty.H-Res",$B16))=TRUE,ISNUMBER(SEARCH("N.",$B16))=TRUE,ISNUMBER(SEARCH("light",$B16))=TRUE),INDEX(croprotn_HDHR_N_l,MATCH(RIGHT($F$1,1),rotation_light,0)),
IF(AND(ISNUMBER(SEARCH("H-Dsty.H-Res",$B16))=TRUE,ISNUMBER(SEARCH("C.",$B16))=TRUE,ISNUMBER(SEARCH("light",$B16))=TRUE),INDEX(croprotn_HDHR_C_l,MATCH(RIGHT($F$1,1),rotation_light,0)),
IF(AND(ISNUMBER(SEARCH("L-Dsty.H-Res",$B16))=TRUE,ISNUMBER(SEARCH("E.",$B16))=TRUE,ISNUMBER(SEARCH("light",$B16))=TRUE),INDEX(croprotn_LDHR_E_l,MATCH(RIGHT($F$1,1),rotation_light,0)),
IF(AND(ISNUMBER(SEARCH("L-Dsty.H-Res",$B16))=TRUE,ISNUMBER(SEARCH("N.",$B16))=TRUE,ISNUMBER(SEARCH("light",$B16))=TRUE),INDEX(croprotn_LDHR_N_l,MATCH(RIGHT($F$1,1),rotation_light,0)),
IF(AND(ISNUMBER(SEARCH("L-Dsty.H-Res",$B16))=TRUE,ISNUMBER(SEARCH("C.",$B16))=TRUE,ISNUMBER(SEARCH("light",$B16))=TRUE),INDEX(croprotn_LDHR_C_l,MATCH(RIGHT($F$1,1),rotation_light,0)),
IF(AND(ISNUMBER(SEARCH("L-Dsty.L-Res",$B16))=TRUE,ISNUMBER(SEARCH("E.",$B16))=TRUE,ISNUMBER(SEARCH("light",$B16))=TRUE),INDEX(croprotn_LDLR_E_l,MATCH(RIGHT($F$1,1),rotation_light,0)),
IF(AND(ISNUMBER(SEARCH("L-Dsty.L-Res",$B16))=TRUE,ISNUMBER(SEARCH("N.",$B16))=TRUE,ISNUMBER(SEARCH("light",$B16))=TRUE),INDEX(croprotn_LDLR_N_l,MATCH(RIGHT($F$1,1),rotation_light,0)),
IF(AND(ISNUMBER(SEARCH("L-Dsty.L-Res",$B16))=TRUE,ISNUMBER(SEARCH("C.",$B16))=TRUE,ISNUMBER(SEARCH("light",$B16))=TRUE),INDEX(croprotn_LDLR_C_l,MATCH(RIGHT($F$1,1),rotation_light,0))
))))))))))))))))))</f>
        <v>winterwheat</v>
      </c>
      <c r="G16" s="234" t="str">
        <f t="shared" si="84"/>
        <v>springbarley</v>
      </c>
      <c r="H16" s="234" t="str">
        <f t="shared" si="1"/>
        <v>springbeans</v>
      </c>
      <c r="I16" s="234" t="str">
        <f t="shared" si="2"/>
        <v>winterwheat</v>
      </c>
      <c r="J16" s="234" t="str">
        <f t="shared" si="3"/>
        <v>springbarley</v>
      </c>
      <c r="K16" s="234" t="str">
        <f t="shared" si="4"/>
        <v>wosr</v>
      </c>
      <c r="L16" s="154" t="str">
        <f t="shared" si="5"/>
        <v>lightcultivation</v>
      </c>
      <c r="M16" s="154" t="str">
        <f t="shared" si="6"/>
        <v>lightcultivation</v>
      </c>
      <c r="N16" s="154" t="str">
        <f t="shared" si="7"/>
        <v>ploughing</v>
      </c>
      <c r="O16" s="154" t="str">
        <f t="shared" si="8"/>
        <v>lightcultivation</v>
      </c>
      <c r="P16" s="154" t="str">
        <f t="shared" si="76"/>
        <v>lightcultivation</v>
      </c>
      <c r="Q16" s="154" t="str">
        <f t="shared" si="78"/>
        <v>directdrilling</v>
      </c>
      <c r="R16" s="234">
        <f t="shared" si="9"/>
        <v>250</v>
      </c>
      <c r="S16" s="234">
        <f t="shared" si="10"/>
        <v>200</v>
      </c>
      <c r="T16" s="234">
        <f t="shared" si="11"/>
        <v>365</v>
      </c>
      <c r="U16" s="234">
        <f t="shared" si="12"/>
        <v>250</v>
      </c>
      <c r="V16" s="234">
        <f t="shared" si="13"/>
        <v>200</v>
      </c>
      <c r="W16" s="234">
        <f t="shared" si="14"/>
        <v>3.2</v>
      </c>
      <c r="X16" s="154" t="str">
        <f t="shared" si="15"/>
        <v>late</v>
      </c>
      <c r="Y16" s="154" t="str">
        <f t="shared" si="16"/>
        <v>late</v>
      </c>
      <c r="Z16" s="154" t="str">
        <f t="shared" si="17"/>
        <v>no</v>
      </c>
      <c r="AA16" s="154" t="str">
        <f t="shared" si="18"/>
        <v>late</v>
      </c>
      <c r="AB16" s="154" t="str">
        <f t="shared" si="19"/>
        <v>late</v>
      </c>
      <c r="AC16" s="154" t="str">
        <f t="shared" si="20"/>
        <v>no</v>
      </c>
      <c r="AD16" s="234">
        <f t="shared" si="21"/>
        <v>250</v>
      </c>
      <c r="AE16" s="234">
        <f t="shared" si="85"/>
        <v>150</v>
      </c>
      <c r="AF16" s="234">
        <f t="shared" si="79"/>
        <v>0</v>
      </c>
      <c r="AG16" s="234">
        <f>IF(AND(ISNUMBER(SEARCH("H-Dsty.",$B16))=TRUE,ISNUMBER(SEARCH("H-Res",$B16))=TRUE,ISNUMBER(SEARCH("E.",$B16))=TRUE),INDEX(fertrate_HDHR_E,MATCH($I16,fertrate_CROPS,0)),
IF(AND(ISNUMBER(SEARCH("H-Dsty.",$B16))=TRUE,ISNUMBER(SEARCH("H-Res",$B16))=TRUE,ISNUMBER(SEARCH("N.",$B16))=TRUE),INDEX(fertrate_HDHR_N,MATCH($I16,fertrate_CROPS,0)),
IF(AND(ISNUMBER(SEARCH("H-Dsty.",$B16))=TRUE,ISNUMBER(SEARCH("H-Res",$B16))=TRUE,ISNUMBER(SEARCH("C.",$B16))=TRUE),INDEX(fertrate_HDHR_C,MATCH($I16,fertrate_CROPS,0)),
IF(AND(ISNUMBER(SEARCH("L-Dsty.",$B16))=TRUE,ISNUMBER(SEARCH("H-Res",$B16))=TRUE,ISNUMBER(SEARCH("E.",$B16))=TRUE),INDEX(fertrate_LDHR_E,MATCH($I16,fertrate_CROPS,0)),
IF(AND(ISNUMBER(SEARCH("L-Dsty.",$B16))=TRUE,ISNUMBER(SEARCH("H-Res",$B16))=TRUE,ISNUMBER(SEARCH("N.",$B16))=TRUE),INDEX(fertrate_LDHR_N,MATCH($I16,fertrate_CROPS,0)),
IF(AND(ISNUMBER(SEARCH("L-Dsty.",$B16))=TRUE,ISNUMBER(SEARCH("H-Res",$B16))=TRUE,ISNUMBER(SEARCH("C.",$B16))=TRUE),INDEX(fertrate_LDHR_C,MATCH($I16,fertrate_CROPS,0)),
IF(AND(ISNUMBER(SEARCH("L-Dsty.",$B16))=TRUE,ISNUMBER(SEARCH("L-Res",$B16))=TRUE,ISNUMBER(SEARCH("E.",$B16))=TRUE),INDEX(fertrate_LDLR_E,MATCH($I16,fertrate_CROPS,0)),
IF(AND(ISNUMBER(SEARCH("L-Dsty.",$B16))=TRUE,ISNUMBER(SEARCH("L-Res",$B16))=TRUE,ISNUMBER(SEARCH("N.",$B16))=TRUE),INDEX(fertrate_LDLR_N,MATCH($I16,fertrate_CROPS,0)),
IF(AND(ISNUMBER(SEARCH("L-Dsty.",$B16))=TRUE,ISNUMBER(SEARCH("L-Res",$B16))=TRUE,ISNUMBER(SEARCH("C.",$B16))=TRUE),INDEX(fertrate_LDLR_C,MATCH($I16,fertrate_CROPS,0))
)))))))))</f>
        <v>250</v>
      </c>
      <c r="AH16" s="234">
        <f t="shared" si="80"/>
        <v>150</v>
      </c>
      <c r="AI16" s="234">
        <f t="shared" si="81"/>
        <v>180</v>
      </c>
      <c r="AJ16" s="154">
        <f t="shared" si="23"/>
        <v>67</v>
      </c>
      <c r="AK16" s="154">
        <f t="shared" si="24"/>
        <v>44</v>
      </c>
      <c r="AL16" s="154">
        <f t="shared" si="25"/>
        <v>43</v>
      </c>
      <c r="AM16" s="154">
        <f t="shared" si="26"/>
        <v>67</v>
      </c>
      <c r="AN16" s="154">
        <f t="shared" si="27"/>
        <v>44</v>
      </c>
      <c r="AO16" s="154">
        <f t="shared" si="28"/>
        <v>49</v>
      </c>
      <c r="AP16" s="154">
        <f t="shared" si="29"/>
        <v>48</v>
      </c>
      <c r="AQ16" s="154">
        <f t="shared" si="30"/>
        <v>32</v>
      </c>
      <c r="AR16" s="154">
        <f t="shared" si="31"/>
        <v>47</v>
      </c>
      <c r="AS16" s="154">
        <f t="shared" si="32"/>
        <v>48</v>
      </c>
      <c r="AT16" s="154">
        <f t="shared" si="33"/>
        <v>32</v>
      </c>
      <c r="AU16" s="154">
        <f t="shared" si="34"/>
        <v>39</v>
      </c>
      <c r="AV16" s="234">
        <f t="shared" si="35"/>
        <v>11.9</v>
      </c>
      <c r="AW16" s="234">
        <f t="shared" si="36"/>
        <v>0.4</v>
      </c>
      <c r="AX16" s="234">
        <f t="shared" si="37"/>
        <v>4</v>
      </c>
      <c r="AY16" s="234">
        <f t="shared" si="38"/>
        <v>11.9</v>
      </c>
      <c r="AZ16" s="234">
        <f t="shared" si="39"/>
        <v>0.4</v>
      </c>
      <c r="BA16" s="234">
        <f t="shared" si="40"/>
        <v>3.8</v>
      </c>
      <c r="BB16" s="234">
        <f t="shared" si="41"/>
        <v>9.3000000000000007</v>
      </c>
      <c r="BC16" s="234">
        <f t="shared" si="42"/>
        <v>12.3</v>
      </c>
      <c r="BD16" s="234">
        <f t="shared" si="43"/>
        <v>12.3</v>
      </c>
      <c r="BE16" s="263">
        <v>3.3</v>
      </c>
      <c r="BF16" s="234">
        <f t="shared" si="45"/>
        <v>12.3</v>
      </c>
      <c r="BG16" s="234">
        <f t="shared" si="46"/>
        <v>0</v>
      </c>
      <c r="BH16" s="234">
        <f t="shared" si="47"/>
        <v>7</v>
      </c>
      <c r="BI16" s="234">
        <f t="shared" si="48"/>
        <v>6</v>
      </c>
      <c r="BJ16" s="234">
        <f t="shared" si="49"/>
        <v>6</v>
      </c>
      <c r="BK16" s="345">
        <v>5</v>
      </c>
      <c r="BL16" s="234">
        <f t="shared" si="51"/>
        <v>6</v>
      </c>
      <c r="BM16" s="234">
        <f t="shared" si="52"/>
        <v>4</v>
      </c>
      <c r="BN16" s="154" t="s">
        <v>483</v>
      </c>
      <c r="BO16" s="154" t="str">
        <f t="shared" si="53"/>
        <v>high</v>
      </c>
      <c r="BP16" s="154" t="str">
        <f t="shared" si="54"/>
        <v>medium</v>
      </c>
      <c r="BQ16" s="154" t="str">
        <f t="shared" si="55"/>
        <v>low</v>
      </c>
      <c r="BR16" s="154" t="s">
        <v>183</v>
      </c>
      <c r="BS16" s="154" t="s">
        <v>183</v>
      </c>
      <c r="BT16" s="154" t="s">
        <v>183</v>
      </c>
      <c r="BU16" s="154">
        <f t="shared" si="56"/>
        <v>150</v>
      </c>
      <c r="BV16" s="154">
        <f t="shared" si="57"/>
        <v>157</v>
      </c>
      <c r="BW16" s="154">
        <f t="shared" si="58"/>
        <v>185</v>
      </c>
      <c r="BX16" s="154">
        <f t="shared" si="59"/>
        <v>150</v>
      </c>
      <c r="BY16" s="154">
        <f t="shared" si="60"/>
        <v>157</v>
      </c>
      <c r="BZ16" s="154">
        <f t="shared" si="61"/>
        <v>335</v>
      </c>
      <c r="CA16" s="356">
        <f t="array" ref="CA16">IF(yieldsetting1="estimate",0,INDEX(cropdata, MATCH(yieldsource,outputs,0), MATCH($F16,cropdatacrops,0)))</f>
        <v>0</v>
      </c>
      <c r="CB16" s="356">
        <f t="array" ref="CB16">IF(yieldsetting1="estimate",0,INDEX(cropdata, MATCH(yieldsource,outputs,0), MATCH($G16,cropdatacrops,0)))</f>
        <v>0</v>
      </c>
      <c r="CC16" s="356">
        <f t="array" ref="CC16">IF(yieldsetting1="estimate",0,INDEX(cropdata, MATCH(yieldsource,outputs,0), MATCH($H16,cropdatacrops,0)))</f>
        <v>0</v>
      </c>
      <c r="CD16" s="356">
        <f t="array" ref="CD16">IF(yieldsetting1="estimate",0,INDEX(cropdata, MATCH(yieldsource,outputs,0), MATCH($I16,cropdatacrops,0)))</f>
        <v>0</v>
      </c>
      <c r="CE16" s="356">
        <f t="array" ref="CE16">IF(yieldsetting1="estimate",0,INDEX(cropdata, MATCH(yieldsource,outputs,0), MATCH($J16,cropdatacrops,0)))</f>
        <v>0</v>
      </c>
      <c r="CF16" s="356">
        <f t="array" ref="CF16">IF(yieldsetting1="estimate",0,INDEX(cropdata, MATCH(yieldsource,outputs,0), MATCH($K16,cropdatacrops,0)))</f>
        <v>0</v>
      </c>
      <c r="CG16" s="154" t="str">
        <f t="shared" si="62"/>
        <v>estimate</v>
      </c>
      <c r="CH16" s="235">
        <f t="shared" si="63"/>
        <v>0.8</v>
      </c>
      <c r="CI16" s="235">
        <f t="shared" si="64"/>
        <v>0.72</v>
      </c>
      <c r="CJ16" s="154">
        <f t="shared" si="65"/>
        <v>0.46</v>
      </c>
      <c r="CK16" s="154">
        <f t="shared" si="66"/>
        <v>0.36</v>
      </c>
      <c r="CL16" s="154">
        <f t="shared" si="67"/>
        <v>0.38</v>
      </c>
      <c r="CM16" s="154">
        <f t="shared" si="68"/>
        <v>0.38</v>
      </c>
      <c r="CN16" s="154">
        <f t="shared" si="69"/>
        <v>0.36</v>
      </c>
      <c r="CO16" s="154">
        <f t="shared" si="70"/>
        <v>0.38</v>
      </c>
      <c r="CP16" s="154">
        <f t="shared" si="71"/>
        <v>7.34</v>
      </c>
      <c r="CQ16" s="154">
        <f t="shared" si="82"/>
        <v>19.5</v>
      </c>
      <c r="CR16" s="154">
        <f t="shared" si="82"/>
        <v>19.5</v>
      </c>
      <c r="CS16" s="154">
        <f t="shared" si="82"/>
        <v>19.5</v>
      </c>
      <c r="CT16" s="154">
        <f t="shared" si="82"/>
        <v>19.5</v>
      </c>
      <c r="CU16" s="154">
        <f t="shared" si="82"/>
        <v>19.5</v>
      </c>
      <c r="CV16" s="154">
        <f t="shared" si="82"/>
        <v>19.5</v>
      </c>
      <c r="CW16" s="154">
        <f t="shared" si="83"/>
        <v>2.4300000000000002</v>
      </c>
      <c r="CX16" s="154">
        <f t="shared" si="83"/>
        <v>2.4300000000000002</v>
      </c>
      <c r="CY16" s="154">
        <f t="shared" si="83"/>
        <v>2.4300000000000002</v>
      </c>
      <c r="CZ16" s="154">
        <f t="shared" si="83"/>
        <v>2.4300000000000002</v>
      </c>
      <c r="DA16" s="154">
        <f t="shared" si="83"/>
        <v>2.4300000000000002</v>
      </c>
      <c r="DB16" s="154">
        <f t="shared" si="83"/>
        <v>2.4300000000000002</v>
      </c>
      <c r="DC16" s="154">
        <v>102</v>
      </c>
      <c r="DD16" s="154">
        <v>6</v>
      </c>
      <c r="DE16" s="154">
        <v>4</v>
      </c>
      <c r="DF16" s="154">
        <v>1400</v>
      </c>
      <c r="DG16" s="154">
        <v>125</v>
      </c>
      <c r="DH16" s="154">
        <f t="shared" si="74"/>
        <v>0.625</v>
      </c>
      <c r="DI16" s="154">
        <f t="shared" si="75"/>
        <v>10.08</v>
      </c>
    </row>
    <row r="17" spans="1:113" x14ac:dyDescent="0.2">
      <c r="A17" s="331" t="s">
        <v>1725</v>
      </c>
      <c r="B17" s="330" t="s">
        <v>496</v>
      </c>
      <c r="C17" s="330" t="s">
        <v>1672</v>
      </c>
      <c r="D17" s="233" t="str">
        <f>IF(ISNUMBER(SEARCH("heavy",B17))=TRUE,"2.25",
IF(ISNUMBER(SEARCH("medium",B17))=TRUE,"1.50",
IF(ISNUMBER(SEARCH("light",B17))=TRUE,"0.75")))</f>
        <v>1.50</v>
      </c>
      <c r="E17" s="154">
        <v>6</v>
      </c>
      <c r="F17" s="234" t="str" cm="1">
        <f t="array" ref="F17">IF(AND(ISNUMBER(SEARCH("H-Dsty.H-Res",$B17))=TRUE,ISNUMBER(SEARCH("E.",$B17))=TRUE,OR(ISNUMBER(SEARCH("heavy",$B17)),ISNUMBER(SEARCH("MEDIUM",$B17)))=TRUE),INDEX(croprotn_HDHR_E_h,MATCH(RIGHT($F$1,1),rotation_heavy,0)),
IF(AND(ISNUMBER(SEARCH("H-Dsty.H-Res",$B17))=TRUE,ISNUMBER(SEARCH("N.",$B17))=TRUE,OR(ISNUMBER(SEARCH("heavy",$B17)),ISNUMBER(SEARCH("MEDIUM",$B17)))=TRUE),INDEX(croprotn_HDHR_N_h,MATCH(RIGHT($F$1,1),rotation_heavy,0)),
IF(AND(ISNUMBER(SEARCH("H-Dsty.H-Res",$B17))=TRUE,ISNUMBER(SEARCH("C.",$B17))=TRUE,OR(ISNUMBER(SEARCH("heavy",$B17)),ISNUMBER(SEARCH("MEDIUM",$B17)))=TRUE),INDEX(croprotn_HDHR_C_h,MATCH(RIGHT($F$1,1),rotation_heavy,0)),
IF(AND(ISNUMBER(SEARCH("L-Dsty.H-Res",$B17))=TRUE,ISNUMBER(SEARCH("E.",$B17))=TRUE,OR(ISNUMBER(SEARCH("heavy",$B17)),ISNUMBER(SEARCH("MEDIUM",$B17)))=TRUE),INDEX(croprotn_LDHR_E_h,MATCH(RIGHT($F$1,1),rotation_heavy,0)),
IF(AND(ISNUMBER(SEARCH("L-Dsty.H-Res",$B17))=TRUE,ISNUMBER(SEARCH("N.",$B17))=TRUE,OR(ISNUMBER(SEARCH("heavy",$B17)),ISNUMBER(SEARCH("MEDIUM",$B17)))=TRUE),INDEX(croprotn_LDHR_N_h,MATCH(RIGHT($F$1,1),rotation_heavy,0)),
IF(AND(ISNUMBER(SEARCH("L-Dsty.H-Res",$B17))=TRUE,ISNUMBER(SEARCH("C.",$B17))=TRUE,OR(ISNUMBER(SEARCH("heavy",$B17)),ISNUMBER(SEARCH("MEDIUM",$B17)))=TRUE),INDEX(croprotn_LDHR_C_h,MATCH(RIGHT($F$1,1),rotation_heavy,0)),
IF(AND(ISNUMBER(SEARCH("L-Dsty.L-Res",$B17))=TRUE,ISNUMBER(SEARCH("E.",$B17))=TRUE,OR(ISNUMBER(SEARCH("heavy",$B17)),ISNUMBER(SEARCH("MEDIUM",$B17)))=TRUE),INDEX(croprotn_LDLR_E_h,MATCH(RIGHT($F$1,1),rotation_heavy,0)),
IF(AND(ISNUMBER(SEARCH("L-Dsty.L-Res",$B17))=TRUE,ISNUMBER(SEARCH("N.",$B17))=TRUE,OR(ISNUMBER(SEARCH("heavy",$B17)),ISNUMBER(SEARCH("MEDIUM",$B17)))=TRUE),INDEX(croprotn_LDLR_N_h,MATCH(RIGHT($F$1,1),rotation_heavy,0)),
IF(AND(ISNUMBER(SEARCH("L-Dsty.L-Res",$B17))=TRUE,ISNUMBER(SEARCH("C.",$B17))=TRUE,OR(ISNUMBER(SEARCH("heavy",$B17)),ISNUMBER(SEARCH("MEDIUM",$B17)))=TRUE),INDEX(croprotn_LDLR_C_h,MATCH(RIGHT($F$1,1),rotation_heavy,0)),
IF(AND(ISNUMBER(SEARCH("H-Dsty.H-Res",$B17))=TRUE,ISNUMBER(SEARCH("E.",$B17))=TRUE,ISNUMBER(SEARCH("light",$B17))=TRUE),INDEX(croprotn_HDHR_E_l,MATCH(RIGHT($F$1,1),rotation_light,0)),
IF(AND(ISNUMBER(SEARCH("H-Dsty.H-Res",$B17))=TRUE,ISNUMBER(SEARCH("N.",$B17))=TRUE,ISNUMBER(SEARCH("light",$B17))=TRUE),INDEX(croprotn_HDHR_N_l,MATCH(RIGHT($F$1,1),rotation_light,0)),
IF(AND(ISNUMBER(SEARCH("H-Dsty.H-Res",$B17))=TRUE,ISNUMBER(SEARCH("C.",$B17))=TRUE,ISNUMBER(SEARCH("light",$B17))=TRUE),INDEX(croprotn_HDHR_C_l,MATCH(RIGHT($F$1,1),rotation_light,0)),
IF(AND(ISNUMBER(SEARCH("L-Dsty.H-Res",$B17))=TRUE,ISNUMBER(SEARCH("E.",$B17))=TRUE,ISNUMBER(SEARCH("light",$B17))=TRUE),INDEX(croprotn_LDHR_E_l,MATCH(RIGHT($F$1,1),rotation_light,0)),
IF(AND(ISNUMBER(SEARCH("L-Dsty.H-Res",$B17))=TRUE,ISNUMBER(SEARCH("N.",$B17))=TRUE,ISNUMBER(SEARCH("light",$B17))=TRUE),INDEX(croprotn_LDHR_N_l,MATCH(RIGHT($F$1,1),rotation_light,0)),
IF(AND(ISNUMBER(SEARCH("L-Dsty.H-Res",$B17))=TRUE,ISNUMBER(SEARCH("C.",$B17))=TRUE,ISNUMBER(SEARCH("light",$B17))=TRUE),INDEX(croprotn_LDHR_C_l,MATCH(RIGHT($F$1,1),rotation_light,0)),
IF(AND(ISNUMBER(SEARCH("L-Dsty.L-Res",$B17))=TRUE,ISNUMBER(SEARCH("E.",$B17))=TRUE,ISNUMBER(SEARCH("light",$B17))=TRUE),INDEX(croprotn_LDLR_E_l,MATCH(RIGHT($F$1,1),rotation_light,0)),
IF(AND(ISNUMBER(SEARCH("L-Dsty.L-Res",$B17))=TRUE,ISNUMBER(SEARCH("N.",$B17))=TRUE,ISNUMBER(SEARCH("light",$B17))=TRUE),INDEX(croprotn_LDLR_N_l,MATCH(RIGHT($F$1,1),rotation_light,0)),
IF(AND(ISNUMBER(SEARCH("L-Dsty.L-Res",$B17))=TRUE,ISNUMBER(SEARCH("C.",$B17))=TRUE,ISNUMBER(SEARCH("light",$B17))=TRUE),INDEX(croprotn_LDLR_C_l,MATCH(RIGHT($F$1,1),rotation_light,0))
))))))))))))))))))</f>
        <v>winterwheat</v>
      </c>
      <c r="G17" s="234" t="str">
        <f t="shared" si="84"/>
        <v>springbarley</v>
      </c>
      <c r="H17" s="234" t="str">
        <f t="shared" si="1"/>
        <v>springbeans</v>
      </c>
      <c r="I17" s="234" t="str">
        <f t="shared" si="2"/>
        <v>winterwheat</v>
      </c>
      <c r="J17" s="234" t="str">
        <f t="shared" si="3"/>
        <v>springbarley</v>
      </c>
      <c r="K17" s="234" t="str">
        <f t="shared" si="4"/>
        <v>wosr</v>
      </c>
      <c r="L17" s="154" t="str">
        <f t="shared" si="5"/>
        <v>lightcultivation</v>
      </c>
      <c r="M17" s="154" t="str">
        <f t="shared" si="6"/>
        <v>lightcultivation</v>
      </c>
      <c r="N17" s="154" t="str">
        <f t="shared" si="7"/>
        <v>ploughing</v>
      </c>
      <c r="O17" s="154" t="str">
        <f t="shared" si="8"/>
        <v>lightcultivation</v>
      </c>
      <c r="P17" s="154" t="str">
        <f t="shared" si="76"/>
        <v>lightcultivation</v>
      </c>
      <c r="Q17" s="154" t="str">
        <f t="shared" si="78"/>
        <v>directdrilling</v>
      </c>
      <c r="R17" s="234">
        <f t="shared" si="9"/>
        <v>250</v>
      </c>
      <c r="S17" s="234">
        <f t="shared" si="10"/>
        <v>200</v>
      </c>
      <c r="T17" s="234">
        <f t="shared" si="11"/>
        <v>365</v>
      </c>
      <c r="U17" s="234">
        <f t="shared" si="12"/>
        <v>250</v>
      </c>
      <c r="V17" s="234">
        <f t="shared" si="13"/>
        <v>200</v>
      </c>
      <c r="W17" s="234">
        <f t="shared" si="14"/>
        <v>3.2</v>
      </c>
      <c r="X17" s="154" t="str">
        <f t="shared" si="15"/>
        <v>late</v>
      </c>
      <c r="Y17" s="154" t="str">
        <f t="shared" si="16"/>
        <v>late</v>
      </c>
      <c r="Z17" s="154" t="str">
        <f t="shared" si="17"/>
        <v>no</v>
      </c>
      <c r="AA17" s="154" t="str">
        <f t="shared" si="18"/>
        <v>late</v>
      </c>
      <c r="AB17" s="154" t="str">
        <f t="shared" si="19"/>
        <v>late</v>
      </c>
      <c r="AC17" s="154" t="str">
        <f t="shared" si="20"/>
        <v>no</v>
      </c>
      <c r="AD17" s="234">
        <f t="shared" si="21"/>
        <v>250</v>
      </c>
      <c r="AE17" s="234">
        <f t="shared" si="85"/>
        <v>150</v>
      </c>
      <c r="AF17" s="234">
        <f t="shared" si="79"/>
        <v>0</v>
      </c>
      <c r="AG17" s="234">
        <f>IF(AND(ISNUMBER(SEARCH("H-Dsty.",$B17))=TRUE,ISNUMBER(SEARCH("H-Res",$B17))=TRUE,ISNUMBER(SEARCH("E.",$B17))=TRUE),INDEX(fertrate_HDHR_E,MATCH($I17,fertrate_CROPS,0)),
IF(AND(ISNUMBER(SEARCH("H-Dsty.",$B17))=TRUE,ISNUMBER(SEARCH("H-Res",$B17))=TRUE,ISNUMBER(SEARCH("N.",$B17))=TRUE),INDEX(fertrate_HDHR_N,MATCH($I17,fertrate_CROPS,0)),
IF(AND(ISNUMBER(SEARCH("H-Dsty.",$B17))=TRUE,ISNUMBER(SEARCH("H-Res",$B17))=TRUE,ISNUMBER(SEARCH("C.",$B17))=TRUE),INDEX(fertrate_HDHR_C,MATCH($I17,fertrate_CROPS,0)),
IF(AND(ISNUMBER(SEARCH("L-Dsty.",$B17))=TRUE,ISNUMBER(SEARCH("H-Res",$B17))=TRUE,ISNUMBER(SEARCH("E.",$B17))=TRUE),INDEX(fertrate_LDHR_E,MATCH($I17,fertrate_CROPS,0)),
IF(AND(ISNUMBER(SEARCH("L-Dsty.",$B17))=TRUE,ISNUMBER(SEARCH("H-Res",$B17))=TRUE,ISNUMBER(SEARCH("N.",$B17))=TRUE),INDEX(fertrate_LDHR_N,MATCH($I17,fertrate_CROPS,0)),
IF(AND(ISNUMBER(SEARCH("L-Dsty.",$B17))=TRUE,ISNUMBER(SEARCH("H-Res",$B17))=TRUE,ISNUMBER(SEARCH("C.",$B17))=TRUE),INDEX(fertrate_LDHR_C,MATCH($I17,fertrate_CROPS,0)),
IF(AND(ISNUMBER(SEARCH("L-Dsty.",$B17))=TRUE,ISNUMBER(SEARCH("L-Res",$B17))=TRUE,ISNUMBER(SEARCH("E.",$B17))=TRUE),INDEX(fertrate_LDLR_E,MATCH($I17,fertrate_CROPS,0)),
IF(AND(ISNUMBER(SEARCH("L-Dsty.",$B17))=TRUE,ISNUMBER(SEARCH("L-Res",$B17))=TRUE,ISNUMBER(SEARCH("N.",$B17))=TRUE),INDEX(fertrate_LDLR_N,MATCH($I17,fertrate_CROPS,0)),
IF(AND(ISNUMBER(SEARCH("L-Dsty.",$B17))=TRUE,ISNUMBER(SEARCH("L-Res",$B17))=TRUE,ISNUMBER(SEARCH("C.",$B17))=TRUE),INDEX(fertrate_LDLR_C,MATCH($I17,fertrate_CROPS,0))
)))))))))</f>
        <v>250</v>
      </c>
      <c r="AH17" s="234">
        <f t="shared" si="80"/>
        <v>150</v>
      </c>
      <c r="AI17" s="234">
        <f t="shared" si="81"/>
        <v>180</v>
      </c>
      <c r="AJ17" s="154">
        <f t="shared" si="23"/>
        <v>67</v>
      </c>
      <c r="AK17" s="154">
        <f t="shared" si="24"/>
        <v>44</v>
      </c>
      <c r="AL17" s="154">
        <f t="shared" si="25"/>
        <v>43</v>
      </c>
      <c r="AM17" s="154">
        <f t="shared" si="26"/>
        <v>67</v>
      </c>
      <c r="AN17" s="154">
        <f t="shared" si="27"/>
        <v>44</v>
      </c>
      <c r="AO17" s="154">
        <f t="shared" si="28"/>
        <v>49</v>
      </c>
      <c r="AP17" s="154">
        <f t="shared" si="29"/>
        <v>48</v>
      </c>
      <c r="AQ17" s="154">
        <f t="shared" si="30"/>
        <v>32</v>
      </c>
      <c r="AR17" s="154">
        <f t="shared" si="31"/>
        <v>47</v>
      </c>
      <c r="AS17" s="154">
        <f t="shared" si="32"/>
        <v>48</v>
      </c>
      <c r="AT17" s="154">
        <f t="shared" si="33"/>
        <v>32</v>
      </c>
      <c r="AU17" s="154">
        <f t="shared" si="34"/>
        <v>39</v>
      </c>
      <c r="AV17" s="234">
        <f t="shared" si="35"/>
        <v>11.9</v>
      </c>
      <c r="AW17" s="234">
        <f t="shared" si="36"/>
        <v>0.4</v>
      </c>
      <c r="AX17" s="234">
        <f t="shared" si="37"/>
        <v>4</v>
      </c>
      <c r="AY17" s="234">
        <f t="shared" si="38"/>
        <v>11.9</v>
      </c>
      <c r="AZ17" s="234">
        <f t="shared" si="39"/>
        <v>0.4</v>
      </c>
      <c r="BA17" s="234">
        <f t="shared" si="40"/>
        <v>3.8</v>
      </c>
      <c r="BB17" s="234">
        <f t="shared" si="41"/>
        <v>9.3000000000000007</v>
      </c>
      <c r="BC17" s="234">
        <f t="shared" si="42"/>
        <v>12.3</v>
      </c>
      <c r="BD17" s="234">
        <f t="shared" si="43"/>
        <v>12.3</v>
      </c>
      <c r="BE17" s="263">
        <v>3.3</v>
      </c>
      <c r="BF17" s="234">
        <f t="shared" si="45"/>
        <v>12.3</v>
      </c>
      <c r="BG17" s="234">
        <f t="shared" si="46"/>
        <v>0</v>
      </c>
      <c r="BH17" s="234">
        <f t="shared" si="47"/>
        <v>7</v>
      </c>
      <c r="BI17" s="234">
        <f t="shared" si="48"/>
        <v>6</v>
      </c>
      <c r="BJ17" s="234">
        <f t="shared" si="49"/>
        <v>6</v>
      </c>
      <c r="BK17" s="345">
        <v>5</v>
      </c>
      <c r="BL17" s="234">
        <f t="shared" si="51"/>
        <v>6</v>
      </c>
      <c r="BM17" s="234">
        <f t="shared" si="52"/>
        <v>4</v>
      </c>
      <c r="BN17" s="154" t="s">
        <v>483</v>
      </c>
      <c r="BO17" s="154" t="str">
        <f t="shared" si="53"/>
        <v>veryhigh</v>
      </c>
      <c r="BP17" s="154" t="str">
        <f t="shared" si="54"/>
        <v>high</v>
      </c>
      <c r="BQ17" s="154" t="str">
        <f t="shared" si="55"/>
        <v>medium</v>
      </c>
      <c r="BR17" s="154" t="s">
        <v>18</v>
      </c>
      <c r="BS17" s="154" t="s">
        <v>18</v>
      </c>
      <c r="BT17" s="154" t="s">
        <v>18</v>
      </c>
      <c r="BU17" s="154">
        <f t="shared" si="56"/>
        <v>150</v>
      </c>
      <c r="BV17" s="154">
        <f t="shared" si="57"/>
        <v>157</v>
      </c>
      <c r="BW17" s="154">
        <f t="shared" si="58"/>
        <v>185</v>
      </c>
      <c r="BX17" s="154">
        <f t="shared" si="59"/>
        <v>150</v>
      </c>
      <c r="BY17" s="154">
        <f t="shared" si="60"/>
        <v>157</v>
      </c>
      <c r="BZ17" s="154">
        <f t="shared" si="61"/>
        <v>335</v>
      </c>
      <c r="CA17" s="356">
        <f t="array" ref="CA17">IF(yieldsetting1="estimate",0,INDEX(cropdata, MATCH(yieldsource,outputs,0), MATCH($F17,cropdatacrops,0)))</f>
        <v>0</v>
      </c>
      <c r="CB17" s="356">
        <f t="array" ref="CB17">IF(yieldsetting1="estimate",0,INDEX(cropdata, MATCH(yieldsource,outputs,0), MATCH($G17,cropdatacrops,0)))</f>
        <v>0</v>
      </c>
      <c r="CC17" s="356">
        <f t="array" ref="CC17">IF(yieldsetting1="estimate",0,INDEX(cropdata, MATCH(yieldsource,outputs,0), MATCH($H17,cropdatacrops,0)))</f>
        <v>0</v>
      </c>
      <c r="CD17" s="356">
        <f t="array" ref="CD17">IF(yieldsetting1="estimate",0,INDEX(cropdata, MATCH(yieldsource,outputs,0), MATCH($I17,cropdatacrops,0)))</f>
        <v>0</v>
      </c>
      <c r="CE17" s="356">
        <f t="array" ref="CE17">IF(yieldsetting1="estimate",0,INDEX(cropdata, MATCH(yieldsource,outputs,0), MATCH($J17,cropdatacrops,0)))</f>
        <v>0</v>
      </c>
      <c r="CF17" s="356">
        <f t="array" ref="CF17">IF(yieldsetting1="estimate",0,INDEX(cropdata, MATCH(yieldsource,outputs,0), MATCH($K17,cropdatacrops,0)))</f>
        <v>0</v>
      </c>
      <c r="CG17" s="154" t="str">
        <f t="shared" si="62"/>
        <v>estimate</v>
      </c>
      <c r="CH17" s="235">
        <f t="shared" si="63"/>
        <v>0.8</v>
      </c>
      <c r="CI17" s="235">
        <f t="shared" si="64"/>
        <v>0.72</v>
      </c>
      <c r="CJ17" s="154">
        <f t="shared" si="65"/>
        <v>0.46</v>
      </c>
      <c r="CK17" s="154">
        <f t="shared" si="66"/>
        <v>0.36</v>
      </c>
      <c r="CL17" s="154">
        <f t="shared" si="67"/>
        <v>0.38</v>
      </c>
      <c r="CM17" s="154">
        <f t="shared" si="68"/>
        <v>0.38</v>
      </c>
      <c r="CN17" s="154">
        <f t="shared" si="69"/>
        <v>0.36</v>
      </c>
      <c r="CO17" s="154">
        <f t="shared" si="70"/>
        <v>0.38</v>
      </c>
      <c r="CP17" s="154">
        <f t="shared" si="71"/>
        <v>7.34</v>
      </c>
      <c r="CQ17" s="154">
        <f t="shared" si="82"/>
        <v>19.5</v>
      </c>
      <c r="CR17" s="154">
        <f t="shared" si="82"/>
        <v>19.5</v>
      </c>
      <c r="CS17" s="154">
        <f t="shared" si="82"/>
        <v>19.5</v>
      </c>
      <c r="CT17" s="154">
        <f t="shared" si="82"/>
        <v>19.5</v>
      </c>
      <c r="CU17" s="154">
        <f t="shared" si="82"/>
        <v>19.5</v>
      </c>
      <c r="CV17" s="154">
        <f t="shared" si="82"/>
        <v>19.5</v>
      </c>
      <c r="CW17" s="154">
        <f t="shared" si="83"/>
        <v>2.4300000000000002</v>
      </c>
      <c r="CX17" s="154">
        <f t="shared" si="83"/>
        <v>2.4300000000000002</v>
      </c>
      <c r="CY17" s="154">
        <f t="shared" si="83"/>
        <v>2.4300000000000002</v>
      </c>
      <c r="CZ17" s="154">
        <f t="shared" si="83"/>
        <v>2.4300000000000002</v>
      </c>
      <c r="DA17" s="154">
        <f t="shared" si="83"/>
        <v>2.4300000000000002</v>
      </c>
      <c r="DB17" s="154">
        <f t="shared" si="83"/>
        <v>2.4300000000000002</v>
      </c>
      <c r="DC17" s="154">
        <v>102</v>
      </c>
      <c r="DD17" s="154">
        <v>6</v>
      </c>
      <c r="DE17" s="154">
        <v>4</v>
      </c>
      <c r="DF17" s="154">
        <v>1400</v>
      </c>
      <c r="DG17" s="154">
        <v>125</v>
      </c>
      <c r="DH17" s="154">
        <f t="shared" si="74"/>
        <v>0.625</v>
      </c>
      <c r="DI17" s="154">
        <f t="shared" si="75"/>
        <v>10.08</v>
      </c>
    </row>
    <row r="18" spans="1:113" x14ac:dyDescent="0.2">
      <c r="A18" s="331" t="s">
        <v>1726</v>
      </c>
      <c r="B18" s="330" t="s">
        <v>499</v>
      </c>
      <c r="C18" s="330" t="s">
        <v>1681</v>
      </c>
      <c r="D18" s="233" t="str">
        <f>IF(ISNUMBER(SEARCH("heavy",B18))=TRUE,"2.25",
IF(ISNUMBER(SEARCH("medium",B18))=TRUE,"1.5",
IF(ISNUMBER(SEARCH("light",B18))=TRUE,"0.75")))</f>
        <v>0.75</v>
      </c>
      <c r="E18" s="154">
        <v>6</v>
      </c>
      <c r="F18" s="234" t="str" cm="1">
        <f t="array" ref="F18">IF(AND(ISNUMBER(SEARCH("H-Dsty.H-Res",$B18))=TRUE,ISNUMBER(SEARCH("E.",$B18))=TRUE,OR(ISNUMBER(SEARCH("heavy",$B18)),ISNUMBER(SEARCH("MEDIUM",$B18)))=TRUE),INDEX(croprotn_HDHR_E_h,MATCH(RIGHT($F$1,1),rotation_heavy,0)),
IF(AND(ISNUMBER(SEARCH("H-Dsty.H-Res",$B18))=TRUE,ISNUMBER(SEARCH("N.",$B18))=TRUE,OR(ISNUMBER(SEARCH("heavy",$B18)),ISNUMBER(SEARCH("MEDIUM",$B18)))=TRUE),INDEX(croprotn_HDHR_N_h,MATCH(RIGHT($F$1,1),rotation_heavy,0)),
IF(AND(ISNUMBER(SEARCH("H-Dsty.H-Res",$B18))=TRUE,ISNUMBER(SEARCH("C.",$B18))=TRUE,OR(ISNUMBER(SEARCH("heavy",$B18)),ISNUMBER(SEARCH("MEDIUM",$B18)))=TRUE),INDEX(croprotn_HDHR_C_h,MATCH(RIGHT($F$1,1),rotation_heavy,0)),
IF(AND(ISNUMBER(SEARCH("L-Dsty.H-Res",$B18))=TRUE,ISNUMBER(SEARCH("E.",$B18))=TRUE,OR(ISNUMBER(SEARCH("heavy",$B18)),ISNUMBER(SEARCH("MEDIUM",$B18)))=TRUE),INDEX(croprotn_LDHR_E_h,MATCH(RIGHT($F$1,1),rotation_heavy,0)),
IF(AND(ISNUMBER(SEARCH("L-Dsty.H-Res",$B18))=TRUE,ISNUMBER(SEARCH("N.",$B18))=TRUE,OR(ISNUMBER(SEARCH("heavy",$B18)),ISNUMBER(SEARCH("MEDIUM",$B18)))=TRUE),INDEX(croprotn_LDHR_N_h,MATCH(RIGHT($F$1,1),rotation_heavy,0)),
IF(AND(ISNUMBER(SEARCH("L-Dsty.H-Res",$B18))=TRUE,ISNUMBER(SEARCH("C.",$B18))=TRUE,OR(ISNUMBER(SEARCH("heavy",$B18)),ISNUMBER(SEARCH("MEDIUM",$B18)))=TRUE),INDEX(croprotn_LDHR_C_h,MATCH(RIGHT($F$1,1),rotation_heavy,0)),
IF(AND(ISNUMBER(SEARCH("L-Dsty.L-Res",$B18))=TRUE,ISNUMBER(SEARCH("E.",$B18))=TRUE,OR(ISNUMBER(SEARCH("heavy",$B18)),ISNUMBER(SEARCH("MEDIUM",$B18)))=TRUE),INDEX(croprotn_LDLR_E_h,MATCH(RIGHT($F$1,1),rotation_heavy,0)),
IF(AND(ISNUMBER(SEARCH("L-Dsty.L-Res",$B18))=TRUE,ISNUMBER(SEARCH("N.",$B18))=TRUE,OR(ISNUMBER(SEARCH("heavy",$B18)),ISNUMBER(SEARCH("MEDIUM",$B18)))=TRUE),INDEX(croprotn_LDLR_N_h,MATCH(RIGHT($F$1,1),rotation_heavy,0)),
IF(AND(ISNUMBER(SEARCH("L-Dsty.L-Res",$B18))=TRUE,ISNUMBER(SEARCH("C.",$B18))=TRUE,OR(ISNUMBER(SEARCH("heavy",$B18)),ISNUMBER(SEARCH("MEDIUM",$B18)))=TRUE),INDEX(croprotn_LDLR_C_h,MATCH(RIGHT($F$1,1),rotation_heavy,0)),
IF(AND(ISNUMBER(SEARCH("H-Dsty.H-Res",$B18))=TRUE,ISNUMBER(SEARCH("E.",$B18))=TRUE,ISNUMBER(SEARCH("light",$B18))=TRUE),INDEX(croprotn_HDHR_E_l,MATCH(RIGHT($F$1,1),rotation_light,0)),
IF(AND(ISNUMBER(SEARCH("H-Dsty.H-Res",$B18))=TRUE,ISNUMBER(SEARCH("N.",$B18))=TRUE,ISNUMBER(SEARCH("light",$B18))=TRUE),INDEX(croprotn_HDHR_N_l,MATCH(RIGHT($F$1,1),rotation_light,0)),
IF(AND(ISNUMBER(SEARCH("H-Dsty.H-Res",$B18))=TRUE,ISNUMBER(SEARCH("C.",$B18))=TRUE,ISNUMBER(SEARCH("light",$B18))=TRUE),INDEX(croprotn_HDHR_C_l,MATCH(RIGHT($F$1,1),rotation_light,0)),
IF(AND(ISNUMBER(SEARCH("L-Dsty.H-Res",$B18))=TRUE,ISNUMBER(SEARCH("E.",$B18))=TRUE,ISNUMBER(SEARCH("light",$B18))=TRUE),INDEX(croprotn_LDHR_E_l,MATCH(RIGHT($F$1,1),rotation_light,0)),
IF(AND(ISNUMBER(SEARCH("L-Dsty.H-Res",$B18))=TRUE,ISNUMBER(SEARCH("N.",$B18))=TRUE,ISNUMBER(SEARCH("light",$B18))=TRUE),INDEX(croprotn_LDHR_N_l,MATCH(RIGHT($F$1,1),rotation_light,0)),
IF(AND(ISNUMBER(SEARCH("L-Dsty.H-Res",$B18))=TRUE,ISNUMBER(SEARCH("C.",$B18))=TRUE,ISNUMBER(SEARCH("light",$B18))=TRUE),INDEX(croprotn_LDHR_C_l,MATCH(RIGHT($F$1,1),rotation_light,0)),
IF(AND(ISNUMBER(SEARCH("L-Dsty.L-Res",$B18))=TRUE,ISNUMBER(SEARCH("E.",$B18))=TRUE,ISNUMBER(SEARCH("light",$B18))=TRUE),INDEX(croprotn_LDLR_E_l,MATCH(RIGHT($F$1,1),rotation_light,0)),
IF(AND(ISNUMBER(SEARCH("L-Dsty.L-Res",$B18))=TRUE,ISNUMBER(SEARCH("N.",$B18))=TRUE,ISNUMBER(SEARCH("light",$B18))=TRUE),INDEX(croprotn_LDLR_N_l,MATCH(RIGHT($F$1,1),rotation_light,0)),
IF(AND(ISNUMBER(SEARCH("L-Dsty.L-Res",$B18))=TRUE,ISNUMBER(SEARCH("C.",$B18))=TRUE,ISNUMBER(SEARCH("light",$B18))=TRUE),INDEX(croprotn_LDLR_C_l,MATCH(RIGHT($F$1,1),rotation_light,0))
))))))))))))))))))</f>
        <v>winterwheat</v>
      </c>
      <c r="G18" s="234" t="str">
        <f t="shared" si="84"/>
        <v>springbarley</v>
      </c>
      <c r="H18" s="234" t="str">
        <f t="shared" si="1"/>
        <v>driedpeas</v>
      </c>
      <c r="I18" s="234" t="str">
        <f t="shared" si="2"/>
        <v>winterwheat</v>
      </c>
      <c r="J18" s="234" t="str">
        <f t="shared" si="3"/>
        <v>springbarley</v>
      </c>
      <c r="K18" s="234" t="str">
        <f t="shared" si="4"/>
        <v>wosr</v>
      </c>
      <c r="L18" s="154" t="str">
        <f t="shared" si="5"/>
        <v>lightcultivation</v>
      </c>
      <c r="M18" s="154" t="str">
        <f t="shared" si="6"/>
        <v>lightcultivation</v>
      </c>
      <c r="N18" s="154" t="str">
        <f t="shared" si="7"/>
        <v>ploughing</v>
      </c>
      <c r="O18" s="154" t="str">
        <f t="shared" si="8"/>
        <v>lightcultivation</v>
      </c>
      <c r="P18" s="154" t="str">
        <f t="shared" si="76"/>
        <v>lightcultivation</v>
      </c>
      <c r="Q18" s="154" t="str">
        <f t="shared" si="78"/>
        <v>directdrilling</v>
      </c>
      <c r="R18" s="344">
        <v>240</v>
      </c>
      <c r="S18" s="234">
        <f t="shared" si="10"/>
        <v>200</v>
      </c>
      <c r="T18" s="234">
        <f t="shared" si="11"/>
        <v>300</v>
      </c>
      <c r="U18" s="344">
        <v>240</v>
      </c>
      <c r="V18" s="234">
        <f t="shared" si="13"/>
        <v>200</v>
      </c>
      <c r="W18" s="234">
        <f t="shared" si="14"/>
        <v>3.2</v>
      </c>
      <c r="X18" s="154" t="str">
        <f t="shared" si="15"/>
        <v>late</v>
      </c>
      <c r="Y18" s="154" t="str">
        <f t="shared" si="16"/>
        <v>late</v>
      </c>
      <c r="Z18" s="154" t="str">
        <f t="shared" si="17"/>
        <v>no</v>
      </c>
      <c r="AA18" s="154" t="str">
        <f t="shared" si="18"/>
        <v>late</v>
      </c>
      <c r="AB18" s="154" t="str">
        <f t="shared" si="19"/>
        <v>late</v>
      </c>
      <c r="AC18" s="154" t="str">
        <f t="shared" si="20"/>
        <v>no</v>
      </c>
      <c r="AD18" s="345">
        <v>180</v>
      </c>
      <c r="AE18" s="234">
        <f t="shared" si="85"/>
        <v>150</v>
      </c>
      <c r="AF18" s="234">
        <f t="shared" si="79"/>
        <v>0</v>
      </c>
      <c r="AG18" s="345">
        <v>180</v>
      </c>
      <c r="AH18" s="234">
        <f t="shared" si="80"/>
        <v>150</v>
      </c>
      <c r="AI18" s="234">
        <f t="shared" si="81"/>
        <v>180</v>
      </c>
      <c r="AJ18" s="154">
        <f t="shared" si="23"/>
        <v>67</v>
      </c>
      <c r="AK18" s="154">
        <f t="shared" si="24"/>
        <v>44</v>
      </c>
      <c r="AL18" s="154">
        <f t="shared" si="25"/>
        <v>35</v>
      </c>
      <c r="AM18" s="154">
        <f t="shared" si="26"/>
        <v>67</v>
      </c>
      <c r="AN18" s="154">
        <f t="shared" si="27"/>
        <v>44</v>
      </c>
      <c r="AO18" s="154">
        <f t="shared" si="28"/>
        <v>49</v>
      </c>
      <c r="AP18" s="154">
        <f t="shared" si="29"/>
        <v>48</v>
      </c>
      <c r="AQ18" s="154">
        <f t="shared" si="30"/>
        <v>32</v>
      </c>
      <c r="AR18" s="154">
        <f t="shared" si="31"/>
        <v>40</v>
      </c>
      <c r="AS18" s="154">
        <f t="shared" si="32"/>
        <v>48</v>
      </c>
      <c r="AT18" s="154">
        <f t="shared" si="33"/>
        <v>32</v>
      </c>
      <c r="AU18" s="154">
        <f t="shared" si="34"/>
        <v>39</v>
      </c>
      <c r="AV18" s="234">
        <f t="shared" si="35"/>
        <v>11.9</v>
      </c>
      <c r="AW18" s="234">
        <f t="shared" si="36"/>
        <v>0.4</v>
      </c>
      <c r="AX18" s="234">
        <f t="shared" si="37"/>
        <v>4</v>
      </c>
      <c r="AY18" s="234">
        <f t="shared" si="38"/>
        <v>11.9</v>
      </c>
      <c r="AZ18" s="234">
        <f t="shared" si="39"/>
        <v>0.4</v>
      </c>
      <c r="BA18" s="234">
        <f t="shared" si="40"/>
        <v>3.8</v>
      </c>
      <c r="BB18" s="234">
        <f t="shared" si="41"/>
        <v>9.3000000000000007</v>
      </c>
      <c r="BC18" s="234">
        <f t="shared" si="42"/>
        <v>12.3</v>
      </c>
      <c r="BD18" s="234">
        <f t="shared" si="43"/>
        <v>12.3</v>
      </c>
      <c r="BE18" s="263">
        <v>3.3</v>
      </c>
      <c r="BF18" s="234">
        <f t="shared" si="45"/>
        <v>12.3</v>
      </c>
      <c r="BG18" s="234">
        <f t="shared" si="46"/>
        <v>0</v>
      </c>
      <c r="BH18" s="234">
        <f t="shared" si="47"/>
        <v>7</v>
      </c>
      <c r="BI18" s="234">
        <f t="shared" si="48"/>
        <v>6</v>
      </c>
      <c r="BJ18" s="234">
        <f t="shared" si="49"/>
        <v>6</v>
      </c>
      <c r="BK18" s="345">
        <v>5</v>
      </c>
      <c r="BL18" s="234">
        <f t="shared" si="51"/>
        <v>6</v>
      </c>
      <c r="BM18" s="234">
        <f t="shared" si="52"/>
        <v>4</v>
      </c>
      <c r="BN18" s="154" t="s">
        <v>483</v>
      </c>
      <c r="BO18" s="154" t="str">
        <f t="shared" si="53"/>
        <v>high</v>
      </c>
      <c r="BP18" s="154" t="str">
        <f t="shared" si="54"/>
        <v>medium</v>
      </c>
      <c r="BQ18" s="154" t="str">
        <f t="shared" si="55"/>
        <v>low</v>
      </c>
      <c r="BR18" s="154" t="s">
        <v>182</v>
      </c>
      <c r="BS18" s="154" t="s">
        <v>182</v>
      </c>
      <c r="BT18" s="154" t="s">
        <v>182</v>
      </c>
      <c r="BU18" s="154">
        <f t="shared" si="56"/>
        <v>150</v>
      </c>
      <c r="BV18" s="154">
        <f t="shared" si="57"/>
        <v>157</v>
      </c>
      <c r="BW18" s="154">
        <f t="shared" si="58"/>
        <v>225</v>
      </c>
      <c r="BX18" s="154">
        <f t="shared" si="59"/>
        <v>150</v>
      </c>
      <c r="BY18" s="154">
        <f t="shared" si="60"/>
        <v>157</v>
      </c>
      <c r="BZ18" s="154">
        <f t="shared" si="61"/>
        <v>335</v>
      </c>
      <c r="CA18" s="356">
        <f t="array" ref="CA18">IF(yieldsetting1="estimate",0,INDEX(cropdata, MATCH(yieldsource,outputs,0), MATCH($F18,cropdatacrops,0)))</f>
        <v>0</v>
      </c>
      <c r="CB18" s="356">
        <f t="array" ref="CB18">IF(yieldsetting1="estimate",0,INDEX(cropdata, MATCH(yieldsource,outputs,0), MATCH($G18,cropdatacrops,0)))</f>
        <v>0</v>
      </c>
      <c r="CC18" s="356">
        <f t="array" ref="CC18">IF(yieldsetting1="estimate",0,INDEX(cropdata, MATCH(yieldsource,outputs,0), MATCH($H18,cropdatacrops,0)))</f>
        <v>0</v>
      </c>
      <c r="CD18" s="356">
        <f t="array" ref="CD18">IF(yieldsetting1="estimate",0,INDEX(cropdata, MATCH(yieldsource,outputs,0), MATCH($I18,cropdatacrops,0)))</f>
        <v>0</v>
      </c>
      <c r="CE18" s="356">
        <f t="array" ref="CE18">IF(yieldsetting1="estimate",0,INDEX(cropdata, MATCH(yieldsource,outputs,0), MATCH($J18,cropdatacrops,0)))</f>
        <v>0</v>
      </c>
      <c r="CF18" s="356">
        <f t="array" ref="CF18">IF(yieldsetting1="estimate",0,INDEX(cropdata, MATCH(yieldsource,outputs,0), MATCH($K18,cropdatacrops,0)))</f>
        <v>0</v>
      </c>
      <c r="CG18" s="154" t="str">
        <f t="shared" si="62"/>
        <v>estimate</v>
      </c>
      <c r="CH18" s="235">
        <f t="shared" si="63"/>
        <v>0.8</v>
      </c>
      <c r="CI18" s="235">
        <f t="shared" si="64"/>
        <v>0.72</v>
      </c>
      <c r="CJ18" s="154">
        <f t="shared" si="65"/>
        <v>0.46</v>
      </c>
      <c r="CK18" s="154">
        <f t="shared" si="66"/>
        <v>0.36</v>
      </c>
      <c r="CL18" s="154">
        <f t="shared" si="67"/>
        <v>0.38</v>
      </c>
      <c r="CM18" s="154">
        <f t="shared" si="68"/>
        <v>0.47</v>
      </c>
      <c r="CN18" s="154">
        <f t="shared" si="69"/>
        <v>0.36</v>
      </c>
      <c r="CO18" s="154">
        <f t="shared" si="70"/>
        <v>0.38</v>
      </c>
      <c r="CP18" s="154">
        <f t="shared" si="71"/>
        <v>7.34</v>
      </c>
      <c r="CQ18" s="154">
        <f t="shared" si="82"/>
        <v>19.5</v>
      </c>
      <c r="CR18" s="154">
        <f t="shared" si="82"/>
        <v>19.5</v>
      </c>
      <c r="CS18" s="154">
        <f t="shared" si="82"/>
        <v>19.5</v>
      </c>
      <c r="CT18" s="154">
        <f t="shared" si="82"/>
        <v>19.5</v>
      </c>
      <c r="CU18" s="154">
        <f t="shared" si="82"/>
        <v>19.5</v>
      </c>
      <c r="CV18" s="154">
        <f t="shared" si="82"/>
        <v>19.5</v>
      </c>
      <c r="CW18" s="154">
        <f t="shared" si="83"/>
        <v>2.4300000000000002</v>
      </c>
      <c r="CX18" s="154">
        <f t="shared" si="83"/>
        <v>2.4300000000000002</v>
      </c>
      <c r="CY18" s="154">
        <f t="shared" si="83"/>
        <v>2.4300000000000002</v>
      </c>
      <c r="CZ18" s="154">
        <f t="shared" si="83"/>
        <v>2.4300000000000002</v>
      </c>
      <c r="DA18" s="154">
        <f t="shared" si="83"/>
        <v>2.4300000000000002</v>
      </c>
      <c r="DB18" s="154">
        <f t="shared" si="83"/>
        <v>2.4300000000000002</v>
      </c>
      <c r="DC18" s="154">
        <v>102</v>
      </c>
      <c r="DD18" s="154">
        <v>6</v>
      </c>
      <c r="DE18" s="154">
        <v>4</v>
      </c>
      <c r="DF18" s="154">
        <v>1400</v>
      </c>
      <c r="DG18" s="154">
        <v>125</v>
      </c>
      <c r="DH18" s="154">
        <f t="shared" si="74"/>
        <v>0.625</v>
      </c>
      <c r="DI18" s="154">
        <f t="shared" si="75"/>
        <v>10.08</v>
      </c>
    </row>
    <row r="19" spans="1:113" x14ac:dyDescent="0.2">
      <c r="A19" s="331" t="s">
        <v>1727</v>
      </c>
      <c r="B19" s="330" t="s">
        <v>499</v>
      </c>
      <c r="C19" s="330" t="s">
        <v>1682</v>
      </c>
      <c r="D19" s="233" t="str">
        <f>IF(ISNUMBER(SEARCH("heavy",B19))=TRUE,"2.25",
IF(ISNUMBER(SEARCH("medium",B19))=TRUE,"1.5",
IF(ISNUMBER(SEARCH("light",B19))=TRUE,"0.75")))</f>
        <v>0.75</v>
      </c>
      <c r="E19" s="154">
        <v>6</v>
      </c>
      <c r="F19" s="234" t="str" cm="1">
        <f t="array" ref="F19">IF(AND(ISNUMBER(SEARCH("H-Dsty.H-Res",$B19))=TRUE,ISNUMBER(SEARCH("E.",$B19))=TRUE,OR(ISNUMBER(SEARCH("heavy",$B19)),ISNUMBER(SEARCH("MEDIUM",$B19)))=TRUE),INDEX(croprotn_HDHR_E_h,MATCH(RIGHT($F$1,1),rotation_heavy,0)),
IF(AND(ISNUMBER(SEARCH("H-Dsty.H-Res",$B19))=TRUE,ISNUMBER(SEARCH("N.",$B19))=TRUE,OR(ISNUMBER(SEARCH("heavy",$B19)),ISNUMBER(SEARCH("MEDIUM",$B19)))=TRUE),INDEX(croprotn_HDHR_N_h,MATCH(RIGHT($F$1,1),rotation_heavy,0)),
IF(AND(ISNUMBER(SEARCH("H-Dsty.H-Res",$B19))=TRUE,ISNUMBER(SEARCH("C.",$B19))=TRUE,OR(ISNUMBER(SEARCH("heavy",$B19)),ISNUMBER(SEARCH("MEDIUM",$B19)))=TRUE),INDEX(croprotn_HDHR_C_h,MATCH(RIGHT($F$1,1),rotation_heavy,0)),
IF(AND(ISNUMBER(SEARCH("L-Dsty.H-Res",$B19))=TRUE,ISNUMBER(SEARCH("E.",$B19))=TRUE,OR(ISNUMBER(SEARCH("heavy",$B19)),ISNUMBER(SEARCH("MEDIUM",$B19)))=TRUE),INDEX(croprotn_LDHR_E_h,MATCH(RIGHT($F$1,1),rotation_heavy,0)),
IF(AND(ISNUMBER(SEARCH("L-Dsty.H-Res",$B19))=TRUE,ISNUMBER(SEARCH("N.",$B19))=TRUE,OR(ISNUMBER(SEARCH("heavy",$B19)),ISNUMBER(SEARCH("MEDIUM",$B19)))=TRUE),INDEX(croprotn_LDHR_N_h,MATCH(RIGHT($F$1,1),rotation_heavy,0)),
IF(AND(ISNUMBER(SEARCH("L-Dsty.H-Res",$B19))=TRUE,ISNUMBER(SEARCH("C.",$B19))=TRUE,OR(ISNUMBER(SEARCH("heavy",$B19)),ISNUMBER(SEARCH("MEDIUM",$B19)))=TRUE),INDEX(croprotn_LDHR_C_h,MATCH(RIGHT($F$1,1),rotation_heavy,0)),
IF(AND(ISNUMBER(SEARCH("L-Dsty.L-Res",$B19))=TRUE,ISNUMBER(SEARCH("E.",$B19))=TRUE,OR(ISNUMBER(SEARCH("heavy",$B19)),ISNUMBER(SEARCH("MEDIUM",$B19)))=TRUE),INDEX(croprotn_LDLR_E_h,MATCH(RIGHT($F$1,1),rotation_heavy,0)),
IF(AND(ISNUMBER(SEARCH("L-Dsty.L-Res",$B19))=TRUE,ISNUMBER(SEARCH("N.",$B19))=TRUE,OR(ISNUMBER(SEARCH("heavy",$B19)),ISNUMBER(SEARCH("MEDIUM",$B19)))=TRUE),INDEX(croprotn_LDLR_N_h,MATCH(RIGHT($F$1,1),rotation_heavy,0)),
IF(AND(ISNUMBER(SEARCH("L-Dsty.L-Res",$B19))=TRUE,ISNUMBER(SEARCH("C.",$B19))=TRUE,OR(ISNUMBER(SEARCH("heavy",$B19)),ISNUMBER(SEARCH("MEDIUM",$B19)))=TRUE),INDEX(croprotn_LDLR_C_h,MATCH(RIGHT($F$1,1),rotation_heavy,0)),
IF(AND(ISNUMBER(SEARCH("H-Dsty.H-Res",$B19))=TRUE,ISNUMBER(SEARCH("E.",$B19))=TRUE,ISNUMBER(SEARCH("light",$B19))=TRUE),INDEX(croprotn_HDHR_E_l,MATCH(RIGHT($F$1,1),rotation_light,0)),
IF(AND(ISNUMBER(SEARCH("H-Dsty.H-Res",$B19))=TRUE,ISNUMBER(SEARCH("N.",$B19))=TRUE,ISNUMBER(SEARCH("light",$B19))=TRUE),INDEX(croprotn_HDHR_N_l,MATCH(RIGHT($F$1,1),rotation_light,0)),
IF(AND(ISNUMBER(SEARCH("H-Dsty.H-Res",$B19))=TRUE,ISNUMBER(SEARCH("C.",$B19))=TRUE,ISNUMBER(SEARCH("light",$B19))=TRUE),INDEX(croprotn_HDHR_C_l,MATCH(RIGHT($F$1,1),rotation_light,0)),
IF(AND(ISNUMBER(SEARCH("L-Dsty.H-Res",$B19))=TRUE,ISNUMBER(SEARCH("E.",$B19))=TRUE,ISNUMBER(SEARCH("light",$B19))=TRUE),INDEX(croprotn_LDHR_E_l,MATCH(RIGHT($F$1,1),rotation_light,0)),
IF(AND(ISNUMBER(SEARCH("L-Dsty.H-Res",$B19))=TRUE,ISNUMBER(SEARCH("N.",$B19))=TRUE,ISNUMBER(SEARCH("light",$B19))=TRUE),INDEX(croprotn_LDHR_N_l,MATCH(RIGHT($F$1,1),rotation_light,0)),
IF(AND(ISNUMBER(SEARCH("L-Dsty.H-Res",$B19))=TRUE,ISNUMBER(SEARCH("C.",$B19))=TRUE,ISNUMBER(SEARCH("light",$B19))=TRUE),INDEX(croprotn_LDHR_C_l,MATCH(RIGHT($F$1,1),rotation_light,0)),
IF(AND(ISNUMBER(SEARCH("L-Dsty.L-Res",$B19))=TRUE,ISNUMBER(SEARCH("E.",$B19))=TRUE,ISNUMBER(SEARCH("light",$B19))=TRUE),INDEX(croprotn_LDLR_E_l,MATCH(RIGHT($F$1,1),rotation_light,0)),
IF(AND(ISNUMBER(SEARCH("L-Dsty.L-Res",$B19))=TRUE,ISNUMBER(SEARCH("N.",$B19))=TRUE,ISNUMBER(SEARCH("light",$B19))=TRUE),INDEX(croprotn_LDLR_N_l,MATCH(RIGHT($F$1,1),rotation_light,0)),
IF(AND(ISNUMBER(SEARCH("L-Dsty.L-Res",$B19))=TRUE,ISNUMBER(SEARCH("C.",$B19))=TRUE,ISNUMBER(SEARCH("light",$B19))=TRUE),INDEX(croprotn_LDLR_C_l,MATCH(RIGHT($F$1,1),rotation_light,0))
))))))))))))))))))</f>
        <v>winterwheat</v>
      </c>
      <c r="G19" s="234" t="str">
        <f t="shared" si="84"/>
        <v>springbarley</v>
      </c>
      <c r="H19" s="234" t="str">
        <f t="shared" si="1"/>
        <v>driedpeas</v>
      </c>
      <c r="I19" s="234" t="str">
        <f t="shared" si="2"/>
        <v>winterwheat</v>
      </c>
      <c r="J19" s="234" t="str">
        <f t="shared" si="3"/>
        <v>springbarley</v>
      </c>
      <c r="K19" s="234" t="str">
        <f t="shared" si="4"/>
        <v>wosr</v>
      </c>
      <c r="L19" s="154" t="str">
        <f t="shared" si="5"/>
        <v>lightcultivation</v>
      </c>
      <c r="M19" s="154" t="str">
        <f t="shared" si="6"/>
        <v>lightcultivation</v>
      </c>
      <c r="N19" s="154" t="str">
        <f t="shared" si="7"/>
        <v>ploughing</v>
      </c>
      <c r="O19" s="154" t="str">
        <f t="shared" si="8"/>
        <v>lightcultivation</v>
      </c>
      <c r="P19" s="154" t="str">
        <f t="shared" si="76"/>
        <v>lightcultivation</v>
      </c>
      <c r="Q19" s="154" t="str">
        <f t="shared" si="78"/>
        <v>directdrilling</v>
      </c>
      <c r="R19" s="344">
        <v>240</v>
      </c>
      <c r="S19" s="234">
        <f t="shared" si="10"/>
        <v>200</v>
      </c>
      <c r="T19" s="234">
        <f t="shared" si="11"/>
        <v>300</v>
      </c>
      <c r="U19" s="344">
        <v>240</v>
      </c>
      <c r="V19" s="234">
        <f t="shared" si="13"/>
        <v>200</v>
      </c>
      <c r="W19" s="234">
        <f t="shared" si="14"/>
        <v>3.2</v>
      </c>
      <c r="X19" s="154" t="str">
        <f t="shared" si="15"/>
        <v>late</v>
      </c>
      <c r="Y19" s="154" t="str">
        <f t="shared" si="16"/>
        <v>late</v>
      </c>
      <c r="Z19" s="154" t="str">
        <f t="shared" si="17"/>
        <v>no</v>
      </c>
      <c r="AA19" s="154" t="str">
        <f t="shared" si="18"/>
        <v>late</v>
      </c>
      <c r="AB19" s="154" t="str">
        <f t="shared" si="19"/>
        <v>late</v>
      </c>
      <c r="AC19" s="154" t="str">
        <f t="shared" si="20"/>
        <v>no</v>
      </c>
      <c r="AD19" s="345">
        <v>180</v>
      </c>
      <c r="AE19" s="234">
        <f t="shared" si="85"/>
        <v>150</v>
      </c>
      <c r="AF19" s="234">
        <f t="shared" si="79"/>
        <v>0</v>
      </c>
      <c r="AG19" s="345">
        <v>180</v>
      </c>
      <c r="AH19" s="234">
        <f t="shared" si="80"/>
        <v>150</v>
      </c>
      <c r="AI19" s="234">
        <f t="shared" si="81"/>
        <v>180</v>
      </c>
      <c r="AJ19" s="154">
        <f t="shared" si="23"/>
        <v>67</v>
      </c>
      <c r="AK19" s="154">
        <f t="shared" si="24"/>
        <v>44</v>
      </c>
      <c r="AL19" s="154">
        <f t="shared" si="25"/>
        <v>35</v>
      </c>
      <c r="AM19" s="154">
        <f t="shared" si="26"/>
        <v>67</v>
      </c>
      <c r="AN19" s="154">
        <f t="shared" si="27"/>
        <v>44</v>
      </c>
      <c r="AO19" s="154">
        <f t="shared" si="28"/>
        <v>49</v>
      </c>
      <c r="AP19" s="154">
        <f t="shared" si="29"/>
        <v>48</v>
      </c>
      <c r="AQ19" s="154">
        <f t="shared" si="30"/>
        <v>32</v>
      </c>
      <c r="AR19" s="154">
        <f t="shared" si="31"/>
        <v>40</v>
      </c>
      <c r="AS19" s="154">
        <f t="shared" si="32"/>
        <v>48</v>
      </c>
      <c r="AT19" s="154">
        <f t="shared" si="33"/>
        <v>32</v>
      </c>
      <c r="AU19" s="154">
        <f t="shared" si="34"/>
        <v>39</v>
      </c>
      <c r="AV19" s="234">
        <f t="shared" si="35"/>
        <v>11.9</v>
      </c>
      <c r="AW19" s="234">
        <f t="shared" si="36"/>
        <v>0.4</v>
      </c>
      <c r="AX19" s="234">
        <f t="shared" si="37"/>
        <v>4</v>
      </c>
      <c r="AY19" s="234">
        <f t="shared" si="38"/>
        <v>11.9</v>
      </c>
      <c r="AZ19" s="234">
        <f t="shared" si="39"/>
        <v>0.4</v>
      </c>
      <c r="BA19" s="234">
        <f t="shared" si="40"/>
        <v>3.8</v>
      </c>
      <c r="BB19" s="234">
        <f t="shared" si="41"/>
        <v>9.3000000000000007</v>
      </c>
      <c r="BC19" s="234">
        <f t="shared" si="42"/>
        <v>12.3</v>
      </c>
      <c r="BD19" s="234">
        <f t="shared" si="43"/>
        <v>12.3</v>
      </c>
      <c r="BE19" s="263">
        <v>3.3</v>
      </c>
      <c r="BF19" s="234">
        <f t="shared" si="45"/>
        <v>12.3</v>
      </c>
      <c r="BG19" s="234">
        <f t="shared" si="46"/>
        <v>0</v>
      </c>
      <c r="BH19" s="234">
        <f t="shared" si="47"/>
        <v>7</v>
      </c>
      <c r="BI19" s="234">
        <f t="shared" si="48"/>
        <v>6</v>
      </c>
      <c r="BJ19" s="234">
        <f t="shared" si="49"/>
        <v>6</v>
      </c>
      <c r="BK19" s="345">
        <v>5</v>
      </c>
      <c r="BL19" s="234">
        <f t="shared" si="51"/>
        <v>6</v>
      </c>
      <c r="BM19" s="234">
        <f t="shared" si="52"/>
        <v>4</v>
      </c>
      <c r="BN19" s="154" t="s">
        <v>483</v>
      </c>
      <c r="BO19" s="154" t="str">
        <f t="shared" si="53"/>
        <v>veryhigh</v>
      </c>
      <c r="BP19" s="154" t="str">
        <f t="shared" si="54"/>
        <v>high</v>
      </c>
      <c r="BQ19" s="154" t="str">
        <f t="shared" si="55"/>
        <v>medium</v>
      </c>
      <c r="BR19" s="154" t="s">
        <v>183</v>
      </c>
      <c r="BS19" s="154" t="s">
        <v>183</v>
      </c>
      <c r="BT19" s="154" t="s">
        <v>183</v>
      </c>
      <c r="BU19" s="154">
        <f t="shared" si="56"/>
        <v>150</v>
      </c>
      <c r="BV19" s="154">
        <f t="shared" si="57"/>
        <v>157</v>
      </c>
      <c r="BW19" s="154">
        <f t="shared" si="58"/>
        <v>225</v>
      </c>
      <c r="BX19" s="154">
        <f t="shared" si="59"/>
        <v>150</v>
      </c>
      <c r="BY19" s="154">
        <f t="shared" si="60"/>
        <v>157</v>
      </c>
      <c r="BZ19" s="154">
        <f t="shared" si="61"/>
        <v>335</v>
      </c>
      <c r="CA19" s="356">
        <f t="array" ref="CA19">IF(yieldsetting1="estimate",0,INDEX(cropdata, MATCH(yieldsource,outputs,0), MATCH($F19,cropdatacrops,0)))</f>
        <v>0</v>
      </c>
      <c r="CB19" s="356">
        <f t="array" ref="CB19">IF(yieldsetting1="estimate",0,INDEX(cropdata, MATCH(yieldsource,outputs,0), MATCH($G19,cropdatacrops,0)))</f>
        <v>0</v>
      </c>
      <c r="CC19" s="356">
        <f t="array" ref="CC19">IF(yieldsetting1="estimate",0,INDEX(cropdata, MATCH(yieldsource,outputs,0), MATCH($H19,cropdatacrops,0)))</f>
        <v>0</v>
      </c>
      <c r="CD19" s="356">
        <f t="array" ref="CD19">IF(yieldsetting1="estimate",0,INDEX(cropdata, MATCH(yieldsource,outputs,0), MATCH($I19,cropdatacrops,0)))</f>
        <v>0</v>
      </c>
      <c r="CE19" s="356">
        <f t="array" ref="CE19">IF(yieldsetting1="estimate",0,INDEX(cropdata, MATCH(yieldsource,outputs,0), MATCH($J19,cropdatacrops,0)))</f>
        <v>0</v>
      </c>
      <c r="CF19" s="356">
        <f t="array" ref="CF19">IF(yieldsetting1="estimate",0,INDEX(cropdata, MATCH(yieldsource,outputs,0), MATCH($K19,cropdatacrops,0)))</f>
        <v>0</v>
      </c>
      <c r="CG19" s="154" t="str">
        <f t="shared" si="62"/>
        <v>estimate</v>
      </c>
      <c r="CH19" s="235">
        <f t="shared" si="63"/>
        <v>0.8</v>
      </c>
      <c r="CI19" s="235">
        <f t="shared" si="64"/>
        <v>0.72</v>
      </c>
      <c r="CJ19" s="154">
        <f t="shared" si="65"/>
        <v>0.46</v>
      </c>
      <c r="CK19" s="154">
        <f t="shared" si="66"/>
        <v>0.36</v>
      </c>
      <c r="CL19" s="154">
        <f t="shared" si="67"/>
        <v>0.38</v>
      </c>
      <c r="CM19" s="154">
        <f t="shared" si="68"/>
        <v>0.47</v>
      </c>
      <c r="CN19" s="154">
        <f t="shared" si="69"/>
        <v>0.36</v>
      </c>
      <c r="CO19" s="154">
        <f t="shared" si="70"/>
        <v>0.38</v>
      </c>
      <c r="CP19" s="154">
        <f t="shared" si="71"/>
        <v>7.34</v>
      </c>
      <c r="CQ19" s="154">
        <f t="shared" si="82"/>
        <v>19.5</v>
      </c>
      <c r="CR19" s="154">
        <f t="shared" si="82"/>
        <v>19.5</v>
      </c>
      <c r="CS19" s="154">
        <f t="shared" si="82"/>
        <v>19.5</v>
      </c>
      <c r="CT19" s="154">
        <f t="shared" si="82"/>
        <v>19.5</v>
      </c>
      <c r="CU19" s="154">
        <f t="shared" si="82"/>
        <v>19.5</v>
      </c>
      <c r="CV19" s="154">
        <f t="shared" si="82"/>
        <v>19.5</v>
      </c>
      <c r="CW19" s="154">
        <f t="shared" si="83"/>
        <v>2.4300000000000002</v>
      </c>
      <c r="CX19" s="154">
        <f t="shared" si="83"/>
        <v>2.4300000000000002</v>
      </c>
      <c r="CY19" s="154">
        <f t="shared" si="83"/>
        <v>2.4300000000000002</v>
      </c>
      <c r="CZ19" s="154">
        <f t="shared" si="83"/>
        <v>2.4300000000000002</v>
      </c>
      <c r="DA19" s="154">
        <f t="shared" si="83"/>
        <v>2.4300000000000002</v>
      </c>
      <c r="DB19" s="154">
        <f t="shared" si="83"/>
        <v>2.4300000000000002</v>
      </c>
      <c r="DC19" s="154">
        <v>102</v>
      </c>
      <c r="DD19" s="154">
        <v>6</v>
      </c>
      <c r="DE19" s="154">
        <v>4</v>
      </c>
      <c r="DF19" s="154">
        <v>1400</v>
      </c>
      <c r="DG19" s="154">
        <v>125</v>
      </c>
      <c r="DH19" s="154">
        <f t="shared" si="74"/>
        <v>0.625</v>
      </c>
      <c r="DI19" s="154">
        <f t="shared" si="75"/>
        <v>10.08</v>
      </c>
    </row>
    <row r="20" spans="1:113" x14ac:dyDescent="0.2">
      <c r="A20" s="332" t="s">
        <v>1665</v>
      </c>
      <c r="B20" s="333" t="s">
        <v>503</v>
      </c>
      <c r="C20" s="333" t="s">
        <v>1614</v>
      </c>
      <c r="D20" s="233" t="str">
        <f>IF(ISNUMBER(SEARCH("heavy",B20))=TRUE,"2.25",
IF(ISNUMBER(SEARCH("medium",B20))=TRUE,"1.5",
IF(ISNUMBER(SEARCH("light",B20))=TRUE,"0.75")))</f>
        <v>2.25</v>
      </c>
      <c r="E20" s="154">
        <v>6</v>
      </c>
      <c r="F20" s="234" t="str" cm="1">
        <f t="array" ref="F20">IF(AND(ISNUMBER(SEARCH("H-Dsty.H-Res",$B20))=TRUE,ISNUMBER(SEARCH("E.",$B20))=TRUE,OR(ISNUMBER(SEARCH("heavy",$B20)),ISNUMBER(SEARCH("MEDIUM",$B20)))=TRUE),INDEX(croprotn_HDHR_E_h,MATCH(RIGHT($F$1,1),rotation_heavy,0)),
IF(AND(ISNUMBER(SEARCH("H-Dsty.H-Res",$B20))=TRUE,ISNUMBER(SEARCH("N.",$B20))=TRUE,OR(ISNUMBER(SEARCH("heavy",$B20)),ISNUMBER(SEARCH("MEDIUM",$B20)))=TRUE),INDEX(croprotn_HDHR_N_h,MATCH(RIGHT($F$1,1),rotation_heavy,0)),
IF(AND(ISNUMBER(SEARCH("H-Dsty.H-Res",$B20))=TRUE,ISNUMBER(SEARCH("C.",$B20))=TRUE,OR(ISNUMBER(SEARCH("heavy",$B20)),ISNUMBER(SEARCH("MEDIUM",$B20)))=TRUE),INDEX(croprotn_HDHR_C_h,MATCH(RIGHT($F$1,1),rotation_heavy,0)),
IF(AND(ISNUMBER(SEARCH("L-Dsty.H-Res",$B20))=TRUE,ISNUMBER(SEARCH("E.",$B20))=TRUE,OR(ISNUMBER(SEARCH("heavy",$B20)),ISNUMBER(SEARCH("MEDIUM",$B20)))=TRUE),INDEX(croprotn_LDHR_E_h,MATCH(RIGHT($F$1,1),rotation_heavy,0)),
IF(AND(ISNUMBER(SEARCH("L-Dsty.H-Res",$B20))=TRUE,ISNUMBER(SEARCH("N.",$B20))=TRUE,OR(ISNUMBER(SEARCH("heavy",$B20)),ISNUMBER(SEARCH("MEDIUM",$B20)))=TRUE),INDEX(croprotn_LDHR_N_h,MATCH(RIGHT($F$1,1),rotation_heavy,0)),
IF(AND(ISNUMBER(SEARCH("L-Dsty.H-Res",$B20))=TRUE,ISNUMBER(SEARCH("C.",$B20))=TRUE,OR(ISNUMBER(SEARCH("heavy",$B20)),ISNUMBER(SEARCH("MEDIUM",$B20)))=TRUE),INDEX(croprotn_LDHR_C_h,MATCH(RIGHT($F$1,1),rotation_heavy,0)),
IF(AND(ISNUMBER(SEARCH("L-Dsty.L-Res",$B20))=TRUE,ISNUMBER(SEARCH("E.",$B20))=TRUE,OR(ISNUMBER(SEARCH("heavy",$B20)),ISNUMBER(SEARCH("MEDIUM",$B20)))=TRUE),INDEX(croprotn_LDLR_E_h,MATCH(RIGHT($F$1,1),rotation_heavy,0)),
IF(AND(ISNUMBER(SEARCH("L-Dsty.L-Res",$B20))=TRUE,ISNUMBER(SEARCH("N.",$B20))=TRUE,OR(ISNUMBER(SEARCH("heavy",$B20)),ISNUMBER(SEARCH("MEDIUM",$B20)))=TRUE),INDEX(croprotn_LDLR_N_h,MATCH(RIGHT($F$1,1),rotation_heavy,0)),
IF(AND(ISNUMBER(SEARCH("L-Dsty.L-Res",$B20))=TRUE,ISNUMBER(SEARCH("C.",$B20))=TRUE,OR(ISNUMBER(SEARCH("heavy",$B20)),ISNUMBER(SEARCH("MEDIUM",$B20)))=TRUE),INDEX(croprotn_LDLR_C_h,MATCH(RIGHT($F$1,1),rotation_heavy,0)),
IF(AND(ISNUMBER(SEARCH("H-Dsty.H-Res",$B20))=TRUE,ISNUMBER(SEARCH("E.",$B20))=TRUE,ISNUMBER(SEARCH("light",$B20))=TRUE),INDEX(croprotn_HDHR_E_l,MATCH(RIGHT($F$1,1),rotation_light,0)),
IF(AND(ISNUMBER(SEARCH("H-Dsty.H-Res",$B20))=TRUE,ISNUMBER(SEARCH("N.",$B20))=TRUE,ISNUMBER(SEARCH("light",$B20))=TRUE),INDEX(croprotn_HDHR_N_l,MATCH(RIGHT($F$1,1),rotation_light,0)),
IF(AND(ISNUMBER(SEARCH("H-Dsty.H-Res",$B20))=TRUE,ISNUMBER(SEARCH("C.",$B20))=TRUE,ISNUMBER(SEARCH("light",$B20))=TRUE),INDEX(croprotn_HDHR_C_l,MATCH(RIGHT($F$1,1),rotation_light,0)),
IF(AND(ISNUMBER(SEARCH("L-Dsty.H-Res",$B20))=TRUE,ISNUMBER(SEARCH("E.",$B20))=TRUE,ISNUMBER(SEARCH("light",$B20))=TRUE),INDEX(croprotn_LDHR_E_l,MATCH(RIGHT($F$1,1),rotation_light,0)),
IF(AND(ISNUMBER(SEARCH("L-Dsty.H-Res",$B20))=TRUE,ISNUMBER(SEARCH("N.",$B20))=TRUE,ISNUMBER(SEARCH("light",$B20))=TRUE),INDEX(croprotn_LDHR_N_l,MATCH(RIGHT($F$1,1),rotation_light,0)),
IF(AND(ISNUMBER(SEARCH("L-Dsty.H-Res",$B20))=TRUE,ISNUMBER(SEARCH("C.",$B20))=TRUE,ISNUMBER(SEARCH("light",$B20))=TRUE),INDEX(croprotn_LDHR_C_l,MATCH(RIGHT($F$1,1),rotation_light,0)),
IF(AND(ISNUMBER(SEARCH("L-Dsty.L-Res",$B20))=TRUE,ISNUMBER(SEARCH("E.",$B20))=TRUE,ISNUMBER(SEARCH("light",$B20))=TRUE),INDEX(croprotn_LDLR_E_l,MATCH(RIGHT($F$1,1),rotation_light,0)),
IF(AND(ISNUMBER(SEARCH("L-Dsty.L-Res",$B20))=TRUE,ISNUMBER(SEARCH("N.",$B20))=TRUE,ISNUMBER(SEARCH("light",$B20))=TRUE),INDEX(croprotn_LDLR_N_l,MATCH(RIGHT($F$1,1),rotation_light,0)),
IF(AND(ISNUMBER(SEARCH("L-Dsty.L-Res",$B20))=TRUE,ISNUMBER(SEARCH("C.",$B20))=TRUE,ISNUMBER(SEARCH("light",$B20))=TRUE),INDEX(croprotn_LDLR_C_l,MATCH(RIGHT($F$1,1),rotation_light,0))
))))))))))))))))))</f>
        <v>winterwheat</v>
      </c>
      <c r="G20" s="234" t="str">
        <f t="shared" si="84"/>
        <v>springbeans</v>
      </c>
      <c r="H20" s="234" t="str">
        <f t="shared" si="1"/>
        <v>winterwheat</v>
      </c>
      <c r="I20" s="234" t="str">
        <f t="shared" si="2"/>
        <v>winterbarley</v>
      </c>
      <c r="J20" s="234" t="str">
        <f t="shared" si="3"/>
        <v>wosr</v>
      </c>
      <c r="K20" s="234" t="str">
        <f t="shared" si="4"/>
        <v>winterwheat</v>
      </c>
      <c r="L20" s="154" t="str">
        <f t="shared" si="5"/>
        <v>lightcultivation</v>
      </c>
      <c r="M20" s="154" t="str">
        <f t="shared" si="6"/>
        <v>subsoiling</v>
      </c>
      <c r="N20" s="154" t="str">
        <f t="shared" si="7"/>
        <v>lightcultivation</v>
      </c>
      <c r="O20" s="154" t="str">
        <f t="shared" si="8"/>
        <v>lightcultivation</v>
      </c>
      <c r="P20" s="154" t="str">
        <f t="shared" si="76"/>
        <v>directdrilling</v>
      </c>
      <c r="Q20" s="263" t="s">
        <v>273</v>
      </c>
      <c r="R20" s="234">
        <f t="shared" ref="R20:R55" si="86">IF(AND(ISNUMBER(SEARCH("H-Dsty.",$B20))=TRUE,ISNUMBER(SEARCH("H-Res",$B20))=TRUE,ISNUMBER(SEARCH("E.",$B20))=TRUE),INDEX(seedrate_HDHR_E,MATCH($F20,seedrate_CROPS,0)),
IF(AND(ISNUMBER(SEARCH("H-Dsty.",$B20))=TRUE,ISNUMBER(SEARCH("H-Res",$B20))=TRUE,ISNUMBER(SEARCH("N.",$B20))=TRUE),INDEX(seedrate_HDHR_N,MATCH($F20,seedrate_CROPS,0)),
IF(AND(ISNUMBER(SEARCH("H-Dsty.",$B20))=TRUE,ISNUMBER(SEARCH("H-Res",$B20))=TRUE,ISNUMBER(SEARCH("C.",$B20))=TRUE),INDEX(seedrate_HDHR_C,MATCH($F20,seedrate_CROPS,0)),
IF(AND(ISNUMBER(SEARCH("L-Dsty.",$B20))=TRUE,ISNUMBER(SEARCH("H-Res",$B20))=TRUE,ISNUMBER(SEARCH("E.",$B20))=TRUE),INDEX(seedrate_LDHR_E,MATCH($F20,seedrate_CROPS,0)),
IF(AND(ISNUMBER(SEARCH("L-Dsty.",$B20))=TRUE,ISNUMBER(SEARCH("H-Res",$B20))=TRUE,ISNUMBER(SEARCH("N.",$B20))=TRUE),INDEX(seedrate_LDHR_N,MATCH($F20,seedrate_CROPS,0)),
IF(AND(ISNUMBER(SEARCH("L-Dsty.",$B20))=TRUE,ISNUMBER(SEARCH("H-Res",$B20))=TRUE,ISNUMBER(SEARCH("C.",$B20))=TRUE),INDEX(seedrate_LDHR_C,MATCH($F20,seedrate_CROPS,0)),
IF(AND(ISNUMBER(SEARCH("L-Dsty.",$B20))=TRUE,ISNUMBER(SEARCH("L-Res",$B20))=TRUE,ISNUMBER(SEARCH("E.",$B20))=TRUE),INDEX(seedrate_LDLR_E,MATCH($F20,seedrate_CROPS,0)),
IF(AND(ISNUMBER(SEARCH("L-Dsty.",$B20))=TRUE,ISNUMBER(SEARCH("L-Res",$B20))=TRUE,ISNUMBER(SEARCH("N.",$B20))=TRUE),INDEX(seedrate_LDLR_N,MATCH($F20,seedrate_CROPS,0)),
IF(AND(ISNUMBER(SEARCH("L-Dsty.",$B20))=TRUE,ISNUMBER(SEARCH("L-Res",$B20))=TRUE,ISNUMBER(SEARCH("C.",$B20))=TRUE),INDEX(seedrate_LDLR_C,MATCH($F20,seedrate_CROPS,0))
)))))))))</f>
        <v>200</v>
      </c>
      <c r="S20" s="234">
        <f t="shared" si="10"/>
        <v>305</v>
      </c>
      <c r="T20" s="234">
        <f t="shared" si="11"/>
        <v>200</v>
      </c>
      <c r="U20" s="234">
        <f t="shared" ref="U20:U55" si="87">IF(AND(ISNUMBER(SEARCH("H-Dsty.",$B20))=TRUE,ISNUMBER(SEARCH("H-Res",$B20))=TRUE,ISNUMBER(SEARCH("E.",$B20))=TRUE),INDEX(seedrate_HDHR_E,MATCH($I20,seedrate_CROPS,0)),
IF(AND(ISNUMBER(SEARCH("H-Dsty.",$B20))=TRUE,ISNUMBER(SEARCH("H-Res",$B20))=TRUE,ISNUMBER(SEARCH("N.",$B20))=TRUE),INDEX(seedrate_HDHR_N,MATCH($I20,seedrate_CROPS,0)),
IF(AND(ISNUMBER(SEARCH("H-Dsty.",$B20))=TRUE,ISNUMBER(SEARCH("H-Res",$B20))=TRUE,ISNUMBER(SEARCH("C.",$B20))=TRUE),INDEX(seedrate_HDHR_C,MATCH($I20,seedrate_CROPS,0)),
IF(AND(ISNUMBER(SEARCH("L-Dsty.",$B20))=TRUE,ISNUMBER(SEARCH("H-Res",$B20))=TRUE,ISNUMBER(SEARCH("E.",$B20))=TRUE),INDEX(seedrate_LDHR_E,MATCH($I20,seedrate_CROPS,0)),
IF(AND(ISNUMBER(SEARCH("L-Dsty.",$B20))=TRUE,ISNUMBER(SEARCH("H-Res",$B20))=TRUE,ISNUMBER(SEARCH("N.",$B20))=TRUE),INDEX(seedrate_LDHR_N,MATCH($I20,seedrate_CROPS,0)),
IF(AND(ISNUMBER(SEARCH("L-Dsty.",$B20))=TRUE,ISNUMBER(SEARCH("H-Res",$B20))=TRUE,ISNUMBER(SEARCH("C.",$B20))=TRUE),INDEX(seedrate_LDHR_C,MATCH($I20,seedrate_CROPS,0)),
IF(AND(ISNUMBER(SEARCH("L-Dsty.",$B20))=TRUE,ISNUMBER(SEARCH("L-Res",$B20))=TRUE,ISNUMBER(SEARCH("E.",$B20))=TRUE),INDEX(seedrate_LDLR_E,MATCH($I20,seedrate_CROPS,0)),
IF(AND(ISNUMBER(SEARCH("L-Dsty.",$B20))=TRUE,ISNUMBER(SEARCH("L-Res",$B20))=TRUE,ISNUMBER(SEARCH("N.",$B20))=TRUE),INDEX(seedrate_LDLR_N,MATCH($I20,seedrate_CROPS,0)),
IF(AND(ISNUMBER(SEARCH("L-Dsty.",$B20))=TRUE,ISNUMBER(SEARCH("L-Res",$B20))=TRUE,ISNUMBER(SEARCH("C.",$B20))=TRUE),INDEX(seedrate_LDLR_C,MATCH($I20,seedrate_CROPS,0))
)))))))))</f>
        <v>216</v>
      </c>
      <c r="V20" s="234">
        <f t="shared" si="13"/>
        <v>3.2</v>
      </c>
      <c r="W20" s="234">
        <f t="shared" si="14"/>
        <v>200</v>
      </c>
      <c r="X20" s="154" t="str">
        <f t="shared" si="15"/>
        <v>late</v>
      </c>
      <c r="Y20" s="154" t="str">
        <f t="shared" si="16"/>
        <v>no</v>
      </c>
      <c r="Z20" s="154" t="str">
        <f t="shared" si="17"/>
        <v>late</v>
      </c>
      <c r="AA20" s="154" t="str">
        <f t="shared" si="18"/>
        <v>no</v>
      </c>
      <c r="AB20" s="154" t="str">
        <f t="shared" si="19"/>
        <v>no</v>
      </c>
      <c r="AC20" s="154" t="str">
        <f t="shared" si="20"/>
        <v>late</v>
      </c>
      <c r="AD20" s="234">
        <f>IF(AND(ISNUMBER(SEARCH("H-Dsty.H-Res",$B20))=TRUE,ISNUMBER(SEARCH("E.",$B20))=TRUE),INDEX(fertrate_HDHR_E,MATCH($F20,fertrate_CROPS,0)),
IF(AND(ISNUMBER(SEARCH("H-Dsty.H-Res",$B20))=TRUE,ISNUMBER(SEARCH("N.",$B20))=TRUE),INDEX(fertrate_HDHR_N,MATCH($F20,fertrate_CROPS,0)),
IF(AND(ISNUMBER(SEARCH("H-Dsty.H-Res",$B20))=TRUE,ISNUMBER(SEARCH("C.",$B20))=TRUE),INDEX(fertrate_HDHR_C,MATCH($F20,fertrate_CROPS,0)),
IF(AND(ISNUMBER(SEARCH("L-Dsty.H-Res",$B20))=TRUE,ISNUMBER(SEARCH("E.",$B20))=TRUE),INDEX(fertrate_LDHR_E,MATCH($F20,fertrate_CROPS,0)),
IF(AND(ISNUMBER(SEARCH("L-Dsty.H-Res",$B20))=TRUE,ISNUMBER(SEARCH("N.",$B20))=TRUE),INDEX(fertrate_LDHR_N,MATCH($F20,fertrate_CROPS,0)),
IF(AND(ISNUMBER(SEARCH("L-Dsty.H-Res",$B20))=TRUE,ISNUMBER(SEARCH("C.",$B20))=TRUE),INDEX(fertrate_LDHR_C,MATCH($F20,fertrate_CROPS,0)),
IF(AND(ISNUMBER(SEARCH("L-Dsty.L-Res",$B20))=TRUE,ISNUMBER(SEARCH("E.",$B20))=TRUE),INDEX(fertrate_LDLR_E,MATCH($F20,fertrate_CROPS,0)),
IF(AND(ISNUMBER(SEARCH("L-Dsty.L-Res",$B20))=TRUE,ISNUMBER(SEARCH("N.",$B20))=TRUE),INDEX(fertrate_LDLR_N,MATCH($F20,fertrate_CROPS,0)),
IF(AND(ISNUMBER(SEARCH("L-Dsty.L-Res",$B20))=TRUE,ISNUMBER(SEARCH("C.",$B20))=TRUE),INDEX(fertrate_LDLR_C,MATCH($F20,fertrate_CROPS,0))
)))))))))</f>
        <v>240</v>
      </c>
      <c r="AE20" s="234">
        <f t="shared" si="85"/>
        <v>0</v>
      </c>
      <c r="AF20" s="234">
        <f t="shared" si="79"/>
        <v>240</v>
      </c>
      <c r="AG20" s="234">
        <f t="shared" ref="AG20:AG29" si="88">IF(AND(ISNUMBER(SEARCH("H-Dsty.",$B20))=TRUE,ISNUMBER(SEARCH("H-Res",$B20))=TRUE,ISNUMBER(SEARCH("E.",$B20))=TRUE),INDEX(fertrate_HDHR_E,MATCH($I20,fertrate_CROPS,0)),
IF(AND(ISNUMBER(SEARCH("H-Dsty.",$B20))=TRUE,ISNUMBER(SEARCH("H-Res",$B20))=TRUE,ISNUMBER(SEARCH("N.",$B20))=TRUE),INDEX(fertrate_HDHR_N,MATCH($I20,fertrate_CROPS,0)),
IF(AND(ISNUMBER(SEARCH("H-Dsty.",$B20))=TRUE,ISNUMBER(SEARCH("H-Res",$B20))=TRUE,ISNUMBER(SEARCH("C.",$B20))=TRUE),INDEX(fertrate_HDHR_C,MATCH($I20,fertrate_CROPS,0)),
IF(AND(ISNUMBER(SEARCH("L-Dsty.",$B20))=TRUE,ISNUMBER(SEARCH("H-Res",$B20))=TRUE,ISNUMBER(SEARCH("E.",$B20))=TRUE),INDEX(fertrate_LDHR_E,MATCH($I20,fertrate_CROPS,0)),
IF(AND(ISNUMBER(SEARCH("L-Dsty.",$B20))=TRUE,ISNUMBER(SEARCH("H-Res",$B20))=TRUE,ISNUMBER(SEARCH("N.",$B20))=TRUE),INDEX(fertrate_LDHR_N,MATCH($I20,fertrate_CROPS,0)),
IF(AND(ISNUMBER(SEARCH("L-Dsty.",$B20))=TRUE,ISNUMBER(SEARCH("H-Res",$B20))=TRUE,ISNUMBER(SEARCH("C.",$B20))=TRUE),INDEX(fertrate_LDHR_C,MATCH($I20,fertrate_CROPS,0)),
IF(AND(ISNUMBER(SEARCH("L-Dsty.",$B20))=TRUE,ISNUMBER(SEARCH("L-Res",$B20))=TRUE,ISNUMBER(SEARCH("E.",$B20))=TRUE),INDEX(fertrate_LDLR_E,MATCH($I20,fertrate_CROPS,0)),
IF(AND(ISNUMBER(SEARCH("L-Dsty.",$B20))=TRUE,ISNUMBER(SEARCH("L-Res",$B20))=TRUE,ISNUMBER(SEARCH("N.",$B20))=TRUE),INDEX(fertrate_LDLR_N,MATCH($I20,fertrate_CROPS,0)),
IF(AND(ISNUMBER(SEARCH("L-Dsty.",$B20))=TRUE,ISNUMBER(SEARCH("L-Res",$B20))=TRUE,ISNUMBER(SEARCH("C.",$B20))=TRUE),INDEX(fertrate_LDLR_C,MATCH($I20,fertrate_CROPS,0))
)))))))))</f>
        <v>200</v>
      </c>
      <c r="AH20" s="234">
        <f t="shared" si="80"/>
        <v>180</v>
      </c>
      <c r="AI20" s="234">
        <f t="shared" si="81"/>
        <v>240</v>
      </c>
      <c r="AJ20" s="154">
        <f t="shared" si="23"/>
        <v>67</v>
      </c>
      <c r="AK20" s="154">
        <f t="shared" si="24"/>
        <v>43</v>
      </c>
      <c r="AL20" s="154">
        <f t="shared" si="25"/>
        <v>67</v>
      </c>
      <c r="AM20" s="154">
        <f t="shared" si="26"/>
        <v>58</v>
      </c>
      <c r="AN20" s="154">
        <f t="shared" si="27"/>
        <v>49</v>
      </c>
      <c r="AO20" s="154">
        <f t="shared" si="28"/>
        <v>67</v>
      </c>
      <c r="AP20" s="154">
        <f t="shared" si="29"/>
        <v>48</v>
      </c>
      <c r="AQ20" s="154">
        <f t="shared" si="30"/>
        <v>47</v>
      </c>
      <c r="AR20" s="154">
        <f t="shared" si="31"/>
        <v>48</v>
      </c>
      <c r="AS20" s="154">
        <f t="shared" si="32"/>
        <v>41</v>
      </c>
      <c r="AT20" s="154">
        <f t="shared" si="33"/>
        <v>39</v>
      </c>
      <c r="AU20" s="154">
        <f t="shared" si="34"/>
        <v>48</v>
      </c>
      <c r="AV20" s="234">
        <f t="shared" ref="AV20:AV55" si="89">IF(AND(ISNUMBER(SEARCH("H-Dsty.",$B20))=TRUE,ISNUMBER(SEARCH("H-Res",$B20))=TRUE,ISNUMBER(SEARCH("E.",$B20))=TRUE),INDEX(BGherb_HDHR_E,MATCH($F20,BGherb_CROPS,0)),
IF(AND(ISNUMBER(SEARCH("H-Dsty.",$B20))=TRUE,ISNUMBER(SEARCH("H-Res",$B20))=TRUE,ISNUMBER(SEARCH("N.",$B20))=TRUE),INDEX(BGherb_HDHR_N,MATCH($F20,BGherb_CROPS,0)),
IF(AND(ISNUMBER(SEARCH("H-Dsty.",$B20))=TRUE,ISNUMBER(SEARCH("H-Res",$B20))=TRUE,ISNUMBER(SEARCH("C.",$B20))=TRUE),INDEX(BGherb_HDHR_C,MATCH($F20,BGherb_CROPS,0)),
IF(AND(ISNUMBER(SEARCH("L-Dsty.",$B20))=TRUE,ISNUMBER(SEARCH("H-Res",$B20))=TRUE,ISNUMBER(SEARCH("E.",$B20))=TRUE),INDEX(BGherb_LDHR_E,MATCH($F20,BGherb_CROPS,0)),
IF(AND(ISNUMBER(SEARCH("L-Dsty.",$B20))=TRUE,ISNUMBER(SEARCH("H-Res",$B20))=TRUE,ISNUMBER(SEARCH("N.",$B20))=TRUE),INDEX(BGherb_LDHR_N,MATCH($F20,BGherb_CROPS,0)),
IF(AND(ISNUMBER(SEARCH("L-Dsty.",$B20))=TRUE,ISNUMBER(SEARCH("H-Res",$B20))=TRUE,ISNUMBER(SEARCH("C.",$B20))=TRUE),INDEX(BGherb_LDHR_C,MATCH($F20,BGherb_CROPS,0)),
IF(AND(ISNUMBER(SEARCH("L-Dsty.",$B20))=TRUE,ISNUMBER(SEARCH("L-Res",$B20))=TRUE,ISNUMBER(SEARCH("E.",$B20))=TRUE),INDEX(BGherb_LDLR_E,MATCH($F20,BGherb_CROPS,0)),
IF(AND(ISNUMBER(SEARCH("L-Dsty.",$B20))=TRUE,ISNUMBER(SEARCH("L-Res",$B20))=TRUE,ISNUMBER(SEARCH("N.",$B20))=TRUE),INDEX(BGherb_LDLR_N,MATCH($F20,BGherb_CROPS,0)),
IF(AND(ISNUMBER(SEARCH("L-Dsty.",$B20))=TRUE,ISNUMBER(SEARCH("L-Res",$B20))=TRUE,ISNUMBER(SEARCH("C.",$B20))=TRUE),INDEX(BGherb_LDLR_C,MATCH($F20,BGherb_CROPS,0))
)))))))))</f>
        <v>5.6</v>
      </c>
      <c r="AW20" s="234">
        <f t="shared" si="36"/>
        <v>5.5</v>
      </c>
      <c r="AX20" s="234">
        <f t="shared" si="37"/>
        <v>5.6</v>
      </c>
      <c r="AY20" s="234">
        <f t="shared" ref="AY20:AY43" si="90">IF(AND(ISNUMBER(SEARCH("H-Dsty.",$B20))=TRUE,ISNUMBER(SEARCH("H-Res",$B20))=TRUE,ISNUMBER(SEARCH("E.",$B20))=TRUE),INDEX(BGherb_HDHR_E,MATCH($I20,BGherb_CROPS,0)),
IF(AND(ISNUMBER(SEARCH("H-Dsty.",$B20))=TRUE,ISNUMBER(SEARCH("H-Res",$B20))=TRUE,ISNUMBER(SEARCH("N.",$B20))=TRUE),INDEX(BGherb_HDHR_N,MATCH($I20,BGherb_CROPS,0)),
IF(AND(ISNUMBER(SEARCH("H-Dsty.",$B20))=TRUE,ISNUMBER(SEARCH("H-Res",$B20))=TRUE,ISNUMBER(SEARCH("C.",$B20))=TRUE),INDEX(BGherb_HDHR_C,MATCH($I20,BGherb_CROPS,0)),
IF(AND(ISNUMBER(SEARCH("L-Dsty.",$B20))=TRUE,ISNUMBER(SEARCH("H-Res",$B20))=TRUE,ISNUMBER(SEARCH("E.",$B20))=TRUE),INDEX(BGherb_LDHR_E,MATCH($I20,BGherb_CROPS,0)),
IF(AND(ISNUMBER(SEARCH("L-Dsty.",$B20))=TRUE,ISNUMBER(SEARCH("H-Res",$B20))=TRUE,ISNUMBER(SEARCH("N.",$B20))=TRUE),INDEX(BGherb_LDHR_N,MATCH($I20,BGherb_CROPS,0)),
IF(AND(ISNUMBER(SEARCH("L-Dsty.",$B20))=TRUE,ISNUMBER(SEARCH("H-Res",$B20))=TRUE,ISNUMBER(SEARCH("C.",$B20))=TRUE),INDEX(BGherb_LDHR_C,MATCH($I20,BGherb_CROPS,0)),
IF(AND(ISNUMBER(SEARCH("L-Dsty.",$B20))=TRUE,ISNUMBER(SEARCH("L-Res",$B20))=TRUE,ISNUMBER(SEARCH("E.",$B20))=TRUE),INDEX(BGherb_LDLR_E,MATCH($I20,BGherb_CROPS,0)),
IF(AND(ISNUMBER(SEARCH("L-Dsty.",$B20))=TRUE,ISNUMBER(SEARCH("L-Res",$B20))=TRUE,ISNUMBER(SEARCH("N.",$B20))=TRUE),INDEX(BGherb_LDLR_N,MATCH($I20,BGherb_CROPS,0)),
IF(AND(ISNUMBER(SEARCH("L-Dsty.",$B20))=TRUE,ISNUMBER(SEARCH("L-Res",$B20))=TRUE,ISNUMBER(SEARCH("C.",$B20))=TRUE),INDEX(BGherb_LDLR_C,MATCH($I20,BGherb_CROPS,0))
)))))))))</f>
        <v>8.6</v>
      </c>
      <c r="AZ20" s="234">
        <f t="shared" si="39"/>
        <v>3.1</v>
      </c>
      <c r="BA20" s="234">
        <f t="shared" si="40"/>
        <v>5.6</v>
      </c>
      <c r="BB20" s="234">
        <f t="shared" si="41"/>
        <v>6.3</v>
      </c>
      <c r="BC20" s="234">
        <f t="shared" si="42"/>
        <v>9.3000000000000007</v>
      </c>
      <c r="BD20" s="234">
        <f t="shared" si="43"/>
        <v>6.3</v>
      </c>
      <c r="BE20" s="234">
        <f t="shared" ref="BE20:BE55" si="91">IF(AND(ISNUMBER(SEARCH("H-Dsty.",$B20))=TRUE,ISNUMBER(SEARCH("H-Res",$B20))=TRUE,ISNUMBER(SEARCH("E.",$B20))=TRUE),INDEX(glyph_HDHR_E,MATCH($I20,glyph_CROPS,0)),
IF(AND(ISNUMBER(SEARCH("H-Dsty.",$B20))=TRUE,ISNUMBER(SEARCH("H-Res",$B20))=TRUE,ISNUMBER(SEARCH("N.",$B20))=TRUE),INDEX(glyph_HDHR_N,MATCH($I20,glyph_CROPS,0)),
IF(AND(ISNUMBER(SEARCH("H-Dsty.",$B20))=TRUE,ISNUMBER(SEARCH("H-Res",$B20))=TRUE,ISNUMBER(SEARCH("C.",$B20))=TRUE),INDEX(glyph_HDHR_C,MATCH($I20,glyph_CROPS,0)),
IF(AND(ISNUMBER(SEARCH("L-Dsty.",$B20))=TRUE,ISNUMBER(SEARCH("H-Res",$B20))=TRUE,ISNUMBER(SEARCH("E.",$B20))=TRUE),INDEX(glyph_LDHR_E,MATCH($I20,glyph_CROPS,0)),
IF(AND(ISNUMBER(SEARCH("L-Dsty.",$B20))=TRUE,ISNUMBER(SEARCH("H-Res",$B20))=TRUE,ISNUMBER(SEARCH("N.",$B20))=TRUE),INDEX(glyph_LDHR_N,MATCH($I20,glyph_CROPS,0)),
IF(AND(ISNUMBER(SEARCH("L-Dsty.",$B20))=TRUE,ISNUMBER(SEARCH("H-Res",$B20))=TRUE,ISNUMBER(SEARCH("C.",$B20))=TRUE),INDEX(glyph_LDHR_C,MATCH($I20,glyph_CROPS,0)),
IF(AND(ISNUMBER(SEARCH("L-Dsty.",$B20))=TRUE,ISNUMBER(SEARCH("L-Res",$B20))=TRUE,ISNUMBER(SEARCH("E.",$B20))=TRUE),INDEX(glyph_LDLR_E,MATCH($I20,glyph_CROPS,0)),
IF(AND(ISNUMBER(SEARCH("L-Dsty.",$B20))=TRUE,ISNUMBER(SEARCH("L-Res",$B20))=TRUE,ISNUMBER(SEARCH("N.",$B20))=TRUE),INDEX(glyph_LDLR_N,MATCH($I20,glyph_CROPS,0)),
IF(AND(ISNUMBER(SEARCH("L-Dsty.",$B20))=TRUE,ISNUMBER(SEARCH("L-Res",$B20))=TRUE,ISNUMBER(SEARCH("C.",$B20))=TRUE),INDEX(glyph_LDLR_C,MATCH($I20,glyph_CROPS,0))
)))))))))</f>
        <v>6.3</v>
      </c>
      <c r="BF20" s="234">
        <f t="shared" si="45"/>
        <v>0</v>
      </c>
      <c r="BG20" s="234">
        <f t="shared" si="46"/>
        <v>6.3</v>
      </c>
      <c r="BH20" s="234">
        <f t="shared" si="47"/>
        <v>4</v>
      </c>
      <c r="BI20" s="234">
        <f t="shared" si="48"/>
        <v>6</v>
      </c>
      <c r="BJ20" s="234">
        <f t="shared" si="49"/>
        <v>4</v>
      </c>
      <c r="BK20" s="234">
        <f t="shared" ref="BK20:BK55" si="92">IF(AND(ISNUMBER(SEARCH("H-Dsty.",$B20))=TRUE,ISNUMBER(SEARCH("H-Res",$B20))=TRUE,ISNUMBER(SEARCH("E.",$B20))=TRUE),INDEX(nspray_HDHR_E,MATCH($I20,nspray_CROPS,0)),
IF(AND(ISNUMBER(SEARCH("H-Dsty.",$B20))=TRUE,ISNUMBER(SEARCH("H-Res",$B20))=TRUE,ISNUMBER(SEARCH("N.",$B20))=TRUE),INDEX(nspray_HDHR_N,MATCH($I20,nspray_CROPS,0)),
IF(AND(ISNUMBER(SEARCH("H-Dsty.",$B20))=TRUE,ISNUMBER(SEARCH("H-Res",$B20))=TRUE,ISNUMBER(SEARCH("C.",$B20))=TRUE),INDEX(nspray_HDHR_C,MATCH($I20,nspray_CROPS,0)),
IF(AND(ISNUMBER(SEARCH("L-Dsty.",$B20))=TRUE,ISNUMBER(SEARCH("H-Res",$B20))=TRUE,ISNUMBER(SEARCH("E.",$B20))=TRUE),INDEX(nspray_LDHR_E,MATCH($I20,nspray_CROPS,0)),
IF(AND(ISNUMBER(SEARCH("L-Dsty.",$B20))=TRUE,ISNUMBER(SEARCH("H-Res",$B20))=TRUE,ISNUMBER(SEARCH("N.",$B20))=TRUE),INDEX(nspray_LDHR_N,MATCH($I20,nspray_CROPS,0)),
IF(AND(ISNUMBER(SEARCH("L-Dsty.",$B20))=TRUE,ISNUMBER(SEARCH("H-Res",$B20))=TRUE,ISNUMBER(SEARCH("C.",$B20))=TRUE),INDEX(nspray_LDHR_C,MATCH($I20,nspray_CROPS,0)),
IF(AND(ISNUMBER(SEARCH("L-Dsty.",$B20))=TRUE,ISNUMBER(SEARCH("L-Res",$B20))=TRUE,ISNUMBER(SEARCH("E.",$B20))=TRUE),INDEX(nspray_LDLR_E,MATCH($I20,nspray_CROPS,0)),
IF(AND(ISNUMBER(SEARCH("L-Dsty.",$B20))=TRUE,ISNUMBER(SEARCH("L-Res",$B20))=TRUE,ISNUMBER(SEARCH("N.",$B20))=TRUE),INDEX(nspray_LDLR_N,MATCH($I20,nspray_CROPS,0)),
IF(AND(ISNUMBER(SEARCH("L-Dsty.",$B20))=TRUE,ISNUMBER(SEARCH("L-Res",$B20))=TRUE,ISNUMBER(SEARCH("C.",$B20))=TRUE),INDEX(nspray_LDLR_C,MATCH($I20,nspray_CROPS,0))
)))))))))</f>
        <v>5</v>
      </c>
      <c r="BL20" s="234">
        <f t="shared" si="51"/>
        <v>2</v>
      </c>
      <c r="BM20" s="234">
        <f t="shared" si="52"/>
        <v>4</v>
      </c>
      <c r="BN20" s="154" t="s">
        <v>483</v>
      </c>
      <c r="BO20" s="154" t="str">
        <f t="shared" si="53"/>
        <v>low</v>
      </c>
      <c r="BP20" s="154" t="str">
        <f t="shared" si="54"/>
        <v>low</v>
      </c>
      <c r="BQ20" s="154" t="str">
        <f t="shared" si="55"/>
        <v>low</v>
      </c>
      <c r="BR20" s="154" t="s">
        <v>18</v>
      </c>
      <c r="BS20" s="154" t="s">
        <v>18</v>
      </c>
      <c r="BT20" s="154" t="s">
        <v>18</v>
      </c>
      <c r="BU20" s="154">
        <f t="shared" si="56"/>
        <v>150</v>
      </c>
      <c r="BV20" s="154">
        <f t="shared" si="57"/>
        <v>185</v>
      </c>
      <c r="BW20" s="154">
        <f t="shared" si="58"/>
        <v>150</v>
      </c>
      <c r="BX20" s="154">
        <f t="shared" si="59"/>
        <v>138</v>
      </c>
      <c r="BY20" s="154">
        <f t="shared" si="60"/>
        <v>335</v>
      </c>
      <c r="BZ20" s="154">
        <f t="shared" si="61"/>
        <v>150</v>
      </c>
      <c r="CA20" s="356">
        <f t="array" ref="CA20">IF(yieldsetting1="estimate",0,INDEX(cropdata, MATCH(yieldsource,outputs,0), MATCH($F20,cropdatacrops,0)))</f>
        <v>0</v>
      </c>
      <c r="CB20" s="356">
        <f t="array" ref="CB20">IF(yieldsetting1="estimate",0,INDEX(cropdata, MATCH(yieldsource,outputs,0), MATCH($G20,cropdatacrops,0)))</f>
        <v>0</v>
      </c>
      <c r="CC20" s="356">
        <f t="array" ref="CC20">IF(yieldsetting1="estimate",0,INDEX(cropdata, MATCH(yieldsource,outputs,0), MATCH($H20,cropdatacrops,0)))</f>
        <v>0</v>
      </c>
      <c r="CD20" s="356">
        <f t="array" ref="CD20">IF(yieldsetting1="estimate",0,INDEX(cropdata, MATCH(yieldsource,outputs,0), MATCH($I20,cropdatacrops,0)))</f>
        <v>0</v>
      </c>
      <c r="CE20" s="356">
        <f t="array" ref="CE20">IF(yieldsetting1="estimate",0,INDEX(cropdata, MATCH(yieldsource,outputs,0), MATCH($J20,cropdatacrops,0)))</f>
        <v>0</v>
      </c>
      <c r="CF20" s="356">
        <f t="array" ref="CF20">IF(yieldsetting1="estimate",0,INDEX(cropdata, MATCH(yieldsource,outputs,0), MATCH($K20,cropdatacrops,0)))</f>
        <v>0</v>
      </c>
      <c r="CG20" s="154" t="str">
        <f t="shared" si="62"/>
        <v>estimate</v>
      </c>
      <c r="CH20" s="235">
        <f t="shared" si="63"/>
        <v>0.8</v>
      </c>
      <c r="CI20" s="235">
        <f t="shared" si="64"/>
        <v>0.72</v>
      </c>
      <c r="CJ20" s="154">
        <f t="shared" si="65"/>
        <v>0.46</v>
      </c>
      <c r="CK20" s="154">
        <f t="shared" si="66"/>
        <v>0.36</v>
      </c>
      <c r="CL20" s="154">
        <f t="shared" si="67"/>
        <v>0.38</v>
      </c>
      <c r="CM20" s="154">
        <f t="shared" si="68"/>
        <v>0.36</v>
      </c>
      <c r="CN20" s="154">
        <f t="shared" si="69"/>
        <v>0.36</v>
      </c>
      <c r="CO20" s="154">
        <f t="shared" si="70"/>
        <v>7.34</v>
      </c>
      <c r="CP20" s="154">
        <f t="shared" si="71"/>
        <v>0.36</v>
      </c>
      <c r="CQ20" s="154">
        <f t="shared" si="82"/>
        <v>19.5</v>
      </c>
      <c r="CR20" s="154">
        <f t="shared" si="82"/>
        <v>19.5</v>
      </c>
      <c r="CS20" s="154">
        <f t="shared" si="82"/>
        <v>19.5</v>
      </c>
      <c r="CT20" s="154">
        <f t="shared" si="82"/>
        <v>19.5</v>
      </c>
      <c r="CU20" s="154">
        <f t="shared" si="82"/>
        <v>19.5</v>
      </c>
      <c r="CV20" s="154">
        <f t="shared" si="82"/>
        <v>19.5</v>
      </c>
      <c r="CW20" s="154">
        <f t="shared" si="83"/>
        <v>2.4300000000000002</v>
      </c>
      <c r="CX20" s="154">
        <f t="shared" si="83"/>
        <v>2.4300000000000002</v>
      </c>
      <c r="CY20" s="154">
        <f t="shared" si="83"/>
        <v>2.4300000000000002</v>
      </c>
      <c r="CZ20" s="154">
        <f t="shared" si="83"/>
        <v>2.4300000000000002</v>
      </c>
      <c r="DA20" s="154">
        <f t="shared" si="83"/>
        <v>2.4300000000000002</v>
      </c>
      <c r="DB20" s="154">
        <f t="shared" si="83"/>
        <v>2.4300000000000002</v>
      </c>
      <c r="DC20" s="154">
        <v>102</v>
      </c>
      <c r="DD20" s="154">
        <v>6</v>
      </c>
      <c r="DE20" s="154">
        <v>4</v>
      </c>
      <c r="DF20" s="154">
        <v>1400</v>
      </c>
      <c r="DG20" s="154">
        <v>125</v>
      </c>
      <c r="DH20" s="154">
        <f t="shared" si="74"/>
        <v>0.625</v>
      </c>
      <c r="DI20" s="154">
        <f t="shared" si="75"/>
        <v>10.08</v>
      </c>
    </row>
    <row r="21" spans="1:113" x14ac:dyDescent="0.2">
      <c r="A21" s="332" t="s">
        <v>1666</v>
      </c>
      <c r="B21" s="333" t="s">
        <v>503</v>
      </c>
      <c r="C21" s="333" t="s">
        <v>1615</v>
      </c>
      <c r="D21" s="233" t="str">
        <f>IF(ISNUMBER(SEARCH("heavy",B21))=TRUE,"2.25",
IF(ISNUMBER(SEARCH("medium",B21))=TRUE,"1.5",
IF(ISNUMBER(SEARCH("light",B21))=TRUE,"0.75")))</f>
        <v>2.25</v>
      </c>
      <c r="E21" s="154">
        <v>6</v>
      </c>
      <c r="F21" s="234" t="str" cm="1">
        <f t="array" ref="F21">IF(AND(ISNUMBER(SEARCH("H-Dsty.H-Res",$B21))=TRUE,ISNUMBER(SEARCH("E.",$B21))=TRUE,OR(ISNUMBER(SEARCH("heavy",$B21)),ISNUMBER(SEARCH("MEDIUM",$B21)))=TRUE),INDEX(croprotn_HDHR_E_h,MATCH(RIGHT($F$1,1),rotation_heavy,0)),
IF(AND(ISNUMBER(SEARCH("H-Dsty.H-Res",$B21))=TRUE,ISNUMBER(SEARCH("N.",$B21))=TRUE,OR(ISNUMBER(SEARCH("heavy",$B21)),ISNUMBER(SEARCH("MEDIUM",$B21)))=TRUE),INDEX(croprotn_HDHR_N_h,MATCH(RIGHT($F$1,1),rotation_heavy,0)),
IF(AND(ISNUMBER(SEARCH("H-Dsty.H-Res",$B21))=TRUE,ISNUMBER(SEARCH("C.",$B21))=TRUE,OR(ISNUMBER(SEARCH("heavy",$B21)),ISNUMBER(SEARCH("MEDIUM",$B21)))=TRUE),INDEX(croprotn_HDHR_C_h,MATCH(RIGHT($F$1,1),rotation_heavy,0)),
IF(AND(ISNUMBER(SEARCH("L-Dsty.H-Res",$B21))=TRUE,ISNUMBER(SEARCH("E.",$B21))=TRUE,OR(ISNUMBER(SEARCH("heavy",$B21)),ISNUMBER(SEARCH("MEDIUM",$B21)))=TRUE),INDEX(croprotn_LDHR_E_h,MATCH(RIGHT($F$1,1),rotation_heavy,0)),
IF(AND(ISNUMBER(SEARCH("L-Dsty.H-Res",$B21))=TRUE,ISNUMBER(SEARCH("N.",$B21))=TRUE,OR(ISNUMBER(SEARCH("heavy",$B21)),ISNUMBER(SEARCH("MEDIUM",$B21)))=TRUE),INDEX(croprotn_LDHR_N_h,MATCH(RIGHT($F$1,1),rotation_heavy,0)),
IF(AND(ISNUMBER(SEARCH("L-Dsty.H-Res",$B21))=TRUE,ISNUMBER(SEARCH("C.",$B21))=TRUE,OR(ISNUMBER(SEARCH("heavy",$B21)),ISNUMBER(SEARCH("MEDIUM",$B21)))=TRUE),INDEX(croprotn_LDHR_C_h,MATCH(RIGHT($F$1,1),rotation_heavy,0)),
IF(AND(ISNUMBER(SEARCH("L-Dsty.L-Res",$B21))=TRUE,ISNUMBER(SEARCH("E.",$B21))=TRUE,OR(ISNUMBER(SEARCH("heavy",$B21)),ISNUMBER(SEARCH("MEDIUM",$B21)))=TRUE),INDEX(croprotn_LDLR_E_h,MATCH(RIGHT($F$1,1),rotation_heavy,0)),
IF(AND(ISNUMBER(SEARCH("L-Dsty.L-Res",$B21))=TRUE,ISNUMBER(SEARCH("N.",$B21))=TRUE,OR(ISNUMBER(SEARCH("heavy",$B21)),ISNUMBER(SEARCH("MEDIUM",$B21)))=TRUE),INDEX(croprotn_LDLR_N_h,MATCH(RIGHT($F$1,1),rotation_heavy,0)),
IF(AND(ISNUMBER(SEARCH("L-Dsty.L-Res",$B21))=TRUE,ISNUMBER(SEARCH("C.",$B21))=TRUE,OR(ISNUMBER(SEARCH("heavy",$B21)),ISNUMBER(SEARCH("MEDIUM",$B21)))=TRUE),INDEX(croprotn_LDLR_C_h,MATCH(RIGHT($F$1,1),rotation_heavy,0)),
IF(AND(ISNUMBER(SEARCH("H-Dsty.H-Res",$B21))=TRUE,ISNUMBER(SEARCH("E.",$B21))=TRUE,ISNUMBER(SEARCH("light",$B21))=TRUE),INDEX(croprotn_HDHR_E_l,MATCH(RIGHT($F$1,1),rotation_light,0)),
IF(AND(ISNUMBER(SEARCH("H-Dsty.H-Res",$B21))=TRUE,ISNUMBER(SEARCH("N.",$B21))=TRUE,ISNUMBER(SEARCH("light",$B21))=TRUE),INDEX(croprotn_HDHR_N_l,MATCH(RIGHT($F$1,1),rotation_light,0)),
IF(AND(ISNUMBER(SEARCH("H-Dsty.H-Res",$B21))=TRUE,ISNUMBER(SEARCH("C.",$B21))=TRUE,ISNUMBER(SEARCH("light",$B21))=TRUE),INDEX(croprotn_HDHR_C_l,MATCH(RIGHT($F$1,1),rotation_light,0)),
IF(AND(ISNUMBER(SEARCH("L-Dsty.H-Res",$B21))=TRUE,ISNUMBER(SEARCH("E.",$B21))=TRUE,ISNUMBER(SEARCH("light",$B21))=TRUE),INDEX(croprotn_LDHR_E_l,MATCH(RIGHT($F$1,1),rotation_light,0)),
IF(AND(ISNUMBER(SEARCH("L-Dsty.H-Res",$B21))=TRUE,ISNUMBER(SEARCH("N.",$B21))=TRUE,ISNUMBER(SEARCH("light",$B21))=TRUE),INDEX(croprotn_LDHR_N_l,MATCH(RIGHT($F$1,1),rotation_light,0)),
IF(AND(ISNUMBER(SEARCH("L-Dsty.H-Res",$B21))=TRUE,ISNUMBER(SEARCH("C.",$B21))=TRUE,ISNUMBER(SEARCH("light",$B21))=TRUE),INDEX(croprotn_LDHR_C_l,MATCH(RIGHT($F$1,1),rotation_light,0)),
IF(AND(ISNUMBER(SEARCH("L-Dsty.L-Res",$B21))=TRUE,ISNUMBER(SEARCH("E.",$B21))=TRUE,ISNUMBER(SEARCH("light",$B21))=TRUE),INDEX(croprotn_LDLR_E_l,MATCH(RIGHT($F$1,1),rotation_light,0)),
IF(AND(ISNUMBER(SEARCH("L-Dsty.L-Res",$B21))=TRUE,ISNUMBER(SEARCH("N.",$B21))=TRUE,ISNUMBER(SEARCH("light",$B21))=TRUE),INDEX(croprotn_LDLR_N_l,MATCH(RIGHT($F$1,1),rotation_light,0)),
IF(AND(ISNUMBER(SEARCH("L-Dsty.L-Res",$B21))=TRUE,ISNUMBER(SEARCH("C.",$B21))=TRUE,ISNUMBER(SEARCH("light",$B21))=TRUE),INDEX(croprotn_LDLR_C_l,MATCH(RIGHT($F$1,1),rotation_light,0))
))))))))))))))))))</f>
        <v>winterwheat</v>
      </c>
      <c r="G21" s="234" t="str">
        <f t="shared" si="84"/>
        <v>springbeans</v>
      </c>
      <c r="H21" s="234" t="str">
        <f t="shared" si="1"/>
        <v>winterwheat</v>
      </c>
      <c r="I21" s="234" t="str">
        <f t="shared" si="2"/>
        <v>winterbarley</v>
      </c>
      <c r="J21" s="234" t="str">
        <f t="shared" si="3"/>
        <v>wosr</v>
      </c>
      <c r="K21" s="234" t="str">
        <f t="shared" si="4"/>
        <v>winterwheat</v>
      </c>
      <c r="L21" s="154" t="str">
        <f t="shared" si="5"/>
        <v>lightcultivation</v>
      </c>
      <c r="M21" s="154" t="str">
        <f t="shared" si="6"/>
        <v>subsoiling</v>
      </c>
      <c r="N21" s="154" t="str">
        <f t="shared" si="7"/>
        <v>lightcultivation</v>
      </c>
      <c r="O21" s="154" t="str">
        <f t="shared" si="8"/>
        <v>lightcultivation</v>
      </c>
      <c r="P21" s="154" t="str">
        <f t="shared" si="76"/>
        <v>directdrilling</v>
      </c>
      <c r="Q21" s="263" t="s">
        <v>273</v>
      </c>
      <c r="R21" s="234">
        <f t="shared" si="86"/>
        <v>200</v>
      </c>
      <c r="S21" s="234">
        <f t="shared" si="10"/>
        <v>305</v>
      </c>
      <c r="T21" s="234">
        <f t="shared" si="11"/>
        <v>200</v>
      </c>
      <c r="U21" s="234">
        <f t="shared" si="87"/>
        <v>216</v>
      </c>
      <c r="V21" s="234">
        <f t="shared" si="13"/>
        <v>3.2</v>
      </c>
      <c r="W21" s="234">
        <f t="shared" si="14"/>
        <v>200</v>
      </c>
      <c r="X21" s="154" t="str">
        <f t="shared" si="15"/>
        <v>late</v>
      </c>
      <c r="Y21" s="154" t="str">
        <f t="shared" si="16"/>
        <v>no</v>
      </c>
      <c r="Z21" s="154" t="str">
        <f t="shared" si="17"/>
        <v>late</v>
      </c>
      <c r="AA21" s="154" t="str">
        <f t="shared" si="18"/>
        <v>no</v>
      </c>
      <c r="AB21" s="154" t="str">
        <f t="shared" si="19"/>
        <v>no</v>
      </c>
      <c r="AC21" s="154" t="str">
        <f t="shared" si="20"/>
        <v>late</v>
      </c>
      <c r="AD21" s="234">
        <f>IF(AND(ISNUMBER(SEARCH("H-Dsty.H-Res",$B21))=TRUE,ISNUMBER(SEARCH("E.",$B21))=TRUE),INDEX(fertrate_HDHR_E,MATCH($F21,fertrate_CROPS,0)),
IF(AND(ISNUMBER(SEARCH("H-Dsty.H-Res",$B21))=TRUE,ISNUMBER(SEARCH("N.",$B21))=TRUE),INDEX(fertrate_HDHR_N,MATCH($F21,fertrate_CROPS,0)),
IF(AND(ISNUMBER(SEARCH("H-Dsty.H-Res",$B21))=TRUE,ISNUMBER(SEARCH("C.",$B21))=TRUE),INDEX(fertrate_HDHR_C,MATCH($F21,fertrate_CROPS,0)),
IF(AND(ISNUMBER(SEARCH("L-Dsty.H-Res",$B21))=TRUE,ISNUMBER(SEARCH("E.",$B21))=TRUE),INDEX(fertrate_LDHR_E,MATCH($F21,fertrate_CROPS,0)),
IF(AND(ISNUMBER(SEARCH("L-Dsty.H-Res",$B21))=TRUE,ISNUMBER(SEARCH("N.",$B21))=TRUE),INDEX(fertrate_LDHR_N,MATCH($F21,fertrate_CROPS,0)),
IF(AND(ISNUMBER(SEARCH("L-Dsty.H-Res",$B21))=TRUE,ISNUMBER(SEARCH("C.",$B21))=TRUE),INDEX(fertrate_LDHR_C,MATCH($F21,fertrate_CROPS,0)),
IF(AND(ISNUMBER(SEARCH("L-Dsty.L-Res",$B21))=TRUE,ISNUMBER(SEARCH("E.",$B21))=TRUE),INDEX(fertrate_LDLR_E,MATCH($F21,fertrate_CROPS,0)),
IF(AND(ISNUMBER(SEARCH("L-Dsty.L-Res",$B21))=TRUE,ISNUMBER(SEARCH("N.",$B21))=TRUE),INDEX(fertrate_LDLR_N,MATCH($F21,fertrate_CROPS,0)),
IF(AND(ISNUMBER(SEARCH("L-Dsty.L-Res",$B21))=TRUE,ISNUMBER(SEARCH("C.",$B21))=TRUE),INDEX(fertrate_LDLR_C,MATCH($F21,fertrate_CROPS,0))
)))))))))</f>
        <v>240</v>
      </c>
      <c r="AE21" s="234">
        <f t="shared" si="85"/>
        <v>0</v>
      </c>
      <c r="AF21" s="234">
        <f t="shared" si="79"/>
        <v>240</v>
      </c>
      <c r="AG21" s="234">
        <f t="shared" si="88"/>
        <v>200</v>
      </c>
      <c r="AH21" s="234">
        <f t="shared" si="80"/>
        <v>180</v>
      </c>
      <c r="AI21" s="234">
        <f t="shared" si="81"/>
        <v>240</v>
      </c>
      <c r="AJ21" s="154">
        <f t="shared" si="23"/>
        <v>67</v>
      </c>
      <c r="AK21" s="154">
        <f t="shared" si="24"/>
        <v>43</v>
      </c>
      <c r="AL21" s="154">
        <f t="shared" si="25"/>
        <v>67</v>
      </c>
      <c r="AM21" s="154">
        <f t="shared" si="26"/>
        <v>58</v>
      </c>
      <c r="AN21" s="154">
        <f t="shared" si="27"/>
        <v>49</v>
      </c>
      <c r="AO21" s="154">
        <f t="shared" si="28"/>
        <v>67</v>
      </c>
      <c r="AP21" s="154">
        <f t="shared" si="29"/>
        <v>48</v>
      </c>
      <c r="AQ21" s="154">
        <f t="shared" si="30"/>
        <v>47</v>
      </c>
      <c r="AR21" s="154">
        <f t="shared" si="31"/>
        <v>48</v>
      </c>
      <c r="AS21" s="154">
        <f t="shared" si="32"/>
        <v>41</v>
      </c>
      <c r="AT21" s="154">
        <f t="shared" si="33"/>
        <v>39</v>
      </c>
      <c r="AU21" s="154">
        <f t="shared" si="34"/>
        <v>48</v>
      </c>
      <c r="AV21" s="234">
        <f t="shared" si="89"/>
        <v>5.6</v>
      </c>
      <c r="AW21" s="234">
        <f t="shared" si="36"/>
        <v>5.5</v>
      </c>
      <c r="AX21" s="234">
        <f t="shared" si="37"/>
        <v>5.6</v>
      </c>
      <c r="AY21" s="234">
        <f t="shared" si="90"/>
        <v>8.6</v>
      </c>
      <c r="AZ21" s="234">
        <f t="shared" si="39"/>
        <v>3.1</v>
      </c>
      <c r="BA21" s="234">
        <f t="shared" si="40"/>
        <v>5.6</v>
      </c>
      <c r="BB21" s="234">
        <f t="shared" si="41"/>
        <v>6.3</v>
      </c>
      <c r="BC21" s="234">
        <f t="shared" si="42"/>
        <v>9.3000000000000007</v>
      </c>
      <c r="BD21" s="234">
        <f t="shared" si="43"/>
        <v>6.3</v>
      </c>
      <c r="BE21" s="234">
        <f t="shared" si="91"/>
        <v>6.3</v>
      </c>
      <c r="BF21" s="234">
        <f t="shared" si="45"/>
        <v>0</v>
      </c>
      <c r="BG21" s="234">
        <f t="shared" si="46"/>
        <v>6.3</v>
      </c>
      <c r="BH21" s="234">
        <f t="shared" si="47"/>
        <v>4</v>
      </c>
      <c r="BI21" s="234">
        <f t="shared" si="48"/>
        <v>6</v>
      </c>
      <c r="BJ21" s="234">
        <f t="shared" si="49"/>
        <v>4</v>
      </c>
      <c r="BK21" s="234">
        <f t="shared" si="92"/>
        <v>5</v>
      </c>
      <c r="BL21" s="234">
        <f t="shared" si="51"/>
        <v>2</v>
      </c>
      <c r="BM21" s="234">
        <f t="shared" si="52"/>
        <v>4</v>
      </c>
      <c r="BN21" s="154" t="s">
        <v>483</v>
      </c>
      <c r="BO21" s="154" t="str">
        <f t="shared" si="53"/>
        <v>medium</v>
      </c>
      <c r="BP21" s="154" t="str">
        <f t="shared" si="54"/>
        <v>low</v>
      </c>
      <c r="BQ21" s="154" t="str">
        <f t="shared" si="55"/>
        <v>low</v>
      </c>
      <c r="BR21" s="154" t="s">
        <v>182</v>
      </c>
      <c r="BS21" s="154" t="s">
        <v>182</v>
      </c>
      <c r="BT21" s="154" t="s">
        <v>182</v>
      </c>
      <c r="BU21" s="154">
        <f t="shared" si="56"/>
        <v>150</v>
      </c>
      <c r="BV21" s="154">
        <f t="shared" si="57"/>
        <v>185</v>
      </c>
      <c r="BW21" s="154">
        <f t="shared" si="58"/>
        <v>150</v>
      </c>
      <c r="BX21" s="154">
        <f t="shared" si="59"/>
        <v>138</v>
      </c>
      <c r="BY21" s="154">
        <f t="shared" si="60"/>
        <v>335</v>
      </c>
      <c r="BZ21" s="154">
        <f t="shared" si="61"/>
        <v>150</v>
      </c>
      <c r="CA21" s="356">
        <f t="array" ref="CA21">IF(yieldsetting1="estimate",0,INDEX(cropdata, MATCH(yieldsource,outputs,0), MATCH($F21,cropdatacrops,0)))</f>
        <v>0</v>
      </c>
      <c r="CB21" s="356">
        <f t="array" ref="CB21">IF(yieldsetting1="estimate",0,INDEX(cropdata, MATCH(yieldsource,outputs,0), MATCH($G21,cropdatacrops,0)))</f>
        <v>0</v>
      </c>
      <c r="CC21" s="356">
        <f t="array" ref="CC21">IF(yieldsetting1="estimate",0,INDEX(cropdata, MATCH(yieldsource,outputs,0), MATCH($H21,cropdatacrops,0)))</f>
        <v>0</v>
      </c>
      <c r="CD21" s="356">
        <f t="array" ref="CD21">IF(yieldsetting1="estimate",0,INDEX(cropdata, MATCH(yieldsource,outputs,0), MATCH($I21,cropdatacrops,0)))</f>
        <v>0</v>
      </c>
      <c r="CE21" s="356">
        <f t="array" ref="CE21">IF(yieldsetting1="estimate",0,INDEX(cropdata, MATCH(yieldsource,outputs,0), MATCH($J21,cropdatacrops,0)))</f>
        <v>0</v>
      </c>
      <c r="CF21" s="356">
        <f t="array" ref="CF21">IF(yieldsetting1="estimate",0,INDEX(cropdata, MATCH(yieldsource,outputs,0), MATCH($K21,cropdatacrops,0)))</f>
        <v>0</v>
      </c>
      <c r="CG21" s="154" t="str">
        <f t="shared" si="62"/>
        <v>estimate</v>
      </c>
      <c r="CH21" s="235">
        <f t="shared" si="63"/>
        <v>0.8</v>
      </c>
      <c r="CI21" s="235">
        <f t="shared" si="64"/>
        <v>0.72</v>
      </c>
      <c r="CJ21" s="154">
        <f t="shared" si="65"/>
        <v>0.46</v>
      </c>
      <c r="CK21" s="154">
        <f t="shared" si="66"/>
        <v>0.36</v>
      </c>
      <c r="CL21" s="154">
        <f t="shared" si="67"/>
        <v>0.38</v>
      </c>
      <c r="CM21" s="154">
        <f t="shared" si="68"/>
        <v>0.36</v>
      </c>
      <c r="CN21" s="154">
        <f t="shared" si="69"/>
        <v>0.36</v>
      </c>
      <c r="CO21" s="154">
        <f t="shared" si="70"/>
        <v>7.34</v>
      </c>
      <c r="CP21" s="154">
        <f t="shared" si="71"/>
        <v>0.36</v>
      </c>
      <c r="CQ21" s="154">
        <f t="shared" si="82"/>
        <v>19.5</v>
      </c>
      <c r="CR21" s="154">
        <f t="shared" si="82"/>
        <v>19.5</v>
      </c>
      <c r="CS21" s="154">
        <f t="shared" si="82"/>
        <v>19.5</v>
      </c>
      <c r="CT21" s="154">
        <f t="shared" si="82"/>
        <v>19.5</v>
      </c>
      <c r="CU21" s="154">
        <f t="shared" si="82"/>
        <v>19.5</v>
      </c>
      <c r="CV21" s="154">
        <f t="shared" si="82"/>
        <v>19.5</v>
      </c>
      <c r="CW21" s="154">
        <f t="shared" si="83"/>
        <v>2.4300000000000002</v>
      </c>
      <c r="CX21" s="154">
        <f t="shared" si="83"/>
        <v>2.4300000000000002</v>
      </c>
      <c r="CY21" s="154">
        <f t="shared" si="83"/>
        <v>2.4300000000000002</v>
      </c>
      <c r="CZ21" s="154">
        <f t="shared" si="83"/>
        <v>2.4300000000000002</v>
      </c>
      <c r="DA21" s="154">
        <f t="shared" si="83"/>
        <v>2.4300000000000002</v>
      </c>
      <c r="DB21" s="154">
        <f t="shared" si="83"/>
        <v>2.4300000000000002</v>
      </c>
      <c r="DC21" s="154">
        <v>102</v>
      </c>
      <c r="DD21" s="154">
        <v>6</v>
      </c>
      <c r="DE21" s="154">
        <v>4</v>
      </c>
      <c r="DF21" s="154">
        <v>1400</v>
      </c>
      <c r="DG21" s="154">
        <v>125</v>
      </c>
      <c r="DH21" s="154">
        <f t="shared" si="74"/>
        <v>0.625</v>
      </c>
      <c r="DI21" s="154">
        <f t="shared" si="75"/>
        <v>10.08</v>
      </c>
    </row>
    <row r="22" spans="1:113" x14ac:dyDescent="0.2">
      <c r="A22" s="332" t="s">
        <v>1675</v>
      </c>
      <c r="B22" s="333" t="s">
        <v>506</v>
      </c>
      <c r="C22" s="333" t="s">
        <v>1616</v>
      </c>
      <c r="D22" s="233" t="str">
        <f>IF(ISNUMBER(SEARCH("heavy",B22))=TRUE,"2.25",
IF(ISNUMBER(SEARCH("medium",B22))=TRUE,"1.50",
IF(ISNUMBER(SEARCH("light",B22))=TRUE,"0.75")))</f>
        <v>1.50</v>
      </c>
      <c r="E22" s="154">
        <v>6</v>
      </c>
      <c r="F22" s="234" t="str" cm="1">
        <f t="array" ref="F22">IF(AND(ISNUMBER(SEARCH("H-Dsty.H-Res",$B22))=TRUE,ISNUMBER(SEARCH("E.",$B22))=TRUE,OR(ISNUMBER(SEARCH("heavy",$B22)),ISNUMBER(SEARCH("MEDIUM",$B22)))=TRUE),INDEX(croprotn_HDHR_E_h,MATCH(RIGHT($F$1,1),rotation_heavy,0)),
IF(AND(ISNUMBER(SEARCH("H-Dsty.H-Res",$B22))=TRUE,ISNUMBER(SEARCH("N.",$B22))=TRUE,OR(ISNUMBER(SEARCH("heavy",$B22)),ISNUMBER(SEARCH("MEDIUM",$B22)))=TRUE),INDEX(croprotn_HDHR_N_h,MATCH(RIGHT($F$1,1),rotation_heavy,0)),
IF(AND(ISNUMBER(SEARCH("H-Dsty.H-Res",$B22))=TRUE,ISNUMBER(SEARCH("C.",$B22))=TRUE,OR(ISNUMBER(SEARCH("heavy",$B22)),ISNUMBER(SEARCH("MEDIUM",$B22)))=TRUE),INDEX(croprotn_HDHR_C_h,MATCH(RIGHT($F$1,1),rotation_heavy,0)),
IF(AND(ISNUMBER(SEARCH("L-Dsty.H-Res",$B22))=TRUE,ISNUMBER(SEARCH("E.",$B22))=TRUE,OR(ISNUMBER(SEARCH("heavy",$B22)),ISNUMBER(SEARCH("MEDIUM",$B22)))=TRUE),INDEX(croprotn_LDHR_E_h,MATCH(RIGHT($F$1,1),rotation_heavy,0)),
IF(AND(ISNUMBER(SEARCH("L-Dsty.H-Res",$B22))=TRUE,ISNUMBER(SEARCH("N.",$B22))=TRUE,OR(ISNUMBER(SEARCH("heavy",$B22)),ISNUMBER(SEARCH("MEDIUM",$B22)))=TRUE),INDEX(croprotn_LDHR_N_h,MATCH(RIGHT($F$1,1),rotation_heavy,0)),
IF(AND(ISNUMBER(SEARCH("L-Dsty.H-Res",$B22))=TRUE,ISNUMBER(SEARCH("C.",$B22))=TRUE,OR(ISNUMBER(SEARCH("heavy",$B22)),ISNUMBER(SEARCH("MEDIUM",$B22)))=TRUE),INDEX(croprotn_LDHR_C_h,MATCH(RIGHT($F$1,1),rotation_heavy,0)),
IF(AND(ISNUMBER(SEARCH("L-Dsty.L-Res",$B22))=TRUE,ISNUMBER(SEARCH("E.",$B22))=TRUE,OR(ISNUMBER(SEARCH("heavy",$B22)),ISNUMBER(SEARCH("MEDIUM",$B22)))=TRUE),INDEX(croprotn_LDLR_E_h,MATCH(RIGHT($F$1,1),rotation_heavy,0)),
IF(AND(ISNUMBER(SEARCH("L-Dsty.L-Res",$B22))=TRUE,ISNUMBER(SEARCH("N.",$B22))=TRUE,OR(ISNUMBER(SEARCH("heavy",$B22)),ISNUMBER(SEARCH("MEDIUM",$B22)))=TRUE),INDEX(croprotn_LDLR_N_h,MATCH(RIGHT($F$1,1),rotation_heavy,0)),
IF(AND(ISNUMBER(SEARCH("L-Dsty.L-Res",$B22))=TRUE,ISNUMBER(SEARCH("C.",$B22))=TRUE,OR(ISNUMBER(SEARCH("heavy",$B22)),ISNUMBER(SEARCH("MEDIUM",$B22)))=TRUE),INDEX(croprotn_LDLR_C_h,MATCH(RIGHT($F$1,1),rotation_heavy,0)),
IF(AND(ISNUMBER(SEARCH("H-Dsty.H-Res",$B22))=TRUE,ISNUMBER(SEARCH("E.",$B22))=TRUE,ISNUMBER(SEARCH("light",$B22))=TRUE),INDEX(croprotn_HDHR_E_l,MATCH(RIGHT($F$1,1),rotation_light,0)),
IF(AND(ISNUMBER(SEARCH("H-Dsty.H-Res",$B22))=TRUE,ISNUMBER(SEARCH("N.",$B22))=TRUE,ISNUMBER(SEARCH("light",$B22))=TRUE),INDEX(croprotn_HDHR_N_l,MATCH(RIGHT($F$1,1),rotation_light,0)),
IF(AND(ISNUMBER(SEARCH("H-Dsty.H-Res",$B22))=TRUE,ISNUMBER(SEARCH("C.",$B22))=TRUE,ISNUMBER(SEARCH("light",$B22))=TRUE),INDEX(croprotn_HDHR_C_l,MATCH(RIGHT($F$1,1),rotation_light,0)),
IF(AND(ISNUMBER(SEARCH("L-Dsty.H-Res",$B22))=TRUE,ISNUMBER(SEARCH("E.",$B22))=TRUE,ISNUMBER(SEARCH("light",$B22))=TRUE),INDEX(croprotn_LDHR_E_l,MATCH(RIGHT($F$1,1),rotation_light,0)),
IF(AND(ISNUMBER(SEARCH("L-Dsty.H-Res",$B22))=TRUE,ISNUMBER(SEARCH("N.",$B22))=TRUE,ISNUMBER(SEARCH("light",$B22))=TRUE),INDEX(croprotn_LDHR_N_l,MATCH(RIGHT($F$1,1),rotation_light,0)),
IF(AND(ISNUMBER(SEARCH("L-Dsty.H-Res",$B22))=TRUE,ISNUMBER(SEARCH("C.",$B22))=TRUE,ISNUMBER(SEARCH("light",$B22))=TRUE),INDEX(croprotn_LDHR_C_l,MATCH(RIGHT($F$1,1),rotation_light,0)),
IF(AND(ISNUMBER(SEARCH("L-Dsty.L-Res",$B22))=TRUE,ISNUMBER(SEARCH("E.",$B22))=TRUE,ISNUMBER(SEARCH("light",$B22))=TRUE),INDEX(croprotn_LDLR_E_l,MATCH(RIGHT($F$1,1),rotation_light,0)),
IF(AND(ISNUMBER(SEARCH("L-Dsty.L-Res",$B22))=TRUE,ISNUMBER(SEARCH("N.",$B22))=TRUE,ISNUMBER(SEARCH("light",$B22))=TRUE),INDEX(croprotn_LDLR_N_l,MATCH(RIGHT($F$1,1),rotation_light,0)),
IF(AND(ISNUMBER(SEARCH("L-Dsty.L-Res",$B22))=TRUE,ISNUMBER(SEARCH("C.",$B22))=TRUE,ISNUMBER(SEARCH("light",$B22))=TRUE),INDEX(croprotn_LDLR_C_l,MATCH(RIGHT($F$1,1),rotation_light,0))
))))))))))))))))))</f>
        <v>winterwheat</v>
      </c>
      <c r="G22" s="234" t="str">
        <f t="shared" si="84"/>
        <v>springbeans</v>
      </c>
      <c r="H22" s="234" t="str">
        <f t="shared" si="1"/>
        <v>winterwheat</v>
      </c>
      <c r="I22" s="234" t="str">
        <f t="shared" si="2"/>
        <v>winterbarley</v>
      </c>
      <c r="J22" s="234" t="str">
        <f t="shared" si="3"/>
        <v>wosr</v>
      </c>
      <c r="K22" s="234" t="str">
        <f t="shared" si="4"/>
        <v>winterwheat</v>
      </c>
      <c r="L22" s="154" t="str">
        <f t="shared" si="5"/>
        <v>lightcultivation</v>
      </c>
      <c r="M22" s="154" t="str">
        <f t="shared" si="6"/>
        <v>subsoiling</v>
      </c>
      <c r="N22" s="154" t="str">
        <f t="shared" si="7"/>
        <v>lightcultivation</v>
      </c>
      <c r="O22" s="154" t="str">
        <f t="shared" si="8"/>
        <v>lightcultivation</v>
      </c>
      <c r="P22" s="154" t="str">
        <f t="shared" si="76"/>
        <v>directdrilling</v>
      </c>
      <c r="Q22" s="263" t="s">
        <v>273</v>
      </c>
      <c r="R22" s="234">
        <f t="shared" si="86"/>
        <v>200</v>
      </c>
      <c r="S22" s="234">
        <f t="shared" si="10"/>
        <v>305</v>
      </c>
      <c r="T22" s="234">
        <f t="shared" si="11"/>
        <v>200</v>
      </c>
      <c r="U22" s="234">
        <f t="shared" si="87"/>
        <v>216</v>
      </c>
      <c r="V22" s="234">
        <f t="shared" si="13"/>
        <v>3.2</v>
      </c>
      <c r="W22" s="234">
        <f t="shared" si="14"/>
        <v>200</v>
      </c>
      <c r="X22" s="154" t="str">
        <f t="shared" si="15"/>
        <v>late</v>
      </c>
      <c r="Y22" s="154" t="str">
        <f t="shared" si="16"/>
        <v>no</v>
      </c>
      <c r="Z22" s="154" t="str">
        <f t="shared" si="17"/>
        <v>late</v>
      </c>
      <c r="AA22" s="154" t="str">
        <f t="shared" si="18"/>
        <v>no</v>
      </c>
      <c r="AB22" s="154" t="str">
        <f t="shared" si="19"/>
        <v>no</v>
      </c>
      <c r="AC22" s="154" t="str">
        <f t="shared" si="20"/>
        <v>late</v>
      </c>
      <c r="AD22" s="234">
        <f>IF(AND(ISNUMBER(SEARCH("H-Dsty.H-Res",$B22))=TRUE,ISNUMBER(SEARCH("E.",$B22))=TRUE),INDEX(fertrate_HDHR_E,MATCH($F22,fertrate_CROPS,0)),
IF(AND(ISNUMBER(SEARCH("H-Dsty.H-Res",$B22))=TRUE,ISNUMBER(SEARCH("N.",$B22))=TRUE),INDEX(fertrate_HDHR_N,MATCH($F22,fertrate_CROPS,0)),
IF(AND(ISNUMBER(SEARCH("H-Dsty.H-Res",$B22))=TRUE,ISNUMBER(SEARCH("C.",$B22))=TRUE),INDEX(fertrate_HDHR_C,MATCH($F22,fertrate_CROPS,0)),
IF(AND(ISNUMBER(SEARCH("L-Dsty.H-Res",$B22))=TRUE,ISNUMBER(SEARCH("E.",$B22))=TRUE),INDEX(fertrate_LDHR_E,MATCH($F22,fertrate_CROPS,0)),
IF(AND(ISNUMBER(SEARCH("L-Dsty.H-Res",$B22))=TRUE,ISNUMBER(SEARCH("N.",$B22))=TRUE),INDEX(fertrate_LDHR_N,MATCH($F22,fertrate_CROPS,0)),
IF(AND(ISNUMBER(SEARCH("L-Dsty.H-Res",$B22))=TRUE,ISNUMBER(SEARCH("C.",$B22))=TRUE),INDEX(fertrate_LDHR_C,MATCH($F22,fertrate_CROPS,0)),
IF(AND(ISNUMBER(SEARCH("L-Dsty.L-Res",$B22))=TRUE,ISNUMBER(SEARCH("E.",$B22))=TRUE),INDEX(fertrate_LDLR_E,MATCH($F22,fertrate_CROPS,0)),
IF(AND(ISNUMBER(SEARCH("L-Dsty.L-Res",$B22))=TRUE,ISNUMBER(SEARCH("N.",$B22))=TRUE),INDEX(fertrate_LDLR_N,MATCH($F22,fertrate_CROPS,0)),
IF(AND(ISNUMBER(SEARCH("L-Dsty.L-Res",$B22))=TRUE,ISNUMBER(SEARCH("C.",$B22))=TRUE),INDEX(fertrate_LDLR_C,MATCH($F22,fertrate_CROPS,0))
)))))))))</f>
        <v>240</v>
      </c>
      <c r="AE22" s="234">
        <f t="shared" si="85"/>
        <v>0</v>
      </c>
      <c r="AF22" s="234">
        <f t="shared" si="79"/>
        <v>240</v>
      </c>
      <c r="AG22" s="234">
        <f t="shared" si="88"/>
        <v>200</v>
      </c>
      <c r="AH22" s="234">
        <f t="shared" si="80"/>
        <v>180</v>
      </c>
      <c r="AI22" s="234">
        <f t="shared" si="81"/>
        <v>240</v>
      </c>
      <c r="AJ22" s="154">
        <f t="shared" si="23"/>
        <v>67</v>
      </c>
      <c r="AK22" s="154">
        <f t="shared" si="24"/>
        <v>43</v>
      </c>
      <c r="AL22" s="154">
        <f t="shared" si="25"/>
        <v>67</v>
      </c>
      <c r="AM22" s="154">
        <f t="shared" si="26"/>
        <v>58</v>
      </c>
      <c r="AN22" s="154">
        <f t="shared" si="27"/>
        <v>49</v>
      </c>
      <c r="AO22" s="154">
        <f t="shared" si="28"/>
        <v>67</v>
      </c>
      <c r="AP22" s="154">
        <f t="shared" si="29"/>
        <v>48</v>
      </c>
      <c r="AQ22" s="154">
        <f t="shared" si="30"/>
        <v>47</v>
      </c>
      <c r="AR22" s="154">
        <f t="shared" si="31"/>
        <v>48</v>
      </c>
      <c r="AS22" s="154">
        <f t="shared" si="32"/>
        <v>41</v>
      </c>
      <c r="AT22" s="154">
        <f t="shared" si="33"/>
        <v>39</v>
      </c>
      <c r="AU22" s="154">
        <f t="shared" si="34"/>
        <v>48</v>
      </c>
      <c r="AV22" s="234">
        <f t="shared" si="89"/>
        <v>5.6</v>
      </c>
      <c r="AW22" s="234">
        <f t="shared" si="36"/>
        <v>5.5</v>
      </c>
      <c r="AX22" s="234">
        <f t="shared" si="37"/>
        <v>5.6</v>
      </c>
      <c r="AY22" s="234">
        <f t="shared" si="90"/>
        <v>8.6</v>
      </c>
      <c r="AZ22" s="234">
        <f t="shared" si="39"/>
        <v>3.1</v>
      </c>
      <c r="BA22" s="234">
        <f t="shared" si="40"/>
        <v>5.6</v>
      </c>
      <c r="BB22" s="234">
        <f t="shared" si="41"/>
        <v>6.3</v>
      </c>
      <c r="BC22" s="234">
        <f t="shared" si="42"/>
        <v>9.3000000000000007</v>
      </c>
      <c r="BD22" s="234">
        <f t="shared" si="43"/>
        <v>6.3</v>
      </c>
      <c r="BE22" s="234">
        <f t="shared" si="91"/>
        <v>6.3</v>
      </c>
      <c r="BF22" s="234">
        <f t="shared" si="45"/>
        <v>0</v>
      </c>
      <c r="BG22" s="234">
        <f t="shared" si="46"/>
        <v>6.3</v>
      </c>
      <c r="BH22" s="234">
        <f t="shared" si="47"/>
        <v>4</v>
      </c>
      <c r="BI22" s="234">
        <f t="shared" si="48"/>
        <v>6</v>
      </c>
      <c r="BJ22" s="234">
        <f t="shared" si="49"/>
        <v>4</v>
      </c>
      <c r="BK22" s="234">
        <f t="shared" si="92"/>
        <v>5</v>
      </c>
      <c r="BL22" s="234">
        <f t="shared" si="51"/>
        <v>2</v>
      </c>
      <c r="BM22" s="234">
        <f t="shared" si="52"/>
        <v>4</v>
      </c>
      <c r="BN22" s="154" t="s">
        <v>483</v>
      </c>
      <c r="BO22" s="154" t="str">
        <f t="shared" si="53"/>
        <v>low</v>
      </c>
      <c r="BP22" s="154" t="str">
        <f t="shared" si="54"/>
        <v>low</v>
      </c>
      <c r="BQ22" s="154" t="str">
        <f t="shared" si="55"/>
        <v>low</v>
      </c>
      <c r="BR22" s="154" t="s">
        <v>183</v>
      </c>
      <c r="BS22" s="154" t="s">
        <v>183</v>
      </c>
      <c r="BT22" s="154" t="s">
        <v>183</v>
      </c>
      <c r="BU22" s="154">
        <f t="shared" si="56"/>
        <v>150</v>
      </c>
      <c r="BV22" s="154">
        <f t="shared" si="57"/>
        <v>185</v>
      </c>
      <c r="BW22" s="154">
        <f t="shared" si="58"/>
        <v>150</v>
      </c>
      <c r="BX22" s="154">
        <f t="shared" si="59"/>
        <v>138</v>
      </c>
      <c r="BY22" s="154">
        <f t="shared" si="60"/>
        <v>335</v>
      </c>
      <c r="BZ22" s="154">
        <f t="shared" si="61"/>
        <v>150</v>
      </c>
      <c r="CA22" s="356">
        <f t="array" ref="CA22">IF(yieldsetting1="estimate",0,INDEX(cropdata, MATCH(yieldsource,outputs,0), MATCH($F22,cropdatacrops,0)))</f>
        <v>0</v>
      </c>
      <c r="CB22" s="356">
        <f t="array" ref="CB22">IF(yieldsetting1="estimate",0,INDEX(cropdata, MATCH(yieldsource,outputs,0), MATCH($G22,cropdatacrops,0)))</f>
        <v>0</v>
      </c>
      <c r="CC22" s="356">
        <f t="array" ref="CC22">IF(yieldsetting1="estimate",0,INDEX(cropdata, MATCH(yieldsource,outputs,0), MATCH($H22,cropdatacrops,0)))</f>
        <v>0</v>
      </c>
      <c r="CD22" s="356">
        <f t="array" ref="CD22">IF(yieldsetting1="estimate",0,INDEX(cropdata, MATCH(yieldsource,outputs,0), MATCH($I22,cropdatacrops,0)))</f>
        <v>0</v>
      </c>
      <c r="CE22" s="356">
        <f t="array" ref="CE22">IF(yieldsetting1="estimate",0,INDEX(cropdata, MATCH(yieldsource,outputs,0), MATCH($J22,cropdatacrops,0)))</f>
        <v>0</v>
      </c>
      <c r="CF22" s="356">
        <f t="array" ref="CF22">IF(yieldsetting1="estimate",0,INDEX(cropdata, MATCH(yieldsource,outputs,0), MATCH($K22,cropdatacrops,0)))</f>
        <v>0</v>
      </c>
      <c r="CG22" s="154" t="str">
        <f t="shared" si="62"/>
        <v>estimate</v>
      </c>
      <c r="CH22" s="235">
        <f t="shared" si="63"/>
        <v>0.8</v>
      </c>
      <c r="CI22" s="235">
        <f t="shared" si="64"/>
        <v>0.72</v>
      </c>
      <c r="CJ22" s="154">
        <f t="shared" si="65"/>
        <v>0.46</v>
      </c>
      <c r="CK22" s="154">
        <f t="shared" si="66"/>
        <v>0.36</v>
      </c>
      <c r="CL22" s="154">
        <f t="shared" si="67"/>
        <v>0.38</v>
      </c>
      <c r="CM22" s="154">
        <f t="shared" si="68"/>
        <v>0.36</v>
      </c>
      <c r="CN22" s="154">
        <f t="shared" si="69"/>
        <v>0.36</v>
      </c>
      <c r="CO22" s="154">
        <f t="shared" si="70"/>
        <v>7.34</v>
      </c>
      <c r="CP22" s="154">
        <f t="shared" si="71"/>
        <v>0.36</v>
      </c>
      <c r="CQ22" s="154">
        <f t="shared" ref="CQ22:CV31" si="93">herbprice</f>
        <v>19.5</v>
      </c>
      <c r="CR22" s="154">
        <f t="shared" si="93"/>
        <v>19.5</v>
      </c>
      <c r="CS22" s="154">
        <f t="shared" si="93"/>
        <v>19.5</v>
      </c>
      <c r="CT22" s="154">
        <f t="shared" si="93"/>
        <v>19.5</v>
      </c>
      <c r="CU22" s="154">
        <f t="shared" si="93"/>
        <v>19.5</v>
      </c>
      <c r="CV22" s="154">
        <f t="shared" si="93"/>
        <v>19.5</v>
      </c>
      <c r="CW22" s="154">
        <f t="shared" ref="CW22:DB31" si="94">glyprice</f>
        <v>2.4300000000000002</v>
      </c>
      <c r="CX22" s="154">
        <f t="shared" si="94"/>
        <v>2.4300000000000002</v>
      </c>
      <c r="CY22" s="154">
        <f t="shared" si="94"/>
        <v>2.4300000000000002</v>
      </c>
      <c r="CZ22" s="154">
        <f t="shared" si="94"/>
        <v>2.4300000000000002</v>
      </c>
      <c r="DA22" s="154">
        <f t="shared" si="94"/>
        <v>2.4300000000000002</v>
      </c>
      <c r="DB22" s="154">
        <f t="shared" si="94"/>
        <v>2.4300000000000002</v>
      </c>
      <c r="DC22" s="154">
        <v>102</v>
      </c>
      <c r="DD22" s="154">
        <v>6</v>
      </c>
      <c r="DE22" s="154">
        <v>4</v>
      </c>
      <c r="DF22" s="154">
        <v>1400</v>
      </c>
      <c r="DG22" s="154">
        <v>125</v>
      </c>
      <c r="DH22" s="154">
        <f t="shared" si="74"/>
        <v>0.625</v>
      </c>
      <c r="DI22" s="154">
        <f t="shared" si="75"/>
        <v>10.08</v>
      </c>
    </row>
    <row r="23" spans="1:113" x14ac:dyDescent="0.2">
      <c r="A23" s="332" t="s">
        <v>1676</v>
      </c>
      <c r="B23" s="333" t="s">
        <v>506</v>
      </c>
      <c r="C23" s="333" t="s">
        <v>1617</v>
      </c>
      <c r="D23" s="233" t="str">
        <f>IF(ISNUMBER(SEARCH("heavy",B23))=TRUE,"2.25",
IF(ISNUMBER(SEARCH("medium",B23))=TRUE,"1.50",
IF(ISNUMBER(SEARCH("light",B23))=TRUE,"0.75")))</f>
        <v>1.50</v>
      </c>
      <c r="E23" s="154">
        <v>6</v>
      </c>
      <c r="F23" s="234" t="str" cm="1">
        <f t="array" ref="F23">IF(AND(ISNUMBER(SEARCH("H-Dsty.H-Res",$B23))=TRUE,ISNUMBER(SEARCH("E.",$B23))=TRUE,OR(ISNUMBER(SEARCH("heavy",$B23)),ISNUMBER(SEARCH("MEDIUM",$B23)))=TRUE),INDEX(croprotn_HDHR_E_h,MATCH(RIGHT($F$1,1),rotation_heavy,0)),
IF(AND(ISNUMBER(SEARCH("H-Dsty.H-Res",$B23))=TRUE,ISNUMBER(SEARCH("N.",$B23))=TRUE,OR(ISNUMBER(SEARCH("heavy",$B23)),ISNUMBER(SEARCH("MEDIUM",$B23)))=TRUE),INDEX(croprotn_HDHR_N_h,MATCH(RIGHT($F$1,1),rotation_heavy,0)),
IF(AND(ISNUMBER(SEARCH("H-Dsty.H-Res",$B23))=TRUE,ISNUMBER(SEARCH("C.",$B23))=TRUE,OR(ISNUMBER(SEARCH("heavy",$B23)),ISNUMBER(SEARCH("MEDIUM",$B23)))=TRUE),INDEX(croprotn_HDHR_C_h,MATCH(RIGHT($F$1,1),rotation_heavy,0)),
IF(AND(ISNUMBER(SEARCH("L-Dsty.H-Res",$B23))=TRUE,ISNUMBER(SEARCH("E.",$B23))=TRUE,OR(ISNUMBER(SEARCH("heavy",$B23)),ISNUMBER(SEARCH("MEDIUM",$B23)))=TRUE),INDEX(croprotn_LDHR_E_h,MATCH(RIGHT($F$1,1),rotation_heavy,0)),
IF(AND(ISNUMBER(SEARCH("L-Dsty.H-Res",$B23))=TRUE,ISNUMBER(SEARCH("N.",$B23))=TRUE,OR(ISNUMBER(SEARCH("heavy",$B23)),ISNUMBER(SEARCH("MEDIUM",$B23)))=TRUE),INDEX(croprotn_LDHR_N_h,MATCH(RIGHT($F$1,1),rotation_heavy,0)),
IF(AND(ISNUMBER(SEARCH("L-Dsty.H-Res",$B23))=TRUE,ISNUMBER(SEARCH("C.",$B23))=TRUE,OR(ISNUMBER(SEARCH("heavy",$B23)),ISNUMBER(SEARCH("MEDIUM",$B23)))=TRUE),INDEX(croprotn_LDHR_C_h,MATCH(RIGHT($F$1,1),rotation_heavy,0)),
IF(AND(ISNUMBER(SEARCH("L-Dsty.L-Res",$B23))=TRUE,ISNUMBER(SEARCH("E.",$B23))=TRUE,OR(ISNUMBER(SEARCH("heavy",$B23)),ISNUMBER(SEARCH("MEDIUM",$B23)))=TRUE),INDEX(croprotn_LDLR_E_h,MATCH(RIGHT($F$1,1),rotation_heavy,0)),
IF(AND(ISNUMBER(SEARCH("L-Dsty.L-Res",$B23))=TRUE,ISNUMBER(SEARCH("N.",$B23))=TRUE,OR(ISNUMBER(SEARCH("heavy",$B23)),ISNUMBER(SEARCH("MEDIUM",$B23)))=TRUE),INDEX(croprotn_LDLR_N_h,MATCH(RIGHT($F$1,1),rotation_heavy,0)),
IF(AND(ISNUMBER(SEARCH("L-Dsty.L-Res",$B23))=TRUE,ISNUMBER(SEARCH("C.",$B23))=TRUE,OR(ISNUMBER(SEARCH("heavy",$B23)),ISNUMBER(SEARCH("MEDIUM",$B23)))=TRUE),INDEX(croprotn_LDLR_C_h,MATCH(RIGHT($F$1,1),rotation_heavy,0)),
IF(AND(ISNUMBER(SEARCH("H-Dsty.H-Res",$B23))=TRUE,ISNUMBER(SEARCH("E.",$B23))=TRUE,ISNUMBER(SEARCH("light",$B23))=TRUE),INDEX(croprotn_HDHR_E_l,MATCH(RIGHT($F$1,1),rotation_light,0)),
IF(AND(ISNUMBER(SEARCH("H-Dsty.H-Res",$B23))=TRUE,ISNUMBER(SEARCH("N.",$B23))=TRUE,ISNUMBER(SEARCH("light",$B23))=TRUE),INDEX(croprotn_HDHR_N_l,MATCH(RIGHT($F$1,1),rotation_light,0)),
IF(AND(ISNUMBER(SEARCH("H-Dsty.H-Res",$B23))=TRUE,ISNUMBER(SEARCH("C.",$B23))=TRUE,ISNUMBER(SEARCH("light",$B23))=TRUE),INDEX(croprotn_HDHR_C_l,MATCH(RIGHT($F$1,1),rotation_light,0)),
IF(AND(ISNUMBER(SEARCH("L-Dsty.H-Res",$B23))=TRUE,ISNUMBER(SEARCH("E.",$B23))=TRUE,ISNUMBER(SEARCH("light",$B23))=TRUE),INDEX(croprotn_LDHR_E_l,MATCH(RIGHT($F$1,1),rotation_light,0)),
IF(AND(ISNUMBER(SEARCH("L-Dsty.H-Res",$B23))=TRUE,ISNUMBER(SEARCH("N.",$B23))=TRUE,ISNUMBER(SEARCH("light",$B23))=TRUE),INDEX(croprotn_LDHR_N_l,MATCH(RIGHT($F$1,1),rotation_light,0)),
IF(AND(ISNUMBER(SEARCH("L-Dsty.H-Res",$B23))=TRUE,ISNUMBER(SEARCH("C.",$B23))=TRUE,ISNUMBER(SEARCH("light",$B23))=TRUE),INDEX(croprotn_LDHR_C_l,MATCH(RIGHT($F$1,1),rotation_light,0)),
IF(AND(ISNUMBER(SEARCH("L-Dsty.L-Res",$B23))=TRUE,ISNUMBER(SEARCH("E.",$B23))=TRUE,ISNUMBER(SEARCH("light",$B23))=TRUE),INDEX(croprotn_LDLR_E_l,MATCH(RIGHT($F$1,1),rotation_light,0)),
IF(AND(ISNUMBER(SEARCH("L-Dsty.L-Res",$B23))=TRUE,ISNUMBER(SEARCH("N.",$B23))=TRUE,ISNUMBER(SEARCH("light",$B23))=TRUE),INDEX(croprotn_LDLR_N_l,MATCH(RIGHT($F$1,1),rotation_light,0)),
IF(AND(ISNUMBER(SEARCH("L-Dsty.L-Res",$B23))=TRUE,ISNUMBER(SEARCH("C.",$B23))=TRUE,ISNUMBER(SEARCH("light",$B23))=TRUE),INDEX(croprotn_LDLR_C_l,MATCH(RIGHT($F$1,1),rotation_light,0))
))))))))))))))))))</f>
        <v>winterwheat</v>
      </c>
      <c r="G23" s="234" t="str">
        <f t="shared" si="84"/>
        <v>springbeans</v>
      </c>
      <c r="H23" s="234" t="str">
        <f t="shared" si="1"/>
        <v>winterwheat</v>
      </c>
      <c r="I23" s="234" t="str">
        <f t="shared" si="2"/>
        <v>winterbarley</v>
      </c>
      <c r="J23" s="234" t="str">
        <f t="shared" si="3"/>
        <v>wosr</v>
      </c>
      <c r="K23" s="234" t="str">
        <f t="shared" si="4"/>
        <v>winterwheat</v>
      </c>
      <c r="L23" s="154" t="str">
        <f t="shared" si="5"/>
        <v>lightcultivation</v>
      </c>
      <c r="M23" s="154" t="str">
        <f t="shared" si="6"/>
        <v>subsoiling</v>
      </c>
      <c r="N23" s="154" t="str">
        <f t="shared" si="7"/>
        <v>lightcultivation</v>
      </c>
      <c r="O23" s="154" t="str">
        <f t="shared" si="8"/>
        <v>lightcultivation</v>
      </c>
      <c r="P23" s="154" t="str">
        <f t="shared" si="76"/>
        <v>directdrilling</v>
      </c>
      <c r="Q23" s="263" t="s">
        <v>273</v>
      </c>
      <c r="R23" s="234">
        <f t="shared" si="86"/>
        <v>200</v>
      </c>
      <c r="S23" s="234">
        <f t="shared" si="10"/>
        <v>305</v>
      </c>
      <c r="T23" s="234">
        <f t="shared" si="11"/>
        <v>200</v>
      </c>
      <c r="U23" s="234">
        <f t="shared" si="87"/>
        <v>216</v>
      </c>
      <c r="V23" s="234">
        <f t="shared" si="13"/>
        <v>3.2</v>
      </c>
      <c r="W23" s="234">
        <f t="shared" si="14"/>
        <v>200</v>
      </c>
      <c r="X23" s="154" t="str">
        <f t="shared" si="15"/>
        <v>late</v>
      </c>
      <c r="Y23" s="154" t="str">
        <f t="shared" si="16"/>
        <v>no</v>
      </c>
      <c r="Z23" s="154" t="str">
        <f t="shared" si="17"/>
        <v>late</v>
      </c>
      <c r="AA23" s="154" t="str">
        <f t="shared" si="18"/>
        <v>no</v>
      </c>
      <c r="AB23" s="154" t="str">
        <f t="shared" si="19"/>
        <v>no</v>
      </c>
      <c r="AC23" s="154" t="str">
        <f t="shared" si="20"/>
        <v>late</v>
      </c>
      <c r="AD23" s="234">
        <f>IF(AND(ISNUMBER(SEARCH("H-Dsty.H-Res",$B23))=TRUE,ISNUMBER(SEARCH("E.",$B23))=TRUE),INDEX(fertrate_HDHR_E,MATCH($F23,fertrate_CROPS,0)),
IF(AND(ISNUMBER(SEARCH("H-Dsty.H-Res",$B23))=TRUE,ISNUMBER(SEARCH("N.",$B23))=TRUE),INDEX(fertrate_HDHR_N,MATCH($F23,fertrate_CROPS,0)),
IF(AND(ISNUMBER(SEARCH("H-Dsty.H-Res",$B23))=TRUE,ISNUMBER(SEARCH("C.",$B23))=TRUE),INDEX(fertrate_HDHR_C,MATCH($F23,fertrate_CROPS,0)),
IF(AND(ISNUMBER(SEARCH("L-Dsty.H-Res",$B23))=TRUE,ISNUMBER(SEARCH("E.",$B23))=TRUE),INDEX(fertrate_LDHR_E,MATCH($F23,fertrate_CROPS,0)),
IF(AND(ISNUMBER(SEARCH("L-Dsty.H-Res",$B23))=TRUE,ISNUMBER(SEARCH("N.",$B23))=TRUE),INDEX(fertrate_LDHR_N,MATCH($F23,fertrate_CROPS,0)),
IF(AND(ISNUMBER(SEARCH("L-Dsty.H-Res",$B23))=TRUE,ISNUMBER(SEARCH("C.",$B23))=TRUE),INDEX(fertrate_LDHR_C,MATCH($F23,fertrate_CROPS,0)),
IF(AND(ISNUMBER(SEARCH("L-Dsty.L-Res",$B23))=TRUE,ISNUMBER(SEARCH("E.",$B23))=TRUE),INDEX(fertrate_LDLR_E,MATCH($F23,fertrate_CROPS,0)),
IF(AND(ISNUMBER(SEARCH("L-Dsty.L-Res",$B23))=TRUE,ISNUMBER(SEARCH("N.",$B23))=TRUE),INDEX(fertrate_LDLR_N,MATCH($F23,fertrate_CROPS,0)),
IF(AND(ISNUMBER(SEARCH("L-Dsty.L-Res",$B23))=TRUE,ISNUMBER(SEARCH("C.",$B23))=TRUE),INDEX(fertrate_LDLR_C,MATCH($F23,fertrate_CROPS,0))
)))))))))</f>
        <v>240</v>
      </c>
      <c r="AE23" s="234">
        <f t="shared" si="85"/>
        <v>0</v>
      </c>
      <c r="AF23" s="234">
        <f t="shared" si="79"/>
        <v>240</v>
      </c>
      <c r="AG23" s="234">
        <f t="shared" si="88"/>
        <v>200</v>
      </c>
      <c r="AH23" s="234">
        <f t="shared" si="80"/>
        <v>180</v>
      </c>
      <c r="AI23" s="234">
        <f t="shared" si="81"/>
        <v>240</v>
      </c>
      <c r="AJ23" s="154">
        <f t="shared" si="23"/>
        <v>67</v>
      </c>
      <c r="AK23" s="154">
        <f t="shared" si="24"/>
        <v>43</v>
      </c>
      <c r="AL23" s="154">
        <f t="shared" si="25"/>
        <v>67</v>
      </c>
      <c r="AM23" s="154">
        <f t="shared" si="26"/>
        <v>58</v>
      </c>
      <c r="AN23" s="154">
        <f t="shared" si="27"/>
        <v>49</v>
      </c>
      <c r="AO23" s="154">
        <f t="shared" si="28"/>
        <v>67</v>
      </c>
      <c r="AP23" s="154">
        <f t="shared" si="29"/>
        <v>48</v>
      </c>
      <c r="AQ23" s="154">
        <f t="shared" si="30"/>
        <v>47</v>
      </c>
      <c r="AR23" s="154">
        <f t="shared" si="31"/>
        <v>48</v>
      </c>
      <c r="AS23" s="154">
        <f t="shared" si="32"/>
        <v>41</v>
      </c>
      <c r="AT23" s="154">
        <f t="shared" si="33"/>
        <v>39</v>
      </c>
      <c r="AU23" s="154">
        <f t="shared" si="34"/>
        <v>48</v>
      </c>
      <c r="AV23" s="234">
        <f t="shared" si="89"/>
        <v>5.6</v>
      </c>
      <c r="AW23" s="234">
        <f t="shared" si="36"/>
        <v>5.5</v>
      </c>
      <c r="AX23" s="234">
        <f t="shared" si="37"/>
        <v>5.6</v>
      </c>
      <c r="AY23" s="234">
        <f t="shared" si="90"/>
        <v>8.6</v>
      </c>
      <c r="AZ23" s="234">
        <f t="shared" si="39"/>
        <v>3.1</v>
      </c>
      <c r="BA23" s="234">
        <f t="shared" si="40"/>
        <v>5.6</v>
      </c>
      <c r="BB23" s="234">
        <f t="shared" si="41"/>
        <v>6.3</v>
      </c>
      <c r="BC23" s="234">
        <f t="shared" si="42"/>
        <v>9.3000000000000007</v>
      </c>
      <c r="BD23" s="234">
        <f t="shared" si="43"/>
        <v>6.3</v>
      </c>
      <c r="BE23" s="234">
        <f t="shared" si="91"/>
        <v>6.3</v>
      </c>
      <c r="BF23" s="234">
        <f t="shared" si="45"/>
        <v>0</v>
      </c>
      <c r="BG23" s="234">
        <f t="shared" si="46"/>
        <v>6.3</v>
      </c>
      <c r="BH23" s="234">
        <f t="shared" si="47"/>
        <v>4</v>
      </c>
      <c r="BI23" s="234">
        <f t="shared" si="48"/>
        <v>6</v>
      </c>
      <c r="BJ23" s="234">
        <f t="shared" si="49"/>
        <v>4</v>
      </c>
      <c r="BK23" s="234">
        <f t="shared" si="92"/>
        <v>5</v>
      </c>
      <c r="BL23" s="234">
        <f t="shared" si="51"/>
        <v>2</v>
      </c>
      <c r="BM23" s="234">
        <f t="shared" si="52"/>
        <v>4</v>
      </c>
      <c r="BN23" s="154" t="s">
        <v>483</v>
      </c>
      <c r="BO23" s="154" t="str">
        <f t="shared" si="53"/>
        <v>medium</v>
      </c>
      <c r="BP23" s="154" t="str">
        <f t="shared" si="54"/>
        <v>low</v>
      </c>
      <c r="BQ23" s="154" t="str">
        <f t="shared" si="55"/>
        <v>low</v>
      </c>
      <c r="BR23" s="154" t="s">
        <v>18</v>
      </c>
      <c r="BS23" s="154" t="s">
        <v>18</v>
      </c>
      <c r="BT23" s="154" t="s">
        <v>18</v>
      </c>
      <c r="BU23" s="154">
        <f t="shared" si="56"/>
        <v>150</v>
      </c>
      <c r="BV23" s="154">
        <f t="shared" si="57"/>
        <v>185</v>
      </c>
      <c r="BW23" s="154">
        <f t="shared" si="58"/>
        <v>150</v>
      </c>
      <c r="BX23" s="154">
        <f t="shared" si="59"/>
        <v>138</v>
      </c>
      <c r="BY23" s="154">
        <f t="shared" si="60"/>
        <v>335</v>
      </c>
      <c r="BZ23" s="154">
        <f t="shared" si="61"/>
        <v>150</v>
      </c>
      <c r="CA23" s="356">
        <f t="array" ref="CA23">IF(yieldsetting1="estimate",0,INDEX(cropdata, MATCH(yieldsource,outputs,0), MATCH($F23,cropdatacrops,0)))</f>
        <v>0</v>
      </c>
      <c r="CB23" s="356">
        <f t="array" ref="CB23">IF(yieldsetting1="estimate",0,INDEX(cropdata, MATCH(yieldsource,outputs,0), MATCH($G23,cropdatacrops,0)))</f>
        <v>0</v>
      </c>
      <c r="CC23" s="356">
        <f t="array" ref="CC23">IF(yieldsetting1="estimate",0,INDEX(cropdata, MATCH(yieldsource,outputs,0), MATCH($H23,cropdatacrops,0)))</f>
        <v>0</v>
      </c>
      <c r="CD23" s="356">
        <f t="array" ref="CD23">IF(yieldsetting1="estimate",0,INDEX(cropdata, MATCH(yieldsource,outputs,0), MATCH($I23,cropdatacrops,0)))</f>
        <v>0</v>
      </c>
      <c r="CE23" s="356">
        <f t="array" ref="CE23">IF(yieldsetting1="estimate",0,INDEX(cropdata, MATCH(yieldsource,outputs,0), MATCH($J23,cropdatacrops,0)))</f>
        <v>0</v>
      </c>
      <c r="CF23" s="356">
        <f t="array" ref="CF23">IF(yieldsetting1="estimate",0,INDEX(cropdata, MATCH(yieldsource,outputs,0), MATCH($K23,cropdatacrops,0)))</f>
        <v>0</v>
      </c>
      <c r="CG23" s="154" t="str">
        <f t="shared" si="62"/>
        <v>estimate</v>
      </c>
      <c r="CH23" s="235">
        <f t="shared" si="63"/>
        <v>0.8</v>
      </c>
      <c r="CI23" s="235">
        <f t="shared" si="64"/>
        <v>0.72</v>
      </c>
      <c r="CJ23" s="154">
        <f t="shared" si="65"/>
        <v>0.46</v>
      </c>
      <c r="CK23" s="154">
        <f t="shared" si="66"/>
        <v>0.36</v>
      </c>
      <c r="CL23" s="154">
        <f t="shared" si="67"/>
        <v>0.38</v>
      </c>
      <c r="CM23" s="154">
        <f t="shared" si="68"/>
        <v>0.36</v>
      </c>
      <c r="CN23" s="154">
        <f t="shared" si="69"/>
        <v>0.36</v>
      </c>
      <c r="CO23" s="154">
        <f t="shared" si="70"/>
        <v>7.34</v>
      </c>
      <c r="CP23" s="154">
        <f t="shared" si="71"/>
        <v>0.36</v>
      </c>
      <c r="CQ23" s="154">
        <f t="shared" si="93"/>
        <v>19.5</v>
      </c>
      <c r="CR23" s="154">
        <f t="shared" si="93"/>
        <v>19.5</v>
      </c>
      <c r="CS23" s="154">
        <f t="shared" si="93"/>
        <v>19.5</v>
      </c>
      <c r="CT23" s="154">
        <f t="shared" si="93"/>
        <v>19.5</v>
      </c>
      <c r="CU23" s="154">
        <f t="shared" si="93"/>
        <v>19.5</v>
      </c>
      <c r="CV23" s="154">
        <f t="shared" si="93"/>
        <v>19.5</v>
      </c>
      <c r="CW23" s="154">
        <f t="shared" si="94"/>
        <v>2.4300000000000002</v>
      </c>
      <c r="CX23" s="154">
        <f t="shared" si="94"/>
        <v>2.4300000000000002</v>
      </c>
      <c r="CY23" s="154">
        <f t="shared" si="94"/>
        <v>2.4300000000000002</v>
      </c>
      <c r="CZ23" s="154">
        <f t="shared" si="94"/>
        <v>2.4300000000000002</v>
      </c>
      <c r="DA23" s="154">
        <f t="shared" si="94"/>
        <v>2.4300000000000002</v>
      </c>
      <c r="DB23" s="154">
        <f t="shared" si="94"/>
        <v>2.4300000000000002</v>
      </c>
      <c r="DC23" s="154">
        <v>102</v>
      </c>
      <c r="DD23" s="154">
        <v>6</v>
      </c>
      <c r="DE23" s="154">
        <v>4</v>
      </c>
      <c r="DF23" s="154">
        <v>1400</v>
      </c>
      <c r="DG23" s="154">
        <v>125</v>
      </c>
      <c r="DH23" s="154">
        <f t="shared" si="74"/>
        <v>0.625</v>
      </c>
      <c r="DI23" s="154">
        <f t="shared" si="75"/>
        <v>10.08</v>
      </c>
    </row>
    <row r="24" spans="1:113" x14ac:dyDescent="0.2">
      <c r="A24" s="332" t="s">
        <v>1685</v>
      </c>
      <c r="B24" s="333" t="s">
        <v>509</v>
      </c>
      <c r="C24" s="333" t="s">
        <v>1628</v>
      </c>
      <c r="D24" s="233" t="str">
        <f>IF(ISNUMBER(SEARCH("heavy",B24))=TRUE,"2.25",
IF(ISNUMBER(SEARCH("medium",B24))=TRUE,"1.5",
IF(ISNUMBER(SEARCH("light",B24))=TRUE,"0.75")))</f>
        <v>0.75</v>
      </c>
      <c r="E24" s="154">
        <v>6</v>
      </c>
      <c r="F24" s="234" t="str" cm="1">
        <f t="array" ref="F24">IF(AND(ISNUMBER(SEARCH("H-Dsty.H-Res",$B24))=TRUE,ISNUMBER(SEARCH("E.",$B24))=TRUE,OR(ISNUMBER(SEARCH("heavy",$B24)),ISNUMBER(SEARCH("MEDIUM",$B24)))=TRUE),INDEX(croprotn_HDHR_E_h,MATCH(RIGHT($F$1,1),rotation_heavy,0)),
IF(AND(ISNUMBER(SEARCH("H-Dsty.H-Res",$B24))=TRUE,ISNUMBER(SEARCH("N.",$B24))=TRUE,OR(ISNUMBER(SEARCH("heavy",$B24)),ISNUMBER(SEARCH("MEDIUM",$B24)))=TRUE),INDEX(croprotn_HDHR_N_h,MATCH(RIGHT($F$1,1),rotation_heavy,0)),
IF(AND(ISNUMBER(SEARCH("H-Dsty.H-Res",$B24))=TRUE,ISNUMBER(SEARCH("C.",$B24))=TRUE,OR(ISNUMBER(SEARCH("heavy",$B24)),ISNUMBER(SEARCH("MEDIUM",$B24)))=TRUE),INDEX(croprotn_HDHR_C_h,MATCH(RIGHT($F$1,1),rotation_heavy,0)),
IF(AND(ISNUMBER(SEARCH("L-Dsty.H-Res",$B24))=TRUE,ISNUMBER(SEARCH("E.",$B24))=TRUE,OR(ISNUMBER(SEARCH("heavy",$B24)),ISNUMBER(SEARCH("MEDIUM",$B24)))=TRUE),INDEX(croprotn_LDHR_E_h,MATCH(RIGHT($F$1,1),rotation_heavy,0)),
IF(AND(ISNUMBER(SEARCH("L-Dsty.H-Res",$B24))=TRUE,ISNUMBER(SEARCH("N.",$B24))=TRUE,OR(ISNUMBER(SEARCH("heavy",$B24)),ISNUMBER(SEARCH("MEDIUM",$B24)))=TRUE),INDEX(croprotn_LDHR_N_h,MATCH(RIGHT($F$1,1),rotation_heavy,0)),
IF(AND(ISNUMBER(SEARCH("L-Dsty.H-Res",$B24))=TRUE,ISNUMBER(SEARCH("C.",$B24))=TRUE,OR(ISNUMBER(SEARCH("heavy",$B24)),ISNUMBER(SEARCH("MEDIUM",$B24)))=TRUE),INDEX(croprotn_LDHR_C_h,MATCH(RIGHT($F$1,1),rotation_heavy,0)),
IF(AND(ISNUMBER(SEARCH("L-Dsty.L-Res",$B24))=TRUE,ISNUMBER(SEARCH("E.",$B24))=TRUE,OR(ISNUMBER(SEARCH("heavy",$B24)),ISNUMBER(SEARCH("MEDIUM",$B24)))=TRUE),INDEX(croprotn_LDLR_E_h,MATCH(RIGHT($F$1,1),rotation_heavy,0)),
IF(AND(ISNUMBER(SEARCH("L-Dsty.L-Res",$B24))=TRUE,ISNUMBER(SEARCH("N.",$B24))=TRUE,OR(ISNUMBER(SEARCH("heavy",$B24)),ISNUMBER(SEARCH("MEDIUM",$B24)))=TRUE),INDEX(croprotn_LDLR_N_h,MATCH(RIGHT($F$1,1),rotation_heavy,0)),
IF(AND(ISNUMBER(SEARCH("L-Dsty.L-Res",$B24))=TRUE,ISNUMBER(SEARCH("C.",$B24))=TRUE,OR(ISNUMBER(SEARCH("heavy",$B24)),ISNUMBER(SEARCH("MEDIUM",$B24)))=TRUE),INDEX(croprotn_LDLR_C_h,MATCH(RIGHT($F$1,1),rotation_heavy,0)),
IF(AND(ISNUMBER(SEARCH("H-Dsty.H-Res",$B24))=TRUE,ISNUMBER(SEARCH("E.",$B24))=TRUE,ISNUMBER(SEARCH("light",$B24))=TRUE),INDEX(croprotn_HDHR_E_l,MATCH(RIGHT($F$1,1),rotation_light,0)),
IF(AND(ISNUMBER(SEARCH("H-Dsty.H-Res",$B24))=TRUE,ISNUMBER(SEARCH("N.",$B24))=TRUE,ISNUMBER(SEARCH("light",$B24))=TRUE),INDEX(croprotn_HDHR_N_l,MATCH(RIGHT($F$1,1),rotation_light,0)),
IF(AND(ISNUMBER(SEARCH("H-Dsty.H-Res",$B24))=TRUE,ISNUMBER(SEARCH("C.",$B24))=TRUE,ISNUMBER(SEARCH("light",$B24))=TRUE),INDEX(croprotn_HDHR_C_l,MATCH(RIGHT($F$1,1),rotation_light,0)),
IF(AND(ISNUMBER(SEARCH("L-Dsty.H-Res",$B24))=TRUE,ISNUMBER(SEARCH("E.",$B24))=TRUE,ISNUMBER(SEARCH("light",$B24))=TRUE),INDEX(croprotn_LDHR_E_l,MATCH(RIGHT($F$1,1),rotation_light,0)),
IF(AND(ISNUMBER(SEARCH("L-Dsty.H-Res",$B24))=TRUE,ISNUMBER(SEARCH("N.",$B24))=TRUE,ISNUMBER(SEARCH("light",$B24))=TRUE),INDEX(croprotn_LDHR_N_l,MATCH(RIGHT($F$1,1),rotation_light,0)),
IF(AND(ISNUMBER(SEARCH("L-Dsty.H-Res",$B24))=TRUE,ISNUMBER(SEARCH("C.",$B24))=TRUE,ISNUMBER(SEARCH("light",$B24))=TRUE),INDEX(croprotn_LDHR_C_l,MATCH(RIGHT($F$1,1),rotation_light,0)),
IF(AND(ISNUMBER(SEARCH("L-Dsty.L-Res",$B24))=TRUE,ISNUMBER(SEARCH("E.",$B24))=TRUE,ISNUMBER(SEARCH("light",$B24))=TRUE),INDEX(croprotn_LDLR_E_l,MATCH(RIGHT($F$1,1),rotation_light,0)),
IF(AND(ISNUMBER(SEARCH("L-Dsty.L-Res",$B24))=TRUE,ISNUMBER(SEARCH("N.",$B24))=TRUE,ISNUMBER(SEARCH("light",$B24))=TRUE),INDEX(croprotn_LDLR_N_l,MATCH(RIGHT($F$1,1),rotation_light,0)),
IF(AND(ISNUMBER(SEARCH("L-Dsty.L-Res",$B24))=TRUE,ISNUMBER(SEARCH("C.",$B24))=TRUE,ISNUMBER(SEARCH("light",$B24))=TRUE),INDEX(croprotn_LDLR_C_l,MATCH(RIGHT($F$1,1),rotation_light,0))
))))))))))))))))))</f>
        <v>winterwheat</v>
      </c>
      <c r="G24" s="234" t="str">
        <f t="shared" si="84"/>
        <v>driedpeas</v>
      </c>
      <c r="H24" s="234" t="str">
        <f t="shared" si="1"/>
        <v>winterwheat</v>
      </c>
      <c r="I24" s="234" t="str">
        <f t="shared" si="2"/>
        <v>winterbarley</v>
      </c>
      <c r="J24" s="234" t="str">
        <f t="shared" si="3"/>
        <v>wosr</v>
      </c>
      <c r="K24" s="234" t="str">
        <f t="shared" si="4"/>
        <v>winterwheat</v>
      </c>
      <c r="L24" s="154" t="str">
        <f t="shared" si="5"/>
        <v>lightcultivation</v>
      </c>
      <c r="M24" s="154" t="str">
        <f t="shared" si="6"/>
        <v>subsoiling</v>
      </c>
      <c r="N24" s="154" t="str">
        <f t="shared" si="7"/>
        <v>lightcultivation</v>
      </c>
      <c r="O24" s="154" t="str">
        <f t="shared" si="8"/>
        <v>lightcultivation</v>
      </c>
      <c r="P24" s="154" t="str">
        <f t="shared" si="76"/>
        <v>directdrilling</v>
      </c>
      <c r="Q24" s="263" t="s">
        <v>273</v>
      </c>
      <c r="R24" s="234">
        <f t="shared" si="86"/>
        <v>200</v>
      </c>
      <c r="S24" s="234">
        <f t="shared" si="10"/>
        <v>300</v>
      </c>
      <c r="T24" s="234">
        <f t="shared" si="11"/>
        <v>200</v>
      </c>
      <c r="U24" s="234">
        <f t="shared" si="87"/>
        <v>216</v>
      </c>
      <c r="V24" s="234">
        <f t="shared" si="13"/>
        <v>3.2</v>
      </c>
      <c r="W24" s="234">
        <f t="shared" si="14"/>
        <v>200</v>
      </c>
      <c r="X24" s="154" t="str">
        <f t="shared" si="15"/>
        <v>late</v>
      </c>
      <c r="Y24" s="154" t="str">
        <f t="shared" si="16"/>
        <v>no</v>
      </c>
      <c r="Z24" s="154" t="str">
        <f t="shared" si="17"/>
        <v>late</v>
      </c>
      <c r="AA24" s="154" t="str">
        <f t="shared" si="18"/>
        <v>no</v>
      </c>
      <c r="AB24" s="154" t="str">
        <f t="shared" si="19"/>
        <v>no</v>
      </c>
      <c r="AC24" s="154" t="str">
        <f t="shared" si="20"/>
        <v>late</v>
      </c>
      <c r="AD24" s="345">
        <v>170</v>
      </c>
      <c r="AE24" s="234">
        <f t="shared" si="85"/>
        <v>0</v>
      </c>
      <c r="AF24" s="345">
        <v>170</v>
      </c>
      <c r="AG24" s="234">
        <f t="shared" si="88"/>
        <v>200</v>
      </c>
      <c r="AH24" s="234">
        <f t="shared" si="80"/>
        <v>180</v>
      </c>
      <c r="AI24" s="345">
        <v>170</v>
      </c>
      <c r="AJ24" s="154">
        <f t="shared" si="23"/>
        <v>67</v>
      </c>
      <c r="AK24" s="154">
        <f t="shared" si="24"/>
        <v>35</v>
      </c>
      <c r="AL24" s="154">
        <f t="shared" si="25"/>
        <v>67</v>
      </c>
      <c r="AM24" s="154">
        <f t="shared" si="26"/>
        <v>58</v>
      </c>
      <c r="AN24" s="154">
        <f t="shared" si="27"/>
        <v>49</v>
      </c>
      <c r="AO24" s="154">
        <f t="shared" si="28"/>
        <v>67</v>
      </c>
      <c r="AP24" s="154">
        <f t="shared" si="29"/>
        <v>48</v>
      </c>
      <c r="AQ24" s="154">
        <f t="shared" si="30"/>
        <v>40</v>
      </c>
      <c r="AR24" s="154">
        <f t="shared" si="31"/>
        <v>48</v>
      </c>
      <c r="AS24" s="154">
        <f t="shared" si="32"/>
        <v>41</v>
      </c>
      <c r="AT24" s="154">
        <f t="shared" si="33"/>
        <v>39</v>
      </c>
      <c r="AU24" s="154">
        <f t="shared" si="34"/>
        <v>48</v>
      </c>
      <c r="AV24" s="234">
        <f t="shared" si="89"/>
        <v>5.6</v>
      </c>
      <c r="AW24" s="234">
        <f t="shared" si="36"/>
        <v>6.5</v>
      </c>
      <c r="AX24" s="234">
        <f t="shared" si="37"/>
        <v>5.6</v>
      </c>
      <c r="AY24" s="234">
        <f t="shared" si="90"/>
        <v>8.6</v>
      </c>
      <c r="AZ24" s="234">
        <f t="shared" si="39"/>
        <v>3.1</v>
      </c>
      <c r="BA24" s="234">
        <f t="shared" si="40"/>
        <v>5.6</v>
      </c>
      <c r="BB24" s="234">
        <f t="shared" si="41"/>
        <v>6.3</v>
      </c>
      <c r="BC24" s="234">
        <f t="shared" si="42"/>
        <v>11.3</v>
      </c>
      <c r="BD24" s="234">
        <f t="shared" si="43"/>
        <v>6.3</v>
      </c>
      <c r="BE24" s="234">
        <f t="shared" si="91"/>
        <v>6.3</v>
      </c>
      <c r="BF24" s="234">
        <f t="shared" si="45"/>
        <v>0</v>
      </c>
      <c r="BG24" s="234">
        <f t="shared" si="46"/>
        <v>6.3</v>
      </c>
      <c r="BH24" s="234">
        <f t="shared" si="47"/>
        <v>4</v>
      </c>
      <c r="BI24" s="234">
        <f t="shared" si="48"/>
        <v>5</v>
      </c>
      <c r="BJ24" s="234">
        <f t="shared" si="49"/>
        <v>4</v>
      </c>
      <c r="BK24" s="234">
        <f t="shared" si="92"/>
        <v>5</v>
      </c>
      <c r="BL24" s="234">
        <f t="shared" si="51"/>
        <v>2</v>
      </c>
      <c r="BM24" s="234">
        <f t="shared" si="52"/>
        <v>4</v>
      </c>
      <c r="BN24" s="154" t="s">
        <v>483</v>
      </c>
      <c r="BO24" s="154" t="str">
        <f t="shared" si="53"/>
        <v>low</v>
      </c>
      <c r="BP24" s="154" t="str">
        <f t="shared" si="54"/>
        <v>low</v>
      </c>
      <c r="BQ24" s="154" t="str">
        <f t="shared" si="55"/>
        <v>low</v>
      </c>
      <c r="BR24" s="154" t="s">
        <v>182</v>
      </c>
      <c r="BS24" s="154" t="s">
        <v>182</v>
      </c>
      <c r="BT24" s="154" t="s">
        <v>182</v>
      </c>
      <c r="BU24" s="154">
        <f t="shared" si="56"/>
        <v>150</v>
      </c>
      <c r="BV24" s="154">
        <f t="shared" si="57"/>
        <v>225</v>
      </c>
      <c r="BW24" s="154">
        <f t="shared" si="58"/>
        <v>150</v>
      </c>
      <c r="BX24" s="154">
        <f t="shared" si="59"/>
        <v>138</v>
      </c>
      <c r="BY24" s="154">
        <f t="shared" si="60"/>
        <v>335</v>
      </c>
      <c r="BZ24" s="154">
        <f t="shared" si="61"/>
        <v>150</v>
      </c>
      <c r="CA24" s="356">
        <f t="array" ref="CA24">IF(yieldsetting1="estimate",0,INDEX(cropdata, MATCH(yieldsource,outputs,0), MATCH($F24,cropdatacrops,0)))</f>
        <v>0</v>
      </c>
      <c r="CB24" s="356">
        <f t="array" ref="CB24">IF(yieldsetting1="estimate",0,INDEX(cropdata, MATCH(yieldsource,outputs,0), MATCH($G24,cropdatacrops,0)))</f>
        <v>0</v>
      </c>
      <c r="CC24" s="356">
        <f t="array" ref="CC24">IF(yieldsetting1="estimate",0,INDEX(cropdata, MATCH(yieldsource,outputs,0), MATCH($H24,cropdatacrops,0)))</f>
        <v>0</v>
      </c>
      <c r="CD24" s="356">
        <f t="array" ref="CD24">IF(yieldsetting1="estimate",0,INDEX(cropdata, MATCH(yieldsource,outputs,0), MATCH($I24,cropdatacrops,0)))</f>
        <v>0</v>
      </c>
      <c r="CE24" s="356">
        <f t="array" ref="CE24">IF(yieldsetting1="estimate",0,INDEX(cropdata, MATCH(yieldsource,outputs,0), MATCH($J24,cropdatacrops,0)))</f>
        <v>0</v>
      </c>
      <c r="CF24" s="356">
        <f t="array" ref="CF24">IF(yieldsetting1="estimate",0,INDEX(cropdata, MATCH(yieldsource,outputs,0), MATCH($K24,cropdatacrops,0)))</f>
        <v>0</v>
      </c>
      <c r="CG24" s="154" t="str">
        <f t="shared" si="62"/>
        <v>estimate</v>
      </c>
      <c r="CH24" s="235">
        <f t="shared" si="63"/>
        <v>0.8</v>
      </c>
      <c r="CI24" s="235">
        <f t="shared" si="64"/>
        <v>0.72</v>
      </c>
      <c r="CJ24" s="154">
        <f t="shared" si="65"/>
        <v>0.46</v>
      </c>
      <c r="CK24" s="154">
        <f t="shared" si="66"/>
        <v>0.36</v>
      </c>
      <c r="CL24" s="154">
        <f t="shared" si="67"/>
        <v>0.47</v>
      </c>
      <c r="CM24" s="154">
        <f t="shared" si="68"/>
        <v>0.36</v>
      </c>
      <c r="CN24" s="154">
        <f t="shared" si="69"/>
        <v>0.36</v>
      </c>
      <c r="CO24" s="154">
        <f t="shared" si="70"/>
        <v>7.34</v>
      </c>
      <c r="CP24" s="154">
        <f t="shared" si="71"/>
        <v>0.36</v>
      </c>
      <c r="CQ24" s="154">
        <f t="shared" si="93"/>
        <v>19.5</v>
      </c>
      <c r="CR24" s="154">
        <f t="shared" si="93"/>
        <v>19.5</v>
      </c>
      <c r="CS24" s="154">
        <f t="shared" si="93"/>
        <v>19.5</v>
      </c>
      <c r="CT24" s="154">
        <f t="shared" si="93"/>
        <v>19.5</v>
      </c>
      <c r="CU24" s="154">
        <f t="shared" si="93"/>
        <v>19.5</v>
      </c>
      <c r="CV24" s="154">
        <f t="shared" si="93"/>
        <v>19.5</v>
      </c>
      <c r="CW24" s="154">
        <f t="shared" si="94"/>
        <v>2.4300000000000002</v>
      </c>
      <c r="CX24" s="154">
        <f t="shared" si="94"/>
        <v>2.4300000000000002</v>
      </c>
      <c r="CY24" s="154">
        <f t="shared" si="94"/>
        <v>2.4300000000000002</v>
      </c>
      <c r="CZ24" s="154">
        <f t="shared" si="94"/>
        <v>2.4300000000000002</v>
      </c>
      <c r="DA24" s="154">
        <f t="shared" si="94"/>
        <v>2.4300000000000002</v>
      </c>
      <c r="DB24" s="154">
        <f t="shared" si="94"/>
        <v>2.4300000000000002</v>
      </c>
      <c r="DC24" s="154">
        <v>102</v>
      </c>
      <c r="DD24" s="154">
        <v>6</v>
      </c>
      <c r="DE24" s="154">
        <v>4</v>
      </c>
      <c r="DF24" s="154">
        <v>1400</v>
      </c>
      <c r="DG24" s="154">
        <v>125</v>
      </c>
      <c r="DH24" s="154">
        <f t="shared" si="74"/>
        <v>0.625</v>
      </c>
      <c r="DI24" s="154">
        <f t="shared" si="75"/>
        <v>10.08</v>
      </c>
    </row>
    <row r="25" spans="1:113" x14ac:dyDescent="0.2">
      <c r="A25" s="332" t="s">
        <v>1686</v>
      </c>
      <c r="B25" s="333" t="s">
        <v>509</v>
      </c>
      <c r="C25" s="333" t="s">
        <v>1629</v>
      </c>
      <c r="D25" s="233" t="str">
        <f>IF(ISNUMBER(SEARCH("heavy",B25))=TRUE,"2.25",
IF(ISNUMBER(SEARCH("medium",B25))=TRUE,"1.5",
IF(ISNUMBER(SEARCH("light",B25))=TRUE,"0.75")))</f>
        <v>0.75</v>
      </c>
      <c r="E25" s="154">
        <v>6</v>
      </c>
      <c r="F25" s="234" t="str" cm="1">
        <f t="array" ref="F25">IF(AND(ISNUMBER(SEARCH("H-Dsty.H-Res",$B25))=TRUE,ISNUMBER(SEARCH("E.",$B25))=TRUE,OR(ISNUMBER(SEARCH("heavy",$B25)),ISNUMBER(SEARCH("MEDIUM",$B25)))=TRUE),INDEX(croprotn_HDHR_E_h,MATCH(RIGHT($F$1,1),rotation_heavy,0)),
IF(AND(ISNUMBER(SEARCH("H-Dsty.H-Res",$B25))=TRUE,ISNUMBER(SEARCH("N.",$B25))=TRUE,OR(ISNUMBER(SEARCH("heavy",$B25)),ISNUMBER(SEARCH("MEDIUM",$B25)))=TRUE),INDEX(croprotn_HDHR_N_h,MATCH(RIGHT($F$1,1),rotation_heavy,0)),
IF(AND(ISNUMBER(SEARCH("H-Dsty.H-Res",$B25))=TRUE,ISNUMBER(SEARCH("C.",$B25))=TRUE,OR(ISNUMBER(SEARCH("heavy",$B25)),ISNUMBER(SEARCH("MEDIUM",$B25)))=TRUE),INDEX(croprotn_HDHR_C_h,MATCH(RIGHT($F$1,1),rotation_heavy,0)),
IF(AND(ISNUMBER(SEARCH("L-Dsty.H-Res",$B25))=TRUE,ISNUMBER(SEARCH("E.",$B25))=TRUE,OR(ISNUMBER(SEARCH("heavy",$B25)),ISNUMBER(SEARCH("MEDIUM",$B25)))=TRUE),INDEX(croprotn_LDHR_E_h,MATCH(RIGHT($F$1,1),rotation_heavy,0)),
IF(AND(ISNUMBER(SEARCH("L-Dsty.H-Res",$B25))=TRUE,ISNUMBER(SEARCH("N.",$B25))=TRUE,OR(ISNUMBER(SEARCH("heavy",$B25)),ISNUMBER(SEARCH("MEDIUM",$B25)))=TRUE),INDEX(croprotn_LDHR_N_h,MATCH(RIGHT($F$1,1),rotation_heavy,0)),
IF(AND(ISNUMBER(SEARCH("L-Dsty.H-Res",$B25))=TRUE,ISNUMBER(SEARCH("C.",$B25))=TRUE,OR(ISNUMBER(SEARCH("heavy",$B25)),ISNUMBER(SEARCH("MEDIUM",$B25)))=TRUE),INDEX(croprotn_LDHR_C_h,MATCH(RIGHT($F$1,1),rotation_heavy,0)),
IF(AND(ISNUMBER(SEARCH("L-Dsty.L-Res",$B25))=TRUE,ISNUMBER(SEARCH("E.",$B25))=TRUE,OR(ISNUMBER(SEARCH("heavy",$B25)),ISNUMBER(SEARCH("MEDIUM",$B25)))=TRUE),INDEX(croprotn_LDLR_E_h,MATCH(RIGHT($F$1,1),rotation_heavy,0)),
IF(AND(ISNUMBER(SEARCH("L-Dsty.L-Res",$B25))=TRUE,ISNUMBER(SEARCH("N.",$B25))=TRUE,OR(ISNUMBER(SEARCH("heavy",$B25)),ISNUMBER(SEARCH("MEDIUM",$B25)))=TRUE),INDEX(croprotn_LDLR_N_h,MATCH(RIGHT($F$1,1),rotation_heavy,0)),
IF(AND(ISNUMBER(SEARCH("L-Dsty.L-Res",$B25))=TRUE,ISNUMBER(SEARCH("C.",$B25))=TRUE,OR(ISNUMBER(SEARCH("heavy",$B25)),ISNUMBER(SEARCH("MEDIUM",$B25)))=TRUE),INDEX(croprotn_LDLR_C_h,MATCH(RIGHT($F$1,1),rotation_heavy,0)),
IF(AND(ISNUMBER(SEARCH("H-Dsty.H-Res",$B25))=TRUE,ISNUMBER(SEARCH("E.",$B25))=TRUE,ISNUMBER(SEARCH("light",$B25))=TRUE),INDEX(croprotn_HDHR_E_l,MATCH(RIGHT($F$1,1),rotation_light,0)),
IF(AND(ISNUMBER(SEARCH("H-Dsty.H-Res",$B25))=TRUE,ISNUMBER(SEARCH("N.",$B25))=TRUE,ISNUMBER(SEARCH("light",$B25))=TRUE),INDEX(croprotn_HDHR_N_l,MATCH(RIGHT($F$1,1),rotation_light,0)),
IF(AND(ISNUMBER(SEARCH("H-Dsty.H-Res",$B25))=TRUE,ISNUMBER(SEARCH("C.",$B25))=TRUE,ISNUMBER(SEARCH("light",$B25))=TRUE),INDEX(croprotn_HDHR_C_l,MATCH(RIGHT($F$1,1),rotation_light,0)),
IF(AND(ISNUMBER(SEARCH("L-Dsty.H-Res",$B25))=TRUE,ISNUMBER(SEARCH("E.",$B25))=TRUE,ISNUMBER(SEARCH("light",$B25))=TRUE),INDEX(croprotn_LDHR_E_l,MATCH(RIGHT($F$1,1),rotation_light,0)),
IF(AND(ISNUMBER(SEARCH("L-Dsty.H-Res",$B25))=TRUE,ISNUMBER(SEARCH("N.",$B25))=TRUE,ISNUMBER(SEARCH("light",$B25))=TRUE),INDEX(croprotn_LDHR_N_l,MATCH(RIGHT($F$1,1),rotation_light,0)),
IF(AND(ISNUMBER(SEARCH("L-Dsty.H-Res",$B25))=TRUE,ISNUMBER(SEARCH("C.",$B25))=TRUE,ISNUMBER(SEARCH("light",$B25))=TRUE),INDEX(croprotn_LDHR_C_l,MATCH(RIGHT($F$1,1),rotation_light,0)),
IF(AND(ISNUMBER(SEARCH("L-Dsty.L-Res",$B25))=TRUE,ISNUMBER(SEARCH("E.",$B25))=TRUE,ISNUMBER(SEARCH("light",$B25))=TRUE),INDEX(croprotn_LDLR_E_l,MATCH(RIGHT($F$1,1),rotation_light,0)),
IF(AND(ISNUMBER(SEARCH("L-Dsty.L-Res",$B25))=TRUE,ISNUMBER(SEARCH("N.",$B25))=TRUE,ISNUMBER(SEARCH("light",$B25))=TRUE),INDEX(croprotn_LDLR_N_l,MATCH(RIGHT($F$1,1),rotation_light,0)),
IF(AND(ISNUMBER(SEARCH("L-Dsty.L-Res",$B25))=TRUE,ISNUMBER(SEARCH("C.",$B25))=TRUE,ISNUMBER(SEARCH("light",$B25))=TRUE),INDEX(croprotn_LDLR_C_l,MATCH(RIGHT($F$1,1),rotation_light,0))
))))))))))))))))))</f>
        <v>winterwheat</v>
      </c>
      <c r="G25" s="234" t="str">
        <f t="shared" si="84"/>
        <v>driedpeas</v>
      </c>
      <c r="H25" s="234" t="str">
        <f t="shared" si="1"/>
        <v>winterwheat</v>
      </c>
      <c r="I25" s="234" t="str">
        <f t="shared" si="2"/>
        <v>winterbarley</v>
      </c>
      <c r="J25" s="234" t="str">
        <f t="shared" si="3"/>
        <v>wosr</v>
      </c>
      <c r="K25" s="234" t="str">
        <f t="shared" si="4"/>
        <v>winterwheat</v>
      </c>
      <c r="L25" s="154" t="str">
        <f t="shared" si="5"/>
        <v>lightcultivation</v>
      </c>
      <c r="M25" s="154" t="str">
        <f t="shared" si="6"/>
        <v>subsoiling</v>
      </c>
      <c r="N25" s="154" t="str">
        <f t="shared" si="7"/>
        <v>lightcultivation</v>
      </c>
      <c r="O25" s="154" t="str">
        <f t="shared" si="8"/>
        <v>lightcultivation</v>
      </c>
      <c r="P25" s="154" t="str">
        <f t="shared" si="76"/>
        <v>directdrilling</v>
      </c>
      <c r="Q25" s="263" t="s">
        <v>273</v>
      </c>
      <c r="R25" s="234">
        <f t="shared" si="86"/>
        <v>200</v>
      </c>
      <c r="S25" s="234">
        <f t="shared" si="10"/>
        <v>300</v>
      </c>
      <c r="T25" s="234">
        <f t="shared" si="11"/>
        <v>200</v>
      </c>
      <c r="U25" s="234">
        <f t="shared" si="87"/>
        <v>216</v>
      </c>
      <c r="V25" s="234">
        <f t="shared" si="13"/>
        <v>3.2</v>
      </c>
      <c r="W25" s="234">
        <f t="shared" si="14"/>
        <v>200</v>
      </c>
      <c r="X25" s="154" t="str">
        <f t="shared" si="15"/>
        <v>late</v>
      </c>
      <c r="Y25" s="154" t="str">
        <f t="shared" si="16"/>
        <v>no</v>
      </c>
      <c r="Z25" s="154" t="str">
        <f t="shared" si="17"/>
        <v>late</v>
      </c>
      <c r="AA25" s="154" t="str">
        <f t="shared" si="18"/>
        <v>no</v>
      </c>
      <c r="AB25" s="154" t="str">
        <f t="shared" si="19"/>
        <v>no</v>
      </c>
      <c r="AC25" s="154" t="str">
        <f t="shared" si="20"/>
        <v>late</v>
      </c>
      <c r="AD25" s="345">
        <v>170</v>
      </c>
      <c r="AE25" s="234">
        <f t="shared" si="85"/>
        <v>0</v>
      </c>
      <c r="AF25" s="345">
        <v>170</v>
      </c>
      <c r="AG25" s="234">
        <f t="shared" si="88"/>
        <v>200</v>
      </c>
      <c r="AH25" s="234">
        <f t="shared" si="80"/>
        <v>180</v>
      </c>
      <c r="AI25" s="345">
        <v>170</v>
      </c>
      <c r="AJ25" s="154">
        <f t="shared" si="23"/>
        <v>67</v>
      </c>
      <c r="AK25" s="154">
        <f t="shared" si="24"/>
        <v>35</v>
      </c>
      <c r="AL25" s="154">
        <f t="shared" si="25"/>
        <v>67</v>
      </c>
      <c r="AM25" s="154">
        <f t="shared" si="26"/>
        <v>58</v>
      </c>
      <c r="AN25" s="154">
        <f t="shared" si="27"/>
        <v>49</v>
      </c>
      <c r="AO25" s="154">
        <f t="shared" si="28"/>
        <v>67</v>
      </c>
      <c r="AP25" s="154">
        <f t="shared" si="29"/>
        <v>48</v>
      </c>
      <c r="AQ25" s="154">
        <f t="shared" si="30"/>
        <v>40</v>
      </c>
      <c r="AR25" s="154">
        <f t="shared" si="31"/>
        <v>48</v>
      </c>
      <c r="AS25" s="154">
        <f t="shared" si="32"/>
        <v>41</v>
      </c>
      <c r="AT25" s="154">
        <f t="shared" si="33"/>
        <v>39</v>
      </c>
      <c r="AU25" s="154">
        <f t="shared" si="34"/>
        <v>48</v>
      </c>
      <c r="AV25" s="234">
        <f t="shared" si="89"/>
        <v>5.6</v>
      </c>
      <c r="AW25" s="234">
        <f t="shared" si="36"/>
        <v>6.5</v>
      </c>
      <c r="AX25" s="234">
        <f t="shared" si="37"/>
        <v>5.6</v>
      </c>
      <c r="AY25" s="234">
        <f t="shared" si="90"/>
        <v>8.6</v>
      </c>
      <c r="AZ25" s="234">
        <f t="shared" si="39"/>
        <v>3.1</v>
      </c>
      <c r="BA25" s="234">
        <f t="shared" si="40"/>
        <v>5.6</v>
      </c>
      <c r="BB25" s="234">
        <f t="shared" si="41"/>
        <v>6.3</v>
      </c>
      <c r="BC25" s="234">
        <f t="shared" si="42"/>
        <v>11.3</v>
      </c>
      <c r="BD25" s="234">
        <f t="shared" si="43"/>
        <v>6.3</v>
      </c>
      <c r="BE25" s="234">
        <f t="shared" si="91"/>
        <v>6.3</v>
      </c>
      <c r="BF25" s="234">
        <f t="shared" si="45"/>
        <v>0</v>
      </c>
      <c r="BG25" s="234">
        <f t="shared" si="46"/>
        <v>6.3</v>
      </c>
      <c r="BH25" s="234">
        <f t="shared" si="47"/>
        <v>4</v>
      </c>
      <c r="BI25" s="234">
        <f t="shared" si="48"/>
        <v>5</v>
      </c>
      <c r="BJ25" s="234">
        <f t="shared" si="49"/>
        <v>4</v>
      </c>
      <c r="BK25" s="234">
        <f t="shared" si="92"/>
        <v>5</v>
      </c>
      <c r="BL25" s="234">
        <f t="shared" si="51"/>
        <v>2</v>
      </c>
      <c r="BM25" s="234">
        <f t="shared" si="52"/>
        <v>4</v>
      </c>
      <c r="BN25" s="154" t="s">
        <v>483</v>
      </c>
      <c r="BO25" s="154" t="str">
        <f t="shared" si="53"/>
        <v>medium</v>
      </c>
      <c r="BP25" s="154" t="str">
        <f t="shared" si="54"/>
        <v>low</v>
      </c>
      <c r="BQ25" s="154" t="str">
        <f t="shared" si="55"/>
        <v>low</v>
      </c>
      <c r="BR25" s="154" t="s">
        <v>183</v>
      </c>
      <c r="BS25" s="154" t="s">
        <v>183</v>
      </c>
      <c r="BT25" s="154" t="s">
        <v>183</v>
      </c>
      <c r="BU25" s="154">
        <f t="shared" si="56"/>
        <v>150</v>
      </c>
      <c r="BV25" s="154">
        <f t="shared" si="57"/>
        <v>225</v>
      </c>
      <c r="BW25" s="154">
        <f t="shared" si="58"/>
        <v>150</v>
      </c>
      <c r="BX25" s="154">
        <f t="shared" si="59"/>
        <v>138</v>
      </c>
      <c r="BY25" s="154">
        <f t="shared" si="60"/>
        <v>335</v>
      </c>
      <c r="BZ25" s="154">
        <f t="shared" si="61"/>
        <v>150</v>
      </c>
      <c r="CA25" s="356">
        <f t="array" ref="CA25">IF(yieldsetting1="estimate",0,INDEX(cropdata, MATCH(yieldsource,outputs,0), MATCH($F25,cropdatacrops,0)))</f>
        <v>0</v>
      </c>
      <c r="CB25" s="356">
        <f t="array" ref="CB25">IF(yieldsetting1="estimate",0,INDEX(cropdata, MATCH(yieldsource,outputs,0), MATCH($G25,cropdatacrops,0)))</f>
        <v>0</v>
      </c>
      <c r="CC25" s="356">
        <f t="array" ref="CC25">IF(yieldsetting1="estimate",0,INDEX(cropdata, MATCH(yieldsource,outputs,0), MATCH($H25,cropdatacrops,0)))</f>
        <v>0</v>
      </c>
      <c r="CD25" s="356">
        <f t="array" ref="CD25">IF(yieldsetting1="estimate",0,INDEX(cropdata, MATCH(yieldsource,outputs,0), MATCH($I25,cropdatacrops,0)))</f>
        <v>0</v>
      </c>
      <c r="CE25" s="356">
        <f t="array" ref="CE25">IF(yieldsetting1="estimate",0,INDEX(cropdata, MATCH(yieldsource,outputs,0), MATCH($J25,cropdatacrops,0)))</f>
        <v>0</v>
      </c>
      <c r="CF25" s="356">
        <f t="array" ref="CF25">IF(yieldsetting1="estimate",0,INDEX(cropdata, MATCH(yieldsource,outputs,0), MATCH($K25,cropdatacrops,0)))</f>
        <v>0</v>
      </c>
      <c r="CG25" s="154" t="str">
        <f t="shared" si="62"/>
        <v>estimate</v>
      </c>
      <c r="CH25" s="235">
        <f t="shared" si="63"/>
        <v>0.8</v>
      </c>
      <c r="CI25" s="235">
        <f t="shared" si="64"/>
        <v>0.72</v>
      </c>
      <c r="CJ25" s="154">
        <f t="shared" si="65"/>
        <v>0.46</v>
      </c>
      <c r="CK25" s="154">
        <f t="shared" si="66"/>
        <v>0.36</v>
      </c>
      <c r="CL25" s="154">
        <f t="shared" si="67"/>
        <v>0.47</v>
      </c>
      <c r="CM25" s="154">
        <f t="shared" si="68"/>
        <v>0.36</v>
      </c>
      <c r="CN25" s="154">
        <f t="shared" si="69"/>
        <v>0.36</v>
      </c>
      <c r="CO25" s="154">
        <f t="shared" si="70"/>
        <v>7.34</v>
      </c>
      <c r="CP25" s="154">
        <f t="shared" si="71"/>
        <v>0.36</v>
      </c>
      <c r="CQ25" s="154">
        <f t="shared" si="93"/>
        <v>19.5</v>
      </c>
      <c r="CR25" s="154">
        <f t="shared" si="93"/>
        <v>19.5</v>
      </c>
      <c r="CS25" s="154">
        <f t="shared" si="93"/>
        <v>19.5</v>
      </c>
      <c r="CT25" s="154">
        <f t="shared" si="93"/>
        <v>19.5</v>
      </c>
      <c r="CU25" s="154">
        <f t="shared" si="93"/>
        <v>19.5</v>
      </c>
      <c r="CV25" s="154">
        <f t="shared" si="93"/>
        <v>19.5</v>
      </c>
      <c r="CW25" s="154">
        <f t="shared" si="94"/>
        <v>2.4300000000000002</v>
      </c>
      <c r="CX25" s="154">
        <f t="shared" si="94"/>
        <v>2.4300000000000002</v>
      </c>
      <c r="CY25" s="154">
        <f t="shared" si="94"/>
        <v>2.4300000000000002</v>
      </c>
      <c r="CZ25" s="154">
        <f t="shared" si="94"/>
        <v>2.4300000000000002</v>
      </c>
      <c r="DA25" s="154">
        <f t="shared" si="94"/>
        <v>2.4300000000000002</v>
      </c>
      <c r="DB25" s="154">
        <f t="shared" si="94"/>
        <v>2.4300000000000002</v>
      </c>
      <c r="DC25" s="154">
        <v>102</v>
      </c>
      <c r="DD25" s="154">
        <v>6</v>
      </c>
      <c r="DE25" s="154">
        <v>4</v>
      </c>
      <c r="DF25" s="154">
        <v>1400</v>
      </c>
      <c r="DG25" s="154">
        <v>125</v>
      </c>
      <c r="DH25" s="154">
        <f t="shared" si="74"/>
        <v>0.625</v>
      </c>
      <c r="DI25" s="154">
        <f t="shared" si="75"/>
        <v>10.08</v>
      </c>
    </row>
    <row r="26" spans="1:113" x14ac:dyDescent="0.2">
      <c r="A26" s="332" t="s">
        <v>1734</v>
      </c>
      <c r="B26" s="333" t="s">
        <v>485</v>
      </c>
      <c r="C26" s="333" t="s">
        <v>1636</v>
      </c>
      <c r="D26" s="233" t="str">
        <f>IF(ISNUMBER(SEARCH("heavy",B26))=TRUE,"2.25",
IF(ISNUMBER(SEARCH("medium",B26))=TRUE,"1.5",
IF(ISNUMBER(SEARCH("light",B26))=TRUE,"0.75")))</f>
        <v>2.25</v>
      </c>
      <c r="E26" s="154">
        <v>6</v>
      </c>
      <c r="F26" s="234" t="str" cm="1">
        <f t="array" ref="F26">IF(AND(ISNUMBER(SEARCH("H-Dsty.H-Res",$B26))=TRUE,ISNUMBER(SEARCH("E.",$B26))=TRUE,OR(ISNUMBER(SEARCH("heavy",$B26)),ISNUMBER(SEARCH("MEDIUM",$B26)))=TRUE),INDEX(croprotn_HDHR_E_h,MATCH(RIGHT($F$1,1),rotation_heavy,0)),
IF(AND(ISNUMBER(SEARCH("H-Dsty.H-Res",$B26))=TRUE,ISNUMBER(SEARCH("N.",$B26))=TRUE,OR(ISNUMBER(SEARCH("heavy",$B26)),ISNUMBER(SEARCH("MEDIUM",$B26)))=TRUE),INDEX(croprotn_HDHR_N_h,MATCH(RIGHT($F$1,1),rotation_heavy,0)),
IF(AND(ISNUMBER(SEARCH("H-Dsty.H-Res",$B26))=TRUE,ISNUMBER(SEARCH("C.",$B26))=TRUE,OR(ISNUMBER(SEARCH("heavy",$B26)),ISNUMBER(SEARCH("MEDIUM",$B26)))=TRUE),INDEX(croprotn_HDHR_C_h,MATCH(RIGHT($F$1,1),rotation_heavy,0)),
IF(AND(ISNUMBER(SEARCH("L-Dsty.H-Res",$B26))=TRUE,ISNUMBER(SEARCH("E.",$B26))=TRUE,OR(ISNUMBER(SEARCH("heavy",$B26)),ISNUMBER(SEARCH("MEDIUM",$B26)))=TRUE),INDEX(croprotn_LDHR_E_h,MATCH(RIGHT($F$1,1),rotation_heavy,0)),
IF(AND(ISNUMBER(SEARCH("L-Dsty.H-Res",$B26))=TRUE,ISNUMBER(SEARCH("N.",$B26))=TRUE,OR(ISNUMBER(SEARCH("heavy",$B26)),ISNUMBER(SEARCH("MEDIUM",$B26)))=TRUE),INDEX(croprotn_LDHR_N_h,MATCH(RIGHT($F$1,1),rotation_heavy,0)),
IF(AND(ISNUMBER(SEARCH("L-Dsty.H-Res",$B26))=TRUE,ISNUMBER(SEARCH("C.",$B26))=TRUE,OR(ISNUMBER(SEARCH("heavy",$B26)),ISNUMBER(SEARCH("MEDIUM",$B26)))=TRUE),INDEX(croprotn_LDHR_C_h,MATCH(RIGHT($F$1,1),rotation_heavy,0)),
IF(AND(ISNUMBER(SEARCH("L-Dsty.L-Res",$B26))=TRUE,ISNUMBER(SEARCH("E.",$B26))=TRUE,OR(ISNUMBER(SEARCH("heavy",$B26)),ISNUMBER(SEARCH("MEDIUM",$B26)))=TRUE),INDEX(croprotn_LDLR_E_h,MATCH(RIGHT($F$1,1),rotation_heavy,0)),
IF(AND(ISNUMBER(SEARCH("L-Dsty.L-Res",$B26))=TRUE,ISNUMBER(SEARCH("N.",$B26))=TRUE,OR(ISNUMBER(SEARCH("heavy",$B26)),ISNUMBER(SEARCH("MEDIUM",$B26)))=TRUE),INDEX(croprotn_LDLR_N_h,MATCH(RIGHT($F$1,1),rotation_heavy,0)),
IF(AND(ISNUMBER(SEARCH("L-Dsty.L-Res",$B26))=TRUE,ISNUMBER(SEARCH("C.",$B26))=TRUE,OR(ISNUMBER(SEARCH("heavy",$B26)),ISNUMBER(SEARCH("MEDIUM",$B26)))=TRUE),INDEX(croprotn_LDLR_C_h,MATCH(RIGHT($F$1,1),rotation_heavy,0)),
IF(AND(ISNUMBER(SEARCH("H-Dsty.H-Res",$B26))=TRUE,ISNUMBER(SEARCH("E.",$B26))=TRUE,ISNUMBER(SEARCH("light",$B26))=TRUE),INDEX(croprotn_HDHR_E_l,MATCH(RIGHT($F$1,1),rotation_light,0)),
IF(AND(ISNUMBER(SEARCH("H-Dsty.H-Res",$B26))=TRUE,ISNUMBER(SEARCH("N.",$B26))=TRUE,ISNUMBER(SEARCH("light",$B26))=TRUE),INDEX(croprotn_HDHR_N_l,MATCH(RIGHT($F$1,1),rotation_light,0)),
IF(AND(ISNUMBER(SEARCH("H-Dsty.H-Res",$B26))=TRUE,ISNUMBER(SEARCH("C.",$B26))=TRUE,ISNUMBER(SEARCH("light",$B26))=TRUE),INDEX(croprotn_HDHR_C_l,MATCH(RIGHT($F$1,1),rotation_light,0)),
IF(AND(ISNUMBER(SEARCH("L-Dsty.H-Res",$B26))=TRUE,ISNUMBER(SEARCH("E.",$B26))=TRUE,ISNUMBER(SEARCH("light",$B26))=TRUE),INDEX(croprotn_LDHR_E_l,MATCH(RIGHT($F$1,1),rotation_light,0)),
IF(AND(ISNUMBER(SEARCH("L-Dsty.H-Res",$B26))=TRUE,ISNUMBER(SEARCH("N.",$B26))=TRUE,ISNUMBER(SEARCH("light",$B26))=TRUE),INDEX(croprotn_LDHR_N_l,MATCH(RIGHT($F$1,1),rotation_light,0)),
IF(AND(ISNUMBER(SEARCH("L-Dsty.H-Res",$B26))=TRUE,ISNUMBER(SEARCH("C.",$B26))=TRUE,ISNUMBER(SEARCH("light",$B26))=TRUE),INDEX(croprotn_LDHR_C_l,MATCH(RIGHT($F$1,1),rotation_light,0)),
IF(AND(ISNUMBER(SEARCH("L-Dsty.L-Res",$B26))=TRUE,ISNUMBER(SEARCH("E.",$B26))=TRUE,ISNUMBER(SEARCH("light",$B26))=TRUE),INDEX(croprotn_LDLR_E_l,MATCH(RIGHT($F$1,1),rotation_light,0)),
IF(AND(ISNUMBER(SEARCH("L-Dsty.L-Res",$B26))=TRUE,ISNUMBER(SEARCH("N.",$B26))=TRUE,ISNUMBER(SEARCH("light",$B26))=TRUE),INDEX(croprotn_LDLR_N_l,MATCH(RIGHT($F$1,1),rotation_light,0)),
IF(AND(ISNUMBER(SEARCH("L-Dsty.L-Res",$B26))=TRUE,ISNUMBER(SEARCH("C.",$B26))=TRUE,ISNUMBER(SEARCH("light",$B26))=TRUE),INDEX(croprotn_LDLR_C_l,MATCH(RIGHT($F$1,1),rotation_light,0))
))))))))))))))))))</f>
        <v>winterwheat</v>
      </c>
      <c r="G26" s="234" t="str">
        <f t="shared" si="84"/>
        <v>winterbarley</v>
      </c>
      <c r="H26" s="234" t="str">
        <f t="shared" si="1"/>
        <v>springbeans</v>
      </c>
      <c r="I26" s="234" t="str">
        <f t="shared" si="2"/>
        <v>winterwheat</v>
      </c>
      <c r="J26" s="234" t="str">
        <f t="shared" si="3"/>
        <v>winterbarley</v>
      </c>
      <c r="K26" s="234" t="str">
        <f t="shared" si="4"/>
        <v>springbeans</v>
      </c>
      <c r="L26" s="154" t="str">
        <f t="shared" si="5"/>
        <v>lightcultivation</v>
      </c>
      <c r="M26" s="154" t="str">
        <f t="shared" si="6"/>
        <v>lightcultivation</v>
      </c>
      <c r="N26" s="154" t="str">
        <f t="shared" si="7"/>
        <v>lightcultivation</v>
      </c>
      <c r="O26" s="154" t="str">
        <f t="shared" si="8"/>
        <v>lightcultivation</v>
      </c>
      <c r="P26" s="154" t="str">
        <f t="shared" si="76"/>
        <v>lightcultivation</v>
      </c>
      <c r="Q26" s="154" t="str">
        <f t="shared" ref="Q26:Q55" si="95">IF(AND(ISNUMBER(SEARCH("H-Dsty.",$B26))=TRUE,ISNUMBER(SEARCH("H-Res",$B26))=TRUE,ISNUMBER(SEARCH("E.",$B26))=TRUE),INDEX(tillage_HDHR_E,MATCH($K26,tillage_CROPS,0)),
IF(AND(ISNUMBER(SEARCH("H-Dsty.",$B26))=TRUE,ISNUMBER(SEARCH("H-Res",$B26))=TRUE,ISNUMBER(SEARCH("N.",$B26))=TRUE),INDEX(tillage_HDHR_N,MATCH($K26,tillage_CROPS,0)),
IF(AND(ISNUMBER(SEARCH("H-Dsty.",$B26))=TRUE,ISNUMBER(SEARCH("H-Res",$B26))=TRUE,ISNUMBER(SEARCH("C.",$B26))=TRUE),INDEX(tillage_HDHR_C,MATCH($K26,tillage_CROPS,0)),
IF(AND(ISNUMBER(SEARCH("L-Dsty.",$B26))=TRUE,ISNUMBER(SEARCH("H-Res",$B26))=TRUE,ISNUMBER(SEARCH("E.",$B26))=TRUE),INDEX(tillage_LDHR_E,MATCH($K26,tillage_CROPS,0)),
IF(AND(ISNUMBER(SEARCH("L-Dsty.",$B26))=TRUE,ISNUMBER(SEARCH("H-Res",$B26))=TRUE,ISNUMBER(SEARCH("N.",$B26))=TRUE),INDEX(tillage_LDHR_N,MATCH($K26,tillage_CROPS,0)),
IF(AND(ISNUMBER(SEARCH("L-Dsty.",$B26))=TRUE,ISNUMBER(SEARCH("H-Res",$B26))=TRUE,ISNUMBER(SEARCH("C.",$B26))=TRUE),INDEX(tillage_LDHR_C,MATCH($K26,tillage_CROPS,0)),
IF(AND(ISNUMBER(SEARCH("L-Dsty.",$B26))=TRUE,ISNUMBER(SEARCH("L-Res",$B26))=TRUE,ISNUMBER(SEARCH("E.",$B26))=TRUE),INDEX(tillage_LDLR_E,MATCH($K26,tillage_CROPS,0)),
IF(AND(ISNUMBER(SEARCH("L-Dsty.",$B26))=TRUE,ISNUMBER(SEARCH("L-Res",$B26))=TRUE,ISNUMBER(SEARCH("N.",$B26))=TRUE),INDEX(tillage_LDLR_N,MATCH($K26,tillage_CROPS,0)),
IF(AND(ISNUMBER(SEARCH("L-Dsty.",$B26))=TRUE,ISNUMBER(SEARCH("L-Res",$B26))=TRUE,ISNUMBER(SEARCH("C.",$B26))=TRUE),INDEX(tillage_LDLR_C,MATCH($K26,tillage_CROPS,0))
)))))))))</f>
        <v>lightcultivation</v>
      </c>
      <c r="R26" s="234">
        <f t="shared" si="86"/>
        <v>200</v>
      </c>
      <c r="S26" s="234">
        <f t="shared" si="10"/>
        <v>205</v>
      </c>
      <c r="T26" s="234">
        <f t="shared" si="11"/>
        <v>305</v>
      </c>
      <c r="U26" s="234">
        <f t="shared" si="87"/>
        <v>200</v>
      </c>
      <c r="V26" s="234">
        <f t="shared" si="13"/>
        <v>205</v>
      </c>
      <c r="W26" s="234">
        <f t="shared" si="14"/>
        <v>305</v>
      </c>
      <c r="X26" s="154" t="str">
        <f t="shared" si="15"/>
        <v>late</v>
      </c>
      <c r="Y26" s="154" t="str">
        <f t="shared" si="16"/>
        <v>no</v>
      </c>
      <c r="Z26" s="154" t="str">
        <f t="shared" si="17"/>
        <v>no</v>
      </c>
      <c r="AA26" s="154" t="str">
        <f t="shared" si="18"/>
        <v>late</v>
      </c>
      <c r="AB26" s="154" t="str">
        <f t="shared" si="19"/>
        <v>no</v>
      </c>
      <c r="AC26" s="154" t="str">
        <f t="shared" si="20"/>
        <v>no</v>
      </c>
      <c r="AD26" s="234">
        <f>IF(AND(ISNUMBER(SEARCH("H-Dsty.H-Res",$B26))=TRUE,ISNUMBER(SEARCH("E.",$B26))=TRUE),INDEX(fertrate_HDHR_E,MATCH($F26,fertrate_CROPS,0)),
IF(AND(ISNUMBER(SEARCH("H-Dsty.H-Res",$B26))=TRUE,ISNUMBER(SEARCH("N.",$B26))=TRUE),INDEX(fertrate_HDHR_N,MATCH($F26,fertrate_CROPS,0)),
IF(AND(ISNUMBER(SEARCH("H-Dsty.H-Res",$B26))=TRUE,ISNUMBER(SEARCH("C.",$B26))=TRUE),INDEX(fertrate_HDHR_C,MATCH($F26,fertrate_CROPS,0)),
IF(AND(ISNUMBER(SEARCH("L-Dsty.H-Res",$B26))=TRUE,ISNUMBER(SEARCH("E.",$B26))=TRUE),INDEX(fertrate_LDHR_E,MATCH($F26,fertrate_CROPS,0)),
IF(AND(ISNUMBER(SEARCH("L-Dsty.H-Res",$B26))=TRUE,ISNUMBER(SEARCH("N.",$B26))=TRUE),INDEX(fertrate_LDHR_N,MATCH($F26,fertrate_CROPS,0)),
IF(AND(ISNUMBER(SEARCH("L-Dsty.H-Res",$B26))=TRUE,ISNUMBER(SEARCH("C.",$B26))=TRUE),INDEX(fertrate_LDHR_C,MATCH($F26,fertrate_CROPS,0)),
IF(AND(ISNUMBER(SEARCH("L-Dsty.L-Res",$B26))=TRUE,ISNUMBER(SEARCH("E.",$B26))=TRUE),INDEX(fertrate_LDLR_E,MATCH($F26,fertrate_CROPS,0)),
IF(AND(ISNUMBER(SEARCH("L-Dsty.L-Res",$B26))=TRUE,ISNUMBER(SEARCH("N.",$B26))=TRUE),INDEX(fertrate_LDLR_N,MATCH($F26,fertrate_CROPS,0)),
IF(AND(ISNUMBER(SEARCH("L-Dsty.L-Res",$B26))=TRUE,ISNUMBER(SEARCH("C.",$B26))=TRUE),INDEX(fertrate_LDLR_C,MATCH($F26,fertrate_CROPS,0))
)))))))))</f>
        <v>220</v>
      </c>
      <c r="AE26" s="234">
        <f t="shared" si="85"/>
        <v>190</v>
      </c>
      <c r="AF26" s="234">
        <f t="shared" ref="AF26:AF41" si="96">IF(AND(ISNUMBER(SEARCH("H-Dsty.",$B26))=TRUE,ISNUMBER(SEARCH("H-Res",$B26))=TRUE,ISNUMBER(SEARCH("E.",$B26))=TRUE),INDEX(fertrate_HDHR_E,MATCH($H26,fertrate_CROPS,0)),
IF(AND(ISNUMBER(SEARCH("H-Dsty.",$B26))=TRUE,ISNUMBER(SEARCH("H-Res",$B26))=TRUE,ISNUMBER(SEARCH("N.",$B26))=TRUE),INDEX(fertrate_HDHR_N,MATCH($H26,fertrate_CROPS,0)),
IF(AND(ISNUMBER(SEARCH("H-Dsty.",$B26))=TRUE,ISNUMBER(SEARCH("H-Res",$B26))=TRUE,ISNUMBER(SEARCH("C.",$B26))=TRUE),INDEX(fertrate_HDHR_C,MATCH($H26,fertrate_CROPS,0)),
IF(AND(ISNUMBER(SEARCH("L-Dsty.",$B26))=TRUE,ISNUMBER(SEARCH("H-Res",$B26))=TRUE,ISNUMBER(SEARCH("E.",$B26))=TRUE),INDEX(fertrate_LDHR_E,MATCH($H26,fertrate_CROPS,0)),
IF(AND(ISNUMBER(SEARCH("L-Dsty.",$B26))=TRUE,ISNUMBER(SEARCH("H-Res",$B26))=TRUE,ISNUMBER(SEARCH("N.",$B26))=TRUE),INDEX(fertrate_LDHR_N,MATCH($H26,fertrate_CROPS,0)),
IF(AND(ISNUMBER(SEARCH("L-Dsty.",$B26))=TRUE,ISNUMBER(SEARCH("H-Res",$B26))=TRUE,ISNUMBER(SEARCH("C.",$B26))=TRUE),INDEX(fertrate_LDHR_C,MATCH($H26,fertrate_CROPS,0)),
IF(AND(ISNUMBER(SEARCH("L-Dsty.",$B26))=TRUE,ISNUMBER(SEARCH("L-Res",$B26))=TRUE,ISNUMBER(SEARCH("E.",$B26))=TRUE),INDEX(fertrate_LDLR_E,MATCH($H26,fertrate_CROPS,0)),
IF(AND(ISNUMBER(SEARCH("L-Dsty.",$B26))=TRUE,ISNUMBER(SEARCH("L-Res",$B26))=TRUE,ISNUMBER(SEARCH("N.",$B26))=TRUE),INDEX(fertrate_LDLR_N,MATCH($H26,fertrate_CROPS,0)),
IF(AND(ISNUMBER(SEARCH("L-Dsty.",$B26))=TRUE,ISNUMBER(SEARCH("L-Res",$B26))=TRUE,ISNUMBER(SEARCH("C.",$B26))=TRUE),INDEX(fertrate_LDLR_C,MATCH($H26,fertrate_CROPS,0))
)))))))))</f>
        <v>0</v>
      </c>
      <c r="AG26" s="234">
        <f t="shared" si="88"/>
        <v>220</v>
      </c>
      <c r="AH26" s="234">
        <f t="shared" si="80"/>
        <v>190</v>
      </c>
      <c r="AI26" s="234">
        <f t="shared" ref="AI26:AI41" si="97">IF(AND(ISNUMBER(SEARCH("H-Dsty.",$B26))=TRUE,ISNUMBER(SEARCH("H-Res",$B26))=TRUE,ISNUMBER(SEARCH("E.",$B26))=TRUE),INDEX(fertrate_HDHR_E,MATCH($K26,fertrate_CROPS,0)),
IF(AND(ISNUMBER(SEARCH("H-Dsty.",$B26))=TRUE,ISNUMBER(SEARCH("H-Res",$B26))=TRUE,ISNUMBER(SEARCH("N.",$B26))=TRUE),INDEX(fertrate_HDHR_N,MATCH($K26,fertrate_CROPS,0)),
IF(AND(ISNUMBER(SEARCH("H-Dsty.",$B26))=TRUE,ISNUMBER(SEARCH("H-Res",$B26))=TRUE,ISNUMBER(SEARCH("C.",$B26))=TRUE),INDEX(fertrate_HDHR_C,MATCH($K26,fertrate_CROPS,0)),
IF(AND(ISNUMBER(SEARCH("L-Dsty.",$B26))=TRUE,ISNUMBER(SEARCH("H-Res",$B26))=TRUE,ISNUMBER(SEARCH("E.",$B26))=TRUE),INDEX(fertrate_LDHR_E,MATCH($K26,fertrate_CROPS,0)),
IF(AND(ISNUMBER(SEARCH("L-Dsty.",$B26))=TRUE,ISNUMBER(SEARCH("H-Res",$B26))=TRUE,ISNUMBER(SEARCH("N.",$B26))=TRUE),INDEX(fertrate_LDHR_N,MATCH($K26,fertrate_CROPS,0)),
IF(AND(ISNUMBER(SEARCH("L-Dsty.",$B26))=TRUE,ISNUMBER(SEARCH("H-Res",$B26))=TRUE,ISNUMBER(SEARCH("C.",$B26))=TRUE),INDEX(fertrate_LDHR_C,MATCH($K26,fertrate_CROPS,0)),
IF(AND(ISNUMBER(SEARCH("L-Dsty.",$B26))=TRUE,ISNUMBER(SEARCH("L-Res",$B26))=TRUE,ISNUMBER(SEARCH("E.",$B26))=TRUE),INDEX(fertrate_LDLR_E,MATCH($K26,fertrate_CROPS,0)),
IF(AND(ISNUMBER(SEARCH("L-Dsty.",$B26))=TRUE,ISNUMBER(SEARCH("L-Res",$B26))=TRUE,ISNUMBER(SEARCH("N.",$B26))=TRUE),INDEX(fertrate_LDLR_N,MATCH($K26,fertrate_CROPS,0)),
IF(AND(ISNUMBER(SEARCH("L-Dsty.",$B26))=TRUE,ISNUMBER(SEARCH("L-Res",$B26))=TRUE,ISNUMBER(SEARCH("C.",$B26))=TRUE),INDEX(fertrate_LDLR_C,MATCH($K26,fertrate_CROPS,0))
)))))))))</f>
        <v>0</v>
      </c>
      <c r="AJ26" s="154">
        <f t="shared" si="23"/>
        <v>67</v>
      </c>
      <c r="AK26" s="154">
        <f t="shared" si="24"/>
        <v>58</v>
      </c>
      <c r="AL26" s="154">
        <f t="shared" si="25"/>
        <v>43</v>
      </c>
      <c r="AM26" s="154">
        <f t="shared" si="26"/>
        <v>67</v>
      </c>
      <c r="AN26" s="154">
        <f t="shared" si="27"/>
        <v>58</v>
      </c>
      <c r="AO26" s="154">
        <f t="shared" si="28"/>
        <v>43</v>
      </c>
      <c r="AP26" s="154">
        <f t="shared" si="29"/>
        <v>48</v>
      </c>
      <c r="AQ26" s="154">
        <f t="shared" si="30"/>
        <v>41</v>
      </c>
      <c r="AR26" s="154">
        <f t="shared" si="31"/>
        <v>47</v>
      </c>
      <c r="AS26" s="154">
        <f t="shared" si="32"/>
        <v>48</v>
      </c>
      <c r="AT26" s="154">
        <f t="shared" si="33"/>
        <v>41</v>
      </c>
      <c r="AU26" s="154">
        <f t="shared" si="34"/>
        <v>47</v>
      </c>
      <c r="AV26" s="234">
        <f t="shared" si="89"/>
        <v>9.3000000000000007</v>
      </c>
      <c r="AW26" s="234">
        <f t="shared" si="36"/>
        <v>4.5999999999999996</v>
      </c>
      <c r="AX26" s="234">
        <f t="shared" si="37"/>
        <v>5.35</v>
      </c>
      <c r="AY26" s="234">
        <f t="shared" si="90"/>
        <v>9.3000000000000007</v>
      </c>
      <c r="AZ26" s="234">
        <f t="shared" si="39"/>
        <v>4.5999999999999996</v>
      </c>
      <c r="BA26" s="234">
        <f t="shared" si="40"/>
        <v>5.35</v>
      </c>
      <c r="BB26" s="234">
        <f t="shared" si="41"/>
        <v>2</v>
      </c>
      <c r="BC26" s="234">
        <f t="shared" si="42"/>
        <v>2</v>
      </c>
      <c r="BD26" s="234">
        <f t="shared" si="43"/>
        <v>2</v>
      </c>
      <c r="BE26" s="234">
        <f t="shared" si="91"/>
        <v>2</v>
      </c>
      <c r="BF26" s="234">
        <f t="shared" si="45"/>
        <v>2</v>
      </c>
      <c r="BG26" s="234">
        <f t="shared" si="46"/>
        <v>2</v>
      </c>
      <c r="BH26" s="234">
        <f t="shared" si="47"/>
        <v>4</v>
      </c>
      <c r="BI26" s="234">
        <f t="shared" si="48"/>
        <v>3</v>
      </c>
      <c r="BJ26" s="234">
        <f t="shared" si="49"/>
        <v>3</v>
      </c>
      <c r="BK26" s="234">
        <f t="shared" si="92"/>
        <v>4</v>
      </c>
      <c r="BL26" s="234">
        <f t="shared" si="51"/>
        <v>3</v>
      </c>
      <c r="BM26" s="234">
        <f t="shared" si="52"/>
        <v>3</v>
      </c>
      <c r="BN26" s="154" t="s">
        <v>483</v>
      </c>
      <c r="BO26" s="154" t="str">
        <f t="shared" si="53"/>
        <v>low</v>
      </c>
      <c r="BP26" s="154" t="str">
        <f t="shared" si="54"/>
        <v>low</v>
      </c>
      <c r="BQ26" s="154" t="str">
        <f t="shared" si="55"/>
        <v>low</v>
      </c>
      <c r="BR26" s="154" t="s">
        <v>18</v>
      </c>
      <c r="BS26" s="154" t="s">
        <v>18</v>
      </c>
      <c r="BT26" s="154" t="s">
        <v>18</v>
      </c>
      <c r="BU26" s="154">
        <f t="shared" si="56"/>
        <v>150</v>
      </c>
      <c r="BV26" s="154">
        <f t="shared" si="57"/>
        <v>138</v>
      </c>
      <c r="BW26" s="154">
        <f t="shared" si="58"/>
        <v>185</v>
      </c>
      <c r="BX26" s="154">
        <f t="shared" si="59"/>
        <v>150</v>
      </c>
      <c r="BY26" s="154">
        <f t="shared" si="60"/>
        <v>138</v>
      </c>
      <c r="BZ26" s="154">
        <f t="shared" si="61"/>
        <v>185</v>
      </c>
      <c r="CA26" s="356">
        <f t="array" ref="CA26">IF(yieldsetting1="estimate",0,INDEX(cropdata, MATCH(yieldsource,outputs,0), MATCH($F26,cropdatacrops,0)))</f>
        <v>0</v>
      </c>
      <c r="CB26" s="356">
        <f t="array" ref="CB26">IF(yieldsetting1="estimate",0,INDEX(cropdata, MATCH(yieldsource,outputs,0), MATCH($G26,cropdatacrops,0)))</f>
        <v>0</v>
      </c>
      <c r="CC26" s="356">
        <f t="array" ref="CC26">IF(yieldsetting1="estimate",0,INDEX(cropdata, MATCH(yieldsource,outputs,0), MATCH($H26,cropdatacrops,0)))</f>
        <v>0</v>
      </c>
      <c r="CD26" s="356">
        <f t="array" ref="CD26">IF(yieldsetting1="estimate",0,INDEX(cropdata, MATCH(yieldsource,outputs,0), MATCH($I26,cropdatacrops,0)))</f>
        <v>0</v>
      </c>
      <c r="CE26" s="356">
        <f t="array" ref="CE26">IF(yieldsetting1="estimate",0,INDEX(cropdata, MATCH(yieldsource,outputs,0), MATCH($J26,cropdatacrops,0)))</f>
        <v>0</v>
      </c>
      <c r="CF26" s="356">
        <f t="array" ref="CF26">IF(yieldsetting1="estimate",0,INDEX(cropdata, MATCH(yieldsource,outputs,0), MATCH($K26,cropdatacrops,0)))</f>
        <v>0</v>
      </c>
      <c r="CG26" s="154" t="str">
        <f t="shared" si="62"/>
        <v>estimate</v>
      </c>
      <c r="CH26" s="235">
        <f t="shared" si="63"/>
        <v>0.8</v>
      </c>
      <c r="CI26" s="235">
        <f t="shared" si="64"/>
        <v>0.72</v>
      </c>
      <c r="CJ26" s="154">
        <f t="shared" si="65"/>
        <v>0.46</v>
      </c>
      <c r="CK26" s="154">
        <f t="shared" si="66"/>
        <v>0.36</v>
      </c>
      <c r="CL26" s="154">
        <f t="shared" si="67"/>
        <v>0.36</v>
      </c>
      <c r="CM26" s="154">
        <f t="shared" si="68"/>
        <v>0.38</v>
      </c>
      <c r="CN26" s="154">
        <f t="shared" si="69"/>
        <v>0.36</v>
      </c>
      <c r="CO26" s="154">
        <f t="shared" si="70"/>
        <v>0.36</v>
      </c>
      <c r="CP26" s="154">
        <f t="shared" si="71"/>
        <v>0.38</v>
      </c>
      <c r="CQ26" s="154">
        <f t="shared" si="93"/>
        <v>19.5</v>
      </c>
      <c r="CR26" s="154">
        <f t="shared" si="93"/>
        <v>19.5</v>
      </c>
      <c r="CS26" s="154">
        <f t="shared" si="93"/>
        <v>19.5</v>
      </c>
      <c r="CT26" s="154">
        <f t="shared" si="93"/>
        <v>19.5</v>
      </c>
      <c r="CU26" s="154">
        <f t="shared" si="93"/>
        <v>19.5</v>
      </c>
      <c r="CV26" s="154">
        <f t="shared" si="93"/>
        <v>19.5</v>
      </c>
      <c r="CW26" s="154">
        <f t="shared" si="94"/>
        <v>2.4300000000000002</v>
      </c>
      <c r="CX26" s="154">
        <f t="shared" si="94"/>
        <v>2.4300000000000002</v>
      </c>
      <c r="CY26" s="154">
        <f t="shared" si="94"/>
        <v>2.4300000000000002</v>
      </c>
      <c r="CZ26" s="154">
        <f t="shared" si="94"/>
        <v>2.4300000000000002</v>
      </c>
      <c r="DA26" s="154">
        <f t="shared" si="94"/>
        <v>2.4300000000000002</v>
      </c>
      <c r="DB26" s="154">
        <f t="shared" si="94"/>
        <v>2.4300000000000002</v>
      </c>
      <c r="DC26" s="154">
        <v>102</v>
      </c>
      <c r="DD26" s="154">
        <v>6</v>
      </c>
      <c r="DE26" s="154">
        <v>4</v>
      </c>
      <c r="DF26" s="154">
        <v>1400</v>
      </c>
      <c r="DG26" s="154">
        <v>125</v>
      </c>
      <c r="DH26" s="154">
        <f t="shared" si="74"/>
        <v>0.625</v>
      </c>
      <c r="DI26" s="154">
        <f t="shared" si="75"/>
        <v>10.08</v>
      </c>
    </row>
    <row r="27" spans="1:113" x14ac:dyDescent="0.2">
      <c r="A27" s="332" t="s">
        <v>1735</v>
      </c>
      <c r="B27" s="333" t="s">
        <v>485</v>
      </c>
      <c r="C27" s="333" t="s">
        <v>1637</v>
      </c>
      <c r="D27" s="233" t="str">
        <f>IF(ISNUMBER(SEARCH("heavy",B27))=TRUE,"2.25",
IF(ISNUMBER(SEARCH("medium",B27))=TRUE,"1.5",
IF(ISNUMBER(SEARCH("light",B27))=TRUE,"0.75")))</f>
        <v>2.25</v>
      </c>
      <c r="E27" s="154">
        <v>6</v>
      </c>
      <c r="F27" s="234" t="str" cm="1">
        <f t="array" ref="F27">IF(AND(ISNUMBER(SEARCH("H-Dsty.H-Res",$B27))=TRUE,ISNUMBER(SEARCH("E.",$B27))=TRUE,OR(ISNUMBER(SEARCH("heavy",$B27)),ISNUMBER(SEARCH("MEDIUM",$B27)))=TRUE),INDEX(croprotn_HDHR_E_h,MATCH(RIGHT($F$1,1),rotation_heavy,0)),
IF(AND(ISNUMBER(SEARCH("H-Dsty.H-Res",$B27))=TRUE,ISNUMBER(SEARCH("N.",$B27))=TRUE,OR(ISNUMBER(SEARCH("heavy",$B27)),ISNUMBER(SEARCH("MEDIUM",$B27)))=TRUE),INDEX(croprotn_HDHR_N_h,MATCH(RIGHT($F$1,1),rotation_heavy,0)),
IF(AND(ISNUMBER(SEARCH("H-Dsty.H-Res",$B27))=TRUE,ISNUMBER(SEARCH("C.",$B27))=TRUE,OR(ISNUMBER(SEARCH("heavy",$B27)),ISNUMBER(SEARCH("MEDIUM",$B27)))=TRUE),INDEX(croprotn_HDHR_C_h,MATCH(RIGHT($F$1,1),rotation_heavy,0)),
IF(AND(ISNUMBER(SEARCH("L-Dsty.H-Res",$B27))=TRUE,ISNUMBER(SEARCH("E.",$B27))=TRUE,OR(ISNUMBER(SEARCH("heavy",$B27)),ISNUMBER(SEARCH("MEDIUM",$B27)))=TRUE),INDEX(croprotn_LDHR_E_h,MATCH(RIGHT($F$1,1),rotation_heavy,0)),
IF(AND(ISNUMBER(SEARCH("L-Dsty.H-Res",$B27))=TRUE,ISNUMBER(SEARCH("N.",$B27))=TRUE,OR(ISNUMBER(SEARCH("heavy",$B27)),ISNUMBER(SEARCH("MEDIUM",$B27)))=TRUE),INDEX(croprotn_LDHR_N_h,MATCH(RIGHT($F$1,1),rotation_heavy,0)),
IF(AND(ISNUMBER(SEARCH("L-Dsty.H-Res",$B27))=TRUE,ISNUMBER(SEARCH("C.",$B27))=TRUE,OR(ISNUMBER(SEARCH("heavy",$B27)),ISNUMBER(SEARCH("MEDIUM",$B27)))=TRUE),INDEX(croprotn_LDHR_C_h,MATCH(RIGHT($F$1,1),rotation_heavy,0)),
IF(AND(ISNUMBER(SEARCH("L-Dsty.L-Res",$B27))=TRUE,ISNUMBER(SEARCH("E.",$B27))=TRUE,OR(ISNUMBER(SEARCH("heavy",$B27)),ISNUMBER(SEARCH("MEDIUM",$B27)))=TRUE),INDEX(croprotn_LDLR_E_h,MATCH(RIGHT($F$1,1),rotation_heavy,0)),
IF(AND(ISNUMBER(SEARCH("L-Dsty.L-Res",$B27))=TRUE,ISNUMBER(SEARCH("N.",$B27))=TRUE,OR(ISNUMBER(SEARCH("heavy",$B27)),ISNUMBER(SEARCH("MEDIUM",$B27)))=TRUE),INDEX(croprotn_LDLR_N_h,MATCH(RIGHT($F$1,1),rotation_heavy,0)),
IF(AND(ISNUMBER(SEARCH("L-Dsty.L-Res",$B27))=TRUE,ISNUMBER(SEARCH("C.",$B27))=TRUE,OR(ISNUMBER(SEARCH("heavy",$B27)),ISNUMBER(SEARCH("MEDIUM",$B27)))=TRUE),INDEX(croprotn_LDLR_C_h,MATCH(RIGHT($F$1,1),rotation_heavy,0)),
IF(AND(ISNUMBER(SEARCH("H-Dsty.H-Res",$B27))=TRUE,ISNUMBER(SEARCH("E.",$B27))=TRUE,ISNUMBER(SEARCH("light",$B27))=TRUE),INDEX(croprotn_HDHR_E_l,MATCH(RIGHT($F$1,1),rotation_light,0)),
IF(AND(ISNUMBER(SEARCH("H-Dsty.H-Res",$B27))=TRUE,ISNUMBER(SEARCH("N.",$B27))=TRUE,ISNUMBER(SEARCH("light",$B27))=TRUE),INDEX(croprotn_HDHR_N_l,MATCH(RIGHT($F$1,1),rotation_light,0)),
IF(AND(ISNUMBER(SEARCH("H-Dsty.H-Res",$B27))=TRUE,ISNUMBER(SEARCH("C.",$B27))=TRUE,ISNUMBER(SEARCH("light",$B27))=TRUE),INDEX(croprotn_HDHR_C_l,MATCH(RIGHT($F$1,1),rotation_light,0)),
IF(AND(ISNUMBER(SEARCH("L-Dsty.H-Res",$B27))=TRUE,ISNUMBER(SEARCH("E.",$B27))=TRUE,ISNUMBER(SEARCH("light",$B27))=TRUE),INDEX(croprotn_LDHR_E_l,MATCH(RIGHT($F$1,1),rotation_light,0)),
IF(AND(ISNUMBER(SEARCH("L-Dsty.H-Res",$B27))=TRUE,ISNUMBER(SEARCH("N.",$B27))=TRUE,ISNUMBER(SEARCH("light",$B27))=TRUE),INDEX(croprotn_LDHR_N_l,MATCH(RIGHT($F$1,1),rotation_light,0)),
IF(AND(ISNUMBER(SEARCH("L-Dsty.H-Res",$B27))=TRUE,ISNUMBER(SEARCH("C.",$B27))=TRUE,ISNUMBER(SEARCH("light",$B27))=TRUE),INDEX(croprotn_LDHR_C_l,MATCH(RIGHT($F$1,1),rotation_light,0)),
IF(AND(ISNUMBER(SEARCH("L-Dsty.L-Res",$B27))=TRUE,ISNUMBER(SEARCH("E.",$B27))=TRUE,ISNUMBER(SEARCH("light",$B27))=TRUE),INDEX(croprotn_LDLR_E_l,MATCH(RIGHT($F$1,1),rotation_light,0)),
IF(AND(ISNUMBER(SEARCH("L-Dsty.L-Res",$B27))=TRUE,ISNUMBER(SEARCH("N.",$B27))=TRUE,ISNUMBER(SEARCH("light",$B27))=TRUE),INDEX(croprotn_LDLR_N_l,MATCH(RIGHT($F$1,1),rotation_light,0)),
IF(AND(ISNUMBER(SEARCH("L-Dsty.L-Res",$B27))=TRUE,ISNUMBER(SEARCH("C.",$B27))=TRUE,ISNUMBER(SEARCH("light",$B27))=TRUE),INDEX(croprotn_LDLR_C_l,MATCH(RIGHT($F$1,1),rotation_light,0))
))))))))))))))))))</f>
        <v>winterwheat</v>
      </c>
      <c r="G27" s="234" t="str">
        <f t="shared" si="84"/>
        <v>winterbarley</v>
      </c>
      <c r="H27" s="234" t="str">
        <f t="shared" si="1"/>
        <v>springbeans</v>
      </c>
      <c r="I27" s="234" t="str">
        <f t="shared" si="2"/>
        <v>winterwheat</v>
      </c>
      <c r="J27" s="234" t="str">
        <f t="shared" si="3"/>
        <v>winterbarley</v>
      </c>
      <c r="K27" s="234" t="str">
        <f t="shared" si="4"/>
        <v>springbeans</v>
      </c>
      <c r="L27" s="154" t="str">
        <f t="shared" si="5"/>
        <v>lightcultivation</v>
      </c>
      <c r="M27" s="154" t="str">
        <f t="shared" si="6"/>
        <v>lightcultivation</v>
      </c>
      <c r="N27" s="154" t="str">
        <f t="shared" si="7"/>
        <v>lightcultivation</v>
      </c>
      <c r="O27" s="154" t="str">
        <f t="shared" si="8"/>
        <v>lightcultivation</v>
      </c>
      <c r="P27" s="154" t="str">
        <f t="shared" si="76"/>
        <v>lightcultivation</v>
      </c>
      <c r="Q27" s="154" t="str">
        <f t="shared" si="95"/>
        <v>lightcultivation</v>
      </c>
      <c r="R27" s="234">
        <f t="shared" si="86"/>
        <v>200</v>
      </c>
      <c r="S27" s="234">
        <f t="shared" si="10"/>
        <v>205</v>
      </c>
      <c r="T27" s="234">
        <f t="shared" si="11"/>
        <v>305</v>
      </c>
      <c r="U27" s="234">
        <f t="shared" si="87"/>
        <v>200</v>
      </c>
      <c r="V27" s="234">
        <f t="shared" si="13"/>
        <v>205</v>
      </c>
      <c r="W27" s="234">
        <f t="shared" si="14"/>
        <v>305</v>
      </c>
      <c r="X27" s="154" t="str">
        <f t="shared" si="15"/>
        <v>late</v>
      </c>
      <c r="Y27" s="154" t="str">
        <f t="shared" si="16"/>
        <v>no</v>
      </c>
      <c r="Z27" s="154" t="str">
        <f t="shared" si="17"/>
        <v>no</v>
      </c>
      <c r="AA27" s="154" t="str">
        <f t="shared" si="18"/>
        <v>late</v>
      </c>
      <c r="AB27" s="154" t="str">
        <f t="shared" si="19"/>
        <v>no</v>
      </c>
      <c r="AC27" s="154" t="str">
        <f t="shared" si="20"/>
        <v>no</v>
      </c>
      <c r="AD27" s="234">
        <f>IF(AND(ISNUMBER(SEARCH("H-Dsty.H-Res",$B27))=TRUE,ISNUMBER(SEARCH("E.",$B27))=TRUE),INDEX(fertrate_HDHR_E,MATCH($F27,fertrate_CROPS,0)),
IF(AND(ISNUMBER(SEARCH("H-Dsty.H-Res",$B27))=TRUE,ISNUMBER(SEARCH("N.",$B27))=TRUE),INDEX(fertrate_HDHR_N,MATCH($F27,fertrate_CROPS,0)),
IF(AND(ISNUMBER(SEARCH("H-Dsty.H-Res",$B27))=TRUE,ISNUMBER(SEARCH("C.",$B27))=TRUE),INDEX(fertrate_HDHR_C,MATCH($F27,fertrate_CROPS,0)),
IF(AND(ISNUMBER(SEARCH("L-Dsty.H-Res",$B27))=TRUE,ISNUMBER(SEARCH("E.",$B27))=TRUE),INDEX(fertrate_LDHR_E,MATCH($F27,fertrate_CROPS,0)),
IF(AND(ISNUMBER(SEARCH("L-Dsty.H-Res",$B27))=TRUE,ISNUMBER(SEARCH("N.",$B27))=TRUE),INDEX(fertrate_LDHR_N,MATCH($F27,fertrate_CROPS,0)),
IF(AND(ISNUMBER(SEARCH("L-Dsty.H-Res",$B27))=TRUE,ISNUMBER(SEARCH("C.",$B27))=TRUE),INDEX(fertrate_LDHR_C,MATCH($F27,fertrate_CROPS,0)),
IF(AND(ISNUMBER(SEARCH("L-Dsty.L-Res",$B27))=TRUE,ISNUMBER(SEARCH("E.",$B27))=TRUE),INDEX(fertrate_LDLR_E,MATCH($F27,fertrate_CROPS,0)),
IF(AND(ISNUMBER(SEARCH("L-Dsty.L-Res",$B27))=TRUE,ISNUMBER(SEARCH("N.",$B27))=TRUE),INDEX(fertrate_LDLR_N,MATCH($F27,fertrate_CROPS,0)),
IF(AND(ISNUMBER(SEARCH("L-Dsty.L-Res",$B27))=TRUE,ISNUMBER(SEARCH("C.",$B27))=TRUE),INDEX(fertrate_LDLR_C,MATCH($F27,fertrate_CROPS,0))
)))))))))</f>
        <v>220</v>
      </c>
      <c r="AE27" s="234">
        <f t="shared" si="85"/>
        <v>190</v>
      </c>
      <c r="AF27" s="234">
        <f t="shared" si="96"/>
        <v>0</v>
      </c>
      <c r="AG27" s="234">
        <f t="shared" si="88"/>
        <v>220</v>
      </c>
      <c r="AH27" s="234">
        <f t="shared" si="80"/>
        <v>190</v>
      </c>
      <c r="AI27" s="234">
        <f t="shared" si="97"/>
        <v>0</v>
      </c>
      <c r="AJ27" s="154">
        <f t="shared" si="23"/>
        <v>67</v>
      </c>
      <c r="AK27" s="154">
        <f t="shared" si="24"/>
        <v>58</v>
      </c>
      <c r="AL27" s="154">
        <f t="shared" si="25"/>
        <v>43</v>
      </c>
      <c r="AM27" s="154">
        <f t="shared" si="26"/>
        <v>67</v>
      </c>
      <c r="AN27" s="154">
        <f t="shared" si="27"/>
        <v>58</v>
      </c>
      <c r="AO27" s="154">
        <f t="shared" si="28"/>
        <v>43</v>
      </c>
      <c r="AP27" s="154">
        <f t="shared" si="29"/>
        <v>48</v>
      </c>
      <c r="AQ27" s="154">
        <f t="shared" si="30"/>
        <v>41</v>
      </c>
      <c r="AR27" s="154">
        <f t="shared" si="31"/>
        <v>47</v>
      </c>
      <c r="AS27" s="154">
        <f t="shared" si="32"/>
        <v>48</v>
      </c>
      <c r="AT27" s="154">
        <f t="shared" si="33"/>
        <v>41</v>
      </c>
      <c r="AU27" s="154">
        <f t="shared" si="34"/>
        <v>47</v>
      </c>
      <c r="AV27" s="234">
        <f t="shared" si="89"/>
        <v>9.3000000000000007</v>
      </c>
      <c r="AW27" s="234">
        <f t="shared" si="36"/>
        <v>4.5999999999999996</v>
      </c>
      <c r="AX27" s="234">
        <f t="shared" si="37"/>
        <v>5.35</v>
      </c>
      <c r="AY27" s="234">
        <f t="shared" si="90"/>
        <v>9.3000000000000007</v>
      </c>
      <c r="AZ27" s="234">
        <f t="shared" si="39"/>
        <v>4.5999999999999996</v>
      </c>
      <c r="BA27" s="234">
        <f t="shared" si="40"/>
        <v>5.35</v>
      </c>
      <c r="BB27" s="234">
        <f t="shared" si="41"/>
        <v>2</v>
      </c>
      <c r="BC27" s="234">
        <f t="shared" si="42"/>
        <v>2</v>
      </c>
      <c r="BD27" s="234">
        <f t="shared" si="43"/>
        <v>2</v>
      </c>
      <c r="BE27" s="234">
        <f t="shared" si="91"/>
        <v>2</v>
      </c>
      <c r="BF27" s="234">
        <f t="shared" si="45"/>
        <v>2</v>
      </c>
      <c r="BG27" s="234">
        <f t="shared" si="46"/>
        <v>2</v>
      </c>
      <c r="BH27" s="234">
        <f t="shared" si="47"/>
        <v>4</v>
      </c>
      <c r="BI27" s="234">
        <f t="shared" si="48"/>
        <v>3</v>
      </c>
      <c r="BJ27" s="234">
        <f t="shared" si="49"/>
        <v>3</v>
      </c>
      <c r="BK27" s="234">
        <f t="shared" si="92"/>
        <v>4</v>
      </c>
      <c r="BL27" s="234">
        <f t="shared" si="51"/>
        <v>3</v>
      </c>
      <c r="BM27" s="234">
        <f t="shared" si="52"/>
        <v>3</v>
      </c>
      <c r="BN27" s="154" t="s">
        <v>483</v>
      </c>
      <c r="BO27" s="154" t="str">
        <f t="shared" si="53"/>
        <v>medium</v>
      </c>
      <c r="BP27" s="154" t="str">
        <f t="shared" si="54"/>
        <v>low</v>
      </c>
      <c r="BQ27" s="154" t="str">
        <f t="shared" si="55"/>
        <v>low</v>
      </c>
      <c r="BR27" s="154" t="s">
        <v>182</v>
      </c>
      <c r="BS27" s="154" t="s">
        <v>182</v>
      </c>
      <c r="BT27" s="154" t="s">
        <v>182</v>
      </c>
      <c r="BU27" s="154">
        <f t="shared" si="56"/>
        <v>150</v>
      </c>
      <c r="BV27" s="154">
        <f t="shared" si="57"/>
        <v>138</v>
      </c>
      <c r="BW27" s="154">
        <f t="shared" si="58"/>
        <v>185</v>
      </c>
      <c r="BX27" s="154">
        <f t="shared" si="59"/>
        <v>150</v>
      </c>
      <c r="BY27" s="154">
        <f t="shared" si="60"/>
        <v>138</v>
      </c>
      <c r="BZ27" s="154">
        <f t="shared" si="61"/>
        <v>185</v>
      </c>
      <c r="CA27" s="356">
        <f t="array" ref="CA27">IF(yieldsetting1="estimate",0,INDEX(cropdata, MATCH(yieldsource,outputs,0), MATCH($F27,cropdatacrops,0)))</f>
        <v>0</v>
      </c>
      <c r="CB27" s="356">
        <f t="array" ref="CB27">IF(yieldsetting1="estimate",0,INDEX(cropdata, MATCH(yieldsource,outputs,0), MATCH($G27,cropdatacrops,0)))</f>
        <v>0</v>
      </c>
      <c r="CC27" s="356">
        <f t="array" ref="CC27">IF(yieldsetting1="estimate",0,INDEX(cropdata, MATCH(yieldsource,outputs,0), MATCH($H27,cropdatacrops,0)))</f>
        <v>0</v>
      </c>
      <c r="CD27" s="356">
        <f t="array" ref="CD27">IF(yieldsetting1="estimate",0,INDEX(cropdata, MATCH(yieldsource,outputs,0), MATCH($I27,cropdatacrops,0)))</f>
        <v>0</v>
      </c>
      <c r="CE27" s="356">
        <f t="array" ref="CE27">IF(yieldsetting1="estimate",0,INDEX(cropdata, MATCH(yieldsource,outputs,0), MATCH($J27,cropdatacrops,0)))</f>
        <v>0</v>
      </c>
      <c r="CF27" s="356">
        <f t="array" ref="CF27">IF(yieldsetting1="estimate",0,INDEX(cropdata, MATCH(yieldsource,outputs,0), MATCH($K27,cropdatacrops,0)))</f>
        <v>0</v>
      </c>
      <c r="CG27" s="154" t="str">
        <f t="shared" si="62"/>
        <v>estimate</v>
      </c>
      <c r="CH27" s="235">
        <f t="shared" si="63"/>
        <v>0.8</v>
      </c>
      <c r="CI27" s="235">
        <f t="shared" si="64"/>
        <v>0.72</v>
      </c>
      <c r="CJ27" s="154">
        <f t="shared" si="65"/>
        <v>0.46</v>
      </c>
      <c r="CK27" s="154">
        <f t="shared" si="66"/>
        <v>0.36</v>
      </c>
      <c r="CL27" s="154">
        <f t="shared" si="67"/>
        <v>0.36</v>
      </c>
      <c r="CM27" s="154">
        <f t="shared" si="68"/>
        <v>0.38</v>
      </c>
      <c r="CN27" s="154">
        <f t="shared" si="69"/>
        <v>0.36</v>
      </c>
      <c r="CO27" s="154">
        <f t="shared" si="70"/>
        <v>0.36</v>
      </c>
      <c r="CP27" s="154">
        <f t="shared" si="71"/>
        <v>0.38</v>
      </c>
      <c r="CQ27" s="154">
        <f t="shared" si="93"/>
        <v>19.5</v>
      </c>
      <c r="CR27" s="154">
        <f t="shared" si="93"/>
        <v>19.5</v>
      </c>
      <c r="CS27" s="154">
        <f t="shared" si="93"/>
        <v>19.5</v>
      </c>
      <c r="CT27" s="154">
        <f t="shared" si="93"/>
        <v>19.5</v>
      </c>
      <c r="CU27" s="154">
        <f t="shared" si="93"/>
        <v>19.5</v>
      </c>
      <c r="CV27" s="154">
        <f t="shared" si="93"/>
        <v>19.5</v>
      </c>
      <c r="CW27" s="154">
        <f t="shared" si="94"/>
        <v>2.4300000000000002</v>
      </c>
      <c r="CX27" s="154">
        <f t="shared" si="94"/>
        <v>2.4300000000000002</v>
      </c>
      <c r="CY27" s="154">
        <f t="shared" si="94"/>
        <v>2.4300000000000002</v>
      </c>
      <c r="CZ27" s="154">
        <f t="shared" si="94"/>
        <v>2.4300000000000002</v>
      </c>
      <c r="DA27" s="154">
        <f t="shared" si="94"/>
        <v>2.4300000000000002</v>
      </c>
      <c r="DB27" s="154">
        <f t="shared" si="94"/>
        <v>2.4300000000000002</v>
      </c>
      <c r="DC27" s="154">
        <v>102</v>
      </c>
      <c r="DD27" s="154">
        <v>6</v>
      </c>
      <c r="DE27" s="154">
        <v>4</v>
      </c>
      <c r="DF27" s="154">
        <v>1400</v>
      </c>
      <c r="DG27" s="154">
        <v>125</v>
      </c>
      <c r="DH27" s="154">
        <f t="shared" si="74"/>
        <v>0.625</v>
      </c>
      <c r="DI27" s="154">
        <f t="shared" si="75"/>
        <v>10.08</v>
      </c>
    </row>
    <row r="28" spans="1:113" x14ac:dyDescent="0.2">
      <c r="A28" s="332" t="s">
        <v>1736</v>
      </c>
      <c r="B28" s="333" t="s">
        <v>488</v>
      </c>
      <c r="C28" s="333" t="s">
        <v>1647</v>
      </c>
      <c r="D28" s="233" t="str">
        <f>IF(ISNUMBER(SEARCH("heavy",B28))=TRUE,"2.25",
IF(ISNUMBER(SEARCH("medium",B28))=TRUE,"1.50",
IF(ISNUMBER(SEARCH("light",B28))=TRUE,"0.75")))</f>
        <v>1.50</v>
      </c>
      <c r="E28" s="154">
        <v>6</v>
      </c>
      <c r="F28" s="234" t="str" cm="1">
        <f t="array" ref="F28">IF(AND(ISNUMBER(SEARCH("H-Dsty.H-Res",$B28))=TRUE,ISNUMBER(SEARCH("E.",$B28))=TRUE,OR(ISNUMBER(SEARCH("heavy",$B28)),ISNUMBER(SEARCH("MEDIUM",$B28)))=TRUE),INDEX(croprotn_HDHR_E_h,MATCH(RIGHT($F$1,1),rotation_heavy,0)),
IF(AND(ISNUMBER(SEARCH("H-Dsty.H-Res",$B28))=TRUE,ISNUMBER(SEARCH("N.",$B28))=TRUE,OR(ISNUMBER(SEARCH("heavy",$B28)),ISNUMBER(SEARCH("MEDIUM",$B28)))=TRUE),INDEX(croprotn_HDHR_N_h,MATCH(RIGHT($F$1,1),rotation_heavy,0)),
IF(AND(ISNUMBER(SEARCH("H-Dsty.H-Res",$B28))=TRUE,ISNUMBER(SEARCH("C.",$B28))=TRUE,OR(ISNUMBER(SEARCH("heavy",$B28)),ISNUMBER(SEARCH("MEDIUM",$B28)))=TRUE),INDEX(croprotn_HDHR_C_h,MATCH(RIGHT($F$1,1),rotation_heavy,0)),
IF(AND(ISNUMBER(SEARCH("L-Dsty.H-Res",$B28))=TRUE,ISNUMBER(SEARCH("E.",$B28))=TRUE,OR(ISNUMBER(SEARCH("heavy",$B28)),ISNUMBER(SEARCH("MEDIUM",$B28)))=TRUE),INDEX(croprotn_LDHR_E_h,MATCH(RIGHT($F$1,1),rotation_heavy,0)),
IF(AND(ISNUMBER(SEARCH("L-Dsty.H-Res",$B28))=TRUE,ISNUMBER(SEARCH("N.",$B28))=TRUE,OR(ISNUMBER(SEARCH("heavy",$B28)),ISNUMBER(SEARCH("MEDIUM",$B28)))=TRUE),INDEX(croprotn_LDHR_N_h,MATCH(RIGHT($F$1,1),rotation_heavy,0)),
IF(AND(ISNUMBER(SEARCH("L-Dsty.H-Res",$B28))=TRUE,ISNUMBER(SEARCH("C.",$B28))=TRUE,OR(ISNUMBER(SEARCH("heavy",$B28)),ISNUMBER(SEARCH("MEDIUM",$B28)))=TRUE),INDEX(croprotn_LDHR_C_h,MATCH(RIGHT($F$1,1),rotation_heavy,0)),
IF(AND(ISNUMBER(SEARCH("L-Dsty.L-Res",$B28))=TRUE,ISNUMBER(SEARCH("E.",$B28))=TRUE,OR(ISNUMBER(SEARCH("heavy",$B28)),ISNUMBER(SEARCH("MEDIUM",$B28)))=TRUE),INDEX(croprotn_LDLR_E_h,MATCH(RIGHT($F$1,1),rotation_heavy,0)),
IF(AND(ISNUMBER(SEARCH("L-Dsty.L-Res",$B28))=TRUE,ISNUMBER(SEARCH("N.",$B28))=TRUE,OR(ISNUMBER(SEARCH("heavy",$B28)),ISNUMBER(SEARCH("MEDIUM",$B28)))=TRUE),INDEX(croprotn_LDLR_N_h,MATCH(RIGHT($F$1,1),rotation_heavy,0)),
IF(AND(ISNUMBER(SEARCH("L-Dsty.L-Res",$B28))=TRUE,ISNUMBER(SEARCH("C.",$B28))=TRUE,OR(ISNUMBER(SEARCH("heavy",$B28)),ISNUMBER(SEARCH("MEDIUM",$B28)))=TRUE),INDEX(croprotn_LDLR_C_h,MATCH(RIGHT($F$1,1),rotation_heavy,0)),
IF(AND(ISNUMBER(SEARCH("H-Dsty.H-Res",$B28))=TRUE,ISNUMBER(SEARCH("E.",$B28))=TRUE,ISNUMBER(SEARCH("light",$B28))=TRUE),INDEX(croprotn_HDHR_E_l,MATCH(RIGHT($F$1,1),rotation_light,0)),
IF(AND(ISNUMBER(SEARCH("H-Dsty.H-Res",$B28))=TRUE,ISNUMBER(SEARCH("N.",$B28))=TRUE,ISNUMBER(SEARCH("light",$B28))=TRUE),INDEX(croprotn_HDHR_N_l,MATCH(RIGHT($F$1,1),rotation_light,0)),
IF(AND(ISNUMBER(SEARCH("H-Dsty.H-Res",$B28))=TRUE,ISNUMBER(SEARCH("C.",$B28))=TRUE,ISNUMBER(SEARCH("light",$B28))=TRUE),INDEX(croprotn_HDHR_C_l,MATCH(RIGHT($F$1,1),rotation_light,0)),
IF(AND(ISNUMBER(SEARCH("L-Dsty.H-Res",$B28))=TRUE,ISNUMBER(SEARCH("E.",$B28))=TRUE,ISNUMBER(SEARCH("light",$B28))=TRUE),INDEX(croprotn_LDHR_E_l,MATCH(RIGHT($F$1,1),rotation_light,0)),
IF(AND(ISNUMBER(SEARCH("L-Dsty.H-Res",$B28))=TRUE,ISNUMBER(SEARCH("N.",$B28))=TRUE,ISNUMBER(SEARCH("light",$B28))=TRUE),INDEX(croprotn_LDHR_N_l,MATCH(RIGHT($F$1,1),rotation_light,0)),
IF(AND(ISNUMBER(SEARCH("L-Dsty.H-Res",$B28))=TRUE,ISNUMBER(SEARCH("C.",$B28))=TRUE,ISNUMBER(SEARCH("light",$B28))=TRUE),INDEX(croprotn_LDHR_C_l,MATCH(RIGHT($F$1,1),rotation_light,0)),
IF(AND(ISNUMBER(SEARCH("L-Dsty.L-Res",$B28))=TRUE,ISNUMBER(SEARCH("E.",$B28))=TRUE,ISNUMBER(SEARCH("light",$B28))=TRUE),INDEX(croprotn_LDLR_E_l,MATCH(RIGHT($F$1,1),rotation_light,0)),
IF(AND(ISNUMBER(SEARCH("L-Dsty.L-Res",$B28))=TRUE,ISNUMBER(SEARCH("N.",$B28))=TRUE,ISNUMBER(SEARCH("light",$B28))=TRUE),INDEX(croprotn_LDLR_N_l,MATCH(RIGHT($F$1,1),rotation_light,0)),
IF(AND(ISNUMBER(SEARCH("L-Dsty.L-Res",$B28))=TRUE,ISNUMBER(SEARCH("C.",$B28))=TRUE,ISNUMBER(SEARCH("light",$B28))=TRUE),INDEX(croprotn_LDLR_C_l,MATCH(RIGHT($F$1,1),rotation_light,0))
))))))))))))))))))</f>
        <v>winterwheat</v>
      </c>
      <c r="G28" s="234" t="str">
        <f t="shared" si="84"/>
        <v>winterbarley</v>
      </c>
      <c r="H28" s="234" t="str">
        <f t="shared" si="1"/>
        <v>springbeans</v>
      </c>
      <c r="I28" s="234" t="str">
        <f t="shared" si="2"/>
        <v>winterwheat</v>
      </c>
      <c r="J28" s="234" t="str">
        <f t="shared" si="3"/>
        <v>winterbarley</v>
      </c>
      <c r="K28" s="234" t="str">
        <f t="shared" si="4"/>
        <v>springbeans</v>
      </c>
      <c r="L28" s="154" t="str">
        <f t="shared" si="5"/>
        <v>lightcultivation</v>
      </c>
      <c r="M28" s="154" t="str">
        <f t="shared" si="6"/>
        <v>lightcultivation</v>
      </c>
      <c r="N28" s="154" t="str">
        <f t="shared" si="7"/>
        <v>lightcultivation</v>
      </c>
      <c r="O28" s="154" t="str">
        <f t="shared" si="8"/>
        <v>lightcultivation</v>
      </c>
      <c r="P28" s="154" t="str">
        <f t="shared" si="76"/>
        <v>lightcultivation</v>
      </c>
      <c r="Q28" s="154" t="str">
        <f t="shared" si="95"/>
        <v>lightcultivation</v>
      </c>
      <c r="R28" s="234">
        <f t="shared" si="86"/>
        <v>200</v>
      </c>
      <c r="S28" s="234">
        <f t="shared" si="10"/>
        <v>205</v>
      </c>
      <c r="T28" s="234">
        <f t="shared" si="11"/>
        <v>305</v>
      </c>
      <c r="U28" s="234">
        <f t="shared" si="87"/>
        <v>200</v>
      </c>
      <c r="V28" s="234">
        <f t="shared" si="13"/>
        <v>205</v>
      </c>
      <c r="W28" s="234">
        <f t="shared" si="14"/>
        <v>305</v>
      </c>
      <c r="X28" s="154" t="str">
        <f t="shared" si="15"/>
        <v>late</v>
      </c>
      <c r="Y28" s="154" t="str">
        <f t="shared" si="16"/>
        <v>no</v>
      </c>
      <c r="Z28" s="154" t="str">
        <f t="shared" si="17"/>
        <v>no</v>
      </c>
      <c r="AA28" s="154" t="str">
        <f t="shared" si="18"/>
        <v>late</v>
      </c>
      <c r="AB28" s="154" t="str">
        <f t="shared" si="19"/>
        <v>no</v>
      </c>
      <c r="AC28" s="154" t="str">
        <f t="shared" si="20"/>
        <v>no</v>
      </c>
      <c r="AD28" s="234">
        <f>IF(AND(ISNUMBER(SEARCH("H-Dsty.H-Res",$B28))=TRUE,ISNUMBER(SEARCH("E.",$B28))=TRUE),INDEX(fertrate_HDHR_E,MATCH($F28,fertrate_CROPS,0)),
IF(AND(ISNUMBER(SEARCH("H-Dsty.H-Res",$B28))=TRUE,ISNUMBER(SEARCH("N.",$B28))=TRUE),INDEX(fertrate_HDHR_N,MATCH($F28,fertrate_CROPS,0)),
IF(AND(ISNUMBER(SEARCH("H-Dsty.H-Res",$B28))=TRUE,ISNUMBER(SEARCH("C.",$B28))=TRUE),INDEX(fertrate_HDHR_C,MATCH($F28,fertrate_CROPS,0)),
IF(AND(ISNUMBER(SEARCH("L-Dsty.H-Res",$B28))=TRUE,ISNUMBER(SEARCH("E.",$B28))=TRUE),INDEX(fertrate_LDHR_E,MATCH($F28,fertrate_CROPS,0)),
IF(AND(ISNUMBER(SEARCH("L-Dsty.H-Res",$B28))=TRUE,ISNUMBER(SEARCH("N.",$B28))=TRUE),INDEX(fertrate_LDHR_N,MATCH($F28,fertrate_CROPS,0)),
IF(AND(ISNUMBER(SEARCH("L-Dsty.H-Res",$B28))=TRUE,ISNUMBER(SEARCH("C.",$B28))=TRUE),INDEX(fertrate_LDHR_C,MATCH($F28,fertrate_CROPS,0)),
IF(AND(ISNUMBER(SEARCH("L-Dsty.L-Res",$B28))=TRUE,ISNUMBER(SEARCH("E.",$B28))=TRUE),INDEX(fertrate_LDLR_E,MATCH($F28,fertrate_CROPS,0)),
IF(AND(ISNUMBER(SEARCH("L-Dsty.L-Res",$B28))=TRUE,ISNUMBER(SEARCH("N.",$B28))=TRUE),INDEX(fertrate_LDLR_N,MATCH($F28,fertrate_CROPS,0)),
IF(AND(ISNUMBER(SEARCH("L-Dsty.L-Res",$B28))=TRUE,ISNUMBER(SEARCH("C.",$B28))=TRUE),INDEX(fertrate_LDLR_C,MATCH($F28,fertrate_CROPS,0))
)))))))))</f>
        <v>220</v>
      </c>
      <c r="AE28" s="234">
        <f t="shared" si="85"/>
        <v>190</v>
      </c>
      <c r="AF28" s="234">
        <f t="shared" si="96"/>
        <v>0</v>
      </c>
      <c r="AG28" s="234">
        <f t="shared" si="88"/>
        <v>220</v>
      </c>
      <c r="AH28" s="234">
        <f t="shared" si="80"/>
        <v>190</v>
      </c>
      <c r="AI28" s="234">
        <f t="shared" si="97"/>
        <v>0</v>
      </c>
      <c r="AJ28" s="154">
        <f t="shared" si="23"/>
        <v>67</v>
      </c>
      <c r="AK28" s="154">
        <f t="shared" si="24"/>
        <v>58</v>
      </c>
      <c r="AL28" s="154">
        <f t="shared" si="25"/>
        <v>43</v>
      </c>
      <c r="AM28" s="154">
        <f t="shared" si="26"/>
        <v>67</v>
      </c>
      <c r="AN28" s="154">
        <f t="shared" si="27"/>
        <v>58</v>
      </c>
      <c r="AO28" s="154">
        <f t="shared" si="28"/>
        <v>43</v>
      </c>
      <c r="AP28" s="154">
        <f t="shared" si="29"/>
        <v>48</v>
      </c>
      <c r="AQ28" s="154">
        <f t="shared" si="30"/>
        <v>41</v>
      </c>
      <c r="AR28" s="154">
        <f t="shared" si="31"/>
        <v>47</v>
      </c>
      <c r="AS28" s="154">
        <f t="shared" si="32"/>
        <v>48</v>
      </c>
      <c r="AT28" s="154">
        <f t="shared" si="33"/>
        <v>41</v>
      </c>
      <c r="AU28" s="154">
        <f t="shared" si="34"/>
        <v>47</v>
      </c>
      <c r="AV28" s="234">
        <f t="shared" si="89"/>
        <v>9.3000000000000007</v>
      </c>
      <c r="AW28" s="234">
        <f t="shared" si="36"/>
        <v>4.5999999999999996</v>
      </c>
      <c r="AX28" s="234">
        <f t="shared" si="37"/>
        <v>5.35</v>
      </c>
      <c r="AY28" s="234">
        <f t="shared" si="90"/>
        <v>9.3000000000000007</v>
      </c>
      <c r="AZ28" s="234">
        <f t="shared" si="39"/>
        <v>4.5999999999999996</v>
      </c>
      <c r="BA28" s="234">
        <f t="shared" si="40"/>
        <v>5.35</v>
      </c>
      <c r="BB28" s="234">
        <f t="shared" si="41"/>
        <v>2</v>
      </c>
      <c r="BC28" s="234">
        <f t="shared" si="42"/>
        <v>2</v>
      </c>
      <c r="BD28" s="234">
        <f t="shared" si="43"/>
        <v>2</v>
      </c>
      <c r="BE28" s="234">
        <f t="shared" si="91"/>
        <v>2</v>
      </c>
      <c r="BF28" s="234">
        <f t="shared" si="45"/>
        <v>2</v>
      </c>
      <c r="BG28" s="234">
        <f t="shared" si="46"/>
        <v>2</v>
      </c>
      <c r="BH28" s="234">
        <f t="shared" si="47"/>
        <v>4</v>
      </c>
      <c r="BI28" s="234">
        <f t="shared" si="48"/>
        <v>3</v>
      </c>
      <c r="BJ28" s="234">
        <f t="shared" si="49"/>
        <v>3</v>
      </c>
      <c r="BK28" s="234">
        <f t="shared" si="92"/>
        <v>4</v>
      </c>
      <c r="BL28" s="234">
        <f t="shared" si="51"/>
        <v>3</v>
      </c>
      <c r="BM28" s="234">
        <f t="shared" si="52"/>
        <v>3</v>
      </c>
      <c r="BN28" s="154" t="s">
        <v>483</v>
      </c>
      <c r="BO28" s="154" t="str">
        <f t="shared" si="53"/>
        <v>low</v>
      </c>
      <c r="BP28" s="154" t="str">
        <f t="shared" si="54"/>
        <v>low</v>
      </c>
      <c r="BQ28" s="154" t="str">
        <f t="shared" si="55"/>
        <v>low</v>
      </c>
      <c r="BR28" s="154" t="s">
        <v>183</v>
      </c>
      <c r="BS28" s="154" t="s">
        <v>183</v>
      </c>
      <c r="BT28" s="154" t="s">
        <v>183</v>
      </c>
      <c r="BU28" s="154">
        <f t="shared" si="56"/>
        <v>150</v>
      </c>
      <c r="BV28" s="154">
        <f t="shared" si="57"/>
        <v>138</v>
      </c>
      <c r="BW28" s="154">
        <f t="shared" si="58"/>
        <v>185</v>
      </c>
      <c r="BX28" s="154">
        <f t="shared" si="59"/>
        <v>150</v>
      </c>
      <c r="BY28" s="154">
        <f t="shared" si="60"/>
        <v>138</v>
      </c>
      <c r="BZ28" s="154">
        <f t="shared" si="61"/>
        <v>185</v>
      </c>
      <c r="CA28" s="356">
        <f t="array" ref="CA28">IF(yieldsetting1="estimate",0,INDEX(cropdata, MATCH(yieldsource,outputs,0), MATCH($F28,cropdatacrops,0)))</f>
        <v>0</v>
      </c>
      <c r="CB28" s="356">
        <f t="array" ref="CB28">IF(yieldsetting1="estimate",0,INDEX(cropdata, MATCH(yieldsource,outputs,0), MATCH($G28,cropdatacrops,0)))</f>
        <v>0</v>
      </c>
      <c r="CC28" s="356">
        <f t="array" ref="CC28">IF(yieldsetting1="estimate",0,INDEX(cropdata, MATCH(yieldsource,outputs,0), MATCH($H28,cropdatacrops,0)))</f>
        <v>0</v>
      </c>
      <c r="CD28" s="356">
        <f t="array" ref="CD28">IF(yieldsetting1="estimate",0,INDEX(cropdata, MATCH(yieldsource,outputs,0), MATCH($I28,cropdatacrops,0)))</f>
        <v>0</v>
      </c>
      <c r="CE28" s="356">
        <f t="array" ref="CE28">IF(yieldsetting1="estimate",0,INDEX(cropdata, MATCH(yieldsource,outputs,0), MATCH($J28,cropdatacrops,0)))</f>
        <v>0</v>
      </c>
      <c r="CF28" s="356">
        <f t="array" ref="CF28">IF(yieldsetting1="estimate",0,INDEX(cropdata, MATCH(yieldsource,outputs,0), MATCH($K28,cropdatacrops,0)))</f>
        <v>0</v>
      </c>
      <c r="CG28" s="154" t="str">
        <f t="shared" si="62"/>
        <v>estimate</v>
      </c>
      <c r="CH28" s="235">
        <f t="shared" si="63"/>
        <v>0.8</v>
      </c>
      <c r="CI28" s="235">
        <f t="shared" si="64"/>
        <v>0.72</v>
      </c>
      <c r="CJ28" s="154">
        <f t="shared" si="65"/>
        <v>0.46</v>
      </c>
      <c r="CK28" s="154">
        <f t="shared" si="66"/>
        <v>0.36</v>
      </c>
      <c r="CL28" s="154">
        <f t="shared" si="67"/>
        <v>0.36</v>
      </c>
      <c r="CM28" s="154">
        <f t="shared" si="68"/>
        <v>0.38</v>
      </c>
      <c r="CN28" s="154">
        <f t="shared" si="69"/>
        <v>0.36</v>
      </c>
      <c r="CO28" s="154">
        <f t="shared" si="70"/>
        <v>0.36</v>
      </c>
      <c r="CP28" s="154">
        <f t="shared" si="71"/>
        <v>0.38</v>
      </c>
      <c r="CQ28" s="154">
        <f t="shared" si="93"/>
        <v>19.5</v>
      </c>
      <c r="CR28" s="154">
        <f t="shared" si="93"/>
        <v>19.5</v>
      </c>
      <c r="CS28" s="154">
        <f t="shared" si="93"/>
        <v>19.5</v>
      </c>
      <c r="CT28" s="154">
        <f t="shared" si="93"/>
        <v>19.5</v>
      </c>
      <c r="CU28" s="154">
        <f t="shared" si="93"/>
        <v>19.5</v>
      </c>
      <c r="CV28" s="154">
        <f t="shared" si="93"/>
        <v>19.5</v>
      </c>
      <c r="CW28" s="154">
        <f t="shared" si="94"/>
        <v>2.4300000000000002</v>
      </c>
      <c r="CX28" s="154">
        <f t="shared" si="94"/>
        <v>2.4300000000000002</v>
      </c>
      <c r="CY28" s="154">
        <f t="shared" si="94"/>
        <v>2.4300000000000002</v>
      </c>
      <c r="CZ28" s="154">
        <f t="shared" si="94"/>
        <v>2.4300000000000002</v>
      </c>
      <c r="DA28" s="154">
        <f t="shared" si="94"/>
        <v>2.4300000000000002</v>
      </c>
      <c r="DB28" s="154">
        <f t="shared" si="94"/>
        <v>2.4300000000000002</v>
      </c>
      <c r="DC28" s="154">
        <v>102</v>
      </c>
      <c r="DD28" s="154">
        <v>6</v>
      </c>
      <c r="DE28" s="154">
        <v>4</v>
      </c>
      <c r="DF28" s="154">
        <v>1400</v>
      </c>
      <c r="DG28" s="154">
        <v>125</v>
      </c>
      <c r="DH28" s="154">
        <f t="shared" si="74"/>
        <v>0.625</v>
      </c>
      <c r="DI28" s="154">
        <f t="shared" si="75"/>
        <v>10.08</v>
      </c>
    </row>
    <row r="29" spans="1:113" x14ac:dyDescent="0.2">
      <c r="A29" s="332" t="s">
        <v>1737</v>
      </c>
      <c r="B29" s="333" t="s">
        <v>488</v>
      </c>
      <c r="C29" s="333" t="s">
        <v>1648</v>
      </c>
      <c r="D29" s="233" t="str">
        <f>IF(ISNUMBER(SEARCH("heavy",B29))=TRUE,"2.25",
IF(ISNUMBER(SEARCH("medium",B29))=TRUE,"1.50",
IF(ISNUMBER(SEARCH("light",B29))=TRUE,"0.75")))</f>
        <v>1.50</v>
      </c>
      <c r="E29" s="154">
        <v>6</v>
      </c>
      <c r="F29" s="234" t="str" cm="1">
        <f t="array" ref="F29">IF(AND(ISNUMBER(SEARCH("H-Dsty.H-Res",$B29))=TRUE,ISNUMBER(SEARCH("E.",$B29))=TRUE,OR(ISNUMBER(SEARCH("heavy",$B29)),ISNUMBER(SEARCH("MEDIUM",$B29)))=TRUE),INDEX(croprotn_HDHR_E_h,MATCH(RIGHT($F$1,1),rotation_heavy,0)),
IF(AND(ISNUMBER(SEARCH("H-Dsty.H-Res",$B29))=TRUE,ISNUMBER(SEARCH("N.",$B29))=TRUE,OR(ISNUMBER(SEARCH("heavy",$B29)),ISNUMBER(SEARCH("MEDIUM",$B29)))=TRUE),INDEX(croprotn_HDHR_N_h,MATCH(RIGHT($F$1,1),rotation_heavy,0)),
IF(AND(ISNUMBER(SEARCH("H-Dsty.H-Res",$B29))=TRUE,ISNUMBER(SEARCH("C.",$B29))=TRUE,OR(ISNUMBER(SEARCH("heavy",$B29)),ISNUMBER(SEARCH("MEDIUM",$B29)))=TRUE),INDEX(croprotn_HDHR_C_h,MATCH(RIGHT($F$1,1),rotation_heavy,0)),
IF(AND(ISNUMBER(SEARCH("L-Dsty.H-Res",$B29))=TRUE,ISNUMBER(SEARCH("E.",$B29))=TRUE,OR(ISNUMBER(SEARCH("heavy",$B29)),ISNUMBER(SEARCH("MEDIUM",$B29)))=TRUE),INDEX(croprotn_LDHR_E_h,MATCH(RIGHT($F$1,1),rotation_heavy,0)),
IF(AND(ISNUMBER(SEARCH("L-Dsty.H-Res",$B29))=TRUE,ISNUMBER(SEARCH("N.",$B29))=TRUE,OR(ISNUMBER(SEARCH("heavy",$B29)),ISNUMBER(SEARCH("MEDIUM",$B29)))=TRUE),INDEX(croprotn_LDHR_N_h,MATCH(RIGHT($F$1,1),rotation_heavy,0)),
IF(AND(ISNUMBER(SEARCH("L-Dsty.H-Res",$B29))=TRUE,ISNUMBER(SEARCH("C.",$B29))=TRUE,OR(ISNUMBER(SEARCH("heavy",$B29)),ISNUMBER(SEARCH("MEDIUM",$B29)))=TRUE),INDEX(croprotn_LDHR_C_h,MATCH(RIGHT($F$1,1),rotation_heavy,0)),
IF(AND(ISNUMBER(SEARCH("L-Dsty.L-Res",$B29))=TRUE,ISNUMBER(SEARCH("E.",$B29))=TRUE,OR(ISNUMBER(SEARCH("heavy",$B29)),ISNUMBER(SEARCH("MEDIUM",$B29)))=TRUE),INDEX(croprotn_LDLR_E_h,MATCH(RIGHT($F$1,1),rotation_heavy,0)),
IF(AND(ISNUMBER(SEARCH("L-Dsty.L-Res",$B29))=TRUE,ISNUMBER(SEARCH("N.",$B29))=TRUE,OR(ISNUMBER(SEARCH("heavy",$B29)),ISNUMBER(SEARCH("MEDIUM",$B29)))=TRUE),INDEX(croprotn_LDLR_N_h,MATCH(RIGHT($F$1,1),rotation_heavy,0)),
IF(AND(ISNUMBER(SEARCH("L-Dsty.L-Res",$B29))=TRUE,ISNUMBER(SEARCH("C.",$B29))=TRUE,OR(ISNUMBER(SEARCH("heavy",$B29)),ISNUMBER(SEARCH("MEDIUM",$B29)))=TRUE),INDEX(croprotn_LDLR_C_h,MATCH(RIGHT($F$1,1),rotation_heavy,0)),
IF(AND(ISNUMBER(SEARCH("H-Dsty.H-Res",$B29))=TRUE,ISNUMBER(SEARCH("E.",$B29))=TRUE,ISNUMBER(SEARCH("light",$B29))=TRUE),INDEX(croprotn_HDHR_E_l,MATCH(RIGHT($F$1,1),rotation_light,0)),
IF(AND(ISNUMBER(SEARCH("H-Dsty.H-Res",$B29))=TRUE,ISNUMBER(SEARCH("N.",$B29))=TRUE,ISNUMBER(SEARCH("light",$B29))=TRUE),INDEX(croprotn_HDHR_N_l,MATCH(RIGHT($F$1,1),rotation_light,0)),
IF(AND(ISNUMBER(SEARCH("H-Dsty.H-Res",$B29))=TRUE,ISNUMBER(SEARCH("C.",$B29))=TRUE,ISNUMBER(SEARCH("light",$B29))=TRUE),INDEX(croprotn_HDHR_C_l,MATCH(RIGHT($F$1,1),rotation_light,0)),
IF(AND(ISNUMBER(SEARCH("L-Dsty.H-Res",$B29))=TRUE,ISNUMBER(SEARCH("E.",$B29))=TRUE,ISNUMBER(SEARCH("light",$B29))=TRUE),INDEX(croprotn_LDHR_E_l,MATCH(RIGHT($F$1,1),rotation_light,0)),
IF(AND(ISNUMBER(SEARCH("L-Dsty.H-Res",$B29))=TRUE,ISNUMBER(SEARCH("N.",$B29))=TRUE,ISNUMBER(SEARCH("light",$B29))=TRUE),INDEX(croprotn_LDHR_N_l,MATCH(RIGHT($F$1,1),rotation_light,0)),
IF(AND(ISNUMBER(SEARCH("L-Dsty.H-Res",$B29))=TRUE,ISNUMBER(SEARCH("C.",$B29))=TRUE,ISNUMBER(SEARCH("light",$B29))=TRUE),INDEX(croprotn_LDHR_C_l,MATCH(RIGHT($F$1,1),rotation_light,0)),
IF(AND(ISNUMBER(SEARCH("L-Dsty.L-Res",$B29))=TRUE,ISNUMBER(SEARCH("E.",$B29))=TRUE,ISNUMBER(SEARCH("light",$B29))=TRUE),INDEX(croprotn_LDLR_E_l,MATCH(RIGHT($F$1,1),rotation_light,0)),
IF(AND(ISNUMBER(SEARCH("L-Dsty.L-Res",$B29))=TRUE,ISNUMBER(SEARCH("N.",$B29))=TRUE,ISNUMBER(SEARCH("light",$B29))=TRUE),INDEX(croprotn_LDLR_N_l,MATCH(RIGHT($F$1,1),rotation_light,0)),
IF(AND(ISNUMBER(SEARCH("L-Dsty.L-Res",$B29))=TRUE,ISNUMBER(SEARCH("C.",$B29))=TRUE,ISNUMBER(SEARCH("light",$B29))=TRUE),INDEX(croprotn_LDLR_C_l,MATCH(RIGHT($F$1,1),rotation_light,0))
))))))))))))))))))</f>
        <v>winterwheat</v>
      </c>
      <c r="G29" s="234" t="str">
        <f t="shared" si="84"/>
        <v>winterbarley</v>
      </c>
      <c r="H29" s="234" t="str">
        <f t="shared" si="1"/>
        <v>springbeans</v>
      </c>
      <c r="I29" s="234" t="str">
        <f t="shared" si="2"/>
        <v>winterwheat</v>
      </c>
      <c r="J29" s="234" t="str">
        <f t="shared" si="3"/>
        <v>winterbarley</v>
      </c>
      <c r="K29" s="234" t="str">
        <f t="shared" si="4"/>
        <v>springbeans</v>
      </c>
      <c r="L29" s="154" t="str">
        <f t="shared" si="5"/>
        <v>lightcultivation</v>
      </c>
      <c r="M29" s="154" t="str">
        <f t="shared" si="6"/>
        <v>lightcultivation</v>
      </c>
      <c r="N29" s="154" t="str">
        <f t="shared" si="7"/>
        <v>lightcultivation</v>
      </c>
      <c r="O29" s="154" t="str">
        <f t="shared" si="8"/>
        <v>lightcultivation</v>
      </c>
      <c r="P29" s="154" t="str">
        <f t="shared" si="76"/>
        <v>lightcultivation</v>
      </c>
      <c r="Q29" s="154" t="str">
        <f t="shared" si="95"/>
        <v>lightcultivation</v>
      </c>
      <c r="R29" s="234">
        <f t="shared" si="86"/>
        <v>200</v>
      </c>
      <c r="S29" s="234">
        <f t="shared" si="10"/>
        <v>205</v>
      </c>
      <c r="T29" s="234">
        <f t="shared" si="11"/>
        <v>305</v>
      </c>
      <c r="U29" s="234">
        <f t="shared" si="87"/>
        <v>200</v>
      </c>
      <c r="V29" s="234">
        <f t="shared" si="13"/>
        <v>205</v>
      </c>
      <c r="W29" s="234">
        <f t="shared" si="14"/>
        <v>305</v>
      </c>
      <c r="X29" s="154" t="str">
        <f t="shared" si="15"/>
        <v>late</v>
      </c>
      <c r="Y29" s="154" t="str">
        <f t="shared" si="16"/>
        <v>no</v>
      </c>
      <c r="Z29" s="154" t="str">
        <f t="shared" si="17"/>
        <v>no</v>
      </c>
      <c r="AA29" s="154" t="str">
        <f t="shared" si="18"/>
        <v>late</v>
      </c>
      <c r="AB29" s="154" t="str">
        <f t="shared" si="19"/>
        <v>no</v>
      </c>
      <c r="AC29" s="154" t="str">
        <f t="shared" si="20"/>
        <v>no</v>
      </c>
      <c r="AD29" s="234">
        <f>IF(AND(ISNUMBER(SEARCH("H-Dsty.H-Res",$B29))=TRUE,ISNUMBER(SEARCH("E.",$B29))=TRUE),INDEX(fertrate_HDHR_E,MATCH($F29,fertrate_CROPS,0)),
IF(AND(ISNUMBER(SEARCH("H-Dsty.H-Res",$B29))=TRUE,ISNUMBER(SEARCH("N.",$B29))=TRUE),INDEX(fertrate_HDHR_N,MATCH($F29,fertrate_CROPS,0)),
IF(AND(ISNUMBER(SEARCH("H-Dsty.H-Res",$B29))=TRUE,ISNUMBER(SEARCH("C.",$B29))=TRUE),INDEX(fertrate_HDHR_C,MATCH($F29,fertrate_CROPS,0)),
IF(AND(ISNUMBER(SEARCH("L-Dsty.H-Res",$B29))=TRUE,ISNUMBER(SEARCH("E.",$B29))=TRUE),INDEX(fertrate_LDHR_E,MATCH($F29,fertrate_CROPS,0)),
IF(AND(ISNUMBER(SEARCH("L-Dsty.H-Res",$B29))=TRUE,ISNUMBER(SEARCH("N.",$B29))=TRUE),INDEX(fertrate_LDHR_N,MATCH($F29,fertrate_CROPS,0)),
IF(AND(ISNUMBER(SEARCH("L-Dsty.H-Res",$B29))=TRUE,ISNUMBER(SEARCH("C.",$B29))=TRUE),INDEX(fertrate_LDHR_C,MATCH($F29,fertrate_CROPS,0)),
IF(AND(ISNUMBER(SEARCH("L-Dsty.L-Res",$B29))=TRUE,ISNUMBER(SEARCH("E.",$B29))=TRUE),INDEX(fertrate_LDLR_E,MATCH($F29,fertrate_CROPS,0)),
IF(AND(ISNUMBER(SEARCH("L-Dsty.L-Res",$B29))=TRUE,ISNUMBER(SEARCH("N.",$B29))=TRUE),INDEX(fertrate_LDLR_N,MATCH($F29,fertrate_CROPS,0)),
IF(AND(ISNUMBER(SEARCH("L-Dsty.L-Res",$B29))=TRUE,ISNUMBER(SEARCH("C.",$B29))=TRUE),INDEX(fertrate_LDLR_C,MATCH($F29,fertrate_CROPS,0))
)))))))))</f>
        <v>220</v>
      </c>
      <c r="AE29" s="234">
        <f t="shared" si="85"/>
        <v>190</v>
      </c>
      <c r="AF29" s="234">
        <f t="shared" si="96"/>
        <v>0</v>
      </c>
      <c r="AG29" s="234">
        <f t="shared" si="88"/>
        <v>220</v>
      </c>
      <c r="AH29" s="234">
        <f t="shared" si="80"/>
        <v>190</v>
      </c>
      <c r="AI29" s="234">
        <f t="shared" si="97"/>
        <v>0</v>
      </c>
      <c r="AJ29" s="154">
        <f t="shared" si="23"/>
        <v>67</v>
      </c>
      <c r="AK29" s="154">
        <f t="shared" si="24"/>
        <v>58</v>
      </c>
      <c r="AL29" s="154">
        <f t="shared" si="25"/>
        <v>43</v>
      </c>
      <c r="AM29" s="154">
        <f t="shared" si="26"/>
        <v>67</v>
      </c>
      <c r="AN29" s="154">
        <f t="shared" si="27"/>
        <v>58</v>
      </c>
      <c r="AO29" s="154">
        <f t="shared" si="28"/>
        <v>43</v>
      </c>
      <c r="AP29" s="154">
        <f t="shared" si="29"/>
        <v>48</v>
      </c>
      <c r="AQ29" s="154">
        <f t="shared" si="30"/>
        <v>41</v>
      </c>
      <c r="AR29" s="154">
        <f t="shared" si="31"/>
        <v>47</v>
      </c>
      <c r="AS29" s="154">
        <f t="shared" si="32"/>
        <v>48</v>
      </c>
      <c r="AT29" s="154">
        <f t="shared" si="33"/>
        <v>41</v>
      </c>
      <c r="AU29" s="154">
        <f t="shared" si="34"/>
        <v>47</v>
      </c>
      <c r="AV29" s="234">
        <f t="shared" si="89"/>
        <v>9.3000000000000007</v>
      </c>
      <c r="AW29" s="234">
        <f t="shared" si="36"/>
        <v>4.5999999999999996</v>
      </c>
      <c r="AX29" s="234">
        <f t="shared" si="37"/>
        <v>5.35</v>
      </c>
      <c r="AY29" s="234">
        <f t="shared" si="90"/>
        <v>9.3000000000000007</v>
      </c>
      <c r="AZ29" s="234">
        <f t="shared" si="39"/>
        <v>4.5999999999999996</v>
      </c>
      <c r="BA29" s="234">
        <f t="shared" si="40"/>
        <v>5.35</v>
      </c>
      <c r="BB29" s="234">
        <f t="shared" si="41"/>
        <v>2</v>
      </c>
      <c r="BC29" s="234">
        <f t="shared" si="42"/>
        <v>2</v>
      </c>
      <c r="BD29" s="234">
        <f t="shared" si="43"/>
        <v>2</v>
      </c>
      <c r="BE29" s="234">
        <f t="shared" si="91"/>
        <v>2</v>
      </c>
      <c r="BF29" s="234">
        <f t="shared" si="45"/>
        <v>2</v>
      </c>
      <c r="BG29" s="234">
        <f t="shared" si="46"/>
        <v>2</v>
      </c>
      <c r="BH29" s="234">
        <f t="shared" si="47"/>
        <v>4</v>
      </c>
      <c r="BI29" s="234">
        <f t="shared" si="48"/>
        <v>3</v>
      </c>
      <c r="BJ29" s="234">
        <f t="shared" si="49"/>
        <v>3</v>
      </c>
      <c r="BK29" s="234">
        <f t="shared" si="92"/>
        <v>4</v>
      </c>
      <c r="BL29" s="234">
        <f t="shared" si="51"/>
        <v>3</v>
      </c>
      <c r="BM29" s="234">
        <f t="shared" si="52"/>
        <v>3</v>
      </c>
      <c r="BN29" s="154" t="s">
        <v>483</v>
      </c>
      <c r="BO29" s="154" t="str">
        <f t="shared" si="53"/>
        <v>medium</v>
      </c>
      <c r="BP29" s="154" t="str">
        <f t="shared" si="54"/>
        <v>low</v>
      </c>
      <c r="BQ29" s="154" t="str">
        <f t="shared" si="55"/>
        <v>low</v>
      </c>
      <c r="BR29" s="154" t="s">
        <v>18</v>
      </c>
      <c r="BS29" s="154" t="s">
        <v>18</v>
      </c>
      <c r="BT29" s="154" t="s">
        <v>18</v>
      </c>
      <c r="BU29" s="154">
        <f t="shared" si="56"/>
        <v>150</v>
      </c>
      <c r="BV29" s="154">
        <f t="shared" si="57"/>
        <v>138</v>
      </c>
      <c r="BW29" s="154">
        <f t="shared" si="58"/>
        <v>185</v>
      </c>
      <c r="BX29" s="154">
        <f t="shared" si="59"/>
        <v>150</v>
      </c>
      <c r="BY29" s="154">
        <f t="shared" si="60"/>
        <v>138</v>
      </c>
      <c r="BZ29" s="154">
        <f t="shared" si="61"/>
        <v>185</v>
      </c>
      <c r="CA29" s="356">
        <f t="array" ref="CA29">IF(yieldsetting1="estimate",0,INDEX(cropdata, MATCH(yieldsource,outputs,0), MATCH($F29,cropdatacrops,0)))</f>
        <v>0</v>
      </c>
      <c r="CB29" s="356">
        <f t="array" ref="CB29">IF(yieldsetting1="estimate",0,INDEX(cropdata, MATCH(yieldsource,outputs,0), MATCH($G29,cropdatacrops,0)))</f>
        <v>0</v>
      </c>
      <c r="CC29" s="356">
        <f t="array" ref="CC29">IF(yieldsetting1="estimate",0,INDEX(cropdata, MATCH(yieldsource,outputs,0), MATCH($H29,cropdatacrops,0)))</f>
        <v>0</v>
      </c>
      <c r="CD29" s="356">
        <f t="array" ref="CD29">IF(yieldsetting1="estimate",0,INDEX(cropdata, MATCH(yieldsource,outputs,0), MATCH($I29,cropdatacrops,0)))</f>
        <v>0</v>
      </c>
      <c r="CE29" s="356">
        <f t="array" ref="CE29">IF(yieldsetting1="estimate",0,INDEX(cropdata, MATCH(yieldsource,outputs,0), MATCH($J29,cropdatacrops,0)))</f>
        <v>0</v>
      </c>
      <c r="CF29" s="356">
        <f t="array" ref="CF29">IF(yieldsetting1="estimate",0,INDEX(cropdata, MATCH(yieldsource,outputs,0), MATCH($K29,cropdatacrops,0)))</f>
        <v>0</v>
      </c>
      <c r="CG29" s="154" t="str">
        <f t="shared" si="62"/>
        <v>estimate</v>
      </c>
      <c r="CH29" s="235">
        <f t="shared" si="63"/>
        <v>0.8</v>
      </c>
      <c r="CI29" s="235">
        <f t="shared" si="64"/>
        <v>0.72</v>
      </c>
      <c r="CJ29" s="154">
        <f t="shared" si="65"/>
        <v>0.46</v>
      </c>
      <c r="CK29" s="154">
        <f t="shared" si="66"/>
        <v>0.36</v>
      </c>
      <c r="CL29" s="154">
        <f t="shared" si="67"/>
        <v>0.36</v>
      </c>
      <c r="CM29" s="154">
        <f t="shared" si="68"/>
        <v>0.38</v>
      </c>
      <c r="CN29" s="154">
        <f t="shared" si="69"/>
        <v>0.36</v>
      </c>
      <c r="CO29" s="154">
        <f t="shared" si="70"/>
        <v>0.36</v>
      </c>
      <c r="CP29" s="154">
        <f t="shared" si="71"/>
        <v>0.38</v>
      </c>
      <c r="CQ29" s="154">
        <f t="shared" si="93"/>
        <v>19.5</v>
      </c>
      <c r="CR29" s="154">
        <f t="shared" si="93"/>
        <v>19.5</v>
      </c>
      <c r="CS29" s="154">
        <f t="shared" si="93"/>
        <v>19.5</v>
      </c>
      <c r="CT29" s="154">
        <f t="shared" si="93"/>
        <v>19.5</v>
      </c>
      <c r="CU29" s="154">
        <f t="shared" si="93"/>
        <v>19.5</v>
      </c>
      <c r="CV29" s="154">
        <f t="shared" si="93"/>
        <v>19.5</v>
      </c>
      <c r="CW29" s="154">
        <f t="shared" si="94"/>
        <v>2.4300000000000002</v>
      </c>
      <c r="CX29" s="154">
        <f t="shared" si="94"/>
        <v>2.4300000000000002</v>
      </c>
      <c r="CY29" s="154">
        <f t="shared" si="94"/>
        <v>2.4300000000000002</v>
      </c>
      <c r="CZ29" s="154">
        <f t="shared" si="94"/>
        <v>2.4300000000000002</v>
      </c>
      <c r="DA29" s="154">
        <f t="shared" si="94"/>
        <v>2.4300000000000002</v>
      </c>
      <c r="DB29" s="154">
        <f t="shared" si="94"/>
        <v>2.4300000000000002</v>
      </c>
      <c r="DC29" s="154">
        <v>102</v>
      </c>
      <c r="DD29" s="154">
        <v>6</v>
      </c>
      <c r="DE29" s="154">
        <v>4</v>
      </c>
      <c r="DF29" s="154">
        <v>1400</v>
      </c>
      <c r="DG29" s="154">
        <v>125</v>
      </c>
      <c r="DH29" s="154">
        <f t="shared" si="74"/>
        <v>0.625</v>
      </c>
      <c r="DI29" s="154">
        <f t="shared" si="75"/>
        <v>10.08</v>
      </c>
    </row>
    <row r="30" spans="1:113" x14ac:dyDescent="0.2">
      <c r="A30" s="332" t="s">
        <v>1738</v>
      </c>
      <c r="B30" s="333" t="s">
        <v>491</v>
      </c>
      <c r="C30" s="333" t="s">
        <v>1655</v>
      </c>
      <c r="D30" s="233" t="str">
        <f>IF(ISNUMBER(SEARCH("heavy",B30))=TRUE,"2.25",
IF(ISNUMBER(SEARCH("medium",B30))=TRUE,"1.5",
IF(ISNUMBER(SEARCH("light",B30))=TRUE,"0.75")))</f>
        <v>0.75</v>
      </c>
      <c r="E30" s="154">
        <v>6</v>
      </c>
      <c r="F30" s="234" t="str" cm="1">
        <f t="array" ref="F30">IF(AND(ISNUMBER(SEARCH("H-Dsty.H-Res",$B30))=TRUE,ISNUMBER(SEARCH("E.",$B30))=TRUE,OR(ISNUMBER(SEARCH("heavy",$B30)),ISNUMBER(SEARCH("MEDIUM",$B30)))=TRUE),INDEX(croprotn_HDHR_E_h,MATCH(RIGHT($F$1,1),rotation_heavy,0)),
IF(AND(ISNUMBER(SEARCH("H-Dsty.H-Res",$B30))=TRUE,ISNUMBER(SEARCH("N.",$B30))=TRUE,OR(ISNUMBER(SEARCH("heavy",$B30)),ISNUMBER(SEARCH("MEDIUM",$B30)))=TRUE),INDEX(croprotn_HDHR_N_h,MATCH(RIGHT($F$1,1),rotation_heavy,0)),
IF(AND(ISNUMBER(SEARCH("H-Dsty.H-Res",$B30))=TRUE,ISNUMBER(SEARCH("C.",$B30))=TRUE,OR(ISNUMBER(SEARCH("heavy",$B30)),ISNUMBER(SEARCH("MEDIUM",$B30)))=TRUE),INDEX(croprotn_HDHR_C_h,MATCH(RIGHT($F$1,1),rotation_heavy,0)),
IF(AND(ISNUMBER(SEARCH("L-Dsty.H-Res",$B30))=TRUE,ISNUMBER(SEARCH("E.",$B30))=TRUE,OR(ISNUMBER(SEARCH("heavy",$B30)),ISNUMBER(SEARCH("MEDIUM",$B30)))=TRUE),INDEX(croprotn_LDHR_E_h,MATCH(RIGHT($F$1,1),rotation_heavy,0)),
IF(AND(ISNUMBER(SEARCH("L-Dsty.H-Res",$B30))=TRUE,ISNUMBER(SEARCH("N.",$B30))=TRUE,OR(ISNUMBER(SEARCH("heavy",$B30)),ISNUMBER(SEARCH("MEDIUM",$B30)))=TRUE),INDEX(croprotn_LDHR_N_h,MATCH(RIGHT($F$1,1),rotation_heavy,0)),
IF(AND(ISNUMBER(SEARCH("L-Dsty.H-Res",$B30))=TRUE,ISNUMBER(SEARCH("C.",$B30))=TRUE,OR(ISNUMBER(SEARCH("heavy",$B30)),ISNUMBER(SEARCH("MEDIUM",$B30)))=TRUE),INDEX(croprotn_LDHR_C_h,MATCH(RIGHT($F$1,1),rotation_heavy,0)),
IF(AND(ISNUMBER(SEARCH("L-Dsty.L-Res",$B30))=TRUE,ISNUMBER(SEARCH("E.",$B30))=TRUE,OR(ISNUMBER(SEARCH("heavy",$B30)),ISNUMBER(SEARCH("MEDIUM",$B30)))=TRUE),INDEX(croprotn_LDLR_E_h,MATCH(RIGHT($F$1,1),rotation_heavy,0)),
IF(AND(ISNUMBER(SEARCH("L-Dsty.L-Res",$B30))=TRUE,ISNUMBER(SEARCH("N.",$B30))=TRUE,OR(ISNUMBER(SEARCH("heavy",$B30)),ISNUMBER(SEARCH("MEDIUM",$B30)))=TRUE),INDEX(croprotn_LDLR_N_h,MATCH(RIGHT($F$1,1),rotation_heavy,0)),
IF(AND(ISNUMBER(SEARCH("L-Dsty.L-Res",$B30))=TRUE,ISNUMBER(SEARCH("C.",$B30))=TRUE,OR(ISNUMBER(SEARCH("heavy",$B30)),ISNUMBER(SEARCH("MEDIUM",$B30)))=TRUE),INDEX(croprotn_LDLR_C_h,MATCH(RIGHT($F$1,1),rotation_heavy,0)),
IF(AND(ISNUMBER(SEARCH("H-Dsty.H-Res",$B30))=TRUE,ISNUMBER(SEARCH("E.",$B30))=TRUE,ISNUMBER(SEARCH("light",$B30))=TRUE),INDEX(croprotn_HDHR_E_l,MATCH(RIGHT($F$1,1),rotation_light,0)),
IF(AND(ISNUMBER(SEARCH("H-Dsty.H-Res",$B30))=TRUE,ISNUMBER(SEARCH("N.",$B30))=TRUE,ISNUMBER(SEARCH("light",$B30))=TRUE),INDEX(croprotn_HDHR_N_l,MATCH(RIGHT($F$1,1),rotation_light,0)),
IF(AND(ISNUMBER(SEARCH("H-Dsty.H-Res",$B30))=TRUE,ISNUMBER(SEARCH("C.",$B30))=TRUE,ISNUMBER(SEARCH("light",$B30))=TRUE),INDEX(croprotn_HDHR_C_l,MATCH(RIGHT($F$1,1),rotation_light,0)),
IF(AND(ISNUMBER(SEARCH("L-Dsty.H-Res",$B30))=TRUE,ISNUMBER(SEARCH("E.",$B30))=TRUE,ISNUMBER(SEARCH("light",$B30))=TRUE),INDEX(croprotn_LDHR_E_l,MATCH(RIGHT($F$1,1),rotation_light,0)),
IF(AND(ISNUMBER(SEARCH("L-Dsty.H-Res",$B30))=TRUE,ISNUMBER(SEARCH("N.",$B30))=TRUE,ISNUMBER(SEARCH("light",$B30))=TRUE),INDEX(croprotn_LDHR_N_l,MATCH(RIGHT($F$1,1),rotation_light,0)),
IF(AND(ISNUMBER(SEARCH("L-Dsty.H-Res",$B30))=TRUE,ISNUMBER(SEARCH("C.",$B30))=TRUE,ISNUMBER(SEARCH("light",$B30))=TRUE),INDEX(croprotn_LDHR_C_l,MATCH(RIGHT($F$1,1),rotation_light,0)),
IF(AND(ISNUMBER(SEARCH("L-Dsty.L-Res",$B30))=TRUE,ISNUMBER(SEARCH("E.",$B30))=TRUE,ISNUMBER(SEARCH("light",$B30))=TRUE),INDEX(croprotn_LDLR_E_l,MATCH(RIGHT($F$1,1),rotation_light,0)),
IF(AND(ISNUMBER(SEARCH("L-Dsty.L-Res",$B30))=TRUE,ISNUMBER(SEARCH("N.",$B30))=TRUE,ISNUMBER(SEARCH("light",$B30))=TRUE),INDEX(croprotn_LDLR_N_l,MATCH(RIGHT($F$1,1),rotation_light,0)),
IF(AND(ISNUMBER(SEARCH("L-Dsty.L-Res",$B30))=TRUE,ISNUMBER(SEARCH("C.",$B30))=TRUE,ISNUMBER(SEARCH("light",$B30))=TRUE),INDEX(croprotn_LDLR_C_l,MATCH(RIGHT($F$1,1),rotation_light,0))
))))))))))))))))))</f>
        <v>winterwheat</v>
      </c>
      <c r="G30" s="234" t="str">
        <f t="shared" si="84"/>
        <v>winterbarley</v>
      </c>
      <c r="H30" s="234" t="str">
        <f t="shared" si="1"/>
        <v>driedpeas</v>
      </c>
      <c r="I30" s="234" t="str">
        <f t="shared" si="2"/>
        <v>winterwheat</v>
      </c>
      <c r="J30" s="234" t="str">
        <f t="shared" si="3"/>
        <v>winterbarley</v>
      </c>
      <c r="K30" s="234" t="str">
        <f t="shared" si="4"/>
        <v>driedpeas</v>
      </c>
      <c r="L30" s="154" t="str">
        <f t="shared" si="5"/>
        <v>lightcultivation</v>
      </c>
      <c r="M30" s="154" t="str">
        <f t="shared" si="6"/>
        <v>lightcultivation</v>
      </c>
      <c r="N30" s="154" t="str">
        <f t="shared" si="7"/>
        <v>lightcultivation</v>
      </c>
      <c r="O30" s="154" t="str">
        <f t="shared" si="8"/>
        <v>lightcultivation</v>
      </c>
      <c r="P30" s="154" t="str">
        <f t="shared" si="76"/>
        <v>lightcultivation</v>
      </c>
      <c r="Q30" s="154" t="str">
        <f t="shared" si="95"/>
        <v>lightcultivation</v>
      </c>
      <c r="R30" s="234">
        <f t="shared" si="86"/>
        <v>200</v>
      </c>
      <c r="S30" s="234">
        <f t="shared" si="10"/>
        <v>205</v>
      </c>
      <c r="T30" s="234">
        <f t="shared" si="11"/>
        <v>300</v>
      </c>
      <c r="U30" s="234">
        <f t="shared" si="87"/>
        <v>200</v>
      </c>
      <c r="V30" s="234">
        <f t="shared" si="13"/>
        <v>205</v>
      </c>
      <c r="W30" s="234">
        <f t="shared" si="14"/>
        <v>300</v>
      </c>
      <c r="X30" s="154" t="str">
        <f t="shared" si="15"/>
        <v>late</v>
      </c>
      <c r="Y30" s="154" t="str">
        <f t="shared" si="16"/>
        <v>no</v>
      </c>
      <c r="Z30" s="154" t="str">
        <f t="shared" si="17"/>
        <v>no</v>
      </c>
      <c r="AA30" s="154" t="str">
        <f t="shared" si="18"/>
        <v>late</v>
      </c>
      <c r="AB30" s="154" t="str">
        <f t="shared" si="19"/>
        <v>no</v>
      </c>
      <c r="AC30" s="154" t="str">
        <f t="shared" si="20"/>
        <v>no</v>
      </c>
      <c r="AD30" s="345">
        <v>150</v>
      </c>
      <c r="AE30" s="234">
        <f t="shared" si="85"/>
        <v>190</v>
      </c>
      <c r="AF30" s="234">
        <f t="shared" si="96"/>
        <v>0</v>
      </c>
      <c r="AG30" s="345">
        <v>150</v>
      </c>
      <c r="AH30" s="234">
        <f t="shared" si="80"/>
        <v>190</v>
      </c>
      <c r="AI30" s="234">
        <f t="shared" si="97"/>
        <v>0</v>
      </c>
      <c r="AJ30" s="154">
        <f t="shared" si="23"/>
        <v>67</v>
      </c>
      <c r="AK30" s="154">
        <f t="shared" si="24"/>
        <v>58</v>
      </c>
      <c r="AL30" s="154">
        <f t="shared" si="25"/>
        <v>35</v>
      </c>
      <c r="AM30" s="154">
        <f t="shared" si="26"/>
        <v>67</v>
      </c>
      <c r="AN30" s="154">
        <f t="shared" si="27"/>
        <v>58</v>
      </c>
      <c r="AO30" s="154">
        <f t="shared" si="28"/>
        <v>35</v>
      </c>
      <c r="AP30" s="154">
        <f t="shared" si="29"/>
        <v>48</v>
      </c>
      <c r="AQ30" s="154">
        <f t="shared" si="30"/>
        <v>41</v>
      </c>
      <c r="AR30" s="154">
        <f t="shared" si="31"/>
        <v>40</v>
      </c>
      <c r="AS30" s="154">
        <f t="shared" si="32"/>
        <v>48</v>
      </c>
      <c r="AT30" s="154">
        <f t="shared" si="33"/>
        <v>41</v>
      </c>
      <c r="AU30" s="154">
        <f t="shared" si="34"/>
        <v>40</v>
      </c>
      <c r="AV30" s="234">
        <f t="shared" si="89"/>
        <v>9.3000000000000007</v>
      </c>
      <c r="AW30" s="234">
        <f t="shared" si="36"/>
        <v>4.5999999999999996</v>
      </c>
      <c r="AX30" s="234">
        <f t="shared" si="37"/>
        <v>6.5</v>
      </c>
      <c r="AY30" s="234">
        <f t="shared" si="90"/>
        <v>9.3000000000000007</v>
      </c>
      <c r="AZ30" s="234">
        <f t="shared" si="39"/>
        <v>4.5999999999999996</v>
      </c>
      <c r="BA30" s="234">
        <f t="shared" si="40"/>
        <v>6.5</v>
      </c>
      <c r="BB30" s="234">
        <f t="shared" si="41"/>
        <v>2</v>
      </c>
      <c r="BC30" s="234">
        <f t="shared" si="42"/>
        <v>2</v>
      </c>
      <c r="BD30" s="234">
        <f t="shared" si="43"/>
        <v>2</v>
      </c>
      <c r="BE30" s="234">
        <f t="shared" si="91"/>
        <v>2</v>
      </c>
      <c r="BF30" s="234">
        <f t="shared" si="45"/>
        <v>2</v>
      </c>
      <c r="BG30" s="234">
        <f t="shared" si="46"/>
        <v>2</v>
      </c>
      <c r="BH30" s="234">
        <f t="shared" si="47"/>
        <v>4</v>
      </c>
      <c r="BI30" s="234">
        <f t="shared" si="48"/>
        <v>3</v>
      </c>
      <c r="BJ30" s="234">
        <f t="shared" si="49"/>
        <v>3</v>
      </c>
      <c r="BK30" s="234">
        <f t="shared" si="92"/>
        <v>4</v>
      </c>
      <c r="BL30" s="234">
        <f t="shared" si="51"/>
        <v>3</v>
      </c>
      <c r="BM30" s="234">
        <f t="shared" si="52"/>
        <v>3</v>
      </c>
      <c r="BN30" s="154" t="s">
        <v>483</v>
      </c>
      <c r="BO30" s="154" t="str">
        <f t="shared" si="53"/>
        <v>low</v>
      </c>
      <c r="BP30" s="154" t="str">
        <f t="shared" si="54"/>
        <v>low</v>
      </c>
      <c r="BQ30" s="154" t="str">
        <f t="shared" si="55"/>
        <v>low</v>
      </c>
      <c r="BR30" s="154" t="s">
        <v>182</v>
      </c>
      <c r="BS30" s="154" t="s">
        <v>182</v>
      </c>
      <c r="BT30" s="154" t="s">
        <v>182</v>
      </c>
      <c r="BU30" s="154">
        <f t="shared" si="56"/>
        <v>150</v>
      </c>
      <c r="BV30" s="154">
        <f t="shared" si="57"/>
        <v>138</v>
      </c>
      <c r="BW30" s="154">
        <f t="shared" si="58"/>
        <v>225</v>
      </c>
      <c r="BX30" s="154">
        <f t="shared" si="59"/>
        <v>150</v>
      </c>
      <c r="BY30" s="154">
        <f t="shared" si="60"/>
        <v>138</v>
      </c>
      <c r="BZ30" s="154">
        <f t="shared" si="61"/>
        <v>225</v>
      </c>
      <c r="CA30" s="356">
        <f t="array" ref="CA30">IF(yieldsetting1="estimate",0,INDEX(cropdata, MATCH(yieldsource,outputs,0), MATCH($F30,cropdatacrops,0)))</f>
        <v>0</v>
      </c>
      <c r="CB30" s="356">
        <f t="array" ref="CB30">IF(yieldsetting1="estimate",0,INDEX(cropdata, MATCH(yieldsource,outputs,0), MATCH($G30,cropdatacrops,0)))</f>
        <v>0</v>
      </c>
      <c r="CC30" s="356">
        <f t="array" ref="CC30">IF(yieldsetting1="estimate",0,INDEX(cropdata, MATCH(yieldsource,outputs,0), MATCH($H30,cropdatacrops,0)))</f>
        <v>0</v>
      </c>
      <c r="CD30" s="356">
        <f t="array" ref="CD30">IF(yieldsetting1="estimate",0,INDEX(cropdata, MATCH(yieldsource,outputs,0), MATCH($I30,cropdatacrops,0)))</f>
        <v>0</v>
      </c>
      <c r="CE30" s="356">
        <f t="array" ref="CE30">IF(yieldsetting1="estimate",0,INDEX(cropdata, MATCH(yieldsource,outputs,0), MATCH($J30,cropdatacrops,0)))</f>
        <v>0</v>
      </c>
      <c r="CF30" s="356">
        <f t="array" ref="CF30">IF(yieldsetting1="estimate",0,INDEX(cropdata, MATCH(yieldsource,outputs,0), MATCH($K30,cropdatacrops,0)))</f>
        <v>0</v>
      </c>
      <c r="CG30" s="154" t="str">
        <f t="shared" si="62"/>
        <v>estimate</v>
      </c>
      <c r="CH30" s="235">
        <f t="shared" si="63"/>
        <v>0.8</v>
      </c>
      <c r="CI30" s="235">
        <f t="shared" si="64"/>
        <v>0.72</v>
      </c>
      <c r="CJ30" s="154">
        <f t="shared" si="65"/>
        <v>0.46</v>
      </c>
      <c r="CK30" s="154">
        <f t="shared" si="66"/>
        <v>0.36</v>
      </c>
      <c r="CL30" s="154">
        <f t="shared" si="67"/>
        <v>0.36</v>
      </c>
      <c r="CM30" s="154">
        <f t="shared" si="68"/>
        <v>0.47</v>
      </c>
      <c r="CN30" s="154">
        <f t="shared" si="69"/>
        <v>0.36</v>
      </c>
      <c r="CO30" s="154">
        <f t="shared" si="70"/>
        <v>0.36</v>
      </c>
      <c r="CP30" s="154">
        <f t="shared" si="71"/>
        <v>0.47</v>
      </c>
      <c r="CQ30" s="154">
        <f t="shared" si="93"/>
        <v>19.5</v>
      </c>
      <c r="CR30" s="154">
        <f t="shared" si="93"/>
        <v>19.5</v>
      </c>
      <c r="CS30" s="154">
        <f t="shared" si="93"/>
        <v>19.5</v>
      </c>
      <c r="CT30" s="154">
        <f t="shared" si="93"/>
        <v>19.5</v>
      </c>
      <c r="CU30" s="154">
        <f t="shared" si="93"/>
        <v>19.5</v>
      </c>
      <c r="CV30" s="154">
        <f t="shared" si="93"/>
        <v>19.5</v>
      </c>
      <c r="CW30" s="154">
        <f t="shared" si="94"/>
        <v>2.4300000000000002</v>
      </c>
      <c r="CX30" s="154">
        <f t="shared" si="94"/>
        <v>2.4300000000000002</v>
      </c>
      <c r="CY30" s="154">
        <f t="shared" si="94"/>
        <v>2.4300000000000002</v>
      </c>
      <c r="CZ30" s="154">
        <f t="shared" si="94"/>
        <v>2.4300000000000002</v>
      </c>
      <c r="DA30" s="154">
        <f t="shared" si="94"/>
        <v>2.4300000000000002</v>
      </c>
      <c r="DB30" s="154">
        <f t="shared" si="94"/>
        <v>2.4300000000000002</v>
      </c>
      <c r="DC30" s="154">
        <v>102</v>
      </c>
      <c r="DD30" s="154">
        <v>6</v>
      </c>
      <c r="DE30" s="154">
        <v>4</v>
      </c>
      <c r="DF30" s="154">
        <v>1400</v>
      </c>
      <c r="DG30" s="154">
        <v>125</v>
      </c>
      <c r="DH30" s="154">
        <f t="shared" si="74"/>
        <v>0.625</v>
      </c>
      <c r="DI30" s="154">
        <f t="shared" si="75"/>
        <v>10.08</v>
      </c>
    </row>
    <row r="31" spans="1:113" x14ac:dyDescent="0.2">
      <c r="A31" s="332" t="s">
        <v>1739</v>
      </c>
      <c r="B31" s="333" t="s">
        <v>491</v>
      </c>
      <c r="C31" s="333" t="s">
        <v>1656</v>
      </c>
      <c r="D31" s="233" t="str">
        <f>IF(ISNUMBER(SEARCH("heavy",B31))=TRUE,"2.25",
IF(ISNUMBER(SEARCH("medium",B31))=TRUE,"1.5",
IF(ISNUMBER(SEARCH("light",B31))=TRUE,"0.75")))</f>
        <v>0.75</v>
      </c>
      <c r="E31" s="154">
        <v>6</v>
      </c>
      <c r="F31" s="234" t="str" cm="1">
        <f t="array" ref="F31">IF(AND(ISNUMBER(SEARCH("H-Dsty.H-Res",$B31))=TRUE,ISNUMBER(SEARCH("E.",$B31))=TRUE,OR(ISNUMBER(SEARCH("heavy",$B31)),ISNUMBER(SEARCH("MEDIUM",$B31)))=TRUE),INDEX(croprotn_HDHR_E_h,MATCH(RIGHT($F$1,1),rotation_heavy,0)),
IF(AND(ISNUMBER(SEARCH("H-Dsty.H-Res",$B31))=TRUE,ISNUMBER(SEARCH("N.",$B31))=TRUE,OR(ISNUMBER(SEARCH("heavy",$B31)),ISNUMBER(SEARCH("MEDIUM",$B31)))=TRUE),INDEX(croprotn_HDHR_N_h,MATCH(RIGHT($F$1,1),rotation_heavy,0)),
IF(AND(ISNUMBER(SEARCH("H-Dsty.H-Res",$B31))=TRUE,ISNUMBER(SEARCH("C.",$B31))=TRUE,OR(ISNUMBER(SEARCH("heavy",$B31)),ISNUMBER(SEARCH("MEDIUM",$B31)))=TRUE),INDEX(croprotn_HDHR_C_h,MATCH(RIGHT($F$1,1),rotation_heavy,0)),
IF(AND(ISNUMBER(SEARCH("L-Dsty.H-Res",$B31))=TRUE,ISNUMBER(SEARCH("E.",$B31))=TRUE,OR(ISNUMBER(SEARCH("heavy",$B31)),ISNUMBER(SEARCH("MEDIUM",$B31)))=TRUE),INDEX(croprotn_LDHR_E_h,MATCH(RIGHT($F$1,1),rotation_heavy,0)),
IF(AND(ISNUMBER(SEARCH("L-Dsty.H-Res",$B31))=TRUE,ISNUMBER(SEARCH("N.",$B31))=TRUE,OR(ISNUMBER(SEARCH("heavy",$B31)),ISNUMBER(SEARCH("MEDIUM",$B31)))=TRUE),INDEX(croprotn_LDHR_N_h,MATCH(RIGHT($F$1,1),rotation_heavy,0)),
IF(AND(ISNUMBER(SEARCH("L-Dsty.H-Res",$B31))=TRUE,ISNUMBER(SEARCH("C.",$B31))=TRUE,OR(ISNUMBER(SEARCH("heavy",$B31)),ISNUMBER(SEARCH("MEDIUM",$B31)))=TRUE),INDEX(croprotn_LDHR_C_h,MATCH(RIGHT($F$1,1),rotation_heavy,0)),
IF(AND(ISNUMBER(SEARCH("L-Dsty.L-Res",$B31))=TRUE,ISNUMBER(SEARCH("E.",$B31))=TRUE,OR(ISNUMBER(SEARCH("heavy",$B31)),ISNUMBER(SEARCH("MEDIUM",$B31)))=TRUE),INDEX(croprotn_LDLR_E_h,MATCH(RIGHT($F$1,1),rotation_heavy,0)),
IF(AND(ISNUMBER(SEARCH("L-Dsty.L-Res",$B31))=TRUE,ISNUMBER(SEARCH("N.",$B31))=TRUE,OR(ISNUMBER(SEARCH("heavy",$B31)),ISNUMBER(SEARCH("MEDIUM",$B31)))=TRUE),INDEX(croprotn_LDLR_N_h,MATCH(RIGHT($F$1,1),rotation_heavy,0)),
IF(AND(ISNUMBER(SEARCH("L-Dsty.L-Res",$B31))=TRUE,ISNUMBER(SEARCH("C.",$B31))=TRUE,OR(ISNUMBER(SEARCH("heavy",$B31)),ISNUMBER(SEARCH("MEDIUM",$B31)))=TRUE),INDEX(croprotn_LDLR_C_h,MATCH(RIGHT($F$1,1),rotation_heavy,0)),
IF(AND(ISNUMBER(SEARCH("H-Dsty.H-Res",$B31))=TRUE,ISNUMBER(SEARCH("E.",$B31))=TRUE,ISNUMBER(SEARCH("light",$B31))=TRUE),INDEX(croprotn_HDHR_E_l,MATCH(RIGHT($F$1,1),rotation_light,0)),
IF(AND(ISNUMBER(SEARCH("H-Dsty.H-Res",$B31))=TRUE,ISNUMBER(SEARCH("N.",$B31))=TRUE,ISNUMBER(SEARCH("light",$B31))=TRUE),INDEX(croprotn_HDHR_N_l,MATCH(RIGHT($F$1,1),rotation_light,0)),
IF(AND(ISNUMBER(SEARCH("H-Dsty.H-Res",$B31))=TRUE,ISNUMBER(SEARCH("C.",$B31))=TRUE,ISNUMBER(SEARCH("light",$B31))=TRUE),INDEX(croprotn_HDHR_C_l,MATCH(RIGHT($F$1,1),rotation_light,0)),
IF(AND(ISNUMBER(SEARCH("L-Dsty.H-Res",$B31))=TRUE,ISNUMBER(SEARCH("E.",$B31))=TRUE,ISNUMBER(SEARCH("light",$B31))=TRUE),INDEX(croprotn_LDHR_E_l,MATCH(RIGHT($F$1,1),rotation_light,0)),
IF(AND(ISNUMBER(SEARCH("L-Dsty.H-Res",$B31))=TRUE,ISNUMBER(SEARCH("N.",$B31))=TRUE,ISNUMBER(SEARCH("light",$B31))=TRUE),INDEX(croprotn_LDHR_N_l,MATCH(RIGHT($F$1,1),rotation_light,0)),
IF(AND(ISNUMBER(SEARCH("L-Dsty.H-Res",$B31))=TRUE,ISNUMBER(SEARCH("C.",$B31))=TRUE,ISNUMBER(SEARCH("light",$B31))=TRUE),INDEX(croprotn_LDHR_C_l,MATCH(RIGHT($F$1,1),rotation_light,0)),
IF(AND(ISNUMBER(SEARCH("L-Dsty.L-Res",$B31))=TRUE,ISNUMBER(SEARCH("E.",$B31))=TRUE,ISNUMBER(SEARCH("light",$B31))=TRUE),INDEX(croprotn_LDLR_E_l,MATCH(RIGHT($F$1,1),rotation_light,0)),
IF(AND(ISNUMBER(SEARCH("L-Dsty.L-Res",$B31))=TRUE,ISNUMBER(SEARCH("N.",$B31))=TRUE,ISNUMBER(SEARCH("light",$B31))=TRUE),INDEX(croprotn_LDLR_N_l,MATCH(RIGHT($F$1,1),rotation_light,0)),
IF(AND(ISNUMBER(SEARCH("L-Dsty.L-Res",$B31))=TRUE,ISNUMBER(SEARCH("C.",$B31))=TRUE,ISNUMBER(SEARCH("light",$B31))=TRUE),INDEX(croprotn_LDLR_C_l,MATCH(RIGHT($F$1,1),rotation_light,0))
))))))))))))))))))</f>
        <v>winterwheat</v>
      </c>
      <c r="G31" s="234" t="str">
        <f t="shared" si="84"/>
        <v>winterbarley</v>
      </c>
      <c r="H31" s="234" t="str">
        <f t="shared" si="1"/>
        <v>driedpeas</v>
      </c>
      <c r="I31" s="234" t="str">
        <f t="shared" si="2"/>
        <v>winterwheat</v>
      </c>
      <c r="J31" s="234" t="str">
        <f t="shared" si="3"/>
        <v>winterbarley</v>
      </c>
      <c r="K31" s="234" t="str">
        <f t="shared" si="4"/>
        <v>driedpeas</v>
      </c>
      <c r="L31" s="154" t="str">
        <f t="shared" si="5"/>
        <v>lightcultivation</v>
      </c>
      <c r="M31" s="154" t="str">
        <f t="shared" si="6"/>
        <v>lightcultivation</v>
      </c>
      <c r="N31" s="154" t="str">
        <f t="shared" si="7"/>
        <v>lightcultivation</v>
      </c>
      <c r="O31" s="154" t="str">
        <f t="shared" si="8"/>
        <v>lightcultivation</v>
      </c>
      <c r="P31" s="154" t="str">
        <f t="shared" si="76"/>
        <v>lightcultivation</v>
      </c>
      <c r="Q31" s="154" t="str">
        <f t="shared" si="95"/>
        <v>lightcultivation</v>
      </c>
      <c r="R31" s="234">
        <f t="shared" si="86"/>
        <v>200</v>
      </c>
      <c r="S31" s="234">
        <f t="shared" si="10"/>
        <v>205</v>
      </c>
      <c r="T31" s="234">
        <f t="shared" si="11"/>
        <v>300</v>
      </c>
      <c r="U31" s="234">
        <f t="shared" si="87"/>
        <v>200</v>
      </c>
      <c r="V31" s="234">
        <f t="shared" si="13"/>
        <v>205</v>
      </c>
      <c r="W31" s="234">
        <f t="shared" si="14"/>
        <v>300</v>
      </c>
      <c r="X31" s="154" t="str">
        <f t="shared" si="15"/>
        <v>late</v>
      </c>
      <c r="Y31" s="154" t="str">
        <f t="shared" si="16"/>
        <v>no</v>
      </c>
      <c r="Z31" s="154" t="str">
        <f t="shared" si="17"/>
        <v>no</v>
      </c>
      <c r="AA31" s="154" t="str">
        <f t="shared" si="18"/>
        <v>late</v>
      </c>
      <c r="AB31" s="154" t="str">
        <f t="shared" si="19"/>
        <v>no</v>
      </c>
      <c r="AC31" s="154" t="str">
        <f t="shared" si="20"/>
        <v>no</v>
      </c>
      <c r="AD31" s="345">
        <v>150</v>
      </c>
      <c r="AE31" s="234">
        <f t="shared" si="85"/>
        <v>190</v>
      </c>
      <c r="AF31" s="234">
        <f t="shared" si="96"/>
        <v>0</v>
      </c>
      <c r="AG31" s="345">
        <v>150</v>
      </c>
      <c r="AH31" s="234">
        <f t="shared" si="80"/>
        <v>190</v>
      </c>
      <c r="AI31" s="234">
        <f t="shared" si="97"/>
        <v>0</v>
      </c>
      <c r="AJ31" s="154">
        <f t="shared" si="23"/>
        <v>67</v>
      </c>
      <c r="AK31" s="154">
        <f t="shared" si="24"/>
        <v>58</v>
      </c>
      <c r="AL31" s="154">
        <f t="shared" si="25"/>
        <v>35</v>
      </c>
      <c r="AM31" s="154">
        <f t="shared" si="26"/>
        <v>67</v>
      </c>
      <c r="AN31" s="154">
        <f t="shared" si="27"/>
        <v>58</v>
      </c>
      <c r="AO31" s="154">
        <f t="shared" si="28"/>
        <v>35</v>
      </c>
      <c r="AP31" s="154">
        <f t="shared" si="29"/>
        <v>48</v>
      </c>
      <c r="AQ31" s="154">
        <f t="shared" si="30"/>
        <v>41</v>
      </c>
      <c r="AR31" s="154">
        <f t="shared" si="31"/>
        <v>40</v>
      </c>
      <c r="AS31" s="154">
        <f t="shared" si="32"/>
        <v>48</v>
      </c>
      <c r="AT31" s="154">
        <f t="shared" si="33"/>
        <v>41</v>
      </c>
      <c r="AU31" s="154">
        <f t="shared" si="34"/>
        <v>40</v>
      </c>
      <c r="AV31" s="234">
        <f t="shared" si="89"/>
        <v>9.3000000000000007</v>
      </c>
      <c r="AW31" s="234">
        <f t="shared" si="36"/>
        <v>4.5999999999999996</v>
      </c>
      <c r="AX31" s="234">
        <f t="shared" si="37"/>
        <v>6.5</v>
      </c>
      <c r="AY31" s="234">
        <f t="shared" si="90"/>
        <v>9.3000000000000007</v>
      </c>
      <c r="AZ31" s="234">
        <f t="shared" si="39"/>
        <v>4.5999999999999996</v>
      </c>
      <c r="BA31" s="234">
        <f t="shared" si="40"/>
        <v>6.5</v>
      </c>
      <c r="BB31" s="234">
        <f t="shared" si="41"/>
        <v>2</v>
      </c>
      <c r="BC31" s="234">
        <f t="shared" si="42"/>
        <v>2</v>
      </c>
      <c r="BD31" s="234">
        <f t="shared" si="43"/>
        <v>2</v>
      </c>
      <c r="BE31" s="234">
        <f t="shared" si="91"/>
        <v>2</v>
      </c>
      <c r="BF31" s="234">
        <f t="shared" si="45"/>
        <v>2</v>
      </c>
      <c r="BG31" s="234">
        <f t="shared" si="46"/>
        <v>2</v>
      </c>
      <c r="BH31" s="234">
        <f t="shared" si="47"/>
        <v>4</v>
      </c>
      <c r="BI31" s="234">
        <f t="shared" si="48"/>
        <v>3</v>
      </c>
      <c r="BJ31" s="234">
        <f t="shared" si="49"/>
        <v>3</v>
      </c>
      <c r="BK31" s="234">
        <f t="shared" si="92"/>
        <v>4</v>
      </c>
      <c r="BL31" s="234">
        <f t="shared" si="51"/>
        <v>3</v>
      </c>
      <c r="BM31" s="234">
        <f t="shared" si="52"/>
        <v>3</v>
      </c>
      <c r="BN31" s="154" t="s">
        <v>483</v>
      </c>
      <c r="BO31" s="154" t="str">
        <f t="shared" si="53"/>
        <v>medium</v>
      </c>
      <c r="BP31" s="154" t="str">
        <f t="shared" si="54"/>
        <v>low</v>
      </c>
      <c r="BQ31" s="154" t="str">
        <f t="shared" si="55"/>
        <v>low</v>
      </c>
      <c r="BR31" s="154" t="s">
        <v>183</v>
      </c>
      <c r="BS31" s="154" t="s">
        <v>183</v>
      </c>
      <c r="BT31" s="154" t="s">
        <v>183</v>
      </c>
      <c r="BU31" s="154">
        <f t="shared" si="56"/>
        <v>150</v>
      </c>
      <c r="BV31" s="154">
        <f t="shared" si="57"/>
        <v>138</v>
      </c>
      <c r="BW31" s="154">
        <f t="shared" si="58"/>
        <v>225</v>
      </c>
      <c r="BX31" s="154">
        <f t="shared" si="59"/>
        <v>150</v>
      </c>
      <c r="BY31" s="154">
        <f t="shared" si="60"/>
        <v>138</v>
      </c>
      <c r="BZ31" s="154">
        <f t="shared" si="61"/>
        <v>225</v>
      </c>
      <c r="CA31" s="356">
        <f t="array" ref="CA31">IF(yieldsetting1="estimate",0,INDEX(cropdata, MATCH(yieldsource,outputs,0), MATCH($F31,cropdatacrops,0)))</f>
        <v>0</v>
      </c>
      <c r="CB31" s="356">
        <f t="array" ref="CB31">IF(yieldsetting1="estimate",0,INDEX(cropdata, MATCH(yieldsource,outputs,0), MATCH($G31,cropdatacrops,0)))</f>
        <v>0</v>
      </c>
      <c r="CC31" s="356">
        <f t="array" ref="CC31">IF(yieldsetting1="estimate",0,INDEX(cropdata, MATCH(yieldsource,outputs,0), MATCH($H31,cropdatacrops,0)))</f>
        <v>0</v>
      </c>
      <c r="CD31" s="356">
        <f t="array" ref="CD31">IF(yieldsetting1="estimate",0,INDEX(cropdata, MATCH(yieldsource,outputs,0), MATCH($I31,cropdatacrops,0)))</f>
        <v>0</v>
      </c>
      <c r="CE31" s="356">
        <f t="array" ref="CE31">IF(yieldsetting1="estimate",0,INDEX(cropdata, MATCH(yieldsource,outputs,0), MATCH($J31,cropdatacrops,0)))</f>
        <v>0</v>
      </c>
      <c r="CF31" s="356">
        <f t="array" ref="CF31">IF(yieldsetting1="estimate",0,INDEX(cropdata, MATCH(yieldsource,outputs,0), MATCH($K31,cropdatacrops,0)))</f>
        <v>0</v>
      </c>
      <c r="CG31" s="154" t="str">
        <f t="shared" si="62"/>
        <v>estimate</v>
      </c>
      <c r="CH31" s="235">
        <f t="shared" si="63"/>
        <v>0.8</v>
      </c>
      <c r="CI31" s="235">
        <f t="shared" si="64"/>
        <v>0.72</v>
      </c>
      <c r="CJ31" s="154">
        <f t="shared" si="65"/>
        <v>0.46</v>
      </c>
      <c r="CK31" s="154">
        <f t="shared" si="66"/>
        <v>0.36</v>
      </c>
      <c r="CL31" s="154">
        <f t="shared" si="67"/>
        <v>0.36</v>
      </c>
      <c r="CM31" s="154">
        <f t="shared" si="68"/>
        <v>0.47</v>
      </c>
      <c r="CN31" s="154">
        <f t="shared" si="69"/>
        <v>0.36</v>
      </c>
      <c r="CO31" s="154">
        <f t="shared" si="70"/>
        <v>0.36</v>
      </c>
      <c r="CP31" s="154">
        <f t="shared" si="71"/>
        <v>0.47</v>
      </c>
      <c r="CQ31" s="154">
        <f t="shared" si="93"/>
        <v>19.5</v>
      </c>
      <c r="CR31" s="154">
        <f t="shared" si="93"/>
        <v>19.5</v>
      </c>
      <c r="CS31" s="154">
        <f t="shared" si="93"/>
        <v>19.5</v>
      </c>
      <c r="CT31" s="154">
        <f t="shared" si="93"/>
        <v>19.5</v>
      </c>
      <c r="CU31" s="154">
        <f t="shared" si="93"/>
        <v>19.5</v>
      </c>
      <c r="CV31" s="154">
        <f t="shared" si="93"/>
        <v>19.5</v>
      </c>
      <c r="CW31" s="154">
        <f t="shared" si="94"/>
        <v>2.4300000000000002</v>
      </c>
      <c r="CX31" s="154">
        <f t="shared" si="94"/>
        <v>2.4300000000000002</v>
      </c>
      <c r="CY31" s="154">
        <f t="shared" si="94"/>
        <v>2.4300000000000002</v>
      </c>
      <c r="CZ31" s="154">
        <f t="shared" si="94"/>
        <v>2.4300000000000002</v>
      </c>
      <c r="DA31" s="154">
        <f t="shared" si="94"/>
        <v>2.4300000000000002</v>
      </c>
      <c r="DB31" s="154">
        <f t="shared" si="94"/>
        <v>2.4300000000000002</v>
      </c>
      <c r="DC31" s="154">
        <v>102</v>
      </c>
      <c r="DD31" s="154">
        <v>6</v>
      </c>
      <c r="DE31" s="154">
        <v>4</v>
      </c>
      <c r="DF31" s="154">
        <v>1400</v>
      </c>
      <c r="DG31" s="154">
        <v>125</v>
      </c>
      <c r="DH31" s="154">
        <f t="shared" si="74"/>
        <v>0.625</v>
      </c>
      <c r="DI31" s="154">
        <f t="shared" si="75"/>
        <v>10.08</v>
      </c>
    </row>
    <row r="32" spans="1:113" x14ac:dyDescent="0.2">
      <c r="A32" s="332" t="s">
        <v>1740</v>
      </c>
      <c r="B32" s="333" t="s">
        <v>494</v>
      </c>
      <c r="C32" s="333" t="s">
        <v>1664</v>
      </c>
      <c r="D32" s="233" t="str">
        <f>IF(ISNUMBER(SEARCH("heavy",B32))=TRUE,"2.25",
IF(ISNUMBER(SEARCH("medium",B32))=TRUE,"1.5",
IF(ISNUMBER(SEARCH("light",B32))=TRUE,"0.75")))</f>
        <v>2.25</v>
      </c>
      <c r="E32" s="154">
        <v>6</v>
      </c>
      <c r="F32" s="234" t="str" cm="1">
        <f t="array" ref="F32">IF(AND(ISNUMBER(SEARCH("H-Dsty.H-Res",$B32))=TRUE,ISNUMBER(SEARCH("E.",$B32))=TRUE,OR(ISNUMBER(SEARCH("heavy",$B32)),ISNUMBER(SEARCH("MEDIUM",$B32)))=TRUE),INDEX(croprotn_HDHR_E_h,MATCH(RIGHT($F$1,1),rotation_heavy,0)),
IF(AND(ISNUMBER(SEARCH("H-Dsty.H-Res",$B32))=TRUE,ISNUMBER(SEARCH("N.",$B32))=TRUE,OR(ISNUMBER(SEARCH("heavy",$B32)),ISNUMBER(SEARCH("MEDIUM",$B32)))=TRUE),INDEX(croprotn_HDHR_N_h,MATCH(RIGHT($F$1,1),rotation_heavy,0)),
IF(AND(ISNUMBER(SEARCH("H-Dsty.H-Res",$B32))=TRUE,ISNUMBER(SEARCH("C.",$B32))=TRUE,OR(ISNUMBER(SEARCH("heavy",$B32)),ISNUMBER(SEARCH("MEDIUM",$B32)))=TRUE),INDEX(croprotn_HDHR_C_h,MATCH(RIGHT($F$1,1),rotation_heavy,0)),
IF(AND(ISNUMBER(SEARCH("L-Dsty.H-Res",$B32))=TRUE,ISNUMBER(SEARCH("E.",$B32))=TRUE,OR(ISNUMBER(SEARCH("heavy",$B32)),ISNUMBER(SEARCH("MEDIUM",$B32)))=TRUE),INDEX(croprotn_LDHR_E_h,MATCH(RIGHT($F$1,1),rotation_heavy,0)),
IF(AND(ISNUMBER(SEARCH("L-Dsty.H-Res",$B32))=TRUE,ISNUMBER(SEARCH("N.",$B32))=TRUE,OR(ISNUMBER(SEARCH("heavy",$B32)),ISNUMBER(SEARCH("MEDIUM",$B32)))=TRUE),INDEX(croprotn_LDHR_N_h,MATCH(RIGHT($F$1,1),rotation_heavy,0)),
IF(AND(ISNUMBER(SEARCH("L-Dsty.H-Res",$B32))=TRUE,ISNUMBER(SEARCH("C.",$B32))=TRUE,OR(ISNUMBER(SEARCH("heavy",$B32)),ISNUMBER(SEARCH("MEDIUM",$B32)))=TRUE),INDEX(croprotn_LDHR_C_h,MATCH(RIGHT($F$1,1),rotation_heavy,0)),
IF(AND(ISNUMBER(SEARCH("L-Dsty.L-Res",$B32))=TRUE,ISNUMBER(SEARCH("E.",$B32))=TRUE,OR(ISNUMBER(SEARCH("heavy",$B32)),ISNUMBER(SEARCH("MEDIUM",$B32)))=TRUE),INDEX(croprotn_LDLR_E_h,MATCH(RIGHT($F$1,1),rotation_heavy,0)),
IF(AND(ISNUMBER(SEARCH("L-Dsty.L-Res",$B32))=TRUE,ISNUMBER(SEARCH("N.",$B32))=TRUE,OR(ISNUMBER(SEARCH("heavy",$B32)),ISNUMBER(SEARCH("MEDIUM",$B32)))=TRUE),INDEX(croprotn_LDLR_N_h,MATCH(RIGHT($F$1,1),rotation_heavy,0)),
IF(AND(ISNUMBER(SEARCH("L-Dsty.L-Res",$B32))=TRUE,ISNUMBER(SEARCH("C.",$B32))=TRUE,OR(ISNUMBER(SEARCH("heavy",$B32)),ISNUMBER(SEARCH("MEDIUM",$B32)))=TRUE),INDEX(croprotn_LDLR_C_h,MATCH(RIGHT($F$1,1),rotation_heavy,0)),
IF(AND(ISNUMBER(SEARCH("H-Dsty.H-Res",$B32))=TRUE,ISNUMBER(SEARCH("E.",$B32))=TRUE,ISNUMBER(SEARCH("light",$B32))=TRUE),INDEX(croprotn_HDHR_E_l,MATCH(RIGHT($F$1,1),rotation_light,0)),
IF(AND(ISNUMBER(SEARCH("H-Dsty.H-Res",$B32))=TRUE,ISNUMBER(SEARCH("N.",$B32))=TRUE,ISNUMBER(SEARCH("light",$B32))=TRUE),INDEX(croprotn_HDHR_N_l,MATCH(RIGHT($F$1,1),rotation_light,0)),
IF(AND(ISNUMBER(SEARCH("H-Dsty.H-Res",$B32))=TRUE,ISNUMBER(SEARCH("C.",$B32))=TRUE,ISNUMBER(SEARCH("light",$B32))=TRUE),INDEX(croprotn_HDHR_C_l,MATCH(RIGHT($F$1,1),rotation_light,0)),
IF(AND(ISNUMBER(SEARCH("L-Dsty.H-Res",$B32))=TRUE,ISNUMBER(SEARCH("E.",$B32))=TRUE,ISNUMBER(SEARCH("light",$B32))=TRUE),INDEX(croprotn_LDHR_E_l,MATCH(RIGHT($F$1,1),rotation_light,0)),
IF(AND(ISNUMBER(SEARCH("L-Dsty.H-Res",$B32))=TRUE,ISNUMBER(SEARCH("N.",$B32))=TRUE,ISNUMBER(SEARCH("light",$B32))=TRUE),INDEX(croprotn_LDHR_N_l,MATCH(RIGHT($F$1,1),rotation_light,0)),
IF(AND(ISNUMBER(SEARCH("L-Dsty.H-Res",$B32))=TRUE,ISNUMBER(SEARCH("C.",$B32))=TRUE,ISNUMBER(SEARCH("light",$B32))=TRUE),INDEX(croprotn_LDHR_C_l,MATCH(RIGHT($F$1,1),rotation_light,0)),
IF(AND(ISNUMBER(SEARCH("L-Dsty.L-Res",$B32))=TRUE,ISNUMBER(SEARCH("E.",$B32))=TRUE,ISNUMBER(SEARCH("light",$B32))=TRUE),INDEX(croprotn_LDLR_E_l,MATCH(RIGHT($F$1,1),rotation_light,0)),
IF(AND(ISNUMBER(SEARCH("L-Dsty.L-Res",$B32))=TRUE,ISNUMBER(SEARCH("N.",$B32))=TRUE,ISNUMBER(SEARCH("light",$B32))=TRUE),INDEX(croprotn_LDLR_N_l,MATCH(RIGHT($F$1,1),rotation_light,0)),
IF(AND(ISNUMBER(SEARCH("L-Dsty.L-Res",$B32))=TRUE,ISNUMBER(SEARCH("C.",$B32))=TRUE,ISNUMBER(SEARCH("light",$B32))=TRUE),INDEX(croprotn_LDLR_C_l,MATCH(RIGHT($F$1,1),rotation_light,0))
))))))))))))))))))</f>
        <v>winterwheat</v>
      </c>
      <c r="G32" s="234" t="str">
        <f t="shared" si="84"/>
        <v>springbarley</v>
      </c>
      <c r="H32" s="234" t="str">
        <f t="shared" si="1"/>
        <v>wosr</v>
      </c>
      <c r="I32" s="234" t="str">
        <f t="shared" si="2"/>
        <v>winterwheat</v>
      </c>
      <c r="J32" s="234" t="str">
        <f t="shared" si="3"/>
        <v>springbarley</v>
      </c>
      <c r="K32" s="234" t="str">
        <f t="shared" si="4"/>
        <v>wosr</v>
      </c>
      <c r="L32" s="154" t="str">
        <f t="shared" si="5"/>
        <v>inversion</v>
      </c>
      <c r="M32" s="154" t="str">
        <f t="shared" si="6"/>
        <v>minimumtillage</v>
      </c>
      <c r="N32" s="154" t="str">
        <f t="shared" si="7"/>
        <v>directdrilling</v>
      </c>
      <c r="O32" s="263" t="s">
        <v>259</v>
      </c>
      <c r="P32" s="154" t="str">
        <f t="shared" si="76"/>
        <v>minimumtillage</v>
      </c>
      <c r="Q32" s="154" t="str">
        <f t="shared" si="95"/>
        <v>directdrilling</v>
      </c>
      <c r="R32" s="234">
        <f t="shared" si="86"/>
        <v>200</v>
      </c>
      <c r="S32" s="234">
        <f t="shared" si="10"/>
        <v>200</v>
      </c>
      <c r="T32" s="234">
        <f t="shared" si="11"/>
        <v>3.2</v>
      </c>
      <c r="U32" s="234">
        <f t="shared" si="87"/>
        <v>200</v>
      </c>
      <c r="V32" s="234">
        <f t="shared" si="13"/>
        <v>200</v>
      </c>
      <c r="W32" s="234">
        <f t="shared" si="14"/>
        <v>3.2</v>
      </c>
      <c r="X32" s="154" t="str">
        <f t="shared" si="15"/>
        <v>late</v>
      </c>
      <c r="Y32" s="154" t="str">
        <f t="shared" si="16"/>
        <v>late</v>
      </c>
      <c r="Z32" s="154" t="str">
        <f t="shared" si="17"/>
        <v>no</v>
      </c>
      <c r="AA32" s="154" t="str">
        <f t="shared" si="18"/>
        <v>late</v>
      </c>
      <c r="AB32" s="154" t="str">
        <f t="shared" si="19"/>
        <v>late</v>
      </c>
      <c r="AC32" s="154" t="str">
        <f t="shared" si="20"/>
        <v>no</v>
      </c>
      <c r="AD32" s="234">
        <f>IF(AND(ISNUMBER(SEARCH("H-Dsty.H-Res",$B32))=TRUE,ISNUMBER(SEARCH("E.",$B32))=TRUE),INDEX(fertrate_HDHR_E,MATCH($F32,fertrate_CROPS,0)),
IF(AND(ISNUMBER(SEARCH("H-Dsty.H-Res",$B32))=TRUE,ISNUMBER(SEARCH("N.",$B32))=TRUE),INDEX(fertrate_HDHR_N,MATCH($F32,fertrate_CROPS,0)),
IF(AND(ISNUMBER(SEARCH("H-Dsty.H-Res",$B32))=TRUE,ISNUMBER(SEARCH("C.",$B32))=TRUE),INDEX(fertrate_HDHR_C,MATCH($F32,fertrate_CROPS,0)),
IF(AND(ISNUMBER(SEARCH("L-Dsty.H-Res",$B32))=TRUE,ISNUMBER(SEARCH("E.",$B32))=TRUE),INDEX(fertrate_LDHR_E,MATCH($F32,fertrate_CROPS,0)),
IF(AND(ISNUMBER(SEARCH("L-Dsty.H-Res",$B32))=TRUE,ISNUMBER(SEARCH("N.",$B32))=TRUE),INDEX(fertrate_LDHR_N,MATCH($F32,fertrate_CROPS,0)),
IF(AND(ISNUMBER(SEARCH("L-Dsty.H-Res",$B32))=TRUE,ISNUMBER(SEARCH("C.",$B32))=TRUE),INDEX(fertrate_LDHR_C,MATCH($F32,fertrate_CROPS,0)),
IF(AND(ISNUMBER(SEARCH("L-Dsty.L-Res",$B32))=TRUE,ISNUMBER(SEARCH("E.",$B32))=TRUE),INDEX(fertrate_LDLR_E,MATCH($F32,fertrate_CROPS,0)),
IF(AND(ISNUMBER(SEARCH("L-Dsty.L-Res",$B32))=TRUE,ISNUMBER(SEARCH("N.",$B32))=TRUE),INDEX(fertrate_LDLR_N,MATCH($F32,fertrate_CROPS,0)),
IF(AND(ISNUMBER(SEARCH("L-Dsty.L-Res",$B32))=TRUE,ISNUMBER(SEARCH("C.",$B32))=TRUE),INDEX(fertrate_LDLR_C,MATCH($F32,fertrate_CROPS,0))
)))))))))</f>
        <v>220</v>
      </c>
      <c r="AE32" s="234">
        <f t="shared" si="85"/>
        <v>110</v>
      </c>
      <c r="AF32" s="234">
        <f t="shared" si="96"/>
        <v>180</v>
      </c>
      <c r="AG32" s="234">
        <f>IF(AND(ISNUMBER(SEARCH("H-Dsty.",$B32))=TRUE,ISNUMBER(SEARCH("H-Res",$B32))=TRUE,ISNUMBER(SEARCH("E.",$B32))=TRUE),INDEX(fertrate_HDHR_E,MATCH($I32,fertrate_CROPS,0)),
IF(AND(ISNUMBER(SEARCH("H-Dsty.",$B32))=TRUE,ISNUMBER(SEARCH("H-Res",$B32))=TRUE,ISNUMBER(SEARCH("N.",$B32))=TRUE),INDEX(fertrate_HDHR_N,MATCH($I32,fertrate_CROPS,0)),
IF(AND(ISNUMBER(SEARCH("H-Dsty.",$B32))=TRUE,ISNUMBER(SEARCH("H-Res",$B32))=TRUE,ISNUMBER(SEARCH("C.",$B32))=TRUE),INDEX(fertrate_HDHR_C,MATCH($I32,fertrate_CROPS,0)),
IF(AND(ISNUMBER(SEARCH("L-Dsty.",$B32))=TRUE,ISNUMBER(SEARCH("H-Res",$B32))=TRUE,ISNUMBER(SEARCH("E.",$B32))=TRUE),INDEX(fertrate_LDHR_E,MATCH($I32,fertrate_CROPS,0)),
IF(AND(ISNUMBER(SEARCH("L-Dsty.",$B32))=TRUE,ISNUMBER(SEARCH("H-Res",$B32))=TRUE,ISNUMBER(SEARCH("N.",$B32))=TRUE),INDEX(fertrate_LDHR_N,MATCH($I32,fertrate_CROPS,0)),
IF(AND(ISNUMBER(SEARCH("L-Dsty.",$B32))=TRUE,ISNUMBER(SEARCH("H-Res",$B32))=TRUE,ISNUMBER(SEARCH("C.",$B32))=TRUE),INDEX(fertrate_LDHR_C,MATCH($I32,fertrate_CROPS,0)),
IF(AND(ISNUMBER(SEARCH("L-Dsty.",$B32))=TRUE,ISNUMBER(SEARCH("L-Res",$B32))=TRUE,ISNUMBER(SEARCH("E.",$B32))=TRUE),INDEX(fertrate_LDLR_E,MATCH($I32,fertrate_CROPS,0)),
IF(AND(ISNUMBER(SEARCH("L-Dsty.",$B32))=TRUE,ISNUMBER(SEARCH("L-Res",$B32))=TRUE,ISNUMBER(SEARCH("N.",$B32))=TRUE),INDEX(fertrate_LDLR_N,MATCH($I32,fertrate_CROPS,0)),
IF(AND(ISNUMBER(SEARCH("L-Dsty.",$B32))=TRUE,ISNUMBER(SEARCH("L-Res",$B32))=TRUE,ISNUMBER(SEARCH("C.",$B32))=TRUE),INDEX(fertrate_LDLR_C,MATCH($I32,fertrate_CROPS,0))
)))))))))</f>
        <v>220</v>
      </c>
      <c r="AH32" s="234">
        <f t="shared" si="80"/>
        <v>110</v>
      </c>
      <c r="AI32" s="234">
        <f t="shared" si="97"/>
        <v>180</v>
      </c>
      <c r="AJ32" s="154">
        <f t="shared" si="23"/>
        <v>67</v>
      </c>
      <c r="AK32" s="154">
        <f t="shared" si="24"/>
        <v>44</v>
      </c>
      <c r="AL32" s="154">
        <f t="shared" si="25"/>
        <v>49</v>
      </c>
      <c r="AM32" s="154">
        <f t="shared" si="26"/>
        <v>67</v>
      </c>
      <c r="AN32" s="154">
        <f t="shared" si="27"/>
        <v>44</v>
      </c>
      <c r="AO32" s="154">
        <f t="shared" si="28"/>
        <v>49</v>
      </c>
      <c r="AP32" s="154">
        <f t="shared" si="29"/>
        <v>48</v>
      </c>
      <c r="AQ32" s="154">
        <f t="shared" si="30"/>
        <v>32</v>
      </c>
      <c r="AR32" s="154">
        <f t="shared" si="31"/>
        <v>39</v>
      </c>
      <c r="AS32" s="154">
        <f t="shared" si="32"/>
        <v>48</v>
      </c>
      <c r="AT32" s="154">
        <f t="shared" si="33"/>
        <v>32</v>
      </c>
      <c r="AU32" s="154">
        <f t="shared" si="34"/>
        <v>39</v>
      </c>
      <c r="AV32" s="234">
        <f t="shared" si="89"/>
        <v>2.9</v>
      </c>
      <c r="AW32" s="234">
        <f t="shared" si="36"/>
        <v>0.4</v>
      </c>
      <c r="AX32" s="234">
        <f t="shared" si="37"/>
        <v>7.7</v>
      </c>
      <c r="AY32" s="234">
        <f t="shared" si="90"/>
        <v>2.9</v>
      </c>
      <c r="AZ32" s="234">
        <f t="shared" si="39"/>
        <v>0.4</v>
      </c>
      <c r="BA32" s="234">
        <f t="shared" si="40"/>
        <v>7.7</v>
      </c>
      <c r="BB32" s="234">
        <f t="shared" si="41"/>
        <v>4.3</v>
      </c>
      <c r="BC32" s="234">
        <f t="shared" si="42"/>
        <v>8</v>
      </c>
      <c r="BD32" s="234">
        <f t="shared" si="43"/>
        <v>0</v>
      </c>
      <c r="BE32" s="234">
        <f t="shared" si="91"/>
        <v>4.3</v>
      </c>
      <c r="BF32" s="234">
        <f t="shared" si="45"/>
        <v>8</v>
      </c>
      <c r="BG32" s="234">
        <f t="shared" si="46"/>
        <v>0</v>
      </c>
      <c r="BH32" s="234">
        <f t="shared" si="47"/>
        <v>5</v>
      </c>
      <c r="BI32" s="234">
        <f t="shared" si="48"/>
        <v>5</v>
      </c>
      <c r="BJ32" s="234">
        <f t="shared" si="49"/>
        <v>4</v>
      </c>
      <c r="BK32" s="234">
        <f t="shared" si="92"/>
        <v>5</v>
      </c>
      <c r="BL32" s="234">
        <f t="shared" si="51"/>
        <v>5</v>
      </c>
      <c r="BM32" s="234">
        <f t="shared" si="52"/>
        <v>4</v>
      </c>
      <c r="BN32" s="154" t="s">
        <v>483</v>
      </c>
      <c r="BO32" s="154" t="str">
        <f t="shared" si="53"/>
        <v>low</v>
      </c>
      <c r="BP32" s="154" t="str">
        <f t="shared" si="54"/>
        <v>low</v>
      </c>
      <c r="BQ32" s="154" t="str">
        <f t="shared" si="55"/>
        <v>low</v>
      </c>
      <c r="BR32" s="154" t="s">
        <v>18</v>
      </c>
      <c r="BS32" s="154" t="s">
        <v>18</v>
      </c>
      <c r="BT32" s="154" t="s">
        <v>18</v>
      </c>
      <c r="BU32" s="154">
        <f t="shared" si="56"/>
        <v>150</v>
      </c>
      <c r="BV32" s="154">
        <f t="shared" si="57"/>
        <v>157</v>
      </c>
      <c r="BW32" s="154">
        <f t="shared" si="58"/>
        <v>335</v>
      </c>
      <c r="BX32" s="154">
        <f t="shared" si="59"/>
        <v>150</v>
      </c>
      <c r="BY32" s="154">
        <f t="shared" si="60"/>
        <v>157</v>
      </c>
      <c r="BZ32" s="154">
        <f t="shared" si="61"/>
        <v>335</v>
      </c>
      <c r="CA32" s="356">
        <f t="array" ref="CA32">IF(yieldsetting1="estimate",0,INDEX(cropdata, MATCH(yieldsource,outputs,0), MATCH($F32,cropdatacrops,0)))</f>
        <v>0</v>
      </c>
      <c r="CB32" s="356">
        <f t="array" ref="CB32">IF(yieldsetting1="estimate",0,INDEX(cropdata, MATCH(yieldsource,outputs,0), MATCH($G32,cropdatacrops,0)))</f>
        <v>0</v>
      </c>
      <c r="CC32" s="356">
        <f t="array" ref="CC32">IF(yieldsetting1="estimate",0,INDEX(cropdata, MATCH(yieldsource,outputs,0), MATCH($H32,cropdatacrops,0)))</f>
        <v>0</v>
      </c>
      <c r="CD32" s="356">
        <f t="array" ref="CD32">IF(yieldsetting1="estimate",0,INDEX(cropdata, MATCH(yieldsource,outputs,0), MATCH($I32,cropdatacrops,0)))</f>
        <v>0</v>
      </c>
      <c r="CE32" s="356">
        <f t="array" ref="CE32">IF(yieldsetting1="estimate",0,INDEX(cropdata, MATCH(yieldsource,outputs,0), MATCH($J32,cropdatacrops,0)))</f>
        <v>0</v>
      </c>
      <c r="CF32" s="356">
        <f t="array" ref="CF32">IF(yieldsetting1="estimate",0,INDEX(cropdata, MATCH(yieldsource,outputs,0), MATCH($K32,cropdatacrops,0)))</f>
        <v>0</v>
      </c>
      <c r="CG32" s="154" t="str">
        <f t="shared" si="62"/>
        <v>estimate</v>
      </c>
      <c r="CH32" s="235">
        <f t="shared" si="63"/>
        <v>0.8</v>
      </c>
      <c r="CI32" s="235">
        <f t="shared" si="64"/>
        <v>0.72</v>
      </c>
      <c r="CJ32" s="154">
        <f t="shared" si="65"/>
        <v>0.46</v>
      </c>
      <c r="CK32" s="154">
        <f t="shared" si="66"/>
        <v>0.36</v>
      </c>
      <c r="CL32" s="154">
        <f t="shared" si="67"/>
        <v>0.38</v>
      </c>
      <c r="CM32" s="154">
        <f t="shared" si="68"/>
        <v>7.34</v>
      </c>
      <c r="CN32" s="154">
        <f t="shared" si="69"/>
        <v>0.36</v>
      </c>
      <c r="CO32" s="154">
        <f t="shared" si="70"/>
        <v>0.38</v>
      </c>
      <c r="CP32" s="154">
        <f t="shared" si="71"/>
        <v>7.34</v>
      </c>
      <c r="CQ32" s="154">
        <f t="shared" ref="CQ32:CV41" si="98">herbprice</f>
        <v>19.5</v>
      </c>
      <c r="CR32" s="154">
        <f t="shared" si="98"/>
        <v>19.5</v>
      </c>
      <c r="CS32" s="154">
        <f t="shared" si="98"/>
        <v>19.5</v>
      </c>
      <c r="CT32" s="154">
        <f t="shared" si="98"/>
        <v>19.5</v>
      </c>
      <c r="CU32" s="154">
        <f t="shared" si="98"/>
        <v>19.5</v>
      </c>
      <c r="CV32" s="154">
        <f t="shared" si="98"/>
        <v>19.5</v>
      </c>
      <c r="CW32" s="154">
        <f t="shared" ref="CW32:DB41" si="99">glyprice</f>
        <v>2.4300000000000002</v>
      </c>
      <c r="CX32" s="154">
        <f t="shared" si="99"/>
        <v>2.4300000000000002</v>
      </c>
      <c r="CY32" s="154">
        <f t="shared" si="99"/>
        <v>2.4300000000000002</v>
      </c>
      <c r="CZ32" s="154">
        <f t="shared" si="99"/>
        <v>2.4300000000000002</v>
      </c>
      <c r="DA32" s="154">
        <f t="shared" si="99"/>
        <v>2.4300000000000002</v>
      </c>
      <c r="DB32" s="154">
        <f t="shared" si="99"/>
        <v>2.4300000000000002</v>
      </c>
      <c r="DC32" s="154">
        <v>102</v>
      </c>
      <c r="DD32" s="154">
        <v>6</v>
      </c>
      <c r="DE32" s="154">
        <v>4</v>
      </c>
      <c r="DF32" s="154">
        <v>1400</v>
      </c>
      <c r="DG32" s="154">
        <v>125</v>
      </c>
      <c r="DH32" s="154">
        <f t="shared" si="74"/>
        <v>0.625</v>
      </c>
      <c r="DI32" s="154">
        <f t="shared" si="75"/>
        <v>10.08</v>
      </c>
    </row>
    <row r="33" spans="1:113" x14ac:dyDescent="0.2">
      <c r="A33" s="332" t="s">
        <v>1741</v>
      </c>
      <c r="B33" s="333" t="s">
        <v>494</v>
      </c>
      <c r="C33" s="333" t="s">
        <v>1639</v>
      </c>
      <c r="D33" s="233" t="str">
        <f>IF(ISNUMBER(SEARCH("heavy",B33))=TRUE,"2.25",
IF(ISNUMBER(SEARCH("medium",B33))=TRUE,"1.5",
IF(ISNUMBER(SEARCH("light",B33))=TRUE,"0.75")))</f>
        <v>2.25</v>
      </c>
      <c r="E33" s="154">
        <v>6</v>
      </c>
      <c r="F33" s="234" t="str" cm="1">
        <f t="array" ref="F33">IF(AND(ISNUMBER(SEARCH("H-Dsty.H-Res",$B33))=TRUE,ISNUMBER(SEARCH("E.",$B33))=TRUE,OR(ISNUMBER(SEARCH("heavy",$B33)),ISNUMBER(SEARCH("MEDIUM",$B33)))=TRUE),INDEX(croprotn_HDHR_E_h,MATCH(RIGHT($F$1,1),rotation_heavy,0)),
IF(AND(ISNUMBER(SEARCH("H-Dsty.H-Res",$B33))=TRUE,ISNUMBER(SEARCH("N.",$B33))=TRUE,OR(ISNUMBER(SEARCH("heavy",$B33)),ISNUMBER(SEARCH("MEDIUM",$B33)))=TRUE),INDEX(croprotn_HDHR_N_h,MATCH(RIGHT($F$1,1),rotation_heavy,0)),
IF(AND(ISNUMBER(SEARCH("H-Dsty.H-Res",$B33))=TRUE,ISNUMBER(SEARCH("C.",$B33))=TRUE,OR(ISNUMBER(SEARCH("heavy",$B33)),ISNUMBER(SEARCH("MEDIUM",$B33)))=TRUE),INDEX(croprotn_HDHR_C_h,MATCH(RIGHT($F$1,1),rotation_heavy,0)),
IF(AND(ISNUMBER(SEARCH("L-Dsty.H-Res",$B33))=TRUE,ISNUMBER(SEARCH("E.",$B33))=TRUE,OR(ISNUMBER(SEARCH("heavy",$B33)),ISNUMBER(SEARCH("MEDIUM",$B33)))=TRUE),INDEX(croprotn_LDHR_E_h,MATCH(RIGHT($F$1,1),rotation_heavy,0)),
IF(AND(ISNUMBER(SEARCH("L-Dsty.H-Res",$B33))=TRUE,ISNUMBER(SEARCH("N.",$B33))=TRUE,OR(ISNUMBER(SEARCH("heavy",$B33)),ISNUMBER(SEARCH("MEDIUM",$B33)))=TRUE),INDEX(croprotn_LDHR_N_h,MATCH(RIGHT($F$1,1),rotation_heavy,0)),
IF(AND(ISNUMBER(SEARCH("L-Dsty.H-Res",$B33))=TRUE,ISNUMBER(SEARCH("C.",$B33))=TRUE,OR(ISNUMBER(SEARCH("heavy",$B33)),ISNUMBER(SEARCH("MEDIUM",$B33)))=TRUE),INDEX(croprotn_LDHR_C_h,MATCH(RIGHT($F$1,1),rotation_heavy,0)),
IF(AND(ISNUMBER(SEARCH("L-Dsty.L-Res",$B33))=TRUE,ISNUMBER(SEARCH("E.",$B33))=TRUE,OR(ISNUMBER(SEARCH("heavy",$B33)),ISNUMBER(SEARCH("MEDIUM",$B33)))=TRUE),INDEX(croprotn_LDLR_E_h,MATCH(RIGHT($F$1,1),rotation_heavy,0)),
IF(AND(ISNUMBER(SEARCH("L-Dsty.L-Res",$B33))=TRUE,ISNUMBER(SEARCH("N.",$B33))=TRUE,OR(ISNUMBER(SEARCH("heavy",$B33)),ISNUMBER(SEARCH("MEDIUM",$B33)))=TRUE),INDEX(croprotn_LDLR_N_h,MATCH(RIGHT($F$1,1),rotation_heavy,0)),
IF(AND(ISNUMBER(SEARCH("L-Dsty.L-Res",$B33))=TRUE,ISNUMBER(SEARCH("C.",$B33))=TRUE,OR(ISNUMBER(SEARCH("heavy",$B33)),ISNUMBER(SEARCH("MEDIUM",$B33)))=TRUE),INDEX(croprotn_LDLR_C_h,MATCH(RIGHT($F$1,1),rotation_heavy,0)),
IF(AND(ISNUMBER(SEARCH("H-Dsty.H-Res",$B33))=TRUE,ISNUMBER(SEARCH("E.",$B33))=TRUE,ISNUMBER(SEARCH("light",$B33))=TRUE),INDEX(croprotn_HDHR_E_l,MATCH(RIGHT($F$1,1),rotation_light,0)),
IF(AND(ISNUMBER(SEARCH("H-Dsty.H-Res",$B33))=TRUE,ISNUMBER(SEARCH("N.",$B33))=TRUE,ISNUMBER(SEARCH("light",$B33))=TRUE),INDEX(croprotn_HDHR_N_l,MATCH(RIGHT($F$1,1),rotation_light,0)),
IF(AND(ISNUMBER(SEARCH("H-Dsty.H-Res",$B33))=TRUE,ISNUMBER(SEARCH("C.",$B33))=TRUE,ISNUMBER(SEARCH("light",$B33))=TRUE),INDEX(croprotn_HDHR_C_l,MATCH(RIGHT($F$1,1),rotation_light,0)),
IF(AND(ISNUMBER(SEARCH("L-Dsty.H-Res",$B33))=TRUE,ISNUMBER(SEARCH("E.",$B33))=TRUE,ISNUMBER(SEARCH("light",$B33))=TRUE),INDEX(croprotn_LDHR_E_l,MATCH(RIGHT($F$1,1),rotation_light,0)),
IF(AND(ISNUMBER(SEARCH("L-Dsty.H-Res",$B33))=TRUE,ISNUMBER(SEARCH("N.",$B33))=TRUE,ISNUMBER(SEARCH("light",$B33))=TRUE),INDEX(croprotn_LDHR_N_l,MATCH(RIGHT($F$1,1),rotation_light,0)),
IF(AND(ISNUMBER(SEARCH("L-Dsty.H-Res",$B33))=TRUE,ISNUMBER(SEARCH("C.",$B33))=TRUE,ISNUMBER(SEARCH("light",$B33))=TRUE),INDEX(croprotn_LDHR_C_l,MATCH(RIGHT($F$1,1),rotation_light,0)),
IF(AND(ISNUMBER(SEARCH("L-Dsty.L-Res",$B33))=TRUE,ISNUMBER(SEARCH("E.",$B33))=TRUE,ISNUMBER(SEARCH("light",$B33))=TRUE),INDEX(croprotn_LDLR_E_l,MATCH(RIGHT($F$1,1),rotation_light,0)),
IF(AND(ISNUMBER(SEARCH("L-Dsty.L-Res",$B33))=TRUE,ISNUMBER(SEARCH("N.",$B33))=TRUE,ISNUMBER(SEARCH("light",$B33))=TRUE),INDEX(croprotn_LDLR_N_l,MATCH(RIGHT($F$1,1),rotation_light,0)),
IF(AND(ISNUMBER(SEARCH("L-Dsty.L-Res",$B33))=TRUE,ISNUMBER(SEARCH("C.",$B33))=TRUE,ISNUMBER(SEARCH("light",$B33))=TRUE),INDEX(croprotn_LDLR_C_l,MATCH(RIGHT($F$1,1),rotation_light,0))
))))))))))))))))))</f>
        <v>winterwheat</v>
      </c>
      <c r="G33" s="234" t="str">
        <f t="shared" si="84"/>
        <v>springbarley</v>
      </c>
      <c r="H33" s="234" t="str">
        <f t="shared" si="1"/>
        <v>wosr</v>
      </c>
      <c r="I33" s="234" t="str">
        <f t="shared" si="2"/>
        <v>winterwheat</v>
      </c>
      <c r="J33" s="234" t="str">
        <f t="shared" si="3"/>
        <v>springbarley</v>
      </c>
      <c r="K33" s="234" t="str">
        <f t="shared" si="4"/>
        <v>wosr</v>
      </c>
      <c r="L33" s="154" t="str">
        <f t="shared" si="5"/>
        <v>inversion</v>
      </c>
      <c r="M33" s="154" t="str">
        <f t="shared" si="6"/>
        <v>minimumtillage</v>
      </c>
      <c r="N33" s="154" t="str">
        <f t="shared" si="7"/>
        <v>directdrilling</v>
      </c>
      <c r="O33" s="263" t="s">
        <v>259</v>
      </c>
      <c r="P33" s="154" t="str">
        <f t="shared" si="76"/>
        <v>minimumtillage</v>
      </c>
      <c r="Q33" s="154" t="str">
        <f t="shared" si="95"/>
        <v>directdrilling</v>
      </c>
      <c r="R33" s="234">
        <f t="shared" si="86"/>
        <v>200</v>
      </c>
      <c r="S33" s="234">
        <f t="shared" si="10"/>
        <v>200</v>
      </c>
      <c r="T33" s="234">
        <f t="shared" si="11"/>
        <v>3.2</v>
      </c>
      <c r="U33" s="234">
        <f t="shared" si="87"/>
        <v>200</v>
      </c>
      <c r="V33" s="234">
        <f t="shared" si="13"/>
        <v>200</v>
      </c>
      <c r="W33" s="234">
        <f t="shared" si="14"/>
        <v>3.2</v>
      </c>
      <c r="X33" s="154" t="str">
        <f t="shared" si="15"/>
        <v>late</v>
      </c>
      <c r="Y33" s="154" t="str">
        <f t="shared" si="16"/>
        <v>late</v>
      </c>
      <c r="Z33" s="154" t="str">
        <f t="shared" si="17"/>
        <v>no</v>
      </c>
      <c r="AA33" s="154" t="str">
        <f t="shared" si="18"/>
        <v>late</v>
      </c>
      <c r="AB33" s="154" t="str">
        <f t="shared" si="19"/>
        <v>late</v>
      </c>
      <c r="AC33" s="154" t="str">
        <f t="shared" si="20"/>
        <v>no</v>
      </c>
      <c r="AD33" s="234">
        <f>IF(AND(ISNUMBER(SEARCH("H-Dsty.H-Res",$B33))=TRUE,ISNUMBER(SEARCH("E.",$B33))=TRUE),INDEX(fertrate_HDHR_E,MATCH($F33,fertrate_CROPS,0)),
IF(AND(ISNUMBER(SEARCH("H-Dsty.H-Res",$B33))=TRUE,ISNUMBER(SEARCH("N.",$B33))=TRUE),INDEX(fertrate_HDHR_N,MATCH($F33,fertrate_CROPS,0)),
IF(AND(ISNUMBER(SEARCH("H-Dsty.H-Res",$B33))=TRUE,ISNUMBER(SEARCH("C.",$B33))=TRUE),INDEX(fertrate_HDHR_C,MATCH($F33,fertrate_CROPS,0)),
IF(AND(ISNUMBER(SEARCH("L-Dsty.H-Res",$B33))=TRUE,ISNUMBER(SEARCH("E.",$B33))=TRUE),INDEX(fertrate_LDHR_E,MATCH($F33,fertrate_CROPS,0)),
IF(AND(ISNUMBER(SEARCH("L-Dsty.H-Res",$B33))=TRUE,ISNUMBER(SEARCH("N.",$B33))=TRUE),INDEX(fertrate_LDHR_N,MATCH($F33,fertrate_CROPS,0)),
IF(AND(ISNUMBER(SEARCH("L-Dsty.H-Res",$B33))=TRUE,ISNUMBER(SEARCH("C.",$B33))=TRUE),INDEX(fertrate_LDHR_C,MATCH($F33,fertrate_CROPS,0)),
IF(AND(ISNUMBER(SEARCH("L-Dsty.L-Res",$B33))=TRUE,ISNUMBER(SEARCH("E.",$B33))=TRUE),INDEX(fertrate_LDLR_E,MATCH($F33,fertrate_CROPS,0)),
IF(AND(ISNUMBER(SEARCH("L-Dsty.L-Res",$B33))=TRUE,ISNUMBER(SEARCH("N.",$B33))=TRUE),INDEX(fertrate_LDLR_N,MATCH($F33,fertrate_CROPS,0)),
IF(AND(ISNUMBER(SEARCH("L-Dsty.L-Res",$B33))=TRUE,ISNUMBER(SEARCH("C.",$B33))=TRUE),INDEX(fertrate_LDLR_C,MATCH($F33,fertrate_CROPS,0))
)))))))))</f>
        <v>220</v>
      </c>
      <c r="AE33" s="234">
        <f t="shared" si="85"/>
        <v>110</v>
      </c>
      <c r="AF33" s="234">
        <f t="shared" si="96"/>
        <v>180</v>
      </c>
      <c r="AG33" s="234">
        <f>IF(AND(ISNUMBER(SEARCH("H-Dsty.",$B33))=TRUE,ISNUMBER(SEARCH("H-Res",$B33))=TRUE,ISNUMBER(SEARCH("E.",$B33))=TRUE),INDEX(fertrate_HDHR_E,MATCH($I33,fertrate_CROPS,0)),
IF(AND(ISNUMBER(SEARCH("H-Dsty.",$B33))=TRUE,ISNUMBER(SEARCH("H-Res",$B33))=TRUE,ISNUMBER(SEARCH("N.",$B33))=TRUE),INDEX(fertrate_HDHR_N,MATCH($I33,fertrate_CROPS,0)),
IF(AND(ISNUMBER(SEARCH("H-Dsty.",$B33))=TRUE,ISNUMBER(SEARCH("H-Res",$B33))=TRUE,ISNUMBER(SEARCH("C.",$B33))=TRUE),INDEX(fertrate_HDHR_C,MATCH($I33,fertrate_CROPS,0)),
IF(AND(ISNUMBER(SEARCH("L-Dsty.",$B33))=TRUE,ISNUMBER(SEARCH("H-Res",$B33))=TRUE,ISNUMBER(SEARCH("E.",$B33))=TRUE),INDEX(fertrate_LDHR_E,MATCH($I33,fertrate_CROPS,0)),
IF(AND(ISNUMBER(SEARCH("L-Dsty.",$B33))=TRUE,ISNUMBER(SEARCH("H-Res",$B33))=TRUE,ISNUMBER(SEARCH("N.",$B33))=TRUE),INDEX(fertrate_LDHR_N,MATCH($I33,fertrate_CROPS,0)),
IF(AND(ISNUMBER(SEARCH("L-Dsty.",$B33))=TRUE,ISNUMBER(SEARCH("H-Res",$B33))=TRUE,ISNUMBER(SEARCH("C.",$B33))=TRUE),INDEX(fertrate_LDHR_C,MATCH($I33,fertrate_CROPS,0)),
IF(AND(ISNUMBER(SEARCH("L-Dsty.",$B33))=TRUE,ISNUMBER(SEARCH("L-Res",$B33))=TRUE,ISNUMBER(SEARCH("E.",$B33))=TRUE),INDEX(fertrate_LDLR_E,MATCH($I33,fertrate_CROPS,0)),
IF(AND(ISNUMBER(SEARCH("L-Dsty.",$B33))=TRUE,ISNUMBER(SEARCH("L-Res",$B33))=TRUE,ISNUMBER(SEARCH("N.",$B33))=TRUE),INDEX(fertrate_LDLR_N,MATCH($I33,fertrate_CROPS,0)),
IF(AND(ISNUMBER(SEARCH("L-Dsty.",$B33))=TRUE,ISNUMBER(SEARCH("L-Res",$B33))=TRUE,ISNUMBER(SEARCH("C.",$B33))=TRUE),INDEX(fertrate_LDLR_C,MATCH($I33,fertrate_CROPS,0))
)))))))))</f>
        <v>220</v>
      </c>
      <c r="AH33" s="234">
        <f t="shared" si="80"/>
        <v>110</v>
      </c>
      <c r="AI33" s="234">
        <f t="shared" si="97"/>
        <v>180</v>
      </c>
      <c r="AJ33" s="154">
        <f t="shared" si="23"/>
        <v>67</v>
      </c>
      <c r="AK33" s="154">
        <f t="shared" si="24"/>
        <v>44</v>
      </c>
      <c r="AL33" s="154">
        <f t="shared" si="25"/>
        <v>49</v>
      </c>
      <c r="AM33" s="154">
        <f t="shared" si="26"/>
        <v>67</v>
      </c>
      <c r="AN33" s="154">
        <f t="shared" si="27"/>
        <v>44</v>
      </c>
      <c r="AO33" s="154">
        <f t="shared" si="28"/>
        <v>49</v>
      </c>
      <c r="AP33" s="154">
        <f t="shared" si="29"/>
        <v>48</v>
      </c>
      <c r="AQ33" s="154">
        <f t="shared" si="30"/>
        <v>32</v>
      </c>
      <c r="AR33" s="154">
        <f t="shared" si="31"/>
        <v>39</v>
      </c>
      <c r="AS33" s="154">
        <f t="shared" si="32"/>
        <v>48</v>
      </c>
      <c r="AT33" s="154">
        <f t="shared" si="33"/>
        <v>32</v>
      </c>
      <c r="AU33" s="154">
        <f t="shared" si="34"/>
        <v>39</v>
      </c>
      <c r="AV33" s="234">
        <f t="shared" si="89"/>
        <v>2.9</v>
      </c>
      <c r="AW33" s="234">
        <f t="shared" si="36"/>
        <v>0.4</v>
      </c>
      <c r="AX33" s="234">
        <f t="shared" si="37"/>
        <v>7.7</v>
      </c>
      <c r="AY33" s="234">
        <f t="shared" si="90"/>
        <v>2.9</v>
      </c>
      <c r="AZ33" s="234">
        <f t="shared" si="39"/>
        <v>0.4</v>
      </c>
      <c r="BA33" s="234">
        <f t="shared" si="40"/>
        <v>7.7</v>
      </c>
      <c r="BB33" s="234">
        <f t="shared" si="41"/>
        <v>4.3</v>
      </c>
      <c r="BC33" s="234">
        <f t="shared" si="42"/>
        <v>8</v>
      </c>
      <c r="BD33" s="234">
        <f t="shared" si="43"/>
        <v>0</v>
      </c>
      <c r="BE33" s="234">
        <f t="shared" si="91"/>
        <v>4.3</v>
      </c>
      <c r="BF33" s="234">
        <f t="shared" si="45"/>
        <v>8</v>
      </c>
      <c r="BG33" s="234">
        <f t="shared" si="46"/>
        <v>0</v>
      </c>
      <c r="BH33" s="234">
        <f t="shared" si="47"/>
        <v>5</v>
      </c>
      <c r="BI33" s="234">
        <f t="shared" si="48"/>
        <v>5</v>
      </c>
      <c r="BJ33" s="234">
        <f t="shared" si="49"/>
        <v>4</v>
      </c>
      <c r="BK33" s="234">
        <f t="shared" si="92"/>
        <v>5</v>
      </c>
      <c r="BL33" s="234">
        <f t="shared" si="51"/>
        <v>5</v>
      </c>
      <c r="BM33" s="234">
        <f t="shared" si="52"/>
        <v>4</v>
      </c>
      <c r="BN33" s="154" t="s">
        <v>483</v>
      </c>
      <c r="BO33" s="154" t="str">
        <f t="shared" si="53"/>
        <v>medium</v>
      </c>
      <c r="BP33" s="154" t="str">
        <f t="shared" si="54"/>
        <v>low</v>
      </c>
      <c r="BQ33" s="154" t="str">
        <f t="shared" si="55"/>
        <v>low</v>
      </c>
      <c r="BR33" s="154" t="s">
        <v>182</v>
      </c>
      <c r="BS33" s="154" t="s">
        <v>182</v>
      </c>
      <c r="BT33" s="154" t="s">
        <v>182</v>
      </c>
      <c r="BU33" s="154">
        <f t="shared" si="56"/>
        <v>150</v>
      </c>
      <c r="BV33" s="154">
        <f t="shared" si="57"/>
        <v>157</v>
      </c>
      <c r="BW33" s="154">
        <f t="shared" si="58"/>
        <v>335</v>
      </c>
      <c r="BX33" s="154">
        <f t="shared" si="59"/>
        <v>150</v>
      </c>
      <c r="BY33" s="154">
        <f t="shared" si="60"/>
        <v>157</v>
      </c>
      <c r="BZ33" s="154">
        <f t="shared" si="61"/>
        <v>335</v>
      </c>
      <c r="CA33" s="356">
        <f t="array" ref="CA33">IF(yieldsetting1="estimate",0,INDEX(cropdata, MATCH(yieldsource,outputs,0), MATCH($F33,cropdatacrops,0)))</f>
        <v>0</v>
      </c>
      <c r="CB33" s="356">
        <f t="array" ref="CB33">IF(yieldsetting1="estimate",0,INDEX(cropdata, MATCH(yieldsource,outputs,0), MATCH($G33,cropdatacrops,0)))</f>
        <v>0</v>
      </c>
      <c r="CC33" s="356">
        <f t="array" ref="CC33">IF(yieldsetting1="estimate",0,INDEX(cropdata, MATCH(yieldsource,outputs,0), MATCH($H33,cropdatacrops,0)))</f>
        <v>0</v>
      </c>
      <c r="CD33" s="356">
        <f t="array" ref="CD33">IF(yieldsetting1="estimate",0,INDEX(cropdata, MATCH(yieldsource,outputs,0), MATCH($I33,cropdatacrops,0)))</f>
        <v>0</v>
      </c>
      <c r="CE33" s="356">
        <f t="array" ref="CE33">IF(yieldsetting1="estimate",0,INDEX(cropdata, MATCH(yieldsource,outputs,0), MATCH($J33,cropdatacrops,0)))</f>
        <v>0</v>
      </c>
      <c r="CF33" s="356">
        <f t="array" ref="CF33">IF(yieldsetting1="estimate",0,INDEX(cropdata, MATCH(yieldsource,outputs,0), MATCH($K33,cropdatacrops,0)))</f>
        <v>0</v>
      </c>
      <c r="CG33" s="154" t="str">
        <f t="shared" si="62"/>
        <v>estimate</v>
      </c>
      <c r="CH33" s="235">
        <f t="shared" si="63"/>
        <v>0.8</v>
      </c>
      <c r="CI33" s="235">
        <f t="shared" si="64"/>
        <v>0.72</v>
      </c>
      <c r="CJ33" s="154">
        <f t="shared" si="65"/>
        <v>0.46</v>
      </c>
      <c r="CK33" s="154">
        <f t="shared" si="66"/>
        <v>0.36</v>
      </c>
      <c r="CL33" s="154">
        <f t="shared" si="67"/>
        <v>0.38</v>
      </c>
      <c r="CM33" s="154">
        <f t="shared" si="68"/>
        <v>7.34</v>
      </c>
      <c r="CN33" s="154">
        <f t="shared" si="69"/>
        <v>0.36</v>
      </c>
      <c r="CO33" s="154">
        <f t="shared" si="70"/>
        <v>0.38</v>
      </c>
      <c r="CP33" s="154">
        <f t="shared" si="71"/>
        <v>7.34</v>
      </c>
      <c r="CQ33" s="154">
        <f t="shared" si="98"/>
        <v>19.5</v>
      </c>
      <c r="CR33" s="154">
        <f t="shared" si="98"/>
        <v>19.5</v>
      </c>
      <c r="CS33" s="154">
        <f t="shared" si="98"/>
        <v>19.5</v>
      </c>
      <c r="CT33" s="154">
        <f t="shared" si="98"/>
        <v>19.5</v>
      </c>
      <c r="CU33" s="154">
        <f t="shared" si="98"/>
        <v>19.5</v>
      </c>
      <c r="CV33" s="154">
        <f t="shared" si="98"/>
        <v>19.5</v>
      </c>
      <c r="CW33" s="154">
        <f t="shared" si="99"/>
        <v>2.4300000000000002</v>
      </c>
      <c r="CX33" s="154">
        <f t="shared" si="99"/>
        <v>2.4300000000000002</v>
      </c>
      <c r="CY33" s="154">
        <f t="shared" si="99"/>
        <v>2.4300000000000002</v>
      </c>
      <c r="CZ33" s="154">
        <f t="shared" si="99"/>
        <v>2.4300000000000002</v>
      </c>
      <c r="DA33" s="154">
        <f t="shared" si="99"/>
        <v>2.4300000000000002</v>
      </c>
      <c r="DB33" s="154">
        <f t="shared" si="99"/>
        <v>2.4300000000000002</v>
      </c>
      <c r="DC33" s="154">
        <v>102</v>
      </c>
      <c r="DD33" s="154">
        <v>6</v>
      </c>
      <c r="DE33" s="154">
        <v>4</v>
      </c>
      <c r="DF33" s="154">
        <v>1400</v>
      </c>
      <c r="DG33" s="154">
        <v>125</v>
      </c>
      <c r="DH33" s="154">
        <f t="shared" si="74"/>
        <v>0.625</v>
      </c>
      <c r="DI33" s="154">
        <f t="shared" si="75"/>
        <v>10.08</v>
      </c>
    </row>
    <row r="34" spans="1:113" x14ac:dyDescent="0.2">
      <c r="A34" s="332" t="s">
        <v>1742</v>
      </c>
      <c r="B34" s="333" t="s">
        <v>497</v>
      </c>
      <c r="C34" s="333" t="s">
        <v>1673</v>
      </c>
      <c r="D34" s="236" t="str">
        <f>IF(ISNUMBER(SEARCH("heavy",B34))=TRUE,"2.25",
IF(ISNUMBER(SEARCH("medium",B34))=TRUE,"1.50",
IF(ISNUMBER(SEARCH("light",B34))=TRUE,"0.75")))</f>
        <v>1.50</v>
      </c>
      <c r="E34" s="154">
        <v>6</v>
      </c>
      <c r="F34" s="234" t="str" cm="1">
        <f t="array" ref="F34">IF(AND(ISNUMBER(SEARCH("H-Dsty.H-Res",$B34))=TRUE,ISNUMBER(SEARCH("E.",$B34))=TRUE,OR(ISNUMBER(SEARCH("heavy",$B34)),ISNUMBER(SEARCH("MEDIUM",$B34)))=TRUE),INDEX(croprotn_HDHR_E_h,MATCH(RIGHT($F$1,1),rotation_heavy,0)),
IF(AND(ISNUMBER(SEARCH("H-Dsty.H-Res",$B34))=TRUE,ISNUMBER(SEARCH("N.",$B34))=TRUE,OR(ISNUMBER(SEARCH("heavy",$B34)),ISNUMBER(SEARCH("MEDIUM",$B34)))=TRUE),INDEX(croprotn_HDHR_N_h,MATCH(RIGHT($F$1,1),rotation_heavy,0)),
IF(AND(ISNUMBER(SEARCH("H-Dsty.H-Res",$B34))=TRUE,ISNUMBER(SEARCH("C.",$B34))=TRUE,OR(ISNUMBER(SEARCH("heavy",$B34)),ISNUMBER(SEARCH("MEDIUM",$B34)))=TRUE),INDEX(croprotn_HDHR_C_h,MATCH(RIGHT($F$1,1),rotation_heavy,0)),
IF(AND(ISNUMBER(SEARCH("L-Dsty.H-Res",$B34))=TRUE,ISNUMBER(SEARCH("E.",$B34))=TRUE,OR(ISNUMBER(SEARCH("heavy",$B34)),ISNUMBER(SEARCH("MEDIUM",$B34)))=TRUE),INDEX(croprotn_LDHR_E_h,MATCH(RIGHT($F$1,1),rotation_heavy,0)),
IF(AND(ISNUMBER(SEARCH("L-Dsty.H-Res",$B34))=TRUE,ISNUMBER(SEARCH("N.",$B34))=TRUE,OR(ISNUMBER(SEARCH("heavy",$B34)),ISNUMBER(SEARCH("MEDIUM",$B34)))=TRUE),INDEX(croprotn_LDHR_N_h,MATCH(RIGHT($F$1,1),rotation_heavy,0)),
IF(AND(ISNUMBER(SEARCH("L-Dsty.H-Res",$B34))=TRUE,ISNUMBER(SEARCH("C.",$B34))=TRUE,OR(ISNUMBER(SEARCH("heavy",$B34)),ISNUMBER(SEARCH("MEDIUM",$B34)))=TRUE),INDEX(croprotn_LDHR_C_h,MATCH(RIGHT($F$1,1),rotation_heavy,0)),
IF(AND(ISNUMBER(SEARCH("L-Dsty.L-Res",$B34))=TRUE,ISNUMBER(SEARCH("E.",$B34))=TRUE,OR(ISNUMBER(SEARCH("heavy",$B34)),ISNUMBER(SEARCH("MEDIUM",$B34)))=TRUE),INDEX(croprotn_LDLR_E_h,MATCH(RIGHT($F$1,1),rotation_heavy,0)),
IF(AND(ISNUMBER(SEARCH("L-Dsty.L-Res",$B34))=TRUE,ISNUMBER(SEARCH("N.",$B34))=TRUE,OR(ISNUMBER(SEARCH("heavy",$B34)),ISNUMBER(SEARCH("MEDIUM",$B34)))=TRUE),INDEX(croprotn_LDLR_N_h,MATCH(RIGHT($F$1,1),rotation_heavy,0)),
IF(AND(ISNUMBER(SEARCH("L-Dsty.L-Res",$B34))=TRUE,ISNUMBER(SEARCH("C.",$B34))=TRUE,OR(ISNUMBER(SEARCH("heavy",$B34)),ISNUMBER(SEARCH("MEDIUM",$B34)))=TRUE),INDEX(croprotn_LDLR_C_h,MATCH(RIGHT($F$1,1),rotation_heavy,0)),
IF(AND(ISNUMBER(SEARCH("H-Dsty.H-Res",$B34))=TRUE,ISNUMBER(SEARCH("E.",$B34))=TRUE,ISNUMBER(SEARCH("light",$B34))=TRUE),INDEX(croprotn_HDHR_E_l,MATCH(RIGHT($F$1,1),rotation_light,0)),
IF(AND(ISNUMBER(SEARCH("H-Dsty.H-Res",$B34))=TRUE,ISNUMBER(SEARCH("N.",$B34))=TRUE,ISNUMBER(SEARCH("light",$B34))=TRUE),INDEX(croprotn_HDHR_N_l,MATCH(RIGHT($F$1,1),rotation_light,0)),
IF(AND(ISNUMBER(SEARCH("H-Dsty.H-Res",$B34))=TRUE,ISNUMBER(SEARCH("C.",$B34))=TRUE,ISNUMBER(SEARCH("light",$B34))=TRUE),INDEX(croprotn_HDHR_C_l,MATCH(RIGHT($F$1,1),rotation_light,0)),
IF(AND(ISNUMBER(SEARCH("L-Dsty.H-Res",$B34))=TRUE,ISNUMBER(SEARCH("E.",$B34))=TRUE,ISNUMBER(SEARCH("light",$B34))=TRUE),INDEX(croprotn_LDHR_E_l,MATCH(RIGHT($F$1,1),rotation_light,0)),
IF(AND(ISNUMBER(SEARCH("L-Dsty.H-Res",$B34))=TRUE,ISNUMBER(SEARCH("N.",$B34))=TRUE,ISNUMBER(SEARCH("light",$B34))=TRUE),INDEX(croprotn_LDHR_N_l,MATCH(RIGHT($F$1,1),rotation_light,0)),
IF(AND(ISNUMBER(SEARCH("L-Dsty.H-Res",$B34))=TRUE,ISNUMBER(SEARCH("C.",$B34))=TRUE,ISNUMBER(SEARCH("light",$B34))=TRUE),INDEX(croprotn_LDHR_C_l,MATCH(RIGHT($F$1,1),rotation_light,0)),
IF(AND(ISNUMBER(SEARCH("L-Dsty.L-Res",$B34))=TRUE,ISNUMBER(SEARCH("E.",$B34))=TRUE,ISNUMBER(SEARCH("light",$B34))=TRUE),INDEX(croprotn_LDLR_E_l,MATCH(RIGHT($F$1,1),rotation_light,0)),
IF(AND(ISNUMBER(SEARCH("L-Dsty.L-Res",$B34))=TRUE,ISNUMBER(SEARCH("N.",$B34))=TRUE,ISNUMBER(SEARCH("light",$B34))=TRUE),INDEX(croprotn_LDLR_N_l,MATCH(RIGHT($F$1,1),rotation_light,0)),
IF(AND(ISNUMBER(SEARCH("L-Dsty.L-Res",$B34))=TRUE,ISNUMBER(SEARCH("C.",$B34))=TRUE,ISNUMBER(SEARCH("light",$B34))=TRUE),INDEX(croprotn_LDLR_C_l,MATCH(RIGHT($F$1,1),rotation_light,0))
))))))))))))))))))</f>
        <v>winterwheat</v>
      </c>
      <c r="G34" s="234" t="str">
        <f t="shared" si="84"/>
        <v>springbarley</v>
      </c>
      <c r="H34" s="234" t="str">
        <f t="shared" ref="H34:H55" si="100">IF(AND(ISNUMBER(SEARCH("H-Dsty.H-Res",$B34))=TRUE,ISNUMBER(SEARCH("E.",$B34))=TRUE,OR(ISNUMBER(SEARCH("heavy",$B34)),ISNUMBER(SEARCH("MEDIUM",$B34)))=TRUE),INDEX(croprotn_HDHR_E_h,MATCH(RIGHT($H$1,1),rotation_heavy,0)),
IF(AND(ISNUMBER(SEARCH("H-Dsty.H-Res",$B34))=TRUE,ISNUMBER(SEARCH("N.",$B34))=TRUE,OR(ISNUMBER(SEARCH("heavy",$B34)),ISNUMBER(SEARCH("MEDIUM",$B34)))=TRUE),INDEX(croprotn_HDHR_N_h,MATCH(RIGHT($H$1,1),rotation_heavy,0)),
IF(AND(ISNUMBER(SEARCH("H-Dsty.H-Res",$B34))=TRUE,ISNUMBER(SEARCH("C.",$B34))=TRUE,OR(ISNUMBER(SEARCH("heavy",$B34)),ISNUMBER(SEARCH("MEDIUM",$B34)))=TRUE),INDEX(croprotn_HDHR_C_h,MATCH(RIGHT($H$1,1),rotation_heavy,0)),
IF(AND(ISNUMBER(SEARCH("L-Dsty.H-Res",$B34))=TRUE,ISNUMBER(SEARCH("E.",$B34))=TRUE,OR(ISNUMBER(SEARCH("heavy",$B34)),ISNUMBER(SEARCH("MEDIUM",$B34)))=TRUE),INDEX(croprotn_LDHR_E_h,MATCH(RIGHT($H$1,1),rotation_heavy,0)),
IF(AND(ISNUMBER(SEARCH("L-Dsty.H-Res",$B34))=TRUE,ISNUMBER(SEARCH("N.",$B34))=TRUE,OR(ISNUMBER(SEARCH("heavy",$B34)),ISNUMBER(SEARCH("MEDIUM",$B34)))=TRUE),INDEX(croprotn_LDHR_N_h,MATCH(RIGHT($H$1,1),rotation_heavy,0)),
IF(AND(ISNUMBER(SEARCH("L-Dsty.H-Res",$B34))=TRUE,ISNUMBER(SEARCH("C.",$B34))=TRUE,OR(ISNUMBER(SEARCH("heavy",$B34)),ISNUMBER(SEARCH("MEDIUM",$B34)))=TRUE),INDEX(croprotn_LDHR_C_h,MATCH(RIGHT($H$1,1),rotation_heavy,0)),
IF(AND(ISNUMBER(SEARCH("L-Dsty.L-Res",$B34))=TRUE,ISNUMBER(SEARCH("E.",$B34))=TRUE,OR(ISNUMBER(SEARCH("heavy",$B34)),ISNUMBER(SEARCH("MEDIUM",$B34)))=TRUE),INDEX(croprotn_LDLR_E_h,MATCH(RIGHT($H$1,1),rotation_heavy,0)),
IF(AND(ISNUMBER(SEARCH("L-Dsty.L-Res",$B34))=TRUE,ISNUMBER(SEARCH("N.",$B34))=TRUE,OR(ISNUMBER(SEARCH("heavy",$B34)),ISNUMBER(SEARCH("MEDIUM",$B34)))=TRUE),INDEX(croprotn_LDLR_N_h,MATCH(RIGHT($H$1,1),rotation_heavy,0)),
IF(AND(ISNUMBER(SEARCH("L-Dsty.L-Res",$B34))=TRUE,ISNUMBER(SEARCH("C.",$B34))=TRUE,OR(ISNUMBER(SEARCH("heavy",$B34)),ISNUMBER(SEARCH("MEDIUM",$B34)))=TRUE),INDEX(croprotn_LDLR_C_h,MATCH(RIGHT($H$1,1),rotation_heavy,0)),
IF(AND(ISNUMBER(SEARCH("H-Dsty.H-Res",$B34))=TRUE,ISNUMBER(SEARCH("E.",$B34))=TRUE,ISNUMBER(SEARCH("light",$B34))=TRUE),INDEX(croprotn_HDHR_E_l,MATCH(RIGHT($H$1,1),rotation_light,0)),
IF(AND(ISNUMBER(SEARCH("H-Dsty.H-Res",$B34))=TRUE,ISNUMBER(SEARCH("N.",$B34))=TRUE,ISNUMBER(SEARCH("light",$B34))=TRUE),INDEX(croprotn_HDHR_N_l,MATCH(RIGHT($H$1,1),rotation_light,0)),
IF(AND(ISNUMBER(SEARCH("H-Dsty.H-Res",$B34))=TRUE,ISNUMBER(SEARCH("C.",$B34))=TRUE,ISNUMBER(SEARCH("light",$B34))=TRUE),INDEX(croprotn_HDHR_C_l,MATCH(RIGHT($H$1,1),rotation_light,0)),
IF(AND(ISNUMBER(SEARCH("L-Dsty.H-Res",$B34))=TRUE,ISNUMBER(SEARCH("E.",$B34))=TRUE,ISNUMBER(SEARCH("light",$B34))=TRUE),INDEX(croprotn_LDHR_E_l,MATCH(RIGHT($H$1,1),rotation_light,0)),
IF(AND(ISNUMBER(SEARCH("L-Dsty.H-Res",$B34))=TRUE,ISNUMBER(SEARCH("N.",$B34))=TRUE,ISNUMBER(SEARCH("light",$B34))=TRUE),INDEX(croprotn_LDHR_N_l,MATCH(RIGHT($H$1,1),rotation_light,0)),
IF(AND(ISNUMBER(SEARCH("L-Dsty.H-Res",$B34))=TRUE,ISNUMBER(SEARCH("C.",$B34))=TRUE,ISNUMBER(SEARCH("light",$B34))=TRUE),INDEX(croprotn_LDHR_C_l,MATCH(RIGHT($H$1,1),rotation_light,0)),
IF(AND(ISNUMBER(SEARCH("L-Dsty.L-Res",$B34))=TRUE,ISNUMBER(SEARCH("E.",$B34))=TRUE,ISNUMBER(SEARCH("light",$B34))=TRUE),INDEX(croprotn_LDLR_E_l,MATCH(RIGHT($H$1,1),rotation_light,0)),
IF(AND(ISNUMBER(SEARCH("L-Dsty.L-Res",$B34))=TRUE,ISNUMBER(SEARCH("N.",$B34))=TRUE,ISNUMBER(SEARCH("light",$B34))=TRUE),INDEX(croprotn_LDLR_N_l,MATCH(RIGHT($H$1,1),rotation_light,0)),
IF(AND(ISNUMBER(SEARCH("L-Dsty.L-Res",$B34))=TRUE,ISNUMBER(SEARCH("C.",$B34))=TRUE,ISNUMBER(SEARCH("light",$B34))=TRUE),INDEX(croprotn_LDLR_C_l,MATCH(RIGHT($H$1,1),rotation_light,0))
))))))))))))))))))</f>
        <v>wosr</v>
      </c>
      <c r="I34" s="234" t="str">
        <f t="shared" ref="I34:I55" si="101">IF(AND(ISNUMBER(SEARCH("H-Dsty.H-Res",$B34))=TRUE,ISNUMBER(SEARCH("E.",$B34))=TRUE,OR(ISNUMBER(SEARCH("heavy",$B34)),ISNUMBER(SEARCH("MEDIUM",$B34)))=TRUE),INDEX(croprotn_HDHR_E_h,MATCH(RIGHT($I$1,1),rotation_heavy,0)),
IF(AND(ISNUMBER(SEARCH("H-Dsty.H-Res",$B34))=TRUE,ISNUMBER(SEARCH("N.",$B34))=TRUE,OR(ISNUMBER(SEARCH("heavy",$B34)),ISNUMBER(SEARCH("MEDIUM",$B34)))=TRUE),INDEX(croprotn_HDHR_N_h,MATCH(RIGHT($I$1,1),rotation_heavy,0)),
IF(AND(ISNUMBER(SEARCH("H-Dsty.H-Res",$B34))=TRUE,ISNUMBER(SEARCH("C.",$B34))=TRUE,OR(ISNUMBER(SEARCH("heavy",$B34)),ISNUMBER(SEARCH("MEDIUM",$B34)))=TRUE),INDEX(croprotn_HDHR_C_h,MATCH(RIGHT($I$1,1),rotation_heavy,0)),
IF(AND(ISNUMBER(SEARCH("L-Dsty.H-Res",$B34))=TRUE,ISNUMBER(SEARCH("E.",$B34))=TRUE,OR(ISNUMBER(SEARCH("heavy",$B34)),ISNUMBER(SEARCH("MEDIUM",$B34)))=TRUE),INDEX(croprotn_LDHR_E_h,MATCH(RIGHT($I$1,1),rotation_heavy,0)),
IF(AND(ISNUMBER(SEARCH("L-Dsty.H-Res",$B34))=TRUE,ISNUMBER(SEARCH("N.",$B34))=TRUE,OR(ISNUMBER(SEARCH("heavy",$B34)),ISNUMBER(SEARCH("MEDIUM",$B34)))=TRUE),INDEX(croprotn_LDHR_N_h,MATCH(RIGHT($I$1,1),rotation_heavy,0)),
IF(AND(ISNUMBER(SEARCH("L-Dsty.H-Res",$B34))=TRUE,ISNUMBER(SEARCH("C.",$B34))=TRUE,OR(ISNUMBER(SEARCH("heavy",$B34)),ISNUMBER(SEARCH("MEDIUM",$B34)))=TRUE),INDEX(croprotn_LDHR_C_h,MATCH(RIGHT($I$1,1),rotation_heavy,0)),
IF(AND(ISNUMBER(SEARCH("L-Dsty.L-Res",$B34))=TRUE,ISNUMBER(SEARCH("E.",$B34))=TRUE,OR(ISNUMBER(SEARCH("heavy",$B34)),ISNUMBER(SEARCH("MEDIUM",$B34)))=TRUE),INDEX(croprotn_LDLR_E_h,MATCH(RIGHT($I$1,1),rotation_heavy,0)),
IF(AND(ISNUMBER(SEARCH("L-Dsty.L-Res",$B34))=TRUE,ISNUMBER(SEARCH("N.",$B34))=TRUE,OR(ISNUMBER(SEARCH("heavy",$B34)),ISNUMBER(SEARCH("MEDIUM",$B34)))=TRUE),INDEX(croprotn_LDLR_N_h,MATCH(RIGHT($I$1,1),rotation_heavy,0)),
IF(AND(ISNUMBER(SEARCH("L-Dsty.L-Res",$B34))=TRUE,ISNUMBER(SEARCH("C.",$B34))=TRUE,OR(ISNUMBER(SEARCH("heavy",$B34)),ISNUMBER(SEARCH("MEDIUM",$B34)))=TRUE),INDEX(croprotn_LDLR_C_h,MATCH(RIGHT($I$1,1),rotation_heavy,0)),
IF(AND(ISNUMBER(SEARCH("H-Dsty.H-Res",$B34))=TRUE,ISNUMBER(SEARCH("E.",$B34))=TRUE,ISNUMBER(SEARCH("light",$B34))=TRUE),INDEX(croprotn_HDHR_E_l,MATCH(RIGHT($I$1,1),rotation_light,0)),
IF(AND(ISNUMBER(SEARCH("H-Dsty.H-Res",$B34))=TRUE,ISNUMBER(SEARCH("N.",$B34))=TRUE,ISNUMBER(SEARCH("light",$B34))=TRUE),INDEX(croprotn_HDHR_N_l,MATCH(RIGHT($I$1,1),rotation_light,0)),
IF(AND(ISNUMBER(SEARCH("H-Dsty.H-Res",$B34))=TRUE,ISNUMBER(SEARCH("C.",$B34))=TRUE,ISNUMBER(SEARCH("light",$B34))=TRUE),INDEX(croprotn_HDHR_C_l,MATCH(RIGHT($I$1,1),rotation_light,0)),
IF(AND(ISNUMBER(SEARCH("L-Dsty.H-Res",$B34))=TRUE,ISNUMBER(SEARCH("E.",$B34))=TRUE,ISNUMBER(SEARCH("light",$B34))=TRUE),INDEX(croprotn_LDHR_E_l,MATCH(RIGHT($I$1,1),rotation_light,0)),
IF(AND(ISNUMBER(SEARCH("L-Dsty.H-Res",$B34))=TRUE,ISNUMBER(SEARCH("N.",$B34))=TRUE,ISNUMBER(SEARCH("light",$B34))=TRUE),INDEX(croprotn_LDHR_N_l,MATCH(RIGHT($I$1,1),rotation_light,0)),
IF(AND(ISNUMBER(SEARCH("L-Dsty.H-Res",$B34))=TRUE,ISNUMBER(SEARCH("C.",$B34))=TRUE,ISNUMBER(SEARCH("light",$B34))=TRUE),INDEX(croprotn_LDHR_C_l,MATCH(RIGHT($I$1,1),rotation_light,0)),
IF(AND(ISNUMBER(SEARCH("L-Dsty.L-Res",$B34))=TRUE,ISNUMBER(SEARCH("E.",$B34))=TRUE,ISNUMBER(SEARCH("light",$B34))=TRUE),INDEX(croprotn_LDLR_E_l,MATCH(RIGHT($I$1,1),rotation_light,0)),
IF(AND(ISNUMBER(SEARCH("L-Dsty.L-Res",$B34))=TRUE,ISNUMBER(SEARCH("N.",$B34))=TRUE,ISNUMBER(SEARCH("light",$B34))=TRUE),INDEX(croprotn_LDLR_N_l,MATCH(RIGHT($I$1,1),rotation_light,0)),
IF(AND(ISNUMBER(SEARCH("L-Dsty.L-Res",$B34))=TRUE,ISNUMBER(SEARCH("C.",$B34))=TRUE,ISNUMBER(SEARCH("light",$B34))=TRUE),INDEX(croprotn_LDLR_C_l,MATCH(RIGHT($I$1,1),rotation_light,0))
))))))))))))))))))</f>
        <v>winterwheat</v>
      </c>
      <c r="J34" s="234" t="str">
        <f t="shared" ref="J34:J55" si="102">IF(AND(ISNUMBER(SEARCH("H-Dsty.H-Res",$B34))=TRUE,ISNUMBER(SEARCH("E.",$B34))=TRUE,OR(ISNUMBER(SEARCH("heavy",$B34)),ISNUMBER(SEARCH("MEDIUM",$B34)))=TRUE),INDEX(croprotn_HDHR_E_h,MATCH(RIGHT($J$1,1),rotation_heavy,0)),
IF(AND(ISNUMBER(SEARCH("H-Dsty.H-Res",$B34))=TRUE,ISNUMBER(SEARCH("N.",$B34))=TRUE,OR(ISNUMBER(SEARCH("heavy",$B34)),ISNUMBER(SEARCH("MEDIUM",$B34)))=TRUE),INDEX(croprotn_HDHR_N_h,MATCH(RIGHT($J$1,1),rotation_heavy,0)),
IF(AND(ISNUMBER(SEARCH("H-Dsty.H-Res",$B34))=TRUE,ISNUMBER(SEARCH("C.",$B34))=TRUE,OR(ISNUMBER(SEARCH("heavy",$B34)),ISNUMBER(SEARCH("MEDIUM",$B34)))=TRUE),INDEX(croprotn_HDHR_C_h,MATCH(RIGHT($J$1,1),rotation_heavy,0)),
IF(AND(ISNUMBER(SEARCH("L-Dsty.H-Res",$B34))=TRUE,ISNUMBER(SEARCH("E.",$B34))=TRUE,OR(ISNUMBER(SEARCH("heavy",$B34)),ISNUMBER(SEARCH("MEDIUM",$B34)))=TRUE),INDEX(croprotn_LDHR_E_h,MATCH(RIGHT($J$1,1),rotation_heavy,0)),
IF(AND(ISNUMBER(SEARCH("L-Dsty.H-Res",$B34))=TRUE,ISNUMBER(SEARCH("N.",$B34))=TRUE,OR(ISNUMBER(SEARCH("heavy",$B34)),ISNUMBER(SEARCH("MEDIUM",$B34)))=TRUE),INDEX(croprotn_LDHR_N_h,MATCH(RIGHT($J$1,1),rotation_heavy,0)),
IF(AND(ISNUMBER(SEARCH("L-Dsty.H-Res",$B34))=TRUE,ISNUMBER(SEARCH("C.",$B34))=TRUE,OR(ISNUMBER(SEARCH("heavy",$B34)),ISNUMBER(SEARCH("MEDIUM",$B34)))=TRUE),INDEX(croprotn_LDHR_C_h,MATCH(RIGHT($J$1,1),rotation_heavy,0)),
IF(AND(ISNUMBER(SEARCH("L-Dsty.L-Res",$B34))=TRUE,ISNUMBER(SEARCH("E.",$B34))=TRUE,OR(ISNUMBER(SEARCH("heavy",$B34)),ISNUMBER(SEARCH("MEDIUM",$B34)))=TRUE),INDEX(croprotn_LDLR_E_h,MATCH(RIGHT($J$1,1),rotation_heavy,0)),
IF(AND(ISNUMBER(SEARCH("L-Dsty.L-Res",$B34))=TRUE,ISNUMBER(SEARCH("N.",$B34))=TRUE,OR(ISNUMBER(SEARCH("heavy",$B34)),ISNUMBER(SEARCH("MEDIUM",$B34)))=TRUE),INDEX(croprotn_LDLR_N_h,MATCH(RIGHT($J$1,1),rotation_heavy,0)),
IF(AND(ISNUMBER(SEARCH("L-Dsty.L-Res",$B34))=TRUE,ISNUMBER(SEARCH("C.",$B34))=TRUE,OR(ISNUMBER(SEARCH("heavy",$B34)),ISNUMBER(SEARCH("MEDIUM",$B34)))=TRUE),INDEX(croprotn_LDLR_C_h,MATCH(RIGHT($J$1,1),rotation_heavy,0)),
IF(AND(ISNUMBER(SEARCH("H-Dsty.H-Res",$B34))=TRUE,ISNUMBER(SEARCH("E.",$B34))=TRUE,ISNUMBER(SEARCH("light",$B34))=TRUE),INDEX(croprotn_HDHR_E_l,MATCH(RIGHT($J$1,1),rotation_light,0)),
IF(AND(ISNUMBER(SEARCH("H-Dsty.H-Res",$B34))=TRUE,ISNUMBER(SEARCH("N.",$B34))=TRUE,ISNUMBER(SEARCH("light",$B34))=TRUE),INDEX(croprotn_HDHR_N_l,MATCH(RIGHT($J$1,1),rotation_light,0)),
IF(AND(ISNUMBER(SEARCH("H-Dsty.H-Res",$B34))=TRUE,ISNUMBER(SEARCH("C.",$B34))=TRUE,ISNUMBER(SEARCH("light",$B34))=TRUE),INDEX(croprotn_HDHR_C_l,MATCH(RIGHT($J$1,1),rotation_light,0)),
IF(AND(ISNUMBER(SEARCH("L-Dsty.H-Res",$B34))=TRUE,ISNUMBER(SEARCH("E.",$B34))=TRUE,ISNUMBER(SEARCH("light",$B34))=TRUE),INDEX(croprotn_LDHR_E_l,MATCH(RIGHT($J$1,1),rotation_light,0)),
IF(AND(ISNUMBER(SEARCH("L-Dsty.H-Res",$B34))=TRUE,ISNUMBER(SEARCH("N.",$B34))=TRUE,ISNUMBER(SEARCH("light",$B34))=TRUE),INDEX(croprotn_LDHR_N_l,MATCH(RIGHT($J$1,1),rotation_light,0)),
IF(AND(ISNUMBER(SEARCH("L-Dsty.H-Res",$B34))=TRUE,ISNUMBER(SEARCH("C.",$B34))=TRUE,ISNUMBER(SEARCH("light",$B34))=TRUE),INDEX(croprotn_LDHR_C_l,MATCH(RIGHT($J$1,1),rotation_light,0)),
IF(AND(ISNUMBER(SEARCH("L-Dsty.L-Res",$B34))=TRUE,ISNUMBER(SEARCH("E.",$B34))=TRUE,ISNUMBER(SEARCH("light",$B34))=TRUE),INDEX(croprotn_LDLR_E_l,MATCH(RIGHT($J$1,1),rotation_light,0)),
IF(AND(ISNUMBER(SEARCH("L-Dsty.L-Res",$B34))=TRUE,ISNUMBER(SEARCH("N.",$B34))=TRUE,ISNUMBER(SEARCH("light",$B34))=TRUE),INDEX(croprotn_LDLR_N_l,MATCH(RIGHT($J$1,1),rotation_light,0)),
IF(AND(ISNUMBER(SEARCH("L-Dsty.L-Res",$B34))=TRUE,ISNUMBER(SEARCH("C.",$B34))=TRUE,ISNUMBER(SEARCH("light",$B34))=TRUE),INDEX(croprotn_LDLR_C_l,MATCH(RIGHT($J$1,1),rotation_light,0))
))))))))))))))))))</f>
        <v>springbarley</v>
      </c>
      <c r="K34" s="234" t="str">
        <f t="shared" ref="K34:K55" si="103">IF(AND(ISNUMBER(SEARCH("H-Dsty.H-Res",$B34))=TRUE,ISNUMBER(SEARCH("E.",$B34))=TRUE,OR(ISNUMBER(SEARCH("heavy",$B34)),ISNUMBER(SEARCH("MEDIUM",$B34)))=TRUE),INDEX(croprotn_HDHR_E_h,MATCH(RIGHT($K$1,1),rotation_heavy,0)),
IF(AND(ISNUMBER(SEARCH("H-Dsty.H-Res",$B34))=TRUE,ISNUMBER(SEARCH("N.",$B34))=TRUE,OR(ISNUMBER(SEARCH("heavy",$B34)),ISNUMBER(SEARCH("MEDIUM",$B34)))=TRUE),INDEX(croprotn_HDHR_N_h,MATCH(RIGHT($K$1,1),rotation_heavy,0)),
IF(AND(ISNUMBER(SEARCH("H-Dsty.H-Res",$B34))=TRUE,ISNUMBER(SEARCH("C.",$B34))=TRUE,OR(ISNUMBER(SEARCH("heavy",$B34)),ISNUMBER(SEARCH("MEDIUM",$B34)))=TRUE),INDEX(croprotn_HDHR_C_h,MATCH(RIGHT($K$1,1),rotation_heavy,0)),
IF(AND(ISNUMBER(SEARCH("L-Dsty.H-Res",$B34))=TRUE,ISNUMBER(SEARCH("E.",$B34))=TRUE,OR(ISNUMBER(SEARCH("heavy",$B34)),ISNUMBER(SEARCH("MEDIUM",$B34)))=TRUE),INDEX(croprotn_LDHR_E_h,MATCH(RIGHT($K$1,1),rotation_heavy,0)),
IF(AND(ISNUMBER(SEARCH("L-Dsty.H-Res",$B34))=TRUE,ISNUMBER(SEARCH("N.",$B34))=TRUE,OR(ISNUMBER(SEARCH("heavy",$B34)),ISNUMBER(SEARCH("MEDIUM",$B34)))=TRUE),INDEX(croprotn_LDHR_N_h,MATCH(RIGHT($K$1,1),rotation_heavy,0)),
IF(AND(ISNUMBER(SEARCH("L-Dsty.H-Res",$B34))=TRUE,ISNUMBER(SEARCH("C.",$B34))=TRUE,OR(ISNUMBER(SEARCH("heavy",$B34)),ISNUMBER(SEARCH("MEDIUM",$B34)))=TRUE),INDEX(croprotn_LDHR_C_h,MATCH(RIGHT($K$1,1),rotation_heavy,0)),
IF(AND(ISNUMBER(SEARCH("L-Dsty.L-Res",$B34))=TRUE,ISNUMBER(SEARCH("E.",$B34))=TRUE,OR(ISNUMBER(SEARCH("heavy",$B34)),ISNUMBER(SEARCH("MEDIUM",$B34)))=TRUE),INDEX(croprotn_LDLR_E_h,MATCH(RIGHT($K$1,1),rotation_heavy,0)),
IF(AND(ISNUMBER(SEARCH("L-Dsty.L-Res",$B34))=TRUE,ISNUMBER(SEARCH("N.",$B34))=TRUE,OR(ISNUMBER(SEARCH("heavy",$B34)),ISNUMBER(SEARCH("MEDIUM",$B34)))=TRUE),INDEX(croprotn_LDLR_N_h,MATCH(RIGHT($K$1,1),rotation_heavy,0)),
IF(AND(ISNUMBER(SEARCH("L-Dsty.L-Res",$B34))=TRUE,ISNUMBER(SEARCH("C.",$B34))=TRUE,OR(ISNUMBER(SEARCH("heavy",$B34)),ISNUMBER(SEARCH("MEDIUM",$B34)))=TRUE),INDEX(croprotn_LDLR_C_h,MATCH(RIGHT($K$1,1),rotation_heavy,0)),
IF(AND(ISNUMBER(SEARCH("H-Dsty.H-Res",$B34))=TRUE,ISNUMBER(SEARCH("E.",$B34))=TRUE,ISNUMBER(SEARCH("light",$B34))=TRUE),INDEX(croprotn_HDHR_E_l,MATCH(RIGHT($K$1,1),rotation_light,0)),
IF(AND(ISNUMBER(SEARCH("H-Dsty.H-Res",$B34))=TRUE,ISNUMBER(SEARCH("N.",$B34))=TRUE,ISNUMBER(SEARCH("light",$B34))=TRUE),INDEX(croprotn_HDHR_N_l,MATCH(RIGHT($K$1,1),rotation_light,0)),
IF(AND(ISNUMBER(SEARCH("H-Dsty.H-Res",$B34))=TRUE,ISNUMBER(SEARCH("C.",$B34))=TRUE,ISNUMBER(SEARCH("light",$B34))=TRUE),INDEX(croprotn_HDHR_C_l,MATCH(RIGHT($K$1,1),rotation_light,0)),
IF(AND(ISNUMBER(SEARCH("L-Dsty.H-Res",$B34))=TRUE,ISNUMBER(SEARCH("E.",$B34))=TRUE,ISNUMBER(SEARCH("light",$B34))=TRUE),INDEX(croprotn_LDHR_E_l,MATCH(RIGHT($K$1,1),rotation_light,0)),
IF(AND(ISNUMBER(SEARCH("L-Dsty.H-Res",$B34))=TRUE,ISNUMBER(SEARCH("N.",$B34))=TRUE,ISNUMBER(SEARCH("light",$B34))=TRUE),INDEX(croprotn_LDHR_N_l,MATCH(RIGHT($K$1,1),rotation_light,0)),
IF(AND(ISNUMBER(SEARCH("L-Dsty.H-Res",$B34))=TRUE,ISNUMBER(SEARCH("C.",$B34))=TRUE,ISNUMBER(SEARCH("light",$B34))=TRUE),INDEX(croprotn_LDHR_C_l,MATCH(RIGHT($K$1,1),rotation_light,0)),
IF(AND(ISNUMBER(SEARCH("L-Dsty.L-Res",$B34))=TRUE,ISNUMBER(SEARCH("E.",$B34))=TRUE,ISNUMBER(SEARCH("light",$B34))=TRUE),INDEX(croprotn_LDLR_E_l,MATCH(RIGHT($K$1,1),rotation_light,0)),
IF(AND(ISNUMBER(SEARCH("L-Dsty.L-Res",$B34))=TRUE,ISNUMBER(SEARCH("N.",$B34))=TRUE,ISNUMBER(SEARCH("light",$B34))=TRUE),INDEX(croprotn_LDLR_N_l,MATCH(RIGHT($K$1,1),rotation_light,0)),
IF(AND(ISNUMBER(SEARCH("L-Dsty.L-Res",$B34))=TRUE,ISNUMBER(SEARCH("C.",$B34))=TRUE,ISNUMBER(SEARCH("light",$B34))=TRUE),INDEX(croprotn_LDLR_C_l,MATCH(RIGHT($K$1,1),rotation_light,0))
))))))))))))))))))</f>
        <v>wosr</v>
      </c>
      <c r="L34" s="154" t="str">
        <f t="shared" ref="L34:L55" si="104">IF(AND(ISNUMBER(SEARCH("H-Dsty.",$B34))=TRUE,ISNUMBER(SEARCH("H-Res",$B34))=TRUE,ISNUMBER(SEARCH("E.",$B34))=TRUE),INDEX(tillage_HDHR_E,MATCH($F34,tillage_CROPS,0)),
IF(AND(ISNUMBER(SEARCH("H-Dsty.",$B34))=TRUE,ISNUMBER(SEARCH("H-Res",$B34))=TRUE,ISNUMBER(SEARCH("N.",$B34))=TRUE),INDEX(tillage_HDHR_N,MATCH($F34,tillage_CROPS,0)),
IF(AND(ISNUMBER(SEARCH("H-Dsty.",$B34))=TRUE,ISNUMBER(SEARCH("H-Res",$B34))=TRUE,ISNUMBER(SEARCH("C.",$B34))=TRUE),INDEX(tillage_HDHR_C,MATCH($F34,tillage_CROPS,0)),
IF(AND(ISNUMBER(SEARCH("L-Dsty.",$B34))=TRUE,ISNUMBER(SEARCH("H-Res",$B34))=TRUE,ISNUMBER(SEARCH("E.",$B34))=TRUE),INDEX(tillage_LDHR_E,MATCH($F34,tillage_CROPS,0)),
IF(AND(ISNUMBER(SEARCH("L-Dsty.",$B34))=TRUE,ISNUMBER(SEARCH("H-Res",$B34))=TRUE,ISNUMBER(SEARCH("N.",$B34))=TRUE),INDEX(tillage_LDHR_N,MATCH($F34,tillage_CROPS,0)),
IF(AND(ISNUMBER(SEARCH("L-Dsty.",$B34))=TRUE,ISNUMBER(SEARCH("H-Res",$B34))=TRUE,ISNUMBER(SEARCH("C.",$B34))=TRUE),INDEX(tillage_LDHR_C,MATCH($F34,tillage_CROPS,0)),
IF(AND(ISNUMBER(SEARCH("L-Dsty.",$B34))=TRUE,ISNUMBER(SEARCH("L-Res",$B34))=TRUE,ISNUMBER(SEARCH("E.",$B34))=TRUE),INDEX(tillage_LDLR_E,MATCH($F34,tillage_CROPS,0)),
IF(AND(ISNUMBER(SEARCH("L-Dsty.",$B34))=TRUE,ISNUMBER(SEARCH("L-Res",$B34))=TRUE,ISNUMBER(SEARCH("N.",$B34))=TRUE),INDEX(tillage_LDLR_N,MATCH($F34,tillage_CROPS,0)),
IF(AND(ISNUMBER(SEARCH("L-Dsty.",$B34))=TRUE,ISNUMBER(SEARCH("L-Res",$B34))=TRUE,ISNUMBER(SEARCH("C.",$B34))=TRUE),INDEX(tillage_LDLR_C,MATCH($F34,tillage_CROPS,0))
)))))))))</f>
        <v>inversion</v>
      </c>
      <c r="M34" s="154" t="str">
        <f t="shared" ref="M34:M55" si="105">IF(AND(ISNUMBER(SEARCH("H-Dsty.",$B34))=TRUE,ISNUMBER(SEARCH("H-Res",$B34))=TRUE,ISNUMBER(SEARCH("E.",$B34))=TRUE),INDEX(tillage_HDHR_E,MATCH($G34,tillage_CROPS,0)),
IF(AND(ISNUMBER(SEARCH("H-Dsty.",$B34))=TRUE,ISNUMBER(SEARCH("H-Res",$B34))=TRUE,ISNUMBER(SEARCH("N.",$B34))=TRUE),INDEX(tillage_HDHR_N,MATCH($G34,tillage_CROPS,0)),
IF(AND(ISNUMBER(SEARCH("H-Dsty.",$B34))=TRUE,ISNUMBER(SEARCH("H-Res",$B34))=TRUE,ISNUMBER(SEARCH("C.",$B34))=TRUE),INDEX(tillage_HDHR_C,MATCH($G34,tillage_CROPS,0)),
IF(AND(ISNUMBER(SEARCH("L-Dsty.",$B34))=TRUE,ISNUMBER(SEARCH("H-Res",$B34))=TRUE,ISNUMBER(SEARCH("E.",$B34))=TRUE),INDEX(tillage_LDHR_E,MATCH($G34,tillage_CROPS,0)),
IF(AND(ISNUMBER(SEARCH("L-Dsty.",$B34))=TRUE,ISNUMBER(SEARCH("H-Res",$B34))=TRUE,ISNUMBER(SEARCH("N.",$B34))=TRUE),INDEX(tillage_LDHR_N,MATCH($G34,tillage_CROPS,0)),
IF(AND(ISNUMBER(SEARCH("L-Dsty.",$B34))=TRUE,ISNUMBER(SEARCH("H-Res",$B34))=TRUE,ISNUMBER(SEARCH("C.",$B34))=TRUE),INDEX(tillage_LDHR_C,MATCH($G34,tillage_CROPS,0)),
IF(AND(ISNUMBER(SEARCH("L-Dsty.",$B34))=TRUE,ISNUMBER(SEARCH("L-Res",$B34))=TRUE,ISNUMBER(SEARCH("E.",$B34))=TRUE),INDEX(tillage_LDLR_E,MATCH($G34,tillage_CROPS,0)),
IF(AND(ISNUMBER(SEARCH("L-Dsty.",$B34))=TRUE,ISNUMBER(SEARCH("L-Res",$B34))=TRUE,ISNUMBER(SEARCH("N.",$B34))=TRUE),INDEX(tillage_LDLR_N,MATCH($G34,tillage_CROPS,0)),
IF(AND(ISNUMBER(SEARCH("L-Dsty.",$B34))=TRUE,ISNUMBER(SEARCH("L-Res",$B34))=TRUE,ISNUMBER(SEARCH("C.",$B34))=TRUE),INDEX(tillage_LDLR_C,MATCH($G34,tillage_CROPS,0))
)))))))))</f>
        <v>minimumtillage</v>
      </c>
      <c r="N34" s="154" t="str">
        <f t="shared" ref="N34:N55" si="106">IF(AND(ISNUMBER(SEARCH("H-Dsty.",$B34))=TRUE,ISNUMBER(SEARCH("H-Res",$B34))=TRUE,ISNUMBER(SEARCH("E.",$B34))=TRUE),INDEX(tillage_HDHR_E,MATCH($H34,tillage_CROPS,0)),
IF(AND(ISNUMBER(SEARCH("H-Dsty.",$B34))=TRUE,ISNUMBER(SEARCH("H-Res",$B34))=TRUE,ISNUMBER(SEARCH("N.",$B34))=TRUE),INDEX(tillage_HDHR_N,MATCH($H34,tillage_CROPS,0)),
IF(AND(ISNUMBER(SEARCH("H-Dsty.",$B34))=TRUE,ISNUMBER(SEARCH("H-Res",$B34))=TRUE,ISNUMBER(SEARCH("C.",$B34))=TRUE),INDEX(tillage_HDHR_C,MATCH($H34,tillage_CROPS,0)),
IF(AND(ISNUMBER(SEARCH("L-Dsty.",$B34))=TRUE,ISNUMBER(SEARCH("H-Res",$B34))=TRUE,ISNUMBER(SEARCH("E.",$B34))=TRUE),INDEX(tillage_LDHR_E,MATCH($H34,tillage_CROPS,0)),
IF(AND(ISNUMBER(SEARCH("L-Dsty.",$B34))=TRUE,ISNUMBER(SEARCH("H-Res",$B34))=TRUE,ISNUMBER(SEARCH("N.",$B34))=TRUE),INDEX(tillage_LDHR_N,MATCH($H34,tillage_CROPS,0)),
IF(AND(ISNUMBER(SEARCH("L-Dsty.",$B34))=TRUE,ISNUMBER(SEARCH("H-Res",$B34))=TRUE,ISNUMBER(SEARCH("C.",$B34))=TRUE),INDEX(tillage_LDHR_C,MATCH($H34,tillage_CROPS,0)),
IF(AND(ISNUMBER(SEARCH("L-Dsty.",$B34))=TRUE,ISNUMBER(SEARCH("L-Res",$B34))=TRUE,ISNUMBER(SEARCH("E.",$B34))=TRUE),INDEX(tillage_LDLR_E,MATCH($H34,tillage_CROPS,0)),
IF(AND(ISNUMBER(SEARCH("L-Dsty.",$B34))=TRUE,ISNUMBER(SEARCH("L-Res",$B34))=TRUE,ISNUMBER(SEARCH("N.",$B34))=TRUE),INDEX(tillage_LDLR_N,MATCH($H34,tillage_CROPS,0)),
IF(AND(ISNUMBER(SEARCH("L-Dsty.",$B34))=TRUE,ISNUMBER(SEARCH("L-Res",$B34))=TRUE,ISNUMBER(SEARCH("C.",$B34))=TRUE),INDEX(tillage_LDLR_C,MATCH($H34,tillage_CROPS,0))
)))))))))</f>
        <v>directdrilling</v>
      </c>
      <c r="O34" s="263" t="s">
        <v>259</v>
      </c>
      <c r="P34" s="154" t="str">
        <f t="shared" si="76"/>
        <v>minimumtillage</v>
      </c>
      <c r="Q34" s="154" t="str">
        <f t="shared" si="95"/>
        <v>directdrilling</v>
      </c>
      <c r="R34" s="234">
        <f t="shared" si="86"/>
        <v>200</v>
      </c>
      <c r="S34" s="234">
        <f t="shared" ref="S34:S55" si="107">IF(AND(ISNUMBER(SEARCH("H-Dsty.",$B34))=TRUE,ISNUMBER(SEARCH("H-Res",$B34))=TRUE,ISNUMBER(SEARCH("E.",$B34))=TRUE),INDEX(seedrate_HDHR_E,MATCH($G34,seedrate_CROPS,0)),
IF(AND(ISNUMBER(SEARCH("H-Dsty.",$B34))=TRUE,ISNUMBER(SEARCH("H-Res",$B34))=TRUE,ISNUMBER(SEARCH("N.",$B34))=TRUE),INDEX(seedrate_HDHR_N,MATCH($G34,seedrate_CROPS,0)),
IF(AND(ISNUMBER(SEARCH("H-Dsty.",$B34))=TRUE,ISNUMBER(SEARCH("H-Res",$B34))=TRUE,ISNUMBER(SEARCH("C.",$B34))=TRUE),INDEX(seedrate_HDHR_C,MATCH($G34,seedrate_CROPS,0)),
IF(AND(ISNUMBER(SEARCH("L-Dsty.",$B34))=TRUE,ISNUMBER(SEARCH("H-Res",$B34))=TRUE,ISNUMBER(SEARCH("E.",$B34))=TRUE),INDEX(seedrate_LDHR_E,MATCH($G34,seedrate_CROPS,0)),
IF(AND(ISNUMBER(SEARCH("L-Dsty.",$B34))=TRUE,ISNUMBER(SEARCH("H-Res",$B34))=TRUE,ISNUMBER(SEARCH("N.",$B34))=TRUE),INDEX(seedrate_LDHR_N,MATCH($G34,seedrate_CROPS,0)),
IF(AND(ISNUMBER(SEARCH("L-Dsty.",$B34))=TRUE,ISNUMBER(SEARCH("H-Res",$B34))=TRUE,ISNUMBER(SEARCH("C.",$B34))=TRUE),INDEX(seedrate_LDHR_C,MATCH($G34,seedrate_CROPS,0)),
IF(AND(ISNUMBER(SEARCH("L-Dsty.",$B34))=TRUE,ISNUMBER(SEARCH("L-Res",$B34))=TRUE,ISNUMBER(SEARCH("E.",$B34))=TRUE),INDEX(seedrate_LDLR_E,MATCH($G34,seedrate_CROPS,0)),
IF(AND(ISNUMBER(SEARCH("L-Dsty.",$B34))=TRUE,ISNUMBER(SEARCH("L-Res",$B34))=TRUE,ISNUMBER(SEARCH("N.",$B34))=TRUE),INDEX(seedrate_LDLR_N,MATCH($G34,seedrate_CROPS,0)),
IF(AND(ISNUMBER(SEARCH("L-Dsty.",$B34))=TRUE,ISNUMBER(SEARCH("L-Res",$B34))=TRUE,ISNUMBER(SEARCH("C.",$B34))=TRUE),INDEX(seedrate_LDLR_C,MATCH($G34,seedrate_CROPS,0))
)))))))))</f>
        <v>200</v>
      </c>
      <c r="T34" s="234">
        <f t="shared" ref="T34:T55" si="108">IF(AND(ISNUMBER(SEARCH("H-Dsty.",$B34))=TRUE,ISNUMBER(SEARCH("H-Res",$B34))=TRUE,ISNUMBER(SEARCH("E.",$B34))=TRUE),INDEX(seedrate_HDHR_E,MATCH($H34,seedrate_CROPS,0)),
IF(AND(ISNUMBER(SEARCH("H-Dsty.",$B34))=TRUE,ISNUMBER(SEARCH("H-Res",$B34))=TRUE,ISNUMBER(SEARCH("N.",$B34))=TRUE),INDEX(seedrate_HDHR_N,MATCH($H34,seedrate_CROPS,0)),
IF(AND(ISNUMBER(SEARCH("H-Dsty.",$B34))=TRUE,ISNUMBER(SEARCH("H-Res",$B34))=TRUE,ISNUMBER(SEARCH("C.",$B34))=TRUE),INDEX(seedrate_HDHR_C,MATCH($H34,seedrate_CROPS,0)),
IF(AND(ISNUMBER(SEARCH("L-Dsty.",$B34))=TRUE,ISNUMBER(SEARCH("H-Res",$B34))=TRUE,ISNUMBER(SEARCH("E.",$B34))=TRUE),INDEX(seedrate_LDHR_E,MATCH($H34,seedrate_CROPS,0)),
IF(AND(ISNUMBER(SEARCH("L-Dsty.",$B34))=TRUE,ISNUMBER(SEARCH("H-Res",$B34))=TRUE,ISNUMBER(SEARCH("N.",$B34))=TRUE),INDEX(seedrate_LDHR_N,MATCH($H34,seedrate_CROPS,0)),
IF(AND(ISNUMBER(SEARCH("L-Dsty.",$B34))=TRUE,ISNUMBER(SEARCH("H-Res",$B34))=TRUE,ISNUMBER(SEARCH("C.",$B34))=TRUE),INDEX(seedrate_LDHR_C,MATCH($H34,seedrate_CROPS,0)),
IF(AND(ISNUMBER(SEARCH("L-Dsty.",$B34))=TRUE,ISNUMBER(SEARCH("L-Res",$B34))=TRUE,ISNUMBER(SEARCH("E.",$B34))=TRUE),INDEX(seedrate_LDLR_E,MATCH($H34,seedrate_CROPS,0)),
IF(AND(ISNUMBER(SEARCH("L-Dsty.",$B34))=TRUE,ISNUMBER(SEARCH("L-Res",$B34))=TRUE,ISNUMBER(SEARCH("N.",$B34))=TRUE),INDEX(seedrate_LDLR_N,MATCH($H34,seedrate_CROPS,0)),
IF(AND(ISNUMBER(SEARCH("L-Dsty.",$B34))=TRUE,ISNUMBER(SEARCH("L-Res",$B34))=TRUE,ISNUMBER(SEARCH("C.",$B34))=TRUE),INDEX(seedrate_LDLR_C,MATCH($H34,seedrate_CROPS,0))
)))))))))</f>
        <v>3.2</v>
      </c>
      <c r="U34" s="234">
        <f t="shared" si="87"/>
        <v>200</v>
      </c>
      <c r="V34" s="234">
        <f t="shared" ref="V34:V55" si="109">IF(AND(ISNUMBER(SEARCH("H-Dsty.",$B34))=TRUE,ISNUMBER(SEARCH("H-Res",$B34))=TRUE,ISNUMBER(SEARCH("E.",$B34))=TRUE),INDEX(seedrate_HDHR_E,MATCH($J34,seedrate_CROPS,0)),
IF(AND(ISNUMBER(SEARCH("H-Dsty.",$B34))=TRUE,ISNUMBER(SEARCH("H-Res",$B34))=TRUE,ISNUMBER(SEARCH("N.",$B34))=TRUE),INDEX(seedrate_HDHR_N,MATCH($J34,seedrate_CROPS,0)),
IF(AND(ISNUMBER(SEARCH("H-Dsty.",$B34))=TRUE,ISNUMBER(SEARCH("H-Res",$B34))=TRUE,ISNUMBER(SEARCH("C.",$B34))=TRUE),INDEX(seedrate_HDHR_C,MATCH($J34,seedrate_CROPS,0)),
IF(AND(ISNUMBER(SEARCH("L-Dsty.",$B34))=TRUE,ISNUMBER(SEARCH("H-Res",$B34))=TRUE,ISNUMBER(SEARCH("E.",$B34))=TRUE),INDEX(seedrate_LDHR_E,MATCH($J34,seedrate_CROPS,0)),
IF(AND(ISNUMBER(SEARCH("L-Dsty.",$B34))=TRUE,ISNUMBER(SEARCH("H-Res",$B34))=TRUE,ISNUMBER(SEARCH("N.",$B34))=TRUE),INDEX(seedrate_LDHR_N,MATCH($J34,seedrate_CROPS,0)),
IF(AND(ISNUMBER(SEARCH("L-Dsty.",$B34))=TRUE,ISNUMBER(SEARCH("H-Res",$B34))=TRUE,ISNUMBER(SEARCH("C.",$B34))=TRUE),INDEX(seedrate_LDHR_C,MATCH($J34,seedrate_CROPS,0)),
IF(AND(ISNUMBER(SEARCH("L-Dsty.",$B34))=TRUE,ISNUMBER(SEARCH("L-Res",$B34))=TRUE,ISNUMBER(SEARCH("E.",$B34))=TRUE),INDEX(seedrate_LDLR_E,MATCH($J34,seedrate_CROPS,0)),
IF(AND(ISNUMBER(SEARCH("L-Dsty.",$B34))=TRUE,ISNUMBER(SEARCH("L-Res",$B34))=TRUE,ISNUMBER(SEARCH("N.",$B34))=TRUE),INDEX(seedrate_LDLR_N,MATCH($J34,seedrate_CROPS,0)),
IF(AND(ISNUMBER(SEARCH("L-Dsty.",$B34))=TRUE,ISNUMBER(SEARCH("L-Res",$B34))=TRUE,ISNUMBER(SEARCH("C.",$B34))=TRUE),INDEX(seedrate_LDLR_C,MATCH($J34,seedrate_CROPS,0))
)))))))))</f>
        <v>200</v>
      </c>
      <c r="W34" s="234">
        <f t="shared" ref="W34:W55" si="110">IF(AND(ISNUMBER(SEARCH("H-Dsty.",$B34))=TRUE,ISNUMBER(SEARCH("H-Res",$B34))=TRUE,ISNUMBER(SEARCH("E.",$B34))=TRUE),INDEX(seedrate_HDHR_E,MATCH($K34,seedrate_CROPS,0)),
IF(AND(ISNUMBER(SEARCH("H-Dsty.",$B34))=TRUE,ISNUMBER(SEARCH("H-Res",$B34))=TRUE,ISNUMBER(SEARCH("N.",$B34))=TRUE),INDEX(seedrate_HDHR_N,MATCH($K34,seedrate_CROPS,0)),
IF(AND(ISNUMBER(SEARCH("H-Dsty.",$B34))=TRUE,ISNUMBER(SEARCH("H-Res",$B34))=TRUE,ISNUMBER(SEARCH("C.",$B34))=TRUE),INDEX(seedrate_HDHR_C,MATCH($K34,seedrate_CROPS,0)),
IF(AND(ISNUMBER(SEARCH("L-Dsty.",$B34))=TRUE,ISNUMBER(SEARCH("H-Res",$B34))=TRUE,ISNUMBER(SEARCH("E.",$B34))=TRUE),INDEX(seedrate_LDHR_E,MATCH($K34,seedrate_CROPS,0)),
IF(AND(ISNUMBER(SEARCH("L-Dsty.",$B34))=TRUE,ISNUMBER(SEARCH("H-Res",$B34))=TRUE,ISNUMBER(SEARCH("N.",$B34))=TRUE),INDEX(seedrate_LDHR_N,MATCH($K34,seedrate_CROPS,0)),
IF(AND(ISNUMBER(SEARCH("L-Dsty.",$B34))=TRUE,ISNUMBER(SEARCH("H-Res",$B34))=TRUE,ISNUMBER(SEARCH("C.",$B34))=TRUE),INDEX(seedrate_LDHR_C,MATCH($K34,seedrate_CROPS,0)),
IF(AND(ISNUMBER(SEARCH("L-Dsty.",$B34))=TRUE,ISNUMBER(SEARCH("L-Res",$B34))=TRUE,ISNUMBER(SEARCH("E.",$B34))=TRUE),INDEX(seedrate_LDLR_E,MATCH($K34,seedrate_CROPS,0)),
IF(AND(ISNUMBER(SEARCH("L-Dsty.",$B34))=TRUE,ISNUMBER(SEARCH("L-Res",$B34))=TRUE,ISNUMBER(SEARCH("N.",$B34))=TRUE),INDEX(seedrate_LDLR_N,MATCH($K34,seedrate_CROPS,0)),
IF(AND(ISNUMBER(SEARCH("L-Dsty.",$B34))=TRUE,ISNUMBER(SEARCH("L-Res",$B34))=TRUE,ISNUMBER(SEARCH("C.",$B34))=TRUE),INDEX(seedrate_LDLR_C,MATCH($K34,seedrate_CROPS,0))
)))))))))</f>
        <v>3.2</v>
      </c>
      <c r="X34" s="154" t="str">
        <f t="shared" ref="X34:X55" si="111">IF(AND(ISNUMBER(SEARCH("H-Dsty.H-Res",$B34))=TRUE,ISNUMBER(SEARCH("E.",$B34))=TRUE),INDEX(delayedsowing,MATCH(F34,drilldate_CROPS,0),MATCH(VLOOKUP(F34,drilldate_HDHR,2,FALSE),months,0)),
IF(AND(ISNUMBER(SEARCH("H-Dsty.H-Res",$B34))=TRUE,ISNUMBER(SEARCH("N.",$B34))=TRUE),INDEX(delayedsowing,MATCH(F34,drilldate_CROPS,0),MATCH(VLOOKUP(F34,drilldate_HDHR,3,FALSE),months,0)),
IF(AND(ISNUMBER(SEARCH("H-Dsty.H-Res",$B34))=TRUE,ISNUMBER(SEARCH("C.",$B34))=TRUE),INDEX(delayedsowing,MATCH(F34,drilldate_CROPS,0),MATCH(VLOOKUP(F34,drilldate_HDHR,4,FALSE),months,0)),
IF(AND(ISNUMBER(SEARCH("L-Dsty.H-Res",$B34))=TRUE,ISNUMBER(SEARCH("E.",$B34))=TRUE),INDEX(delayedsowing,MATCH(F34,drilldate_CROPS,0),MATCH(VLOOKUP(F34,drilldate_LDHR,2,FALSE),months,0)),
IF(AND(ISNUMBER(SEARCH("L-Dsty.H-Res",$B34))=TRUE,ISNUMBER(SEARCH("N.",$B34))=TRUE),INDEX(delayedsowing,MATCH(F34,drilldate_CROPS,0),MATCH(VLOOKUP(F34,drilldate_LDHR,3,FALSE),months,0)),
IF(AND(ISNUMBER(SEARCH("L-Dsty.H-Res",$B34))=TRUE,ISNUMBER(SEARCH("C.",$B34))=TRUE),INDEX(delayedsowing,MATCH(F34,drilldate_CROPS,0),MATCH(VLOOKUP(F34,drilldate_LDHR,4,FALSE),months,0)),
IF(AND(ISNUMBER(SEARCH("L-Dsty.L-Res",$B34))=TRUE,ISNUMBER(SEARCH("E.",$B34))=TRUE),INDEX(delayedsowing,MATCH(F34,drilldate_CROPS,0),MATCH(VLOOKUP(F34,drilldate_LDLR,2,FALSE),months,0)),
IF(AND(ISNUMBER(SEARCH("L-Dsty.L-Res",$B34))=TRUE,ISNUMBER(SEARCH("N.",$B34))=TRUE),INDEX(delayedsowing,MATCH(F34,drilldate_CROPS,0),MATCH(VLOOKUP(F34,drilldate_LDLR,3,FALSE),months,0)),
IF(AND(ISNUMBER(SEARCH("L-Dsty.L-Res",$B34))=TRUE,ISNUMBER(SEARCH("C.",$B34))=TRUE),INDEX(delayedsowing,MATCH(F34,drilldate_CROPS,0),MATCH(VLOOKUP(F34,drilldate_LDLR,4,FALSE),months,0))
)))))))))</f>
        <v>late</v>
      </c>
      <c r="Y34" s="154" t="str">
        <f t="shared" ref="Y34:Y55" si="112">IF(AND(ISNUMBER(SEARCH("H-Dsty.H-Res",$B34))=TRUE,ISNUMBER(SEARCH("E.",$B34))=TRUE),INDEX(delayedsowing,MATCH(G34,drilldate_CROPS,0),MATCH(VLOOKUP(G34,drilldate_HDHR,2,FALSE),months,0)),
IF(AND(ISNUMBER(SEARCH("H-Dsty.H-Res",$B34))=TRUE,ISNUMBER(SEARCH("N.",$B34))=TRUE),INDEX(delayedsowing,MATCH(G34,drilldate_CROPS,0),MATCH(VLOOKUP(G34,drilldate_HDHR,3,FALSE),months,0)),
IF(AND(ISNUMBER(SEARCH("H-Dsty.H-Res",$B34))=TRUE,ISNUMBER(SEARCH("C.",$B34))=TRUE),INDEX(delayedsowing,MATCH(G34,drilldate_CROPS,0),MATCH(VLOOKUP(G34,drilldate_HDHR,4,FALSE),months,0)),
IF(AND(ISNUMBER(SEARCH("L-Dsty.H-Res",$B34))=TRUE,ISNUMBER(SEARCH("E.",$B34))=TRUE),INDEX(delayedsowing,MATCH(G34,drilldate_CROPS,0),MATCH(VLOOKUP(G34,drilldate_LDHR,2,FALSE),months,0)),
IF(AND(ISNUMBER(SEARCH("L-Dsty.H-Res",$B34))=TRUE,ISNUMBER(SEARCH("N.",$B34))=TRUE),INDEX(delayedsowing,MATCH(G34,drilldate_CROPS,0),MATCH(VLOOKUP(G34,drilldate_LDHR,3,FALSE),months,0)),
IF(AND(ISNUMBER(SEARCH("L-Dsty.H-Res",$B34))=TRUE,ISNUMBER(SEARCH("C.",$B34))=TRUE),INDEX(delayedsowing,MATCH(G34,drilldate_CROPS,0),MATCH(VLOOKUP(G34,drilldate_LDHR,4,FALSE),months,0)),
IF(AND(ISNUMBER(SEARCH("L-Dsty.L-Res",$B34))=TRUE,ISNUMBER(SEARCH("E.",$B34))=TRUE),INDEX(delayedsowing,MATCH(G34,drilldate_CROPS,0),MATCH(VLOOKUP(G34,drilldate_LDLR,2,FALSE),months,0)),
IF(AND(ISNUMBER(SEARCH("L-Dsty.L-Res",$B34))=TRUE,ISNUMBER(SEARCH("N.",$B34))=TRUE),INDEX(delayedsowing,MATCH(G34,drilldate_CROPS,0),MATCH(VLOOKUP(G34,drilldate_LDLR,3,FALSE),months,0)),
IF(AND(ISNUMBER(SEARCH("L-Dsty.L-Res",$B34))=TRUE,ISNUMBER(SEARCH("C.",$B34))=TRUE),INDEX(delayedsowing,MATCH(G34,drilldate_CROPS,0),MATCH(VLOOKUP(G34,drilldate_LDLR,4,FALSE),months,0))
)))))))))</f>
        <v>late</v>
      </c>
      <c r="Z34" s="154" t="str">
        <f t="shared" ref="Z34:Z55" si="113">IF(AND(ISNUMBER(SEARCH("H-Dsty.H-Res",$B34))=TRUE,ISNUMBER(SEARCH("E.",$B34))=TRUE),INDEX(delayedsowing,MATCH(H34,drilldate_CROPS,0),MATCH(VLOOKUP(H34,drilldate_HDHR,2,FALSE),months,0)),
IF(AND(ISNUMBER(SEARCH("H-Dsty.H-Res",$B34))=TRUE,ISNUMBER(SEARCH("N.",$B34))=TRUE),INDEX(delayedsowing,MATCH(H34,drilldate_CROPS,0),MATCH(VLOOKUP(H34,drilldate_HDHR,3,FALSE),months,0)),
IF(AND(ISNUMBER(SEARCH("H-Dsty.H-Res",$B34))=TRUE,ISNUMBER(SEARCH("C.",$B34))=TRUE),INDEX(delayedsowing,MATCH(H34,drilldate_CROPS,0),MATCH(VLOOKUP(H34,drilldate_HDHR,4,FALSE),months,0)),
IF(AND(ISNUMBER(SEARCH("L-Dsty.H-Res",$B34))=TRUE,ISNUMBER(SEARCH("E.",$B34))=TRUE),INDEX(delayedsowing,MATCH(H34,drilldate_CROPS,0),MATCH(VLOOKUP(H34,drilldate_LDHR,2,FALSE),months,0)),
IF(AND(ISNUMBER(SEARCH("L-Dsty.H-Res",$B34))=TRUE,ISNUMBER(SEARCH("N.",$B34))=TRUE),INDEX(delayedsowing,MATCH(H34,drilldate_CROPS,0),MATCH(VLOOKUP(H34,drilldate_LDHR,3,FALSE),months,0)),
IF(AND(ISNUMBER(SEARCH("L-Dsty.H-Res",$B34))=TRUE,ISNUMBER(SEARCH("C.",$B34))=TRUE),INDEX(delayedsowing,MATCH(H34,drilldate_CROPS,0),MATCH(VLOOKUP(H34,drilldate_LDHR,4,FALSE),months,0)),
IF(AND(ISNUMBER(SEARCH("L-Dsty.L-Res",$B34))=TRUE,ISNUMBER(SEARCH("E.",$B34))=TRUE),INDEX(delayedsowing,MATCH(H34,drilldate_CROPS,0),MATCH(VLOOKUP(H34,drilldate_LDLR,2,FALSE),months,0)),
IF(AND(ISNUMBER(SEARCH("L-Dsty.L-Res",$B34))=TRUE,ISNUMBER(SEARCH("N.",$B34))=TRUE),INDEX(delayedsowing,MATCH(H34,drilldate_CROPS,0),MATCH(VLOOKUP(H34,drilldate_LDLR,3,FALSE),months,0)),
IF(AND(ISNUMBER(SEARCH("L-Dsty.L-Res",$B34))=TRUE,ISNUMBER(SEARCH("C.",$B34))=TRUE),INDEX(delayedsowing,MATCH(H34,drilldate_CROPS,0),MATCH(VLOOKUP(H34,drilldate_LDLR,4,FALSE),months,0))
)))))))))</f>
        <v>no</v>
      </c>
      <c r="AA34" s="154" t="str">
        <f t="shared" ref="AA34:AA55" si="114">IF(AND(ISNUMBER(SEARCH("H-Dsty.H-Res",$B34))=TRUE,ISNUMBER(SEARCH("E.",$B34))=TRUE),INDEX(delayedsowing,MATCH(I34,drilldate_CROPS,0),MATCH(VLOOKUP(I34,drilldate_HDHR,2,FALSE),months,0)),
IF(AND(ISNUMBER(SEARCH("H-Dsty.H-Res",$B34))=TRUE,ISNUMBER(SEARCH("N.",$B34))=TRUE),INDEX(delayedsowing,MATCH(I34,drilldate_CROPS,0),MATCH(VLOOKUP(I34,drilldate_HDHR,3,FALSE),months,0)),
IF(AND(ISNUMBER(SEARCH("H-Dsty.H-Res",$B34))=TRUE,ISNUMBER(SEARCH("C.",$B34))=TRUE),INDEX(delayedsowing,MATCH(I34,drilldate_CROPS,0),MATCH(VLOOKUP(I34,drilldate_HDHR,4,FALSE),months,0)),
IF(AND(ISNUMBER(SEARCH("L-Dsty.H-Res",$B34))=TRUE,ISNUMBER(SEARCH("E.",$B34))=TRUE),INDEX(delayedsowing,MATCH(I34,drilldate_CROPS,0),MATCH(VLOOKUP(I34,drilldate_LDHR,2,FALSE),months,0)),
IF(AND(ISNUMBER(SEARCH("L-Dsty.H-Res",$B34))=TRUE,ISNUMBER(SEARCH("N.",$B34))=TRUE),INDEX(delayedsowing,MATCH(I34,drilldate_CROPS,0),MATCH(VLOOKUP(I34,drilldate_LDHR,3,FALSE),months,0)),
IF(AND(ISNUMBER(SEARCH("L-Dsty.H-Res",$B34))=TRUE,ISNUMBER(SEARCH("C.",$B34))=TRUE),INDEX(delayedsowing,MATCH(I34,drilldate_CROPS,0),MATCH(VLOOKUP(I34,drilldate_LDHR,4,FALSE),months,0)),
IF(AND(ISNUMBER(SEARCH("L-Dsty.L-Res",$B34))=TRUE,ISNUMBER(SEARCH("E.",$B34))=TRUE),INDEX(delayedsowing,MATCH(I34,drilldate_CROPS,0),MATCH(VLOOKUP(I34,drilldate_LDLR,2,FALSE),months,0)),
IF(AND(ISNUMBER(SEARCH("L-Dsty.L-Res",$B34))=TRUE,ISNUMBER(SEARCH("N.",$B34))=TRUE),INDEX(delayedsowing,MATCH(I34,drilldate_CROPS,0),MATCH(VLOOKUP(I34,drilldate_LDLR,3,FALSE),months,0)),
IF(AND(ISNUMBER(SEARCH("L-Dsty.L-Res",$B34))=TRUE,ISNUMBER(SEARCH("C.",$B34))=TRUE),INDEX(delayedsowing,MATCH(I34,drilldate_CROPS,0),MATCH(VLOOKUP(I34,drilldate_LDLR,4,FALSE),months,0))
)))))))))</f>
        <v>late</v>
      </c>
      <c r="AB34" s="154" t="str">
        <f t="shared" ref="AB34:AB55" si="115">IF(AND(ISNUMBER(SEARCH("H-Dsty.H-Res",$B34))=TRUE,ISNUMBER(SEARCH("E.",$B34))=TRUE),INDEX(delayedsowing,MATCH(J34,drilldate_CROPS,0),MATCH(VLOOKUP(J34,drilldate_HDHR,2,FALSE),months,0)),
IF(AND(ISNUMBER(SEARCH("H-Dsty.H-Res",$B34))=TRUE,ISNUMBER(SEARCH("N.",$B34))=TRUE),INDEX(delayedsowing,MATCH(J34,drilldate_CROPS,0),MATCH(VLOOKUP(J34,drilldate_HDHR,3,FALSE),months,0)),
IF(AND(ISNUMBER(SEARCH("H-Dsty.H-Res",$B34))=TRUE,ISNUMBER(SEARCH("C.",$B34))=TRUE),INDEX(delayedsowing,MATCH(J34,drilldate_CROPS,0),MATCH(VLOOKUP(J34,drilldate_HDHR,4,FALSE),months,0)),
IF(AND(ISNUMBER(SEARCH("L-Dsty.H-Res",$B34))=TRUE,ISNUMBER(SEARCH("E.",$B34))=TRUE),INDEX(delayedsowing,MATCH(J34,drilldate_CROPS,0),MATCH(VLOOKUP(J34,drilldate_LDHR,2,FALSE),months,0)),
IF(AND(ISNUMBER(SEARCH("L-Dsty.H-Res",$B34))=TRUE,ISNUMBER(SEARCH("N.",$B34))=TRUE),INDEX(delayedsowing,MATCH(J34,drilldate_CROPS,0),MATCH(VLOOKUP(J34,drilldate_LDHR,3,FALSE),months,0)),
IF(AND(ISNUMBER(SEARCH("L-Dsty.H-Res",$B34))=TRUE,ISNUMBER(SEARCH("C.",$B34))=TRUE),INDEX(delayedsowing,MATCH(J34,drilldate_CROPS,0),MATCH(VLOOKUP(J34,drilldate_LDHR,4,FALSE),months,0)),
IF(AND(ISNUMBER(SEARCH("L-Dsty.L-Res",$B34))=TRUE,ISNUMBER(SEARCH("E.",$B34))=TRUE),INDEX(delayedsowing,MATCH(J34,drilldate_CROPS,0),MATCH(VLOOKUP(J34,drilldate_LDLR,2,FALSE),months,0)),
IF(AND(ISNUMBER(SEARCH("L-Dsty.L-Res",$B34))=TRUE,ISNUMBER(SEARCH("N.",$B34))=TRUE),INDEX(delayedsowing,MATCH(J34,drilldate_CROPS,0),MATCH(VLOOKUP(J34,drilldate_LDLR,3,FALSE),months,0)),
IF(AND(ISNUMBER(SEARCH("L-Dsty.L-Res",$B34))=TRUE,ISNUMBER(SEARCH("C.",$B34))=TRUE),INDEX(delayedsowing,MATCH(J34,drilldate_CROPS,0),MATCH(VLOOKUP(J34,drilldate_LDLR,4,FALSE),months,0))
)))))))))</f>
        <v>late</v>
      </c>
      <c r="AC34" s="154" t="str">
        <f t="shared" ref="AC34:AC55" si="116">IF(AND(ISNUMBER(SEARCH("H-Dsty.H-Res",$B34))=TRUE,ISNUMBER(SEARCH("E.",$B34))=TRUE),INDEX(delayedsowing,MATCH(K34,drilldate_CROPS,0),MATCH(VLOOKUP(K34,drilldate_HDHR,2,FALSE),months,0)),
IF(AND(ISNUMBER(SEARCH("H-Dsty.H-Res",$B34))=TRUE,ISNUMBER(SEARCH("N.",$B34))=TRUE),INDEX(delayedsowing,MATCH(K34,drilldate_CROPS,0),MATCH(VLOOKUP(K34,drilldate_HDHR,3,FALSE),months,0)),
IF(AND(ISNUMBER(SEARCH("H-Dsty.H-Res",$B34))=TRUE,ISNUMBER(SEARCH("C.",$B34))=TRUE),INDEX(delayedsowing,MATCH(K34,drilldate_CROPS,0),MATCH(VLOOKUP(K34,drilldate_HDHR,4,FALSE),months,0)),
IF(AND(ISNUMBER(SEARCH("L-Dsty.H-Res",$B34))=TRUE,ISNUMBER(SEARCH("E.",$B34))=TRUE),INDEX(delayedsowing,MATCH(K34,drilldate_CROPS,0),MATCH(VLOOKUP(K34,drilldate_LDHR,2,FALSE),months,0)),
IF(AND(ISNUMBER(SEARCH("L-Dsty.H-Res",$B34))=TRUE,ISNUMBER(SEARCH("N.",$B34))=TRUE),INDEX(delayedsowing,MATCH(K34,drilldate_CROPS,0),MATCH(VLOOKUP(K34,drilldate_LDHR,3,FALSE),months,0)),
IF(AND(ISNUMBER(SEARCH("L-Dsty.H-Res",$B34))=TRUE,ISNUMBER(SEARCH("C.",$B34))=TRUE),INDEX(delayedsowing,MATCH(K34,drilldate_CROPS,0),MATCH(VLOOKUP(K34,drilldate_LDHR,4,FALSE),months,0)),
IF(AND(ISNUMBER(SEARCH("L-Dsty.L-Res",$B34))=TRUE,ISNUMBER(SEARCH("E.",$B34))=TRUE),INDEX(delayedsowing,MATCH(K34,drilldate_CROPS,0),MATCH(VLOOKUP(K34,drilldate_LDLR,2,FALSE),months,0)),
IF(AND(ISNUMBER(SEARCH("L-Dsty.L-Res",$B34))=TRUE,ISNUMBER(SEARCH("N.",$B34))=TRUE),INDEX(delayedsowing,MATCH(K34,drilldate_CROPS,0),MATCH(VLOOKUP(K34,drilldate_LDLR,3,FALSE),months,0)),
IF(AND(ISNUMBER(SEARCH("L-Dsty.L-Res",$B34))=TRUE,ISNUMBER(SEARCH("C.",$B34))=TRUE),INDEX(delayedsowing,MATCH(K34,drilldate_CROPS,0),MATCH(VLOOKUP(K34,drilldate_LDLR,4,FALSE),months,0))
)))))))))</f>
        <v>no</v>
      </c>
      <c r="AD34" s="234">
        <f>IF(AND(ISNUMBER(SEARCH("H-Dsty.H-Res",$B34))=TRUE,ISNUMBER(SEARCH("E.",$B34))=TRUE),INDEX(fertrate_HDHR_E,MATCH($F34,fertrate_CROPS,0)),
IF(AND(ISNUMBER(SEARCH("H-Dsty.H-Res",$B34))=TRUE,ISNUMBER(SEARCH("N.",$B34))=TRUE),INDEX(fertrate_HDHR_N,MATCH($F34,fertrate_CROPS,0)),
IF(AND(ISNUMBER(SEARCH("H-Dsty.H-Res",$B34))=TRUE,ISNUMBER(SEARCH("C.",$B34))=TRUE),INDEX(fertrate_HDHR_C,MATCH($F34,fertrate_CROPS,0)),
IF(AND(ISNUMBER(SEARCH("L-Dsty.H-Res",$B34))=TRUE,ISNUMBER(SEARCH("E.",$B34))=TRUE),INDEX(fertrate_LDHR_E,MATCH($F34,fertrate_CROPS,0)),
IF(AND(ISNUMBER(SEARCH("L-Dsty.H-Res",$B34))=TRUE,ISNUMBER(SEARCH("N.",$B34))=TRUE),INDEX(fertrate_LDHR_N,MATCH($F34,fertrate_CROPS,0)),
IF(AND(ISNUMBER(SEARCH("L-Dsty.H-Res",$B34))=TRUE,ISNUMBER(SEARCH("C.",$B34))=TRUE),INDEX(fertrate_LDHR_C,MATCH($F34,fertrate_CROPS,0)),
IF(AND(ISNUMBER(SEARCH("L-Dsty.L-Res",$B34))=TRUE,ISNUMBER(SEARCH("E.",$B34))=TRUE),INDEX(fertrate_LDLR_E,MATCH($F34,fertrate_CROPS,0)),
IF(AND(ISNUMBER(SEARCH("L-Dsty.L-Res",$B34))=TRUE,ISNUMBER(SEARCH("N.",$B34))=TRUE),INDEX(fertrate_LDLR_N,MATCH($F34,fertrate_CROPS,0)),
IF(AND(ISNUMBER(SEARCH("L-Dsty.L-Res",$B34))=TRUE,ISNUMBER(SEARCH("C.",$B34))=TRUE),INDEX(fertrate_LDLR_C,MATCH($F34,fertrate_CROPS,0))
)))))))))</f>
        <v>220</v>
      </c>
      <c r="AE34" s="234">
        <f t="shared" si="85"/>
        <v>110</v>
      </c>
      <c r="AF34" s="234">
        <f t="shared" si="96"/>
        <v>180</v>
      </c>
      <c r="AG34" s="234">
        <f>IF(AND(ISNUMBER(SEARCH("H-Dsty.",$B34))=TRUE,ISNUMBER(SEARCH("H-Res",$B34))=TRUE,ISNUMBER(SEARCH("E.",$B34))=TRUE),INDEX(fertrate_HDHR_E,MATCH($I34,fertrate_CROPS,0)),
IF(AND(ISNUMBER(SEARCH("H-Dsty.",$B34))=TRUE,ISNUMBER(SEARCH("H-Res",$B34))=TRUE,ISNUMBER(SEARCH("N.",$B34))=TRUE),INDEX(fertrate_HDHR_N,MATCH($I34,fertrate_CROPS,0)),
IF(AND(ISNUMBER(SEARCH("H-Dsty.",$B34))=TRUE,ISNUMBER(SEARCH("H-Res",$B34))=TRUE,ISNUMBER(SEARCH("C.",$B34))=TRUE),INDEX(fertrate_HDHR_C,MATCH($I34,fertrate_CROPS,0)),
IF(AND(ISNUMBER(SEARCH("L-Dsty.",$B34))=TRUE,ISNUMBER(SEARCH("H-Res",$B34))=TRUE,ISNUMBER(SEARCH("E.",$B34))=TRUE),INDEX(fertrate_LDHR_E,MATCH($I34,fertrate_CROPS,0)),
IF(AND(ISNUMBER(SEARCH("L-Dsty.",$B34))=TRUE,ISNUMBER(SEARCH("H-Res",$B34))=TRUE,ISNUMBER(SEARCH("N.",$B34))=TRUE),INDEX(fertrate_LDHR_N,MATCH($I34,fertrate_CROPS,0)),
IF(AND(ISNUMBER(SEARCH("L-Dsty.",$B34))=TRUE,ISNUMBER(SEARCH("H-Res",$B34))=TRUE,ISNUMBER(SEARCH("C.",$B34))=TRUE),INDEX(fertrate_LDHR_C,MATCH($I34,fertrate_CROPS,0)),
IF(AND(ISNUMBER(SEARCH("L-Dsty.",$B34))=TRUE,ISNUMBER(SEARCH("L-Res",$B34))=TRUE,ISNUMBER(SEARCH("E.",$B34))=TRUE),INDEX(fertrate_LDLR_E,MATCH($I34,fertrate_CROPS,0)),
IF(AND(ISNUMBER(SEARCH("L-Dsty.",$B34))=TRUE,ISNUMBER(SEARCH("L-Res",$B34))=TRUE,ISNUMBER(SEARCH("N.",$B34))=TRUE),INDEX(fertrate_LDLR_N,MATCH($I34,fertrate_CROPS,0)),
IF(AND(ISNUMBER(SEARCH("L-Dsty.",$B34))=TRUE,ISNUMBER(SEARCH("L-Res",$B34))=TRUE,ISNUMBER(SEARCH("C.",$B34))=TRUE),INDEX(fertrate_LDLR_C,MATCH($I34,fertrate_CROPS,0))
)))))))))</f>
        <v>220</v>
      </c>
      <c r="AH34" s="234">
        <f t="shared" si="80"/>
        <v>110</v>
      </c>
      <c r="AI34" s="234">
        <f t="shared" si="97"/>
        <v>180</v>
      </c>
      <c r="AJ34" s="154">
        <f t="shared" ref="AJ34:AJ55" si="117">INDEX(cropdata, MATCH(Pinput,inputs,0), MATCH($F34,cropdatacrops,0))</f>
        <v>67</v>
      </c>
      <c r="AK34" s="154">
        <f t="shared" ref="AK34:AK55" si="118">INDEX(cropdata, MATCH(Pinput,inputs,0), MATCH($G34,cropdatacrops,0))</f>
        <v>44</v>
      </c>
      <c r="AL34" s="154">
        <f t="shared" ref="AL34:AL55" si="119">INDEX(cropdata, MATCH(Pinput,inputs,0), MATCH($H34,cropdatacrops,0))</f>
        <v>49</v>
      </c>
      <c r="AM34" s="154">
        <f t="shared" ref="AM34:AM55" si="120">INDEX(cropdata, MATCH(Pinput,inputs,0), MATCH($I34,cropdatacrops,0))</f>
        <v>67</v>
      </c>
      <c r="AN34" s="154">
        <f t="shared" ref="AN34:AN55" si="121">INDEX(cropdata, MATCH(Pinput,inputs,0), MATCH($J34,cropdatacrops,0))</f>
        <v>44</v>
      </c>
      <c r="AO34" s="154">
        <f t="shared" ref="AO34:AO55" si="122">INDEX(cropdata, MATCH(Pinput,inputs,0), MATCH($K34,cropdatacrops,0))</f>
        <v>49</v>
      </c>
      <c r="AP34" s="154">
        <f t="shared" ref="AP34:AP55" si="123">INDEX(cropdata, MATCH(Kinput,inputs,0), MATCH($F34,cropdatacrops,0))</f>
        <v>48</v>
      </c>
      <c r="AQ34" s="154">
        <f t="shared" ref="AQ34:AQ55" si="124">INDEX(cropdata, MATCH(Kinput,inputs,0), MATCH($G34,cropdatacrops,0))</f>
        <v>32</v>
      </c>
      <c r="AR34" s="154">
        <f t="shared" ref="AR34:AR55" si="125">INDEX(cropdata, MATCH(Kinput,inputs,0), MATCH($H34,cropdatacrops,0))</f>
        <v>39</v>
      </c>
      <c r="AS34" s="154">
        <f t="shared" ref="AS34:AS55" si="126">INDEX(cropdata, MATCH(Kinput,inputs,0), MATCH($I34,cropdatacrops,0))</f>
        <v>48</v>
      </c>
      <c r="AT34" s="154">
        <f t="shared" ref="AT34:AT55" si="127">INDEX(cropdata, MATCH(Kinput,inputs,0), MATCH($J34,cropdatacrops,0))</f>
        <v>32</v>
      </c>
      <c r="AU34" s="154">
        <f t="shared" ref="AU34:AU55" si="128">INDEX(cropdata, MATCH(Kinput,inputs,0), MATCH($K34,cropdatacrops,0))</f>
        <v>39</v>
      </c>
      <c r="AV34" s="234">
        <f t="shared" si="89"/>
        <v>2.9</v>
      </c>
      <c r="AW34" s="234">
        <f t="shared" ref="AW34:AW55" si="129">IF(AND(ISNUMBER(SEARCH("H-Dsty.",$B34))=TRUE,ISNUMBER(SEARCH("H-Res",$B34))=TRUE,ISNUMBER(SEARCH("E.",$B34))=TRUE),INDEX(BGherb_HDHR_E,MATCH($G34,BGherb_CROPS,0)),
IF(AND(ISNUMBER(SEARCH("H-Dsty.",$B34))=TRUE,ISNUMBER(SEARCH("H-Res",$B34))=TRUE,ISNUMBER(SEARCH("N.",$B34))=TRUE),INDEX(BGherb_HDHR_N,MATCH($G34,BGherb_CROPS,0)),
IF(AND(ISNUMBER(SEARCH("H-Dsty.",$B34))=TRUE,ISNUMBER(SEARCH("H-Res",$B34))=TRUE,ISNUMBER(SEARCH("C.",$B34))=TRUE),INDEX(BGherb_HDHR_C,MATCH($G34,BGherb_CROPS,0)),
IF(AND(ISNUMBER(SEARCH("L-Dsty.",$B34))=TRUE,ISNUMBER(SEARCH("H-Res",$B34))=TRUE,ISNUMBER(SEARCH("E.",$B34))=TRUE),INDEX(BGherb_LDHR_E,MATCH($G34,BGherb_CROPS,0)),
IF(AND(ISNUMBER(SEARCH("L-Dsty.",$B34))=TRUE,ISNUMBER(SEARCH("H-Res",$B34))=TRUE,ISNUMBER(SEARCH("N.",$B34))=TRUE),INDEX(BGherb_LDHR_N,MATCH($G34,BGherb_CROPS,0)),
IF(AND(ISNUMBER(SEARCH("L-Dsty.",$B34))=TRUE,ISNUMBER(SEARCH("H-Res",$B34))=TRUE,ISNUMBER(SEARCH("C.",$B34))=TRUE),INDEX(BGherb_LDHR_C,MATCH($G34,BGherb_CROPS,0)),
IF(AND(ISNUMBER(SEARCH("L-Dsty.",$B34))=TRUE,ISNUMBER(SEARCH("L-Res",$B34))=TRUE,ISNUMBER(SEARCH("E.",$B34))=TRUE),INDEX(BGherb_LDLR_E,MATCH($G34,BGherb_CROPS,0)),
IF(AND(ISNUMBER(SEARCH("L-Dsty.",$B34))=TRUE,ISNUMBER(SEARCH("L-Res",$B34))=TRUE,ISNUMBER(SEARCH("N.",$B34))=TRUE),INDEX(BGherb_LDLR_N,MATCH($G34,BGherb_CROPS,0)),
IF(AND(ISNUMBER(SEARCH("L-Dsty.",$B34))=TRUE,ISNUMBER(SEARCH("L-Res",$B34))=TRUE,ISNUMBER(SEARCH("C.",$B34))=TRUE),INDEX(BGherb_LDLR_C,MATCH($G34,BGherb_CROPS,0))
)))))))))</f>
        <v>0.4</v>
      </c>
      <c r="AX34" s="234">
        <f t="shared" ref="AX34:AX55" si="130">IF(AND(ISNUMBER(SEARCH("H-Dsty.",$B34))=TRUE,ISNUMBER(SEARCH("H-Res",$B34))=TRUE,ISNUMBER(SEARCH("E.",$B34))=TRUE),INDEX(BGherb_HDHR_E,MATCH($H34,BGherb_CROPS,0)),
IF(AND(ISNUMBER(SEARCH("H-Dsty.",$B34))=TRUE,ISNUMBER(SEARCH("H-Res",$B34))=TRUE,ISNUMBER(SEARCH("N.",$B34))=TRUE),INDEX(BGherb_HDHR_N,MATCH($H34,BGherb_CROPS,0)),
IF(AND(ISNUMBER(SEARCH("H-Dsty.",$B34))=TRUE,ISNUMBER(SEARCH("H-Res",$B34))=TRUE,ISNUMBER(SEARCH("C.",$B34))=TRUE),INDEX(BGherb_HDHR_C,MATCH($H34,BGherb_CROPS,0)),
IF(AND(ISNUMBER(SEARCH("L-Dsty.",$B34))=TRUE,ISNUMBER(SEARCH("H-Res",$B34))=TRUE,ISNUMBER(SEARCH("E.",$B34))=TRUE),INDEX(BGherb_LDHR_E,MATCH($H34,BGherb_CROPS,0)),
IF(AND(ISNUMBER(SEARCH("L-Dsty.",$B34))=TRUE,ISNUMBER(SEARCH("H-Res",$B34))=TRUE,ISNUMBER(SEARCH("N.",$B34))=TRUE),INDEX(BGherb_LDHR_N,MATCH($H34,BGherb_CROPS,0)),
IF(AND(ISNUMBER(SEARCH("L-Dsty.",$B34))=TRUE,ISNUMBER(SEARCH("H-Res",$B34))=TRUE,ISNUMBER(SEARCH("C.",$B34))=TRUE),INDEX(BGherb_LDHR_C,MATCH($H34,BGherb_CROPS,0)),
IF(AND(ISNUMBER(SEARCH("L-Dsty.",$B34))=TRUE,ISNUMBER(SEARCH("L-Res",$B34))=TRUE,ISNUMBER(SEARCH("E.",$B34))=TRUE),INDEX(BGherb_LDLR_E,MATCH($H34,BGherb_CROPS,0)),
IF(AND(ISNUMBER(SEARCH("L-Dsty.",$B34))=TRUE,ISNUMBER(SEARCH("L-Res",$B34))=TRUE,ISNUMBER(SEARCH("N.",$B34))=TRUE),INDEX(BGherb_LDLR_N,MATCH($H34,BGherb_CROPS,0)),
IF(AND(ISNUMBER(SEARCH("L-Dsty.",$B34))=TRUE,ISNUMBER(SEARCH("L-Res",$B34))=TRUE,ISNUMBER(SEARCH("C.",$B34))=TRUE),INDEX(BGherb_LDLR_C,MATCH($H34,BGherb_CROPS,0))
)))))))))</f>
        <v>7.7</v>
      </c>
      <c r="AY34" s="234">
        <f t="shared" si="90"/>
        <v>2.9</v>
      </c>
      <c r="AZ34" s="234">
        <f t="shared" ref="AZ34:AZ55" si="131">IF(AND(ISNUMBER(SEARCH("H-Dsty.",$B34))=TRUE,ISNUMBER(SEARCH("H-Res",$B34))=TRUE,ISNUMBER(SEARCH("E.",$B34))=TRUE),INDEX(BGherb_HDHR_E,MATCH($J34,BGherb_CROPS,0)),
IF(AND(ISNUMBER(SEARCH("H-Dsty.",$B34))=TRUE,ISNUMBER(SEARCH("H-Res",$B34))=TRUE,ISNUMBER(SEARCH("N.",$B34))=TRUE),INDEX(BGherb_HDHR_N,MATCH($J34,BGherb_CROPS,0)),
IF(AND(ISNUMBER(SEARCH("H-Dsty.",$B34))=TRUE,ISNUMBER(SEARCH("H-Res",$B34))=TRUE,ISNUMBER(SEARCH("C.",$B34))=TRUE),INDEX(BGherb_HDHR_C,MATCH($J34,BGherb_CROPS,0)),
IF(AND(ISNUMBER(SEARCH("L-Dsty.",$B34))=TRUE,ISNUMBER(SEARCH("H-Res",$B34))=TRUE,ISNUMBER(SEARCH("E.",$B34))=TRUE),INDEX(BGherb_LDHR_E,MATCH($J34,BGherb_CROPS,0)),
IF(AND(ISNUMBER(SEARCH("L-Dsty.",$B34))=TRUE,ISNUMBER(SEARCH("H-Res",$B34))=TRUE,ISNUMBER(SEARCH("N.",$B34))=TRUE),INDEX(BGherb_LDHR_N,MATCH($J34,BGherb_CROPS,0)),
IF(AND(ISNUMBER(SEARCH("L-Dsty.",$B34))=TRUE,ISNUMBER(SEARCH("H-Res",$B34))=TRUE,ISNUMBER(SEARCH("C.",$B34))=TRUE),INDEX(BGherb_LDHR_C,MATCH($J34,BGherb_CROPS,0)),
IF(AND(ISNUMBER(SEARCH("L-Dsty.",$B34))=TRUE,ISNUMBER(SEARCH("L-Res",$B34))=TRUE,ISNUMBER(SEARCH("E.",$B34))=TRUE),INDEX(BGherb_LDLR_E,MATCH($J34,BGherb_CROPS,0)),
IF(AND(ISNUMBER(SEARCH("L-Dsty.",$B34))=TRUE,ISNUMBER(SEARCH("L-Res",$B34))=TRUE,ISNUMBER(SEARCH("N.",$B34))=TRUE),INDEX(BGherb_LDLR_N,MATCH($J34,BGherb_CROPS,0)),
IF(AND(ISNUMBER(SEARCH("L-Dsty.",$B34))=TRUE,ISNUMBER(SEARCH("L-Res",$B34))=TRUE,ISNUMBER(SEARCH("C.",$B34))=TRUE),INDEX(BGherb_LDLR_C,MATCH($J34,BGherb_CROPS,0))
)))))))))</f>
        <v>0.4</v>
      </c>
      <c r="BA34" s="234">
        <f t="shared" ref="BA34:BA55" si="132">IF(AND(ISNUMBER(SEARCH("H-Dsty.",$B34))=TRUE,ISNUMBER(SEARCH("H-Res",$B34))=TRUE,ISNUMBER(SEARCH("E.",$B34))=TRUE),INDEX(BGherb_HDHR_E,MATCH($K34,BGherb_CROPS,0)),
IF(AND(ISNUMBER(SEARCH("H-Dsty.",$B34))=TRUE,ISNUMBER(SEARCH("H-Res",$B34))=TRUE,ISNUMBER(SEARCH("N.",$B34))=TRUE),INDEX(BGherb_HDHR_N,MATCH($K34,BGherb_CROPS,0)),
IF(AND(ISNUMBER(SEARCH("H-Dsty.",$B34))=TRUE,ISNUMBER(SEARCH("H-Res",$B34))=TRUE,ISNUMBER(SEARCH("C.",$B34))=TRUE),INDEX(BGherb_HDHR_C,MATCH($K34,BGherb_CROPS,0)),
IF(AND(ISNUMBER(SEARCH("L-Dsty.",$B34))=TRUE,ISNUMBER(SEARCH("H-Res",$B34))=TRUE,ISNUMBER(SEARCH("E.",$B34))=TRUE),INDEX(BGherb_LDHR_E,MATCH($K34,BGherb_CROPS,0)),
IF(AND(ISNUMBER(SEARCH("L-Dsty.",$B34))=TRUE,ISNUMBER(SEARCH("H-Res",$B34))=TRUE,ISNUMBER(SEARCH("N.",$B34))=TRUE),INDEX(BGherb_LDHR_N,MATCH($K34,BGherb_CROPS,0)),
IF(AND(ISNUMBER(SEARCH("L-Dsty.",$B34))=TRUE,ISNUMBER(SEARCH("H-Res",$B34))=TRUE,ISNUMBER(SEARCH("C.",$B34))=TRUE),INDEX(BGherb_LDHR_C,MATCH($K34,BGherb_CROPS,0)),
IF(AND(ISNUMBER(SEARCH("L-Dsty.",$B34))=TRUE,ISNUMBER(SEARCH("L-Res",$B34))=TRUE,ISNUMBER(SEARCH("E.",$B34))=TRUE),INDEX(BGherb_LDLR_E,MATCH($K34,BGherb_CROPS,0)),
IF(AND(ISNUMBER(SEARCH("L-Dsty.",$B34))=TRUE,ISNUMBER(SEARCH("L-Res",$B34))=TRUE,ISNUMBER(SEARCH("N.",$B34))=TRUE),INDEX(BGherb_LDLR_N,MATCH($K34,BGherb_CROPS,0)),
IF(AND(ISNUMBER(SEARCH("L-Dsty.",$B34))=TRUE,ISNUMBER(SEARCH("L-Res",$B34))=TRUE,ISNUMBER(SEARCH("C.",$B34))=TRUE),INDEX(BGherb_LDLR_C,MATCH($K34,BGherb_CROPS,0))
)))))))))</f>
        <v>7.7</v>
      </c>
      <c r="BB34" s="234">
        <f t="shared" ref="BB34:BB55" si="133">IF(AND(ISNUMBER(SEARCH("H-Dsty.",$B34))=TRUE,ISNUMBER(SEARCH("H-Res",$B34))=TRUE,ISNUMBER(SEARCH("E.",$B34))=TRUE),INDEX(glyph_HDHR_E,MATCH($F34,glyph_CROPS,0)),
IF(AND(ISNUMBER(SEARCH("H-Dsty.",$B34))=TRUE,ISNUMBER(SEARCH("H-Res",$B34))=TRUE,ISNUMBER(SEARCH("N.",$B34))=TRUE),INDEX(glyph_HDHR_N,MATCH($F34,glyph_CROPS,0)),
IF(AND(ISNUMBER(SEARCH("H-Dsty.",$B34))=TRUE,ISNUMBER(SEARCH("H-Res",$B34))=TRUE,ISNUMBER(SEARCH("C.",$B34))=TRUE),INDEX(glyph_HDHR_C,MATCH($F34,glyph_CROPS,0)),
IF(AND(ISNUMBER(SEARCH("L-Dsty.",$B34))=TRUE,ISNUMBER(SEARCH("H-Res",$B34))=TRUE,ISNUMBER(SEARCH("E.",$B34))=TRUE),INDEX(glyph_LDHR_E,MATCH($F34,glyph_CROPS,0)),
IF(AND(ISNUMBER(SEARCH("L-Dsty.",$B34))=TRUE,ISNUMBER(SEARCH("H-Res",$B34))=TRUE,ISNUMBER(SEARCH("N.",$B34))=TRUE),INDEX(glyph_LDHR_N,MATCH($F34,glyph_CROPS,0)),
IF(AND(ISNUMBER(SEARCH("L-Dsty.",$B34))=TRUE,ISNUMBER(SEARCH("H-Res",$B34))=TRUE,ISNUMBER(SEARCH("C.",$B34))=TRUE),INDEX(glyph_LDHR_C,MATCH($F34,glyph_CROPS,0)),
IF(AND(ISNUMBER(SEARCH("L-Dsty.",$B34))=TRUE,ISNUMBER(SEARCH("L-Res",$B34))=TRUE,ISNUMBER(SEARCH("E.",$B34))=TRUE),INDEX(glyph_LDLR_E,MATCH($F34,glyph_CROPS,0)),
IF(AND(ISNUMBER(SEARCH("L-Dsty.",$B34))=TRUE,ISNUMBER(SEARCH("L-Res",$B34))=TRUE,ISNUMBER(SEARCH("N.",$B34))=TRUE),INDEX(glyph_LDLR_N,MATCH($F34,glyph_CROPS,0)),
IF(AND(ISNUMBER(SEARCH("L-Dsty.",$B34))=TRUE,ISNUMBER(SEARCH("L-Res",$B34))=TRUE,ISNUMBER(SEARCH("C.",$B34))=TRUE),INDEX(glyph_LDLR_C,MATCH($F34,glyph_CROPS,0))
)))))))))</f>
        <v>4.3</v>
      </c>
      <c r="BC34" s="234">
        <f t="shared" ref="BC34:BC55" si="134">IF(AND(ISNUMBER(SEARCH("H-Dsty.",$B34))=TRUE,ISNUMBER(SEARCH("H-Res",$B34))=TRUE,ISNUMBER(SEARCH("E.",$B34))=TRUE),INDEX(glyph_HDHR_E,MATCH($G34,glyph_CROPS,0)),
IF(AND(ISNUMBER(SEARCH("H-Dsty.",$B34))=TRUE,ISNUMBER(SEARCH("H-Res",$B34))=TRUE,ISNUMBER(SEARCH("N.",$B34))=TRUE),INDEX(glyph_HDHR_N,MATCH($G34,glyph_CROPS,0)),
IF(AND(ISNUMBER(SEARCH("H-Dsty.",$B34))=TRUE,ISNUMBER(SEARCH("H-Res",$B34))=TRUE,ISNUMBER(SEARCH("C.",$B34))=TRUE),INDEX(glyph_HDHR_C,MATCH($G34,glyph_CROPS,0)),
IF(AND(ISNUMBER(SEARCH("L-Dsty.",$B34))=TRUE,ISNUMBER(SEARCH("H-Res",$B34))=TRUE,ISNUMBER(SEARCH("E.",$B34))=TRUE),INDEX(glyph_LDHR_E,MATCH($G34,glyph_CROPS,0)),
IF(AND(ISNUMBER(SEARCH("L-Dsty.",$B34))=TRUE,ISNUMBER(SEARCH("H-Res",$B34))=TRUE,ISNUMBER(SEARCH("N.",$B34))=TRUE),INDEX(glyph_LDHR_N,MATCH($G34,glyph_CROPS,0)),
IF(AND(ISNUMBER(SEARCH("L-Dsty.",$B34))=TRUE,ISNUMBER(SEARCH("H-Res",$B34))=TRUE,ISNUMBER(SEARCH("C.",$B34))=TRUE),INDEX(glyph_LDHR_C,MATCH($G34,glyph_CROPS,0)),
IF(AND(ISNUMBER(SEARCH("L-Dsty.",$B34))=TRUE,ISNUMBER(SEARCH("L-Res",$B34))=TRUE,ISNUMBER(SEARCH("E.",$B34))=TRUE),INDEX(glyph_LDLR_E,MATCH($G34,glyph_CROPS,0)),
IF(AND(ISNUMBER(SEARCH("L-Dsty.",$B34))=TRUE,ISNUMBER(SEARCH("L-Res",$B34))=TRUE,ISNUMBER(SEARCH("N.",$B34))=TRUE),INDEX(glyph_LDLR_N,MATCH($G34,glyph_CROPS,0)),
IF(AND(ISNUMBER(SEARCH("L-Dsty.",$B34))=TRUE,ISNUMBER(SEARCH("L-Res",$B34))=TRUE,ISNUMBER(SEARCH("C.",$B34))=TRUE),INDEX(glyph_LDLR_C,MATCH($G34,glyph_CROPS,0))
)))))))))</f>
        <v>8</v>
      </c>
      <c r="BD34" s="234">
        <f t="shared" ref="BD34:BD55" si="135">IF(AND(ISNUMBER(SEARCH("H-Dsty.",$B34))=TRUE,ISNUMBER(SEARCH("H-Res",$B34))=TRUE,ISNUMBER(SEARCH("E.",$B34))=TRUE),INDEX(glyph_HDHR_E,MATCH($H34,glyph_CROPS,0)),
IF(AND(ISNUMBER(SEARCH("H-Dsty.",$B34))=TRUE,ISNUMBER(SEARCH("H-Res",$B34))=TRUE,ISNUMBER(SEARCH("N.",$B34))=TRUE),INDEX(glyph_HDHR_N,MATCH($H34,glyph_CROPS,0)),
IF(AND(ISNUMBER(SEARCH("H-Dsty.",$B34))=TRUE,ISNUMBER(SEARCH("H-Res",$B34))=TRUE,ISNUMBER(SEARCH("C.",$B34))=TRUE),INDEX(glyph_HDHR_C,MATCH($H34,glyph_CROPS,0)),
IF(AND(ISNUMBER(SEARCH("L-Dsty.",$B34))=TRUE,ISNUMBER(SEARCH("H-Res",$B34))=TRUE,ISNUMBER(SEARCH("E.",$B34))=TRUE),INDEX(glyph_LDHR_E,MATCH($H34,glyph_CROPS,0)),
IF(AND(ISNUMBER(SEARCH("L-Dsty.",$B34))=TRUE,ISNUMBER(SEARCH("H-Res",$B34))=TRUE,ISNUMBER(SEARCH("N.",$B34))=TRUE),INDEX(glyph_LDHR_N,MATCH($H34,glyph_CROPS,0)),
IF(AND(ISNUMBER(SEARCH("L-Dsty.",$B34))=TRUE,ISNUMBER(SEARCH("H-Res",$B34))=TRUE,ISNUMBER(SEARCH("C.",$B34))=TRUE),INDEX(glyph_LDHR_C,MATCH($H34,glyph_CROPS,0)),
IF(AND(ISNUMBER(SEARCH("L-Dsty.",$B34))=TRUE,ISNUMBER(SEARCH("L-Res",$B34))=TRUE,ISNUMBER(SEARCH("E.",$B34))=TRUE),INDEX(glyph_LDLR_E,MATCH($H34,glyph_CROPS,0)),
IF(AND(ISNUMBER(SEARCH("L-Dsty.",$B34))=TRUE,ISNUMBER(SEARCH("L-Res",$B34))=TRUE,ISNUMBER(SEARCH("N.",$B34))=TRUE),INDEX(glyph_LDLR_N,MATCH($H34,glyph_CROPS,0)),
IF(AND(ISNUMBER(SEARCH("L-Dsty.",$B34))=TRUE,ISNUMBER(SEARCH("L-Res",$B34))=TRUE,ISNUMBER(SEARCH("C.",$B34))=TRUE),INDEX(glyph_LDLR_C,MATCH($H34,glyph_CROPS,0))
)))))))))</f>
        <v>0</v>
      </c>
      <c r="BE34" s="234">
        <f t="shared" si="91"/>
        <v>4.3</v>
      </c>
      <c r="BF34" s="234">
        <f t="shared" ref="BF34:BF55" si="136">IF(AND(ISNUMBER(SEARCH("H-Dsty.",$B34))=TRUE,ISNUMBER(SEARCH("H-Res",$B34))=TRUE,ISNUMBER(SEARCH("E.",$B34))=TRUE),INDEX(glyph_HDHR_E,MATCH($J34,glyph_CROPS,0)),
IF(AND(ISNUMBER(SEARCH("H-Dsty.",$B34))=TRUE,ISNUMBER(SEARCH("H-Res",$B34))=TRUE,ISNUMBER(SEARCH("N.",$B34))=TRUE),INDEX(glyph_HDHR_N,MATCH($J34,glyph_CROPS,0)),
IF(AND(ISNUMBER(SEARCH("H-Dsty.",$B34))=TRUE,ISNUMBER(SEARCH("H-Res",$B34))=TRUE,ISNUMBER(SEARCH("C.",$B34))=TRUE),INDEX(glyph_HDHR_C,MATCH($J34,glyph_CROPS,0)),
IF(AND(ISNUMBER(SEARCH("L-Dsty.",$B34))=TRUE,ISNUMBER(SEARCH("H-Res",$B34))=TRUE,ISNUMBER(SEARCH("E.",$B34))=TRUE),INDEX(glyph_LDHR_E,MATCH($J34,glyph_CROPS,0)),
IF(AND(ISNUMBER(SEARCH("L-Dsty.",$B34))=TRUE,ISNUMBER(SEARCH("H-Res",$B34))=TRUE,ISNUMBER(SEARCH("N.",$B34))=TRUE),INDEX(glyph_LDHR_N,MATCH($J34,glyph_CROPS,0)),
IF(AND(ISNUMBER(SEARCH("L-Dsty.",$B34))=TRUE,ISNUMBER(SEARCH("H-Res",$B34))=TRUE,ISNUMBER(SEARCH("C.",$B34))=TRUE),INDEX(glyph_LDHR_C,MATCH($J34,glyph_CROPS,0)),
IF(AND(ISNUMBER(SEARCH("L-Dsty.",$B34))=TRUE,ISNUMBER(SEARCH("L-Res",$B34))=TRUE,ISNUMBER(SEARCH("E.",$B34))=TRUE),INDEX(glyph_LDLR_E,MATCH($J34,glyph_CROPS,0)),
IF(AND(ISNUMBER(SEARCH("L-Dsty.",$B34))=TRUE,ISNUMBER(SEARCH("L-Res",$B34))=TRUE,ISNUMBER(SEARCH("N.",$B34))=TRUE),INDEX(glyph_LDLR_N,MATCH($J34,glyph_CROPS,0)),
IF(AND(ISNUMBER(SEARCH("L-Dsty.",$B34))=TRUE,ISNUMBER(SEARCH("L-Res",$B34))=TRUE,ISNUMBER(SEARCH("C.",$B34))=TRUE),INDEX(glyph_LDLR_C,MATCH($J34,glyph_CROPS,0))
)))))))))</f>
        <v>8</v>
      </c>
      <c r="BG34" s="234">
        <f t="shared" ref="BG34:BG55" si="137">IF(AND(ISNUMBER(SEARCH("H-Dsty.",$B34))=TRUE,ISNUMBER(SEARCH("H-Res",$B34))=TRUE,ISNUMBER(SEARCH("E.",$B34))=TRUE),INDEX(glyph_HDHR_E,MATCH($K34,glyph_CROPS,0)),
IF(AND(ISNUMBER(SEARCH("H-Dsty.",$B34))=TRUE,ISNUMBER(SEARCH("H-Res",$B34))=TRUE,ISNUMBER(SEARCH("N.",$B34))=TRUE),INDEX(glyph_HDHR_N,MATCH($K34,glyph_CROPS,0)),
IF(AND(ISNUMBER(SEARCH("H-Dsty.",$B34))=TRUE,ISNUMBER(SEARCH("H-Res",$B34))=TRUE,ISNUMBER(SEARCH("C.",$B34))=TRUE),INDEX(glyph_HDHR_C,MATCH($K34,glyph_CROPS,0)),
IF(AND(ISNUMBER(SEARCH("L-Dsty.",$B34))=TRUE,ISNUMBER(SEARCH("H-Res",$B34))=TRUE,ISNUMBER(SEARCH("E.",$B34))=TRUE),INDEX(glyph_LDHR_E,MATCH($K34,glyph_CROPS,0)),
IF(AND(ISNUMBER(SEARCH("L-Dsty.",$B34))=TRUE,ISNUMBER(SEARCH("H-Res",$B34))=TRUE,ISNUMBER(SEARCH("N.",$B34))=TRUE),INDEX(glyph_LDHR_N,MATCH($K34,glyph_CROPS,0)),
IF(AND(ISNUMBER(SEARCH("L-Dsty.",$B34))=TRUE,ISNUMBER(SEARCH("H-Res",$B34))=TRUE,ISNUMBER(SEARCH("C.",$B34))=TRUE),INDEX(glyph_LDHR_C,MATCH($K34,glyph_CROPS,0)),
IF(AND(ISNUMBER(SEARCH("L-Dsty.",$B34))=TRUE,ISNUMBER(SEARCH("L-Res",$B34))=TRUE,ISNUMBER(SEARCH("E.",$B34))=TRUE),INDEX(glyph_LDLR_E,MATCH($K34,glyph_CROPS,0)),
IF(AND(ISNUMBER(SEARCH("L-Dsty.",$B34))=TRUE,ISNUMBER(SEARCH("L-Res",$B34))=TRUE,ISNUMBER(SEARCH("N.",$B34))=TRUE),INDEX(glyph_LDLR_N,MATCH($K34,glyph_CROPS,0)),
IF(AND(ISNUMBER(SEARCH("L-Dsty.",$B34))=TRUE,ISNUMBER(SEARCH("L-Res",$B34))=TRUE,ISNUMBER(SEARCH("C.",$B34))=TRUE),INDEX(glyph_LDLR_C,MATCH($K34,glyph_CROPS,0))
)))))))))</f>
        <v>0</v>
      </c>
      <c r="BH34" s="234">
        <f t="shared" ref="BH34:BH55" si="138">IF(AND(ISNUMBER(SEARCH("H-Dsty.",$B34))=TRUE,ISNUMBER(SEARCH("H-Res",$B34))=TRUE,ISNUMBER(SEARCH("E.",$B34))=TRUE),INDEX(nspray_HDHR_E,MATCH($F34,nspray_CROPS,0)),
IF(AND(ISNUMBER(SEARCH("H-Dsty.",$B34))=TRUE,ISNUMBER(SEARCH("H-Res",$B34))=TRUE,ISNUMBER(SEARCH("N.",$B34))=TRUE),INDEX(nspray_HDHR_N,MATCH($F34,nspray_CROPS,0)),
IF(AND(ISNUMBER(SEARCH("H-Dsty.",$B34))=TRUE,ISNUMBER(SEARCH("H-Res",$B34))=TRUE,ISNUMBER(SEARCH("C.",$B34))=TRUE),INDEX(nspray_HDHR_C,MATCH($F34,nspray_CROPS,0)),
IF(AND(ISNUMBER(SEARCH("L-Dsty.",$B34))=TRUE,ISNUMBER(SEARCH("H-Res",$B34))=TRUE,ISNUMBER(SEARCH("E.",$B34))=TRUE),INDEX(nspray_LDHR_E,MATCH($F34,nspray_CROPS,0)),
IF(AND(ISNUMBER(SEARCH("L-Dsty.",$B34))=TRUE,ISNUMBER(SEARCH("H-Res",$B34))=TRUE,ISNUMBER(SEARCH("N.",$B34))=TRUE),INDEX(nspray_LDHR_N,MATCH($F34,nspray_CROPS,0)),
IF(AND(ISNUMBER(SEARCH("L-Dsty.",$B34))=TRUE,ISNUMBER(SEARCH("H-Res",$B34))=TRUE,ISNUMBER(SEARCH("C.",$B34))=TRUE),INDEX(nspray_LDHR_C,MATCH($F34,nspray_CROPS,0)),
IF(AND(ISNUMBER(SEARCH("L-Dsty.",$B34))=TRUE,ISNUMBER(SEARCH("L-Res",$B34))=TRUE,ISNUMBER(SEARCH("E.",$B34))=TRUE),INDEX(nspray_LDLR_E,MATCH($F34,nspray_CROPS,0)),
IF(AND(ISNUMBER(SEARCH("L-Dsty.",$B34))=TRUE,ISNUMBER(SEARCH("L-Res",$B34))=TRUE,ISNUMBER(SEARCH("N.",$B34))=TRUE),INDEX(nspray_LDLR_N,MATCH($F34,nspray_CROPS,0)),
IF(AND(ISNUMBER(SEARCH("L-Dsty.",$B34))=TRUE,ISNUMBER(SEARCH("L-Res",$B34))=TRUE,ISNUMBER(SEARCH("C.",$B34))=TRUE),INDEX(nspray_LDLR_C,MATCH($F34,nspray_CROPS,0))
)))))))))</f>
        <v>5</v>
      </c>
      <c r="BI34" s="234">
        <f t="shared" ref="BI34:BI55" si="139">IF(AND(ISNUMBER(SEARCH("H-Dsty.",$B34))=TRUE,ISNUMBER(SEARCH("H-Res",$B34))=TRUE,ISNUMBER(SEARCH("E.",$B34))=TRUE),INDEX(nspray_HDHR_E,MATCH($G34,nspray_CROPS,0)),
IF(AND(ISNUMBER(SEARCH("H-Dsty.",$B34))=TRUE,ISNUMBER(SEARCH("H-Res",$B34))=TRUE,ISNUMBER(SEARCH("N.",$B34))=TRUE),INDEX(nspray_HDHR_N,MATCH($G34,nspray_CROPS,0)),
IF(AND(ISNUMBER(SEARCH("H-Dsty.",$B34))=TRUE,ISNUMBER(SEARCH("H-Res",$B34))=TRUE,ISNUMBER(SEARCH("C.",$B34))=TRUE),INDEX(nspray_HDHR_C,MATCH($G34,nspray_CROPS,0)),
IF(AND(ISNUMBER(SEARCH("L-Dsty.",$B34))=TRUE,ISNUMBER(SEARCH("H-Res",$B34))=TRUE,ISNUMBER(SEARCH("E.",$B34))=TRUE),INDEX(nspray_LDHR_E,MATCH($G34,nspray_CROPS,0)),
IF(AND(ISNUMBER(SEARCH("L-Dsty.",$B34))=TRUE,ISNUMBER(SEARCH("H-Res",$B34))=TRUE,ISNUMBER(SEARCH("N.",$B34))=TRUE),INDEX(nspray_LDHR_N,MATCH($G34,nspray_CROPS,0)),
IF(AND(ISNUMBER(SEARCH("L-Dsty.",$B34))=TRUE,ISNUMBER(SEARCH("H-Res",$B34))=TRUE,ISNUMBER(SEARCH("C.",$B34))=TRUE),INDEX(nspray_LDHR_C,MATCH($G34,nspray_CROPS,0)),
IF(AND(ISNUMBER(SEARCH("L-Dsty.",$B34))=TRUE,ISNUMBER(SEARCH("L-Res",$B34))=TRUE,ISNUMBER(SEARCH("E.",$B34))=TRUE),INDEX(nspray_LDLR_E,MATCH($G34,nspray_CROPS,0)),
IF(AND(ISNUMBER(SEARCH("L-Dsty.",$B34))=TRUE,ISNUMBER(SEARCH("L-Res",$B34))=TRUE,ISNUMBER(SEARCH("N.",$B34))=TRUE),INDEX(nspray_LDLR_N,MATCH($G34,nspray_CROPS,0)),
IF(AND(ISNUMBER(SEARCH("L-Dsty.",$B34))=TRUE,ISNUMBER(SEARCH("L-Res",$B34))=TRUE,ISNUMBER(SEARCH("C.",$B34))=TRUE),INDEX(nspray_LDLR_C,MATCH($G34,nspray_CROPS,0))
)))))))))</f>
        <v>5</v>
      </c>
      <c r="BJ34" s="234">
        <f t="shared" ref="BJ34:BJ55" si="140">IF(AND(ISNUMBER(SEARCH("H-Dsty.",$B34))=TRUE,ISNUMBER(SEARCH("H-Res",$B34))=TRUE,ISNUMBER(SEARCH("E.",$B34))=TRUE),INDEX(nspray_HDHR_E,MATCH($H34,nspray_CROPS,0)),
IF(AND(ISNUMBER(SEARCH("H-Dsty.",$B34))=TRUE,ISNUMBER(SEARCH("H-Res",$B34))=TRUE,ISNUMBER(SEARCH("N.",$B34))=TRUE),INDEX(nspray_HDHR_N,MATCH($H34,nspray_CROPS,0)),
IF(AND(ISNUMBER(SEARCH("H-Dsty.",$B34))=TRUE,ISNUMBER(SEARCH("H-Res",$B34))=TRUE,ISNUMBER(SEARCH("C.",$B34))=TRUE),INDEX(nspray_HDHR_C,MATCH($H34,nspray_CROPS,0)),
IF(AND(ISNUMBER(SEARCH("L-Dsty.",$B34))=TRUE,ISNUMBER(SEARCH("H-Res",$B34))=TRUE,ISNUMBER(SEARCH("E.",$B34))=TRUE),INDEX(nspray_LDHR_E,MATCH($H34,nspray_CROPS,0)),
IF(AND(ISNUMBER(SEARCH("L-Dsty.",$B34))=TRUE,ISNUMBER(SEARCH("H-Res",$B34))=TRUE,ISNUMBER(SEARCH("N.",$B34))=TRUE),INDEX(nspray_LDHR_N,MATCH($H34,nspray_CROPS,0)),
IF(AND(ISNUMBER(SEARCH("L-Dsty.",$B34))=TRUE,ISNUMBER(SEARCH("H-Res",$B34))=TRUE,ISNUMBER(SEARCH("C.",$B34))=TRUE),INDEX(nspray_LDHR_C,MATCH($H34,nspray_CROPS,0)),
IF(AND(ISNUMBER(SEARCH("L-Dsty.",$B34))=TRUE,ISNUMBER(SEARCH("L-Res",$B34))=TRUE,ISNUMBER(SEARCH("E.",$B34))=TRUE),INDEX(nspray_LDLR_E,MATCH($H34,nspray_CROPS,0)),
IF(AND(ISNUMBER(SEARCH("L-Dsty.",$B34))=TRUE,ISNUMBER(SEARCH("L-Res",$B34))=TRUE,ISNUMBER(SEARCH("N.",$B34))=TRUE),INDEX(nspray_LDLR_N,MATCH($H34,nspray_CROPS,0)),
IF(AND(ISNUMBER(SEARCH("L-Dsty.",$B34))=TRUE,ISNUMBER(SEARCH("L-Res",$B34))=TRUE,ISNUMBER(SEARCH("C.",$B34))=TRUE),INDEX(nspray_LDLR_C,MATCH($H34,nspray_CROPS,0))
)))))))))</f>
        <v>4</v>
      </c>
      <c r="BK34" s="234">
        <f t="shared" si="92"/>
        <v>5</v>
      </c>
      <c r="BL34" s="234">
        <f t="shared" ref="BL34:BL55" si="141">IF(AND(ISNUMBER(SEARCH("H-Dsty.",$B34))=TRUE,ISNUMBER(SEARCH("H-Res",$B34))=TRUE,ISNUMBER(SEARCH("E.",$B34))=TRUE),INDEX(nspray_HDHR_E,MATCH($J34,nspray_CROPS,0)),
IF(AND(ISNUMBER(SEARCH("H-Dsty.",$B34))=TRUE,ISNUMBER(SEARCH("H-Res",$B34))=TRUE,ISNUMBER(SEARCH("N.",$B34))=TRUE),INDEX(nspray_HDHR_N,MATCH($J34,nspray_CROPS,0)),
IF(AND(ISNUMBER(SEARCH("H-Dsty.",$B34))=TRUE,ISNUMBER(SEARCH("H-Res",$B34))=TRUE,ISNUMBER(SEARCH("C.",$B34))=TRUE),INDEX(nspray_HDHR_C,MATCH($J34,nspray_CROPS,0)),
IF(AND(ISNUMBER(SEARCH("L-Dsty.",$B34))=TRUE,ISNUMBER(SEARCH("H-Res",$B34))=TRUE,ISNUMBER(SEARCH("E.",$B34))=TRUE),INDEX(nspray_LDHR_E,MATCH($J34,nspray_CROPS,0)),
IF(AND(ISNUMBER(SEARCH("L-Dsty.",$B34))=TRUE,ISNUMBER(SEARCH("H-Res",$B34))=TRUE,ISNUMBER(SEARCH("N.",$B34))=TRUE),INDEX(nspray_LDHR_N,MATCH($J34,nspray_CROPS,0)),
IF(AND(ISNUMBER(SEARCH("L-Dsty.",$B34))=TRUE,ISNUMBER(SEARCH("H-Res",$B34))=TRUE,ISNUMBER(SEARCH("C.",$B34))=TRUE),INDEX(nspray_LDHR_C,MATCH($J34,nspray_CROPS,0)),
IF(AND(ISNUMBER(SEARCH("L-Dsty.",$B34))=TRUE,ISNUMBER(SEARCH("L-Res",$B34))=TRUE,ISNUMBER(SEARCH("E.",$B34))=TRUE),INDEX(nspray_LDLR_E,MATCH($J34,nspray_CROPS,0)),
IF(AND(ISNUMBER(SEARCH("L-Dsty.",$B34))=TRUE,ISNUMBER(SEARCH("L-Res",$B34))=TRUE,ISNUMBER(SEARCH("N.",$B34))=TRUE),INDEX(nspray_LDLR_N,MATCH($J34,nspray_CROPS,0)),
IF(AND(ISNUMBER(SEARCH("L-Dsty.",$B34))=TRUE,ISNUMBER(SEARCH("L-Res",$B34))=TRUE,ISNUMBER(SEARCH("C.",$B34))=TRUE),INDEX(nspray_LDLR_C,MATCH($J34,nspray_CROPS,0))
)))))))))</f>
        <v>5</v>
      </c>
      <c r="BM34" s="234">
        <f t="shared" ref="BM34:BM55" si="142">IF(AND(ISNUMBER(SEARCH("H-Dsty.",$B34))=TRUE,ISNUMBER(SEARCH("H-Res",$B34))=TRUE,ISNUMBER(SEARCH("E.",$B34))=TRUE),INDEX(nspray_HDHR_E,MATCH($K34,nspray_CROPS,0)),
IF(AND(ISNUMBER(SEARCH("H-Dsty.",$B34))=TRUE,ISNUMBER(SEARCH("H-Res",$B34))=TRUE,ISNUMBER(SEARCH("N.",$B34))=TRUE),INDEX(nspray_HDHR_N,MATCH($K34,nspray_CROPS,0)),
IF(AND(ISNUMBER(SEARCH("H-Dsty.",$B34))=TRUE,ISNUMBER(SEARCH("H-Res",$B34))=TRUE,ISNUMBER(SEARCH("C.",$B34))=TRUE),INDEX(nspray_HDHR_C,MATCH($K34,nspray_CROPS,0)),
IF(AND(ISNUMBER(SEARCH("L-Dsty.",$B34))=TRUE,ISNUMBER(SEARCH("H-Res",$B34))=TRUE,ISNUMBER(SEARCH("E.",$B34))=TRUE),INDEX(nspray_LDHR_E,MATCH($K34,nspray_CROPS,0)),
IF(AND(ISNUMBER(SEARCH("L-Dsty.",$B34))=TRUE,ISNUMBER(SEARCH("H-Res",$B34))=TRUE,ISNUMBER(SEARCH("N.",$B34))=TRUE),INDEX(nspray_LDHR_N,MATCH($K34,nspray_CROPS,0)),
IF(AND(ISNUMBER(SEARCH("L-Dsty.",$B34))=TRUE,ISNUMBER(SEARCH("H-Res",$B34))=TRUE,ISNUMBER(SEARCH("C.",$B34))=TRUE),INDEX(nspray_LDHR_C,MATCH($K34,nspray_CROPS,0)),
IF(AND(ISNUMBER(SEARCH("L-Dsty.",$B34))=TRUE,ISNUMBER(SEARCH("L-Res",$B34))=TRUE,ISNUMBER(SEARCH("E.",$B34))=TRUE),INDEX(nspray_LDLR_E,MATCH($K34,nspray_CROPS,0)),
IF(AND(ISNUMBER(SEARCH("L-Dsty.",$B34))=TRUE,ISNUMBER(SEARCH("L-Res",$B34))=TRUE,ISNUMBER(SEARCH("N.",$B34))=TRUE),INDEX(nspray_LDLR_N,MATCH($K34,nspray_CROPS,0)),
IF(AND(ISNUMBER(SEARCH("L-Dsty.",$B34))=TRUE,ISNUMBER(SEARCH("L-Res",$B34))=TRUE,ISNUMBER(SEARCH("C.",$B34))=TRUE),INDEX(nspray_LDLR_C,MATCH($K34,nspray_CROPS,0))
)))))))))</f>
        <v>4</v>
      </c>
      <c r="BN34" s="154" t="s">
        <v>483</v>
      </c>
      <c r="BO34" s="154" t="str">
        <f t="shared" ref="BO34:BO55" si="143">IF(ISNUMBER(SEARCH("VD",$C34))=TRUE,"veryhigh",
IF(ISNUMBER(SEARCH("HD",$C34))=TRUE,"high",
IF(ISNUMBER(SEARCH("MD",$C34))=TRUE,"medium",
"low")))</f>
        <v>low</v>
      </c>
      <c r="BP34" s="154" t="str">
        <f t="shared" ref="BP34:BP55" si="144">IF(ISNUMBER(SEARCH("VD",$C34))=TRUE,"high",
IF(ISNUMBER(SEARCH("HD",$C34))=TRUE,"medium","low"))</f>
        <v>low</v>
      </c>
      <c r="BQ34" s="154" t="str">
        <f t="shared" ref="BQ34:BQ55" si="145">IF(ISNUMBER(SEARCH("VD",$C34))=TRUE,"medium",
IF(ISNUMBER(SEARCH("HD",$C34))=TRUE,"low","low"))</f>
        <v>low</v>
      </c>
      <c r="BR34" s="154" t="s">
        <v>183</v>
      </c>
      <c r="BS34" s="154" t="s">
        <v>183</v>
      </c>
      <c r="BT34" s="154" t="s">
        <v>183</v>
      </c>
      <c r="BU34" s="154">
        <f t="shared" ref="BU34:BU55" si="146">INDEX(cropdata, MATCH("Primary Yield Price",outputs,0), MATCH($F34,cropdatacrops,0))</f>
        <v>150</v>
      </c>
      <c r="BV34" s="154">
        <f t="shared" ref="BV34:BV55" si="147">INDEX(cropdata, MATCH("Primary Yield Price",outputs,0), MATCH($G34,cropdatacrops,0))</f>
        <v>157</v>
      </c>
      <c r="BW34" s="154">
        <f t="shared" ref="BW34:BW55" si="148">INDEX(cropdata, MATCH("Primary Yield Price",outputs,0), MATCH($H34,cropdatacrops,0))</f>
        <v>335</v>
      </c>
      <c r="BX34" s="154">
        <f t="shared" ref="BX34:BX55" si="149">INDEX(cropdata, MATCH("Primary Yield Price",outputs,0), MATCH($I34,cropdatacrops,0))</f>
        <v>150</v>
      </c>
      <c r="BY34" s="154">
        <f t="shared" ref="BY34:BY55" si="150">INDEX(cropdata, MATCH("Primary Yield Price",outputs,0), MATCH($J34,cropdatacrops,0))</f>
        <v>157</v>
      </c>
      <c r="BZ34" s="154">
        <f t="shared" ref="BZ34:BZ55" si="151">INDEX(cropdata, MATCH("Primary Yield Price",outputs,0), MATCH($K34,cropdatacrops,0))</f>
        <v>335</v>
      </c>
      <c r="CA34" s="356">
        <f t="array" ref="CA34">IF(yieldsetting1="estimate",0,INDEX(cropdata, MATCH(yieldsource,outputs,0), MATCH($F34,cropdatacrops,0)))</f>
        <v>0</v>
      </c>
      <c r="CB34" s="356">
        <f t="array" ref="CB34">IF(yieldsetting1="estimate",0,INDEX(cropdata, MATCH(yieldsource,outputs,0), MATCH($G34,cropdatacrops,0)))</f>
        <v>0</v>
      </c>
      <c r="CC34" s="356">
        <f t="array" ref="CC34">IF(yieldsetting1="estimate",0,INDEX(cropdata, MATCH(yieldsource,outputs,0), MATCH($H34,cropdatacrops,0)))</f>
        <v>0</v>
      </c>
      <c r="CD34" s="356">
        <f t="array" ref="CD34">IF(yieldsetting1="estimate",0,INDEX(cropdata, MATCH(yieldsource,outputs,0), MATCH($I34,cropdatacrops,0)))</f>
        <v>0</v>
      </c>
      <c r="CE34" s="356">
        <f t="array" ref="CE34">IF(yieldsetting1="estimate",0,INDEX(cropdata, MATCH(yieldsource,outputs,0), MATCH($J34,cropdatacrops,0)))</f>
        <v>0</v>
      </c>
      <c r="CF34" s="356">
        <f t="array" ref="CF34">IF(yieldsetting1="estimate",0,INDEX(cropdata, MATCH(yieldsource,outputs,0), MATCH($K34,cropdatacrops,0)))</f>
        <v>0</v>
      </c>
      <c r="CG34" s="154" t="str">
        <f t="shared" ref="CG34:CG55" si="152">yieldsetting1</f>
        <v>estimate</v>
      </c>
      <c r="CH34" s="235">
        <f t="shared" ref="CH34:CH55" si="153">Nfertprice</f>
        <v>0.8</v>
      </c>
      <c r="CI34" s="235">
        <f t="shared" ref="CI34:CI55" si="154">Pfertprice</f>
        <v>0.72</v>
      </c>
      <c r="CJ34" s="154">
        <f t="shared" ref="CJ34:CJ55" si="155">Kfertprice</f>
        <v>0.46</v>
      </c>
      <c r="CK34" s="154">
        <f t="shared" ref="CK34:CK55" si="156">INDEX(cropdata, MATCH(seedprice,inputs,0), MATCH($F34,cropdatacrops,0))</f>
        <v>0.36</v>
      </c>
      <c r="CL34" s="154">
        <f t="shared" ref="CL34:CL55" si="157">INDEX(cropdata, MATCH(seedprice,inputs,0), MATCH($G34,cropdatacrops,0))</f>
        <v>0.38</v>
      </c>
      <c r="CM34" s="154">
        <f t="shared" ref="CM34:CM55" si="158">INDEX(cropdata, MATCH(seedprice,inputs,0), MATCH($H34,cropdatacrops,0))</f>
        <v>7.34</v>
      </c>
      <c r="CN34" s="154">
        <f t="shared" ref="CN34:CN55" si="159">INDEX(cropdata, MATCH(seedprice,inputs,0), MATCH($I34,cropdatacrops,0))</f>
        <v>0.36</v>
      </c>
      <c r="CO34" s="154">
        <f t="shared" ref="CO34:CO55" si="160">INDEX(cropdata, MATCH(seedprice,inputs,0), MATCH($J34,cropdatacrops,0))</f>
        <v>0.38</v>
      </c>
      <c r="CP34" s="154">
        <f t="shared" ref="CP34:CP55" si="161">INDEX(cropdata, MATCH(seedprice,inputs,0), MATCH($K34,cropdatacrops,0))</f>
        <v>7.34</v>
      </c>
      <c r="CQ34" s="154">
        <f t="shared" si="98"/>
        <v>19.5</v>
      </c>
      <c r="CR34" s="154">
        <f t="shared" si="98"/>
        <v>19.5</v>
      </c>
      <c r="CS34" s="154">
        <f t="shared" si="98"/>
        <v>19.5</v>
      </c>
      <c r="CT34" s="154">
        <f t="shared" si="98"/>
        <v>19.5</v>
      </c>
      <c r="CU34" s="154">
        <f t="shared" si="98"/>
        <v>19.5</v>
      </c>
      <c r="CV34" s="154">
        <f t="shared" si="98"/>
        <v>19.5</v>
      </c>
      <c r="CW34" s="154">
        <f t="shared" si="99"/>
        <v>2.4300000000000002</v>
      </c>
      <c r="CX34" s="154">
        <f t="shared" si="99"/>
        <v>2.4300000000000002</v>
      </c>
      <c r="CY34" s="154">
        <f t="shared" si="99"/>
        <v>2.4300000000000002</v>
      </c>
      <c r="CZ34" s="154">
        <f t="shared" si="99"/>
        <v>2.4300000000000002</v>
      </c>
      <c r="DA34" s="154">
        <f t="shared" si="99"/>
        <v>2.4300000000000002</v>
      </c>
      <c r="DB34" s="154">
        <f t="shared" si="99"/>
        <v>2.4300000000000002</v>
      </c>
      <c r="DC34" s="154">
        <v>102</v>
      </c>
      <c r="DD34" s="154">
        <v>6</v>
      </c>
      <c r="DE34" s="154">
        <v>4</v>
      </c>
      <c r="DF34" s="154">
        <v>1400</v>
      </c>
      <c r="DG34" s="154">
        <v>125</v>
      </c>
      <c r="DH34" s="154">
        <f t="shared" ref="DH34:DH55" si="162">fuelprice</f>
        <v>0.625</v>
      </c>
      <c r="DI34" s="154">
        <f t="shared" ref="DI34:DI55" si="163">labour</f>
        <v>10.08</v>
      </c>
    </row>
    <row r="35" spans="1:113" x14ac:dyDescent="0.2">
      <c r="A35" s="332" t="s">
        <v>1743</v>
      </c>
      <c r="B35" s="333" t="s">
        <v>497</v>
      </c>
      <c r="C35" s="333" t="s">
        <v>1674</v>
      </c>
      <c r="D35" s="236" t="str">
        <f>IF(ISNUMBER(SEARCH("heavy",B35))=TRUE,"2.25",
IF(ISNUMBER(SEARCH("medium",B35))=TRUE,"1.50",
IF(ISNUMBER(SEARCH("light",B35))=TRUE,"0.75")))</f>
        <v>1.50</v>
      </c>
      <c r="E35" s="154">
        <v>6</v>
      </c>
      <c r="F35" s="234" t="str" cm="1">
        <f t="array" ref="F35">IF(AND(ISNUMBER(SEARCH("H-Dsty.H-Res",$B35))=TRUE,ISNUMBER(SEARCH("E.",$B35))=TRUE,OR(ISNUMBER(SEARCH("heavy",$B35)),ISNUMBER(SEARCH("MEDIUM",$B35)))=TRUE),INDEX(croprotn_HDHR_E_h,MATCH(RIGHT($F$1,1),rotation_heavy,0)),
IF(AND(ISNUMBER(SEARCH("H-Dsty.H-Res",$B35))=TRUE,ISNUMBER(SEARCH("N.",$B35))=TRUE,OR(ISNUMBER(SEARCH("heavy",$B35)),ISNUMBER(SEARCH("MEDIUM",$B35)))=TRUE),INDEX(croprotn_HDHR_N_h,MATCH(RIGHT($F$1,1),rotation_heavy,0)),
IF(AND(ISNUMBER(SEARCH("H-Dsty.H-Res",$B35))=TRUE,ISNUMBER(SEARCH("C.",$B35))=TRUE,OR(ISNUMBER(SEARCH("heavy",$B35)),ISNUMBER(SEARCH("MEDIUM",$B35)))=TRUE),INDEX(croprotn_HDHR_C_h,MATCH(RIGHT($F$1,1),rotation_heavy,0)),
IF(AND(ISNUMBER(SEARCH("L-Dsty.H-Res",$B35))=TRUE,ISNUMBER(SEARCH("E.",$B35))=TRUE,OR(ISNUMBER(SEARCH("heavy",$B35)),ISNUMBER(SEARCH("MEDIUM",$B35)))=TRUE),INDEX(croprotn_LDHR_E_h,MATCH(RIGHT($F$1,1),rotation_heavy,0)),
IF(AND(ISNUMBER(SEARCH("L-Dsty.H-Res",$B35))=TRUE,ISNUMBER(SEARCH("N.",$B35))=TRUE,OR(ISNUMBER(SEARCH("heavy",$B35)),ISNUMBER(SEARCH("MEDIUM",$B35)))=TRUE),INDEX(croprotn_LDHR_N_h,MATCH(RIGHT($F$1,1),rotation_heavy,0)),
IF(AND(ISNUMBER(SEARCH("L-Dsty.H-Res",$B35))=TRUE,ISNUMBER(SEARCH("C.",$B35))=TRUE,OR(ISNUMBER(SEARCH("heavy",$B35)),ISNUMBER(SEARCH("MEDIUM",$B35)))=TRUE),INDEX(croprotn_LDHR_C_h,MATCH(RIGHT($F$1,1),rotation_heavy,0)),
IF(AND(ISNUMBER(SEARCH("L-Dsty.L-Res",$B35))=TRUE,ISNUMBER(SEARCH("E.",$B35))=TRUE,OR(ISNUMBER(SEARCH("heavy",$B35)),ISNUMBER(SEARCH("MEDIUM",$B35)))=TRUE),INDEX(croprotn_LDLR_E_h,MATCH(RIGHT($F$1,1),rotation_heavy,0)),
IF(AND(ISNUMBER(SEARCH("L-Dsty.L-Res",$B35))=TRUE,ISNUMBER(SEARCH("N.",$B35))=TRUE,OR(ISNUMBER(SEARCH("heavy",$B35)),ISNUMBER(SEARCH("MEDIUM",$B35)))=TRUE),INDEX(croprotn_LDLR_N_h,MATCH(RIGHT($F$1,1),rotation_heavy,0)),
IF(AND(ISNUMBER(SEARCH("L-Dsty.L-Res",$B35))=TRUE,ISNUMBER(SEARCH("C.",$B35))=TRUE,OR(ISNUMBER(SEARCH("heavy",$B35)),ISNUMBER(SEARCH("MEDIUM",$B35)))=TRUE),INDEX(croprotn_LDLR_C_h,MATCH(RIGHT($F$1,1),rotation_heavy,0)),
IF(AND(ISNUMBER(SEARCH("H-Dsty.H-Res",$B35))=TRUE,ISNUMBER(SEARCH("E.",$B35))=TRUE,ISNUMBER(SEARCH("light",$B35))=TRUE),INDEX(croprotn_HDHR_E_l,MATCH(RIGHT($F$1,1),rotation_light,0)),
IF(AND(ISNUMBER(SEARCH("H-Dsty.H-Res",$B35))=TRUE,ISNUMBER(SEARCH("N.",$B35))=TRUE,ISNUMBER(SEARCH("light",$B35))=TRUE),INDEX(croprotn_HDHR_N_l,MATCH(RIGHT($F$1,1),rotation_light,0)),
IF(AND(ISNUMBER(SEARCH("H-Dsty.H-Res",$B35))=TRUE,ISNUMBER(SEARCH("C.",$B35))=TRUE,ISNUMBER(SEARCH("light",$B35))=TRUE),INDEX(croprotn_HDHR_C_l,MATCH(RIGHT($F$1,1),rotation_light,0)),
IF(AND(ISNUMBER(SEARCH("L-Dsty.H-Res",$B35))=TRUE,ISNUMBER(SEARCH("E.",$B35))=TRUE,ISNUMBER(SEARCH("light",$B35))=TRUE),INDEX(croprotn_LDHR_E_l,MATCH(RIGHT($F$1,1),rotation_light,0)),
IF(AND(ISNUMBER(SEARCH("L-Dsty.H-Res",$B35))=TRUE,ISNUMBER(SEARCH("N.",$B35))=TRUE,ISNUMBER(SEARCH("light",$B35))=TRUE),INDEX(croprotn_LDHR_N_l,MATCH(RIGHT($F$1,1),rotation_light,0)),
IF(AND(ISNUMBER(SEARCH("L-Dsty.H-Res",$B35))=TRUE,ISNUMBER(SEARCH("C.",$B35))=TRUE,ISNUMBER(SEARCH("light",$B35))=TRUE),INDEX(croprotn_LDHR_C_l,MATCH(RIGHT($F$1,1),rotation_light,0)),
IF(AND(ISNUMBER(SEARCH("L-Dsty.L-Res",$B35))=TRUE,ISNUMBER(SEARCH("E.",$B35))=TRUE,ISNUMBER(SEARCH("light",$B35))=TRUE),INDEX(croprotn_LDLR_E_l,MATCH(RIGHT($F$1,1),rotation_light,0)),
IF(AND(ISNUMBER(SEARCH("L-Dsty.L-Res",$B35))=TRUE,ISNUMBER(SEARCH("N.",$B35))=TRUE,ISNUMBER(SEARCH("light",$B35))=TRUE),INDEX(croprotn_LDLR_N_l,MATCH(RIGHT($F$1,1),rotation_light,0)),
IF(AND(ISNUMBER(SEARCH("L-Dsty.L-Res",$B35))=TRUE,ISNUMBER(SEARCH("C.",$B35))=TRUE,ISNUMBER(SEARCH("light",$B35))=TRUE),INDEX(croprotn_LDLR_C_l,MATCH(RIGHT($F$1,1),rotation_light,0))
))))))))))))))))))</f>
        <v>winterwheat</v>
      </c>
      <c r="G35" s="234" t="str">
        <f t="shared" si="84"/>
        <v>springbarley</v>
      </c>
      <c r="H35" s="234" t="str">
        <f t="shared" si="100"/>
        <v>wosr</v>
      </c>
      <c r="I35" s="234" t="str">
        <f t="shared" si="101"/>
        <v>winterwheat</v>
      </c>
      <c r="J35" s="234" t="str">
        <f t="shared" si="102"/>
        <v>springbarley</v>
      </c>
      <c r="K35" s="234" t="str">
        <f t="shared" si="103"/>
        <v>wosr</v>
      </c>
      <c r="L35" s="154" t="str">
        <f t="shared" si="104"/>
        <v>inversion</v>
      </c>
      <c r="M35" s="154" t="str">
        <f t="shared" si="105"/>
        <v>minimumtillage</v>
      </c>
      <c r="N35" s="154" t="str">
        <f t="shared" si="106"/>
        <v>directdrilling</v>
      </c>
      <c r="O35" s="263" t="s">
        <v>259</v>
      </c>
      <c r="P35" s="154" t="str">
        <f t="shared" si="76"/>
        <v>minimumtillage</v>
      </c>
      <c r="Q35" s="154" t="str">
        <f t="shared" si="95"/>
        <v>directdrilling</v>
      </c>
      <c r="R35" s="234">
        <f t="shared" si="86"/>
        <v>200</v>
      </c>
      <c r="S35" s="234">
        <f t="shared" si="107"/>
        <v>200</v>
      </c>
      <c r="T35" s="234">
        <f t="shared" si="108"/>
        <v>3.2</v>
      </c>
      <c r="U35" s="234">
        <f t="shared" si="87"/>
        <v>200</v>
      </c>
      <c r="V35" s="234">
        <f t="shared" si="109"/>
        <v>200</v>
      </c>
      <c r="W35" s="234">
        <f t="shared" si="110"/>
        <v>3.2</v>
      </c>
      <c r="X35" s="154" t="str">
        <f t="shared" si="111"/>
        <v>late</v>
      </c>
      <c r="Y35" s="154" t="str">
        <f t="shared" si="112"/>
        <v>late</v>
      </c>
      <c r="Z35" s="154" t="str">
        <f t="shared" si="113"/>
        <v>no</v>
      </c>
      <c r="AA35" s="154" t="str">
        <f t="shared" si="114"/>
        <v>late</v>
      </c>
      <c r="AB35" s="154" t="str">
        <f t="shared" si="115"/>
        <v>late</v>
      </c>
      <c r="AC35" s="154" t="str">
        <f t="shared" si="116"/>
        <v>no</v>
      </c>
      <c r="AD35" s="234">
        <f>IF(AND(ISNUMBER(SEARCH("H-Dsty.H-Res",$B35))=TRUE,ISNUMBER(SEARCH("E.",$B35))=TRUE),INDEX(fertrate_HDHR_E,MATCH($F35,fertrate_CROPS,0)),
IF(AND(ISNUMBER(SEARCH("H-Dsty.H-Res",$B35))=TRUE,ISNUMBER(SEARCH("N.",$B35))=TRUE),INDEX(fertrate_HDHR_N,MATCH($F35,fertrate_CROPS,0)),
IF(AND(ISNUMBER(SEARCH("H-Dsty.H-Res",$B35))=TRUE,ISNUMBER(SEARCH("C.",$B35))=TRUE),INDEX(fertrate_HDHR_C,MATCH($F35,fertrate_CROPS,0)),
IF(AND(ISNUMBER(SEARCH("L-Dsty.H-Res",$B35))=TRUE,ISNUMBER(SEARCH("E.",$B35))=TRUE),INDEX(fertrate_LDHR_E,MATCH($F35,fertrate_CROPS,0)),
IF(AND(ISNUMBER(SEARCH("L-Dsty.H-Res",$B35))=TRUE,ISNUMBER(SEARCH("N.",$B35))=TRUE),INDEX(fertrate_LDHR_N,MATCH($F35,fertrate_CROPS,0)),
IF(AND(ISNUMBER(SEARCH("L-Dsty.H-Res",$B35))=TRUE,ISNUMBER(SEARCH("C.",$B35))=TRUE),INDEX(fertrate_LDHR_C,MATCH($F35,fertrate_CROPS,0)),
IF(AND(ISNUMBER(SEARCH("L-Dsty.L-Res",$B35))=TRUE,ISNUMBER(SEARCH("E.",$B35))=TRUE),INDEX(fertrate_LDLR_E,MATCH($F35,fertrate_CROPS,0)),
IF(AND(ISNUMBER(SEARCH("L-Dsty.L-Res",$B35))=TRUE,ISNUMBER(SEARCH("N.",$B35))=TRUE),INDEX(fertrate_LDLR_N,MATCH($F35,fertrate_CROPS,0)),
IF(AND(ISNUMBER(SEARCH("L-Dsty.L-Res",$B35))=TRUE,ISNUMBER(SEARCH("C.",$B35))=TRUE),INDEX(fertrate_LDLR_C,MATCH($F35,fertrate_CROPS,0))
)))))))))</f>
        <v>220</v>
      </c>
      <c r="AE35" s="234">
        <f t="shared" si="85"/>
        <v>110</v>
      </c>
      <c r="AF35" s="234">
        <f t="shared" si="96"/>
        <v>180</v>
      </c>
      <c r="AG35" s="234">
        <f>IF(AND(ISNUMBER(SEARCH("H-Dsty.",$B35))=TRUE,ISNUMBER(SEARCH("H-Res",$B35))=TRUE,ISNUMBER(SEARCH("E.",$B35))=TRUE),INDEX(fertrate_HDHR_E,MATCH($I35,fertrate_CROPS,0)),
IF(AND(ISNUMBER(SEARCH("H-Dsty.",$B35))=TRUE,ISNUMBER(SEARCH("H-Res",$B35))=TRUE,ISNUMBER(SEARCH("N.",$B35))=TRUE),INDEX(fertrate_HDHR_N,MATCH($I35,fertrate_CROPS,0)),
IF(AND(ISNUMBER(SEARCH("H-Dsty.",$B35))=TRUE,ISNUMBER(SEARCH("H-Res",$B35))=TRUE,ISNUMBER(SEARCH("C.",$B35))=TRUE),INDEX(fertrate_HDHR_C,MATCH($I35,fertrate_CROPS,0)),
IF(AND(ISNUMBER(SEARCH("L-Dsty.",$B35))=TRUE,ISNUMBER(SEARCH("H-Res",$B35))=TRUE,ISNUMBER(SEARCH("E.",$B35))=TRUE),INDEX(fertrate_LDHR_E,MATCH($I35,fertrate_CROPS,0)),
IF(AND(ISNUMBER(SEARCH("L-Dsty.",$B35))=TRUE,ISNUMBER(SEARCH("H-Res",$B35))=TRUE,ISNUMBER(SEARCH("N.",$B35))=TRUE),INDEX(fertrate_LDHR_N,MATCH($I35,fertrate_CROPS,0)),
IF(AND(ISNUMBER(SEARCH("L-Dsty.",$B35))=TRUE,ISNUMBER(SEARCH("H-Res",$B35))=TRUE,ISNUMBER(SEARCH("C.",$B35))=TRUE),INDEX(fertrate_LDHR_C,MATCH($I35,fertrate_CROPS,0)),
IF(AND(ISNUMBER(SEARCH("L-Dsty.",$B35))=TRUE,ISNUMBER(SEARCH("L-Res",$B35))=TRUE,ISNUMBER(SEARCH("E.",$B35))=TRUE),INDEX(fertrate_LDLR_E,MATCH($I35,fertrate_CROPS,0)),
IF(AND(ISNUMBER(SEARCH("L-Dsty.",$B35))=TRUE,ISNUMBER(SEARCH("L-Res",$B35))=TRUE,ISNUMBER(SEARCH("N.",$B35))=TRUE),INDEX(fertrate_LDLR_N,MATCH($I35,fertrate_CROPS,0)),
IF(AND(ISNUMBER(SEARCH("L-Dsty.",$B35))=TRUE,ISNUMBER(SEARCH("L-Res",$B35))=TRUE,ISNUMBER(SEARCH("C.",$B35))=TRUE),INDEX(fertrate_LDLR_C,MATCH($I35,fertrate_CROPS,0))
)))))))))</f>
        <v>220</v>
      </c>
      <c r="AH35" s="234">
        <f t="shared" si="80"/>
        <v>110</v>
      </c>
      <c r="AI35" s="234">
        <f t="shared" si="97"/>
        <v>180</v>
      </c>
      <c r="AJ35" s="154">
        <f t="shared" si="117"/>
        <v>67</v>
      </c>
      <c r="AK35" s="154">
        <f t="shared" si="118"/>
        <v>44</v>
      </c>
      <c r="AL35" s="154">
        <f t="shared" si="119"/>
        <v>49</v>
      </c>
      <c r="AM35" s="154">
        <f t="shared" si="120"/>
        <v>67</v>
      </c>
      <c r="AN35" s="154">
        <f t="shared" si="121"/>
        <v>44</v>
      </c>
      <c r="AO35" s="154">
        <f t="shared" si="122"/>
        <v>49</v>
      </c>
      <c r="AP35" s="154">
        <f t="shared" si="123"/>
        <v>48</v>
      </c>
      <c r="AQ35" s="154">
        <f t="shared" si="124"/>
        <v>32</v>
      </c>
      <c r="AR35" s="154">
        <f t="shared" si="125"/>
        <v>39</v>
      </c>
      <c r="AS35" s="154">
        <f t="shared" si="126"/>
        <v>48</v>
      </c>
      <c r="AT35" s="154">
        <f t="shared" si="127"/>
        <v>32</v>
      </c>
      <c r="AU35" s="154">
        <f t="shared" si="128"/>
        <v>39</v>
      </c>
      <c r="AV35" s="234">
        <f t="shared" si="89"/>
        <v>2.9</v>
      </c>
      <c r="AW35" s="234">
        <f t="shared" si="129"/>
        <v>0.4</v>
      </c>
      <c r="AX35" s="234">
        <f t="shared" si="130"/>
        <v>7.7</v>
      </c>
      <c r="AY35" s="234">
        <f t="shared" si="90"/>
        <v>2.9</v>
      </c>
      <c r="AZ35" s="234">
        <f t="shared" si="131"/>
        <v>0.4</v>
      </c>
      <c r="BA35" s="234">
        <f t="shared" si="132"/>
        <v>7.7</v>
      </c>
      <c r="BB35" s="234">
        <f t="shared" si="133"/>
        <v>4.3</v>
      </c>
      <c r="BC35" s="234">
        <f t="shared" si="134"/>
        <v>8</v>
      </c>
      <c r="BD35" s="234">
        <f t="shared" si="135"/>
        <v>0</v>
      </c>
      <c r="BE35" s="234">
        <f t="shared" si="91"/>
        <v>4.3</v>
      </c>
      <c r="BF35" s="234">
        <f t="shared" si="136"/>
        <v>8</v>
      </c>
      <c r="BG35" s="234">
        <f t="shared" si="137"/>
        <v>0</v>
      </c>
      <c r="BH35" s="234">
        <f t="shared" si="138"/>
        <v>5</v>
      </c>
      <c r="BI35" s="234">
        <f t="shared" si="139"/>
        <v>5</v>
      </c>
      <c r="BJ35" s="234">
        <f t="shared" si="140"/>
        <v>4</v>
      </c>
      <c r="BK35" s="234">
        <f t="shared" si="92"/>
        <v>5</v>
      </c>
      <c r="BL35" s="234">
        <f t="shared" si="141"/>
        <v>5</v>
      </c>
      <c r="BM35" s="234">
        <f t="shared" si="142"/>
        <v>4</v>
      </c>
      <c r="BN35" s="154" t="s">
        <v>483</v>
      </c>
      <c r="BO35" s="154" t="str">
        <f t="shared" si="143"/>
        <v>medium</v>
      </c>
      <c r="BP35" s="154" t="str">
        <f t="shared" si="144"/>
        <v>low</v>
      </c>
      <c r="BQ35" s="154" t="str">
        <f t="shared" si="145"/>
        <v>low</v>
      </c>
      <c r="BR35" s="154" t="s">
        <v>18</v>
      </c>
      <c r="BS35" s="154" t="s">
        <v>18</v>
      </c>
      <c r="BT35" s="154" t="s">
        <v>18</v>
      </c>
      <c r="BU35" s="154">
        <f t="shared" si="146"/>
        <v>150</v>
      </c>
      <c r="BV35" s="154">
        <f t="shared" si="147"/>
        <v>157</v>
      </c>
      <c r="BW35" s="154">
        <f t="shared" si="148"/>
        <v>335</v>
      </c>
      <c r="BX35" s="154">
        <f t="shared" si="149"/>
        <v>150</v>
      </c>
      <c r="BY35" s="154">
        <f t="shared" si="150"/>
        <v>157</v>
      </c>
      <c r="BZ35" s="154">
        <f t="shared" si="151"/>
        <v>335</v>
      </c>
      <c r="CA35" s="356">
        <f t="array" ref="CA35">IF(yieldsetting1="estimate",0,INDEX(cropdata, MATCH(yieldsource,outputs,0), MATCH($F35,cropdatacrops,0)))</f>
        <v>0</v>
      </c>
      <c r="CB35" s="356">
        <f t="array" ref="CB35">IF(yieldsetting1="estimate",0,INDEX(cropdata, MATCH(yieldsource,outputs,0), MATCH($G35,cropdatacrops,0)))</f>
        <v>0</v>
      </c>
      <c r="CC35" s="356">
        <f t="array" ref="CC35">IF(yieldsetting1="estimate",0,INDEX(cropdata, MATCH(yieldsource,outputs,0), MATCH($H35,cropdatacrops,0)))</f>
        <v>0</v>
      </c>
      <c r="CD35" s="356">
        <f t="array" ref="CD35">IF(yieldsetting1="estimate",0,INDEX(cropdata, MATCH(yieldsource,outputs,0), MATCH($I35,cropdatacrops,0)))</f>
        <v>0</v>
      </c>
      <c r="CE35" s="356">
        <f t="array" ref="CE35">IF(yieldsetting1="estimate",0,INDEX(cropdata, MATCH(yieldsource,outputs,0), MATCH($J35,cropdatacrops,0)))</f>
        <v>0</v>
      </c>
      <c r="CF35" s="356">
        <f t="array" ref="CF35">IF(yieldsetting1="estimate",0,INDEX(cropdata, MATCH(yieldsource,outputs,0), MATCH($K35,cropdatacrops,0)))</f>
        <v>0</v>
      </c>
      <c r="CG35" s="154" t="str">
        <f t="shared" si="152"/>
        <v>estimate</v>
      </c>
      <c r="CH35" s="235">
        <f t="shared" si="153"/>
        <v>0.8</v>
      </c>
      <c r="CI35" s="235">
        <f t="shared" si="154"/>
        <v>0.72</v>
      </c>
      <c r="CJ35" s="154">
        <f t="shared" si="155"/>
        <v>0.46</v>
      </c>
      <c r="CK35" s="154">
        <f t="shared" si="156"/>
        <v>0.36</v>
      </c>
      <c r="CL35" s="154">
        <f t="shared" si="157"/>
        <v>0.38</v>
      </c>
      <c r="CM35" s="154">
        <f t="shared" si="158"/>
        <v>7.34</v>
      </c>
      <c r="CN35" s="154">
        <f t="shared" si="159"/>
        <v>0.36</v>
      </c>
      <c r="CO35" s="154">
        <f t="shared" si="160"/>
        <v>0.38</v>
      </c>
      <c r="CP35" s="154">
        <f t="shared" si="161"/>
        <v>7.34</v>
      </c>
      <c r="CQ35" s="154">
        <f t="shared" si="98"/>
        <v>19.5</v>
      </c>
      <c r="CR35" s="154">
        <f t="shared" si="98"/>
        <v>19.5</v>
      </c>
      <c r="CS35" s="154">
        <f t="shared" si="98"/>
        <v>19.5</v>
      </c>
      <c r="CT35" s="154">
        <f t="shared" si="98"/>
        <v>19.5</v>
      </c>
      <c r="CU35" s="154">
        <f t="shared" si="98"/>
        <v>19.5</v>
      </c>
      <c r="CV35" s="154">
        <f t="shared" si="98"/>
        <v>19.5</v>
      </c>
      <c r="CW35" s="154">
        <f t="shared" si="99"/>
        <v>2.4300000000000002</v>
      </c>
      <c r="CX35" s="154">
        <f t="shared" si="99"/>
        <v>2.4300000000000002</v>
      </c>
      <c r="CY35" s="154">
        <f t="shared" si="99"/>
        <v>2.4300000000000002</v>
      </c>
      <c r="CZ35" s="154">
        <f t="shared" si="99"/>
        <v>2.4300000000000002</v>
      </c>
      <c r="DA35" s="154">
        <f t="shared" si="99"/>
        <v>2.4300000000000002</v>
      </c>
      <c r="DB35" s="154">
        <f t="shared" si="99"/>
        <v>2.4300000000000002</v>
      </c>
      <c r="DC35" s="154">
        <v>102</v>
      </c>
      <c r="DD35" s="154">
        <v>6</v>
      </c>
      <c r="DE35" s="154">
        <v>4</v>
      </c>
      <c r="DF35" s="154">
        <v>1400</v>
      </c>
      <c r="DG35" s="154">
        <v>125</v>
      </c>
      <c r="DH35" s="154">
        <f t="shared" si="162"/>
        <v>0.625</v>
      </c>
      <c r="DI35" s="154">
        <f t="shared" si="163"/>
        <v>10.08</v>
      </c>
    </row>
    <row r="36" spans="1:113" x14ac:dyDescent="0.2">
      <c r="A36" s="332" t="s">
        <v>1657</v>
      </c>
      <c r="B36" s="333" t="s">
        <v>500</v>
      </c>
      <c r="C36" s="333" t="s">
        <v>1683</v>
      </c>
      <c r="D36" s="233" t="str">
        <f>IF(ISNUMBER(SEARCH("heavy",B36))=TRUE,"2.25",
IF(ISNUMBER(SEARCH("medium",B36))=TRUE,"1.5",
IF(ISNUMBER(SEARCH("light",B36))=TRUE,"0.75")))</f>
        <v>0.75</v>
      </c>
      <c r="E36" s="154">
        <v>6</v>
      </c>
      <c r="F36" s="234" t="str" cm="1">
        <f t="array" ref="F36">IF(AND(ISNUMBER(SEARCH("H-Dsty.H-Res",$B36))=TRUE,ISNUMBER(SEARCH("E.",$B36))=TRUE,OR(ISNUMBER(SEARCH("heavy",$B36)),ISNUMBER(SEARCH("MEDIUM",$B36)))=TRUE),INDEX(croprotn_HDHR_E_h,MATCH(RIGHT($F$1,1),rotation_heavy,0)),
IF(AND(ISNUMBER(SEARCH("H-Dsty.H-Res",$B36))=TRUE,ISNUMBER(SEARCH("N.",$B36))=TRUE,OR(ISNUMBER(SEARCH("heavy",$B36)),ISNUMBER(SEARCH("MEDIUM",$B36)))=TRUE),INDEX(croprotn_HDHR_N_h,MATCH(RIGHT($F$1,1),rotation_heavy,0)),
IF(AND(ISNUMBER(SEARCH("H-Dsty.H-Res",$B36))=TRUE,ISNUMBER(SEARCH("C.",$B36))=TRUE,OR(ISNUMBER(SEARCH("heavy",$B36)),ISNUMBER(SEARCH("MEDIUM",$B36)))=TRUE),INDEX(croprotn_HDHR_C_h,MATCH(RIGHT($F$1,1),rotation_heavy,0)),
IF(AND(ISNUMBER(SEARCH("L-Dsty.H-Res",$B36))=TRUE,ISNUMBER(SEARCH("E.",$B36))=TRUE,OR(ISNUMBER(SEARCH("heavy",$B36)),ISNUMBER(SEARCH("MEDIUM",$B36)))=TRUE),INDEX(croprotn_LDHR_E_h,MATCH(RIGHT($F$1,1),rotation_heavy,0)),
IF(AND(ISNUMBER(SEARCH("L-Dsty.H-Res",$B36))=TRUE,ISNUMBER(SEARCH("N.",$B36))=TRUE,OR(ISNUMBER(SEARCH("heavy",$B36)),ISNUMBER(SEARCH("MEDIUM",$B36)))=TRUE),INDEX(croprotn_LDHR_N_h,MATCH(RIGHT($F$1,1),rotation_heavy,0)),
IF(AND(ISNUMBER(SEARCH("L-Dsty.H-Res",$B36))=TRUE,ISNUMBER(SEARCH("C.",$B36))=TRUE,OR(ISNUMBER(SEARCH("heavy",$B36)),ISNUMBER(SEARCH("MEDIUM",$B36)))=TRUE),INDEX(croprotn_LDHR_C_h,MATCH(RIGHT($F$1,1),rotation_heavy,0)),
IF(AND(ISNUMBER(SEARCH("L-Dsty.L-Res",$B36))=TRUE,ISNUMBER(SEARCH("E.",$B36))=TRUE,OR(ISNUMBER(SEARCH("heavy",$B36)),ISNUMBER(SEARCH("MEDIUM",$B36)))=TRUE),INDEX(croprotn_LDLR_E_h,MATCH(RIGHT($F$1,1),rotation_heavy,0)),
IF(AND(ISNUMBER(SEARCH("L-Dsty.L-Res",$B36))=TRUE,ISNUMBER(SEARCH("N.",$B36))=TRUE,OR(ISNUMBER(SEARCH("heavy",$B36)),ISNUMBER(SEARCH("MEDIUM",$B36)))=TRUE),INDEX(croprotn_LDLR_N_h,MATCH(RIGHT($F$1,1),rotation_heavy,0)),
IF(AND(ISNUMBER(SEARCH("L-Dsty.L-Res",$B36))=TRUE,ISNUMBER(SEARCH("C.",$B36))=TRUE,OR(ISNUMBER(SEARCH("heavy",$B36)),ISNUMBER(SEARCH("MEDIUM",$B36)))=TRUE),INDEX(croprotn_LDLR_C_h,MATCH(RIGHT($F$1,1),rotation_heavy,0)),
IF(AND(ISNUMBER(SEARCH("H-Dsty.H-Res",$B36))=TRUE,ISNUMBER(SEARCH("E.",$B36))=TRUE,ISNUMBER(SEARCH("light",$B36))=TRUE),INDEX(croprotn_HDHR_E_l,MATCH(RIGHT($F$1,1),rotation_light,0)),
IF(AND(ISNUMBER(SEARCH("H-Dsty.H-Res",$B36))=TRUE,ISNUMBER(SEARCH("N.",$B36))=TRUE,ISNUMBER(SEARCH("light",$B36))=TRUE),INDEX(croprotn_HDHR_N_l,MATCH(RIGHT($F$1,1),rotation_light,0)),
IF(AND(ISNUMBER(SEARCH("H-Dsty.H-Res",$B36))=TRUE,ISNUMBER(SEARCH("C.",$B36))=TRUE,ISNUMBER(SEARCH("light",$B36))=TRUE),INDEX(croprotn_HDHR_C_l,MATCH(RIGHT($F$1,1),rotation_light,0)),
IF(AND(ISNUMBER(SEARCH("L-Dsty.H-Res",$B36))=TRUE,ISNUMBER(SEARCH("E.",$B36))=TRUE,ISNUMBER(SEARCH("light",$B36))=TRUE),INDEX(croprotn_LDHR_E_l,MATCH(RIGHT($F$1,1),rotation_light,0)),
IF(AND(ISNUMBER(SEARCH("L-Dsty.H-Res",$B36))=TRUE,ISNUMBER(SEARCH("N.",$B36))=TRUE,ISNUMBER(SEARCH("light",$B36))=TRUE),INDEX(croprotn_LDHR_N_l,MATCH(RIGHT($F$1,1),rotation_light,0)),
IF(AND(ISNUMBER(SEARCH("L-Dsty.H-Res",$B36))=TRUE,ISNUMBER(SEARCH("C.",$B36))=TRUE,ISNUMBER(SEARCH("light",$B36))=TRUE),INDEX(croprotn_LDHR_C_l,MATCH(RIGHT($F$1,1),rotation_light,0)),
IF(AND(ISNUMBER(SEARCH("L-Dsty.L-Res",$B36))=TRUE,ISNUMBER(SEARCH("E.",$B36))=TRUE,ISNUMBER(SEARCH("light",$B36))=TRUE),INDEX(croprotn_LDLR_E_l,MATCH(RIGHT($F$1,1),rotation_light,0)),
IF(AND(ISNUMBER(SEARCH("L-Dsty.L-Res",$B36))=TRUE,ISNUMBER(SEARCH("N.",$B36))=TRUE,ISNUMBER(SEARCH("light",$B36))=TRUE),INDEX(croprotn_LDLR_N_l,MATCH(RIGHT($F$1,1),rotation_light,0)),
IF(AND(ISNUMBER(SEARCH("L-Dsty.L-Res",$B36))=TRUE,ISNUMBER(SEARCH("C.",$B36))=TRUE,ISNUMBER(SEARCH("light",$B36))=TRUE),INDEX(croprotn_LDLR_C_l,MATCH(RIGHT($F$1,1),rotation_light,0))
))))))))))))))))))</f>
        <v>winterwheat</v>
      </c>
      <c r="G36" s="234" t="str">
        <f t="shared" si="84"/>
        <v>springbarley</v>
      </c>
      <c r="H36" s="234" t="str">
        <f t="shared" si="100"/>
        <v>wosr</v>
      </c>
      <c r="I36" s="234" t="str">
        <f t="shared" si="101"/>
        <v>winterwheat</v>
      </c>
      <c r="J36" s="234" t="str">
        <f t="shared" si="102"/>
        <v>springbarley</v>
      </c>
      <c r="K36" s="234" t="str">
        <f t="shared" si="103"/>
        <v>wosr</v>
      </c>
      <c r="L36" s="154" t="str">
        <f t="shared" si="104"/>
        <v>inversion</v>
      </c>
      <c r="M36" s="154" t="str">
        <f t="shared" si="105"/>
        <v>minimumtillage</v>
      </c>
      <c r="N36" s="154" t="str">
        <f t="shared" si="106"/>
        <v>directdrilling</v>
      </c>
      <c r="O36" s="263" t="s">
        <v>259</v>
      </c>
      <c r="P36" s="154" t="str">
        <f t="shared" si="76"/>
        <v>minimumtillage</v>
      </c>
      <c r="Q36" s="154" t="str">
        <f t="shared" si="95"/>
        <v>directdrilling</v>
      </c>
      <c r="R36" s="234">
        <f t="shared" si="86"/>
        <v>200</v>
      </c>
      <c r="S36" s="234">
        <f t="shared" si="107"/>
        <v>200</v>
      </c>
      <c r="T36" s="234">
        <f t="shared" si="108"/>
        <v>3.2</v>
      </c>
      <c r="U36" s="234">
        <f t="shared" si="87"/>
        <v>200</v>
      </c>
      <c r="V36" s="234">
        <f t="shared" si="109"/>
        <v>200</v>
      </c>
      <c r="W36" s="234">
        <f t="shared" si="110"/>
        <v>3.2</v>
      </c>
      <c r="X36" s="154" t="str">
        <f t="shared" si="111"/>
        <v>late</v>
      </c>
      <c r="Y36" s="154" t="str">
        <f t="shared" si="112"/>
        <v>late</v>
      </c>
      <c r="Z36" s="154" t="str">
        <f t="shared" si="113"/>
        <v>no</v>
      </c>
      <c r="AA36" s="154" t="str">
        <f t="shared" si="114"/>
        <v>late</v>
      </c>
      <c r="AB36" s="154" t="str">
        <f t="shared" si="115"/>
        <v>late</v>
      </c>
      <c r="AC36" s="154" t="str">
        <f t="shared" si="116"/>
        <v>no</v>
      </c>
      <c r="AD36" s="345">
        <v>150</v>
      </c>
      <c r="AE36" s="234">
        <f t="shared" si="85"/>
        <v>110</v>
      </c>
      <c r="AF36" s="234">
        <f t="shared" si="96"/>
        <v>180</v>
      </c>
      <c r="AG36" s="345">
        <v>150</v>
      </c>
      <c r="AH36" s="234">
        <f t="shared" si="80"/>
        <v>110</v>
      </c>
      <c r="AI36" s="234">
        <f t="shared" si="97"/>
        <v>180</v>
      </c>
      <c r="AJ36" s="154">
        <f t="shared" si="117"/>
        <v>67</v>
      </c>
      <c r="AK36" s="154">
        <f t="shared" si="118"/>
        <v>44</v>
      </c>
      <c r="AL36" s="154">
        <f t="shared" si="119"/>
        <v>49</v>
      </c>
      <c r="AM36" s="154">
        <f t="shared" si="120"/>
        <v>67</v>
      </c>
      <c r="AN36" s="154">
        <f t="shared" si="121"/>
        <v>44</v>
      </c>
      <c r="AO36" s="154">
        <f t="shared" si="122"/>
        <v>49</v>
      </c>
      <c r="AP36" s="154">
        <f t="shared" si="123"/>
        <v>48</v>
      </c>
      <c r="AQ36" s="154">
        <f t="shared" si="124"/>
        <v>32</v>
      </c>
      <c r="AR36" s="154">
        <f t="shared" si="125"/>
        <v>39</v>
      </c>
      <c r="AS36" s="154">
        <f t="shared" si="126"/>
        <v>48</v>
      </c>
      <c r="AT36" s="154">
        <f t="shared" si="127"/>
        <v>32</v>
      </c>
      <c r="AU36" s="154">
        <f t="shared" si="128"/>
        <v>39</v>
      </c>
      <c r="AV36" s="234">
        <f t="shared" si="89"/>
        <v>2.9</v>
      </c>
      <c r="AW36" s="234">
        <f t="shared" si="129"/>
        <v>0.4</v>
      </c>
      <c r="AX36" s="234">
        <f t="shared" si="130"/>
        <v>7.7</v>
      </c>
      <c r="AY36" s="234">
        <f t="shared" si="90"/>
        <v>2.9</v>
      </c>
      <c r="AZ36" s="234">
        <f t="shared" si="131"/>
        <v>0.4</v>
      </c>
      <c r="BA36" s="234">
        <f t="shared" si="132"/>
        <v>7.7</v>
      </c>
      <c r="BB36" s="234">
        <f t="shared" si="133"/>
        <v>4.3</v>
      </c>
      <c r="BC36" s="234">
        <f t="shared" si="134"/>
        <v>8</v>
      </c>
      <c r="BD36" s="234">
        <f t="shared" si="135"/>
        <v>0</v>
      </c>
      <c r="BE36" s="234">
        <f t="shared" si="91"/>
        <v>4.3</v>
      </c>
      <c r="BF36" s="234">
        <f t="shared" si="136"/>
        <v>8</v>
      </c>
      <c r="BG36" s="234">
        <f t="shared" si="137"/>
        <v>0</v>
      </c>
      <c r="BH36" s="234">
        <f t="shared" si="138"/>
        <v>5</v>
      </c>
      <c r="BI36" s="234">
        <f t="shared" si="139"/>
        <v>5</v>
      </c>
      <c r="BJ36" s="234">
        <f t="shared" si="140"/>
        <v>4</v>
      </c>
      <c r="BK36" s="234">
        <f t="shared" si="92"/>
        <v>5</v>
      </c>
      <c r="BL36" s="234">
        <f t="shared" si="141"/>
        <v>5</v>
      </c>
      <c r="BM36" s="234">
        <f t="shared" si="142"/>
        <v>4</v>
      </c>
      <c r="BN36" s="154" t="s">
        <v>483</v>
      </c>
      <c r="BO36" s="154" t="str">
        <f t="shared" si="143"/>
        <v>low</v>
      </c>
      <c r="BP36" s="154" t="str">
        <f t="shared" si="144"/>
        <v>low</v>
      </c>
      <c r="BQ36" s="154" t="str">
        <f t="shared" si="145"/>
        <v>low</v>
      </c>
      <c r="BR36" s="154" t="s">
        <v>182</v>
      </c>
      <c r="BS36" s="154" t="s">
        <v>182</v>
      </c>
      <c r="BT36" s="154" t="s">
        <v>182</v>
      </c>
      <c r="BU36" s="154">
        <f t="shared" si="146"/>
        <v>150</v>
      </c>
      <c r="BV36" s="154">
        <f t="shared" si="147"/>
        <v>157</v>
      </c>
      <c r="BW36" s="154">
        <f t="shared" si="148"/>
        <v>335</v>
      </c>
      <c r="BX36" s="154">
        <f t="shared" si="149"/>
        <v>150</v>
      </c>
      <c r="BY36" s="154">
        <f t="shared" si="150"/>
        <v>157</v>
      </c>
      <c r="BZ36" s="154">
        <f t="shared" si="151"/>
        <v>335</v>
      </c>
      <c r="CA36" s="356">
        <f t="array" ref="CA36">IF(yieldsetting1="estimate",0,INDEX(cropdata, MATCH(yieldsource,outputs,0), MATCH($F36,cropdatacrops,0)))</f>
        <v>0</v>
      </c>
      <c r="CB36" s="356">
        <f t="array" ref="CB36">IF(yieldsetting1="estimate",0,INDEX(cropdata, MATCH(yieldsource,outputs,0), MATCH($G36,cropdatacrops,0)))</f>
        <v>0</v>
      </c>
      <c r="CC36" s="356">
        <f t="array" ref="CC36">IF(yieldsetting1="estimate",0,INDEX(cropdata, MATCH(yieldsource,outputs,0), MATCH($H36,cropdatacrops,0)))</f>
        <v>0</v>
      </c>
      <c r="CD36" s="356">
        <f t="array" ref="CD36">IF(yieldsetting1="estimate",0,INDEX(cropdata, MATCH(yieldsource,outputs,0), MATCH($I36,cropdatacrops,0)))</f>
        <v>0</v>
      </c>
      <c r="CE36" s="356">
        <f t="array" ref="CE36">IF(yieldsetting1="estimate",0,INDEX(cropdata, MATCH(yieldsource,outputs,0), MATCH($J36,cropdatacrops,0)))</f>
        <v>0</v>
      </c>
      <c r="CF36" s="356">
        <f t="array" ref="CF36">IF(yieldsetting1="estimate",0,INDEX(cropdata, MATCH(yieldsource,outputs,0), MATCH($K36,cropdatacrops,0)))</f>
        <v>0</v>
      </c>
      <c r="CG36" s="154" t="str">
        <f t="shared" si="152"/>
        <v>estimate</v>
      </c>
      <c r="CH36" s="235">
        <f t="shared" si="153"/>
        <v>0.8</v>
      </c>
      <c r="CI36" s="235">
        <f t="shared" si="154"/>
        <v>0.72</v>
      </c>
      <c r="CJ36" s="154">
        <f t="shared" si="155"/>
        <v>0.46</v>
      </c>
      <c r="CK36" s="154">
        <f t="shared" si="156"/>
        <v>0.36</v>
      </c>
      <c r="CL36" s="154">
        <f t="shared" si="157"/>
        <v>0.38</v>
      </c>
      <c r="CM36" s="154">
        <f t="shared" si="158"/>
        <v>7.34</v>
      </c>
      <c r="CN36" s="154">
        <f t="shared" si="159"/>
        <v>0.36</v>
      </c>
      <c r="CO36" s="154">
        <f t="shared" si="160"/>
        <v>0.38</v>
      </c>
      <c r="CP36" s="154">
        <f t="shared" si="161"/>
        <v>7.34</v>
      </c>
      <c r="CQ36" s="154">
        <f t="shared" si="98"/>
        <v>19.5</v>
      </c>
      <c r="CR36" s="154">
        <f t="shared" si="98"/>
        <v>19.5</v>
      </c>
      <c r="CS36" s="154">
        <f t="shared" si="98"/>
        <v>19.5</v>
      </c>
      <c r="CT36" s="154">
        <f t="shared" si="98"/>
        <v>19.5</v>
      </c>
      <c r="CU36" s="154">
        <f t="shared" si="98"/>
        <v>19.5</v>
      </c>
      <c r="CV36" s="154">
        <f t="shared" si="98"/>
        <v>19.5</v>
      </c>
      <c r="CW36" s="154">
        <f t="shared" si="99"/>
        <v>2.4300000000000002</v>
      </c>
      <c r="CX36" s="154">
        <f t="shared" si="99"/>
        <v>2.4300000000000002</v>
      </c>
      <c r="CY36" s="154">
        <f t="shared" si="99"/>
        <v>2.4300000000000002</v>
      </c>
      <c r="CZ36" s="154">
        <f t="shared" si="99"/>
        <v>2.4300000000000002</v>
      </c>
      <c r="DA36" s="154">
        <f t="shared" si="99"/>
        <v>2.4300000000000002</v>
      </c>
      <c r="DB36" s="154">
        <f t="shared" si="99"/>
        <v>2.4300000000000002</v>
      </c>
      <c r="DC36" s="154">
        <v>102</v>
      </c>
      <c r="DD36" s="154">
        <v>6</v>
      </c>
      <c r="DE36" s="154">
        <v>4</v>
      </c>
      <c r="DF36" s="154">
        <v>1400</v>
      </c>
      <c r="DG36" s="154">
        <v>125</v>
      </c>
      <c r="DH36" s="154">
        <f t="shared" si="162"/>
        <v>0.625</v>
      </c>
      <c r="DI36" s="154">
        <f t="shared" si="163"/>
        <v>10.08</v>
      </c>
    </row>
    <row r="37" spans="1:113" x14ac:dyDescent="0.2">
      <c r="A37" s="332" t="s">
        <v>1658</v>
      </c>
      <c r="B37" s="333" t="s">
        <v>500</v>
      </c>
      <c r="C37" s="333" t="s">
        <v>1684</v>
      </c>
      <c r="D37" s="233" t="str">
        <f>IF(ISNUMBER(SEARCH("heavy",B37))=TRUE,"2.25",
IF(ISNUMBER(SEARCH("medium",B37))=TRUE,"1.5",
IF(ISNUMBER(SEARCH("light",B37))=TRUE,"0.75")))</f>
        <v>0.75</v>
      </c>
      <c r="E37" s="154">
        <v>6</v>
      </c>
      <c r="F37" s="234" t="str" cm="1">
        <f t="array" ref="F37">IF(AND(ISNUMBER(SEARCH("H-Dsty.H-Res",$B37))=TRUE,ISNUMBER(SEARCH("E.",$B37))=TRUE,OR(ISNUMBER(SEARCH("heavy",$B37)),ISNUMBER(SEARCH("MEDIUM",$B37)))=TRUE),INDEX(croprotn_HDHR_E_h,MATCH(RIGHT($F$1,1),rotation_heavy,0)),
IF(AND(ISNUMBER(SEARCH("H-Dsty.H-Res",$B37))=TRUE,ISNUMBER(SEARCH("N.",$B37))=TRUE,OR(ISNUMBER(SEARCH("heavy",$B37)),ISNUMBER(SEARCH("MEDIUM",$B37)))=TRUE),INDEX(croprotn_HDHR_N_h,MATCH(RIGHT($F$1,1),rotation_heavy,0)),
IF(AND(ISNUMBER(SEARCH("H-Dsty.H-Res",$B37))=TRUE,ISNUMBER(SEARCH("C.",$B37))=TRUE,OR(ISNUMBER(SEARCH("heavy",$B37)),ISNUMBER(SEARCH("MEDIUM",$B37)))=TRUE),INDEX(croprotn_HDHR_C_h,MATCH(RIGHT($F$1,1),rotation_heavy,0)),
IF(AND(ISNUMBER(SEARCH("L-Dsty.H-Res",$B37))=TRUE,ISNUMBER(SEARCH("E.",$B37))=TRUE,OR(ISNUMBER(SEARCH("heavy",$B37)),ISNUMBER(SEARCH("MEDIUM",$B37)))=TRUE),INDEX(croprotn_LDHR_E_h,MATCH(RIGHT($F$1,1),rotation_heavy,0)),
IF(AND(ISNUMBER(SEARCH("L-Dsty.H-Res",$B37))=TRUE,ISNUMBER(SEARCH("N.",$B37))=TRUE,OR(ISNUMBER(SEARCH("heavy",$B37)),ISNUMBER(SEARCH("MEDIUM",$B37)))=TRUE),INDEX(croprotn_LDHR_N_h,MATCH(RIGHT($F$1,1),rotation_heavy,0)),
IF(AND(ISNUMBER(SEARCH("L-Dsty.H-Res",$B37))=TRUE,ISNUMBER(SEARCH("C.",$B37))=TRUE,OR(ISNUMBER(SEARCH("heavy",$B37)),ISNUMBER(SEARCH("MEDIUM",$B37)))=TRUE),INDEX(croprotn_LDHR_C_h,MATCH(RIGHT($F$1,1),rotation_heavy,0)),
IF(AND(ISNUMBER(SEARCH("L-Dsty.L-Res",$B37))=TRUE,ISNUMBER(SEARCH("E.",$B37))=TRUE,OR(ISNUMBER(SEARCH("heavy",$B37)),ISNUMBER(SEARCH("MEDIUM",$B37)))=TRUE),INDEX(croprotn_LDLR_E_h,MATCH(RIGHT($F$1,1),rotation_heavy,0)),
IF(AND(ISNUMBER(SEARCH("L-Dsty.L-Res",$B37))=TRUE,ISNUMBER(SEARCH("N.",$B37))=TRUE,OR(ISNUMBER(SEARCH("heavy",$B37)),ISNUMBER(SEARCH("MEDIUM",$B37)))=TRUE),INDEX(croprotn_LDLR_N_h,MATCH(RIGHT($F$1,1),rotation_heavy,0)),
IF(AND(ISNUMBER(SEARCH("L-Dsty.L-Res",$B37))=TRUE,ISNUMBER(SEARCH("C.",$B37))=TRUE,OR(ISNUMBER(SEARCH("heavy",$B37)),ISNUMBER(SEARCH("MEDIUM",$B37)))=TRUE),INDEX(croprotn_LDLR_C_h,MATCH(RIGHT($F$1,1),rotation_heavy,0)),
IF(AND(ISNUMBER(SEARCH("H-Dsty.H-Res",$B37))=TRUE,ISNUMBER(SEARCH("E.",$B37))=TRUE,ISNUMBER(SEARCH("light",$B37))=TRUE),INDEX(croprotn_HDHR_E_l,MATCH(RIGHT($F$1,1),rotation_light,0)),
IF(AND(ISNUMBER(SEARCH("H-Dsty.H-Res",$B37))=TRUE,ISNUMBER(SEARCH("N.",$B37))=TRUE,ISNUMBER(SEARCH("light",$B37))=TRUE),INDEX(croprotn_HDHR_N_l,MATCH(RIGHT($F$1,1),rotation_light,0)),
IF(AND(ISNUMBER(SEARCH("H-Dsty.H-Res",$B37))=TRUE,ISNUMBER(SEARCH("C.",$B37))=TRUE,ISNUMBER(SEARCH("light",$B37))=TRUE),INDEX(croprotn_HDHR_C_l,MATCH(RIGHT($F$1,1),rotation_light,0)),
IF(AND(ISNUMBER(SEARCH("L-Dsty.H-Res",$B37))=TRUE,ISNUMBER(SEARCH("E.",$B37))=TRUE,ISNUMBER(SEARCH("light",$B37))=TRUE),INDEX(croprotn_LDHR_E_l,MATCH(RIGHT($F$1,1),rotation_light,0)),
IF(AND(ISNUMBER(SEARCH("L-Dsty.H-Res",$B37))=TRUE,ISNUMBER(SEARCH("N.",$B37))=TRUE,ISNUMBER(SEARCH("light",$B37))=TRUE),INDEX(croprotn_LDHR_N_l,MATCH(RIGHT($F$1,1),rotation_light,0)),
IF(AND(ISNUMBER(SEARCH("L-Dsty.H-Res",$B37))=TRUE,ISNUMBER(SEARCH("C.",$B37))=TRUE,ISNUMBER(SEARCH("light",$B37))=TRUE),INDEX(croprotn_LDHR_C_l,MATCH(RIGHT($F$1,1),rotation_light,0)),
IF(AND(ISNUMBER(SEARCH("L-Dsty.L-Res",$B37))=TRUE,ISNUMBER(SEARCH("E.",$B37))=TRUE,ISNUMBER(SEARCH("light",$B37))=TRUE),INDEX(croprotn_LDLR_E_l,MATCH(RIGHT($F$1,1),rotation_light,0)),
IF(AND(ISNUMBER(SEARCH("L-Dsty.L-Res",$B37))=TRUE,ISNUMBER(SEARCH("N.",$B37))=TRUE,ISNUMBER(SEARCH("light",$B37))=TRUE),INDEX(croprotn_LDLR_N_l,MATCH(RIGHT($F$1,1),rotation_light,0)),
IF(AND(ISNUMBER(SEARCH("L-Dsty.L-Res",$B37))=TRUE,ISNUMBER(SEARCH("C.",$B37))=TRUE,ISNUMBER(SEARCH("light",$B37))=TRUE),INDEX(croprotn_LDLR_C_l,MATCH(RIGHT($F$1,1),rotation_light,0))
))))))))))))))))))</f>
        <v>winterwheat</v>
      </c>
      <c r="G37" s="234" t="str">
        <f t="shared" si="84"/>
        <v>springbarley</v>
      </c>
      <c r="H37" s="234" t="str">
        <f t="shared" si="100"/>
        <v>wosr</v>
      </c>
      <c r="I37" s="234" t="str">
        <f t="shared" si="101"/>
        <v>winterwheat</v>
      </c>
      <c r="J37" s="234" t="str">
        <f t="shared" si="102"/>
        <v>springbarley</v>
      </c>
      <c r="K37" s="234" t="str">
        <f t="shared" si="103"/>
        <v>wosr</v>
      </c>
      <c r="L37" s="154" t="str">
        <f t="shared" si="104"/>
        <v>inversion</v>
      </c>
      <c r="M37" s="154" t="str">
        <f t="shared" si="105"/>
        <v>minimumtillage</v>
      </c>
      <c r="N37" s="154" t="str">
        <f t="shared" si="106"/>
        <v>directdrilling</v>
      </c>
      <c r="O37" s="263" t="s">
        <v>259</v>
      </c>
      <c r="P37" s="154" t="str">
        <f t="shared" si="76"/>
        <v>minimumtillage</v>
      </c>
      <c r="Q37" s="154" t="str">
        <f t="shared" si="95"/>
        <v>directdrilling</v>
      </c>
      <c r="R37" s="234">
        <f t="shared" si="86"/>
        <v>200</v>
      </c>
      <c r="S37" s="234">
        <f t="shared" si="107"/>
        <v>200</v>
      </c>
      <c r="T37" s="234">
        <f t="shared" si="108"/>
        <v>3.2</v>
      </c>
      <c r="U37" s="234">
        <f t="shared" si="87"/>
        <v>200</v>
      </c>
      <c r="V37" s="234">
        <f t="shared" si="109"/>
        <v>200</v>
      </c>
      <c r="W37" s="234">
        <f t="shared" si="110"/>
        <v>3.2</v>
      </c>
      <c r="X37" s="154" t="str">
        <f t="shared" si="111"/>
        <v>late</v>
      </c>
      <c r="Y37" s="154" t="str">
        <f t="shared" si="112"/>
        <v>late</v>
      </c>
      <c r="Z37" s="154" t="str">
        <f t="shared" si="113"/>
        <v>no</v>
      </c>
      <c r="AA37" s="154" t="str">
        <f t="shared" si="114"/>
        <v>late</v>
      </c>
      <c r="AB37" s="154" t="str">
        <f t="shared" si="115"/>
        <v>late</v>
      </c>
      <c r="AC37" s="154" t="str">
        <f t="shared" si="116"/>
        <v>no</v>
      </c>
      <c r="AD37" s="345">
        <v>150</v>
      </c>
      <c r="AE37" s="234">
        <f t="shared" si="85"/>
        <v>110</v>
      </c>
      <c r="AF37" s="234">
        <f t="shared" si="96"/>
        <v>180</v>
      </c>
      <c r="AG37" s="345">
        <v>150</v>
      </c>
      <c r="AH37" s="234">
        <f t="shared" si="80"/>
        <v>110</v>
      </c>
      <c r="AI37" s="234">
        <f t="shared" si="97"/>
        <v>180</v>
      </c>
      <c r="AJ37" s="154">
        <f t="shared" si="117"/>
        <v>67</v>
      </c>
      <c r="AK37" s="154">
        <f t="shared" si="118"/>
        <v>44</v>
      </c>
      <c r="AL37" s="154">
        <f t="shared" si="119"/>
        <v>49</v>
      </c>
      <c r="AM37" s="154">
        <f t="shared" si="120"/>
        <v>67</v>
      </c>
      <c r="AN37" s="154">
        <f t="shared" si="121"/>
        <v>44</v>
      </c>
      <c r="AO37" s="154">
        <f t="shared" si="122"/>
        <v>49</v>
      </c>
      <c r="AP37" s="154">
        <f t="shared" si="123"/>
        <v>48</v>
      </c>
      <c r="AQ37" s="154">
        <f t="shared" si="124"/>
        <v>32</v>
      </c>
      <c r="AR37" s="154">
        <f t="shared" si="125"/>
        <v>39</v>
      </c>
      <c r="AS37" s="154">
        <f t="shared" si="126"/>
        <v>48</v>
      </c>
      <c r="AT37" s="154">
        <f t="shared" si="127"/>
        <v>32</v>
      </c>
      <c r="AU37" s="154">
        <f t="shared" si="128"/>
        <v>39</v>
      </c>
      <c r="AV37" s="234">
        <f t="shared" si="89"/>
        <v>2.9</v>
      </c>
      <c r="AW37" s="234">
        <f t="shared" si="129"/>
        <v>0.4</v>
      </c>
      <c r="AX37" s="234">
        <f t="shared" si="130"/>
        <v>7.7</v>
      </c>
      <c r="AY37" s="234">
        <f t="shared" si="90"/>
        <v>2.9</v>
      </c>
      <c r="AZ37" s="234">
        <f t="shared" si="131"/>
        <v>0.4</v>
      </c>
      <c r="BA37" s="234">
        <f t="shared" si="132"/>
        <v>7.7</v>
      </c>
      <c r="BB37" s="234">
        <f t="shared" si="133"/>
        <v>4.3</v>
      </c>
      <c r="BC37" s="234">
        <f t="shared" si="134"/>
        <v>8</v>
      </c>
      <c r="BD37" s="234">
        <f t="shared" si="135"/>
        <v>0</v>
      </c>
      <c r="BE37" s="234">
        <f t="shared" si="91"/>
        <v>4.3</v>
      </c>
      <c r="BF37" s="234">
        <f t="shared" si="136"/>
        <v>8</v>
      </c>
      <c r="BG37" s="234">
        <f t="shared" si="137"/>
        <v>0</v>
      </c>
      <c r="BH37" s="234">
        <f t="shared" si="138"/>
        <v>5</v>
      </c>
      <c r="BI37" s="234">
        <f t="shared" si="139"/>
        <v>5</v>
      </c>
      <c r="BJ37" s="234">
        <f t="shared" si="140"/>
        <v>4</v>
      </c>
      <c r="BK37" s="234">
        <f t="shared" si="92"/>
        <v>5</v>
      </c>
      <c r="BL37" s="234">
        <f t="shared" si="141"/>
        <v>5</v>
      </c>
      <c r="BM37" s="234">
        <f t="shared" si="142"/>
        <v>4</v>
      </c>
      <c r="BN37" s="154" t="s">
        <v>483</v>
      </c>
      <c r="BO37" s="154" t="str">
        <f t="shared" si="143"/>
        <v>medium</v>
      </c>
      <c r="BP37" s="154" t="str">
        <f t="shared" si="144"/>
        <v>low</v>
      </c>
      <c r="BQ37" s="154" t="str">
        <f t="shared" si="145"/>
        <v>low</v>
      </c>
      <c r="BR37" s="154" t="s">
        <v>183</v>
      </c>
      <c r="BS37" s="154" t="s">
        <v>183</v>
      </c>
      <c r="BT37" s="154" t="s">
        <v>183</v>
      </c>
      <c r="BU37" s="154">
        <f t="shared" si="146"/>
        <v>150</v>
      </c>
      <c r="BV37" s="154">
        <f t="shared" si="147"/>
        <v>157</v>
      </c>
      <c r="BW37" s="154">
        <f t="shared" si="148"/>
        <v>335</v>
      </c>
      <c r="BX37" s="154">
        <f t="shared" si="149"/>
        <v>150</v>
      </c>
      <c r="BY37" s="154">
        <f t="shared" si="150"/>
        <v>157</v>
      </c>
      <c r="BZ37" s="154">
        <f t="shared" si="151"/>
        <v>335</v>
      </c>
      <c r="CA37" s="356">
        <f t="array" ref="CA37">IF(yieldsetting1="estimate",0,INDEX(cropdata, MATCH(yieldsource,outputs,0), MATCH($F37,cropdatacrops,0)))</f>
        <v>0</v>
      </c>
      <c r="CB37" s="356">
        <f t="array" ref="CB37">IF(yieldsetting1="estimate",0,INDEX(cropdata, MATCH(yieldsource,outputs,0), MATCH($G37,cropdatacrops,0)))</f>
        <v>0</v>
      </c>
      <c r="CC37" s="356">
        <f t="array" ref="CC37">IF(yieldsetting1="estimate",0,INDEX(cropdata, MATCH(yieldsource,outputs,0), MATCH($H37,cropdatacrops,0)))</f>
        <v>0</v>
      </c>
      <c r="CD37" s="356">
        <f t="array" ref="CD37">IF(yieldsetting1="estimate",0,INDEX(cropdata, MATCH(yieldsource,outputs,0), MATCH($I37,cropdatacrops,0)))</f>
        <v>0</v>
      </c>
      <c r="CE37" s="356">
        <f t="array" ref="CE37">IF(yieldsetting1="estimate",0,INDEX(cropdata, MATCH(yieldsource,outputs,0), MATCH($J37,cropdatacrops,0)))</f>
        <v>0</v>
      </c>
      <c r="CF37" s="356">
        <f t="array" ref="CF37">IF(yieldsetting1="estimate",0,INDEX(cropdata, MATCH(yieldsource,outputs,0), MATCH($K37,cropdatacrops,0)))</f>
        <v>0</v>
      </c>
      <c r="CG37" s="154" t="str">
        <f t="shared" si="152"/>
        <v>estimate</v>
      </c>
      <c r="CH37" s="235">
        <f t="shared" si="153"/>
        <v>0.8</v>
      </c>
      <c r="CI37" s="235">
        <f t="shared" si="154"/>
        <v>0.72</v>
      </c>
      <c r="CJ37" s="154">
        <f t="shared" si="155"/>
        <v>0.46</v>
      </c>
      <c r="CK37" s="154">
        <f t="shared" si="156"/>
        <v>0.36</v>
      </c>
      <c r="CL37" s="154">
        <f t="shared" si="157"/>
        <v>0.38</v>
      </c>
      <c r="CM37" s="154">
        <f t="shared" si="158"/>
        <v>7.34</v>
      </c>
      <c r="CN37" s="154">
        <f t="shared" si="159"/>
        <v>0.36</v>
      </c>
      <c r="CO37" s="154">
        <f t="shared" si="160"/>
        <v>0.38</v>
      </c>
      <c r="CP37" s="154">
        <f t="shared" si="161"/>
        <v>7.34</v>
      </c>
      <c r="CQ37" s="154">
        <f t="shared" si="98"/>
        <v>19.5</v>
      </c>
      <c r="CR37" s="154">
        <f t="shared" si="98"/>
        <v>19.5</v>
      </c>
      <c r="CS37" s="154">
        <f t="shared" si="98"/>
        <v>19.5</v>
      </c>
      <c r="CT37" s="154">
        <f t="shared" si="98"/>
        <v>19.5</v>
      </c>
      <c r="CU37" s="154">
        <f t="shared" si="98"/>
        <v>19.5</v>
      </c>
      <c r="CV37" s="154">
        <f t="shared" si="98"/>
        <v>19.5</v>
      </c>
      <c r="CW37" s="154">
        <f t="shared" si="99"/>
        <v>2.4300000000000002</v>
      </c>
      <c r="CX37" s="154">
        <f t="shared" si="99"/>
        <v>2.4300000000000002</v>
      </c>
      <c r="CY37" s="154">
        <f t="shared" si="99"/>
        <v>2.4300000000000002</v>
      </c>
      <c r="CZ37" s="154">
        <f t="shared" si="99"/>
        <v>2.4300000000000002</v>
      </c>
      <c r="DA37" s="154">
        <f t="shared" si="99"/>
        <v>2.4300000000000002</v>
      </c>
      <c r="DB37" s="154">
        <f t="shared" si="99"/>
        <v>2.4300000000000002</v>
      </c>
      <c r="DC37" s="154">
        <v>102</v>
      </c>
      <c r="DD37" s="154">
        <v>6</v>
      </c>
      <c r="DE37" s="154">
        <v>4</v>
      </c>
      <c r="DF37" s="154">
        <v>1400</v>
      </c>
      <c r="DG37" s="154">
        <v>125</v>
      </c>
      <c r="DH37" s="154">
        <f t="shared" si="162"/>
        <v>0.625</v>
      </c>
      <c r="DI37" s="154">
        <f t="shared" si="163"/>
        <v>10.08</v>
      </c>
    </row>
    <row r="38" spans="1:113" x14ac:dyDescent="0.2">
      <c r="A38" s="335" t="s">
        <v>1669</v>
      </c>
      <c r="B38" s="334" t="s">
        <v>504</v>
      </c>
      <c r="C38" s="334" t="s">
        <v>1618</v>
      </c>
      <c r="D38" s="233" t="str">
        <f>IF(ISNUMBER(SEARCH("heavy",B38))=TRUE,"2.25",
IF(ISNUMBER(SEARCH("medium",B38))=TRUE,"1.5",
IF(ISNUMBER(SEARCH("light",B38))=TRUE,"0.75")))</f>
        <v>2.25</v>
      </c>
      <c r="E38" s="154">
        <v>6</v>
      </c>
      <c r="F38" s="234" t="str" cm="1">
        <f t="array" ref="F38">IF(AND(ISNUMBER(SEARCH("H-Dsty.H-Res",$B38))=TRUE,ISNUMBER(SEARCH("E.",$B38))=TRUE,OR(ISNUMBER(SEARCH("heavy",$B38)),ISNUMBER(SEARCH("MEDIUM",$B38)))=TRUE),INDEX(croprotn_HDHR_E_h,MATCH(RIGHT($F$1,1),rotation_heavy,0)),
IF(AND(ISNUMBER(SEARCH("H-Dsty.H-Res",$B38))=TRUE,ISNUMBER(SEARCH("N.",$B38))=TRUE,OR(ISNUMBER(SEARCH("heavy",$B38)),ISNUMBER(SEARCH("MEDIUM",$B38)))=TRUE),INDEX(croprotn_HDHR_N_h,MATCH(RIGHT($F$1,1),rotation_heavy,0)),
IF(AND(ISNUMBER(SEARCH("H-Dsty.H-Res",$B38))=TRUE,ISNUMBER(SEARCH("C.",$B38))=TRUE,OR(ISNUMBER(SEARCH("heavy",$B38)),ISNUMBER(SEARCH("MEDIUM",$B38)))=TRUE),INDEX(croprotn_HDHR_C_h,MATCH(RIGHT($F$1,1),rotation_heavy,0)),
IF(AND(ISNUMBER(SEARCH("L-Dsty.H-Res",$B38))=TRUE,ISNUMBER(SEARCH("E.",$B38))=TRUE,OR(ISNUMBER(SEARCH("heavy",$B38)),ISNUMBER(SEARCH("MEDIUM",$B38)))=TRUE),INDEX(croprotn_LDHR_E_h,MATCH(RIGHT($F$1,1),rotation_heavy,0)),
IF(AND(ISNUMBER(SEARCH("L-Dsty.H-Res",$B38))=TRUE,ISNUMBER(SEARCH("N.",$B38))=TRUE,OR(ISNUMBER(SEARCH("heavy",$B38)),ISNUMBER(SEARCH("MEDIUM",$B38)))=TRUE),INDEX(croprotn_LDHR_N_h,MATCH(RIGHT($F$1,1),rotation_heavy,0)),
IF(AND(ISNUMBER(SEARCH("L-Dsty.H-Res",$B38))=TRUE,ISNUMBER(SEARCH("C.",$B38))=TRUE,OR(ISNUMBER(SEARCH("heavy",$B38)),ISNUMBER(SEARCH("MEDIUM",$B38)))=TRUE),INDEX(croprotn_LDHR_C_h,MATCH(RIGHT($F$1,1),rotation_heavy,0)),
IF(AND(ISNUMBER(SEARCH("L-Dsty.L-Res",$B38))=TRUE,ISNUMBER(SEARCH("E.",$B38))=TRUE,OR(ISNUMBER(SEARCH("heavy",$B38)),ISNUMBER(SEARCH("MEDIUM",$B38)))=TRUE),INDEX(croprotn_LDLR_E_h,MATCH(RIGHT($F$1,1),rotation_heavy,0)),
IF(AND(ISNUMBER(SEARCH("L-Dsty.L-Res",$B38))=TRUE,ISNUMBER(SEARCH("N.",$B38))=TRUE,OR(ISNUMBER(SEARCH("heavy",$B38)),ISNUMBER(SEARCH("MEDIUM",$B38)))=TRUE),INDEX(croprotn_LDLR_N_h,MATCH(RIGHT($F$1,1),rotation_heavy,0)),
IF(AND(ISNUMBER(SEARCH("L-Dsty.L-Res",$B38))=TRUE,ISNUMBER(SEARCH("C.",$B38))=TRUE,OR(ISNUMBER(SEARCH("heavy",$B38)),ISNUMBER(SEARCH("MEDIUM",$B38)))=TRUE),INDEX(croprotn_LDLR_C_h,MATCH(RIGHT($F$1,1),rotation_heavy,0)),
IF(AND(ISNUMBER(SEARCH("H-Dsty.H-Res",$B38))=TRUE,ISNUMBER(SEARCH("E.",$B38))=TRUE,ISNUMBER(SEARCH("light",$B38))=TRUE),INDEX(croprotn_HDHR_E_l,MATCH(RIGHT($F$1,1),rotation_light,0)),
IF(AND(ISNUMBER(SEARCH("H-Dsty.H-Res",$B38))=TRUE,ISNUMBER(SEARCH("N.",$B38))=TRUE,ISNUMBER(SEARCH("light",$B38))=TRUE),INDEX(croprotn_HDHR_N_l,MATCH(RIGHT($F$1,1),rotation_light,0)),
IF(AND(ISNUMBER(SEARCH("H-Dsty.H-Res",$B38))=TRUE,ISNUMBER(SEARCH("C.",$B38))=TRUE,ISNUMBER(SEARCH("light",$B38))=TRUE),INDEX(croprotn_HDHR_C_l,MATCH(RIGHT($F$1,1),rotation_light,0)),
IF(AND(ISNUMBER(SEARCH("L-Dsty.H-Res",$B38))=TRUE,ISNUMBER(SEARCH("E.",$B38))=TRUE,ISNUMBER(SEARCH("light",$B38))=TRUE),INDEX(croprotn_LDHR_E_l,MATCH(RIGHT($F$1,1),rotation_light,0)),
IF(AND(ISNUMBER(SEARCH("L-Dsty.H-Res",$B38))=TRUE,ISNUMBER(SEARCH("N.",$B38))=TRUE,ISNUMBER(SEARCH("light",$B38))=TRUE),INDEX(croprotn_LDHR_N_l,MATCH(RIGHT($F$1,1),rotation_light,0)),
IF(AND(ISNUMBER(SEARCH("L-Dsty.H-Res",$B38))=TRUE,ISNUMBER(SEARCH("C.",$B38))=TRUE,ISNUMBER(SEARCH("light",$B38))=TRUE),INDEX(croprotn_LDHR_C_l,MATCH(RIGHT($F$1,1),rotation_light,0)),
IF(AND(ISNUMBER(SEARCH("L-Dsty.L-Res",$B38))=TRUE,ISNUMBER(SEARCH("E.",$B38))=TRUE,ISNUMBER(SEARCH("light",$B38))=TRUE),INDEX(croprotn_LDLR_E_l,MATCH(RIGHT($F$1,1),rotation_light,0)),
IF(AND(ISNUMBER(SEARCH("L-Dsty.L-Res",$B38))=TRUE,ISNUMBER(SEARCH("N.",$B38))=TRUE,ISNUMBER(SEARCH("light",$B38))=TRUE),INDEX(croprotn_LDLR_N_l,MATCH(RIGHT($F$1,1),rotation_light,0)),
IF(AND(ISNUMBER(SEARCH("L-Dsty.L-Res",$B38))=TRUE,ISNUMBER(SEARCH("C.",$B38))=TRUE,ISNUMBER(SEARCH("light",$B38))=TRUE),INDEX(croprotn_LDLR_C_l,MATCH(RIGHT($F$1,1),rotation_light,0))
))))))))))))))))))</f>
        <v>winterwheat</v>
      </c>
      <c r="G38" s="234" t="str">
        <f t="shared" si="84"/>
        <v>wosr</v>
      </c>
      <c r="H38" s="234" t="str">
        <f t="shared" si="100"/>
        <v>winterwheat</v>
      </c>
      <c r="I38" s="234" t="str">
        <f t="shared" si="101"/>
        <v>winterwheat</v>
      </c>
      <c r="J38" s="234" t="str">
        <f t="shared" si="102"/>
        <v>wosr</v>
      </c>
      <c r="K38" s="234" t="str">
        <f t="shared" si="103"/>
        <v>winterwheat</v>
      </c>
      <c r="L38" s="154" t="str">
        <f t="shared" si="104"/>
        <v>minimumtillage</v>
      </c>
      <c r="M38" s="154" t="str">
        <f t="shared" si="105"/>
        <v>subsoiling</v>
      </c>
      <c r="N38" s="154" t="str">
        <f t="shared" si="106"/>
        <v>minimumtillage</v>
      </c>
      <c r="O38" s="154" t="str">
        <f t="shared" ref="O38:O55" si="164">IF(AND(ISNUMBER(SEARCH("H-Dsty.",$B38))=TRUE,ISNUMBER(SEARCH("H-Res",$B38))=TRUE,ISNUMBER(SEARCH("E.",$B38))=TRUE),INDEX(tillage_HDHR_E,MATCH($I38,tillage_CROPS,0)),
IF(AND(ISNUMBER(SEARCH("H-Dsty.",$B38))=TRUE,ISNUMBER(SEARCH("H-Res",$B38))=TRUE,ISNUMBER(SEARCH("N.",$B38))=TRUE),INDEX(tillage_HDHR_N,MATCH($I38,tillage_CROPS,0)),
IF(AND(ISNUMBER(SEARCH("H-Dsty.",$B38))=TRUE,ISNUMBER(SEARCH("H-Res",$B38))=TRUE,ISNUMBER(SEARCH("C.",$B38))=TRUE),INDEX(tillage_HDHR_C,MATCH($I38,tillage_CROPS,0)),
IF(AND(ISNUMBER(SEARCH("L-Dsty.",$B38))=TRUE,ISNUMBER(SEARCH("H-Res",$B38))=TRUE,ISNUMBER(SEARCH("E.",$B38))=TRUE),INDEX(tillage_LDHR_E,MATCH($I38,tillage_CROPS,0)),
IF(AND(ISNUMBER(SEARCH("L-Dsty.",$B38))=TRUE,ISNUMBER(SEARCH("H-Res",$B38))=TRUE,ISNUMBER(SEARCH("N.",$B38))=TRUE),INDEX(tillage_LDHR_N,MATCH($I38,tillage_CROPS,0)),
IF(AND(ISNUMBER(SEARCH("L-Dsty.",$B38))=TRUE,ISNUMBER(SEARCH("H-Res",$B38))=TRUE,ISNUMBER(SEARCH("C.",$B38))=TRUE),INDEX(tillage_LDHR_C,MATCH($I38,tillage_CROPS,0)),
IF(AND(ISNUMBER(SEARCH("L-Dsty.",$B38))=TRUE,ISNUMBER(SEARCH("L-Res",$B38))=TRUE,ISNUMBER(SEARCH("E.",$B38))=TRUE),INDEX(tillage_LDLR_E,MATCH($I38,tillage_CROPS,0)),
IF(AND(ISNUMBER(SEARCH("L-Dsty.",$B38))=TRUE,ISNUMBER(SEARCH("L-Res",$B38))=TRUE,ISNUMBER(SEARCH("N.",$B38))=TRUE),INDEX(tillage_LDLR_N,MATCH($I38,tillage_CROPS,0)),
IF(AND(ISNUMBER(SEARCH("L-Dsty.",$B38))=TRUE,ISNUMBER(SEARCH("L-Res",$B38))=TRUE,ISNUMBER(SEARCH("C.",$B38))=TRUE),INDEX(tillage_LDLR_C,MATCH($I38,tillage_CROPS,0))
)))))))))</f>
        <v>minimumtillage</v>
      </c>
      <c r="P38" s="154" t="str">
        <f t="shared" ref="P38:P55" si="165">IF(AND(ISNUMBER(SEARCH("H-Dsty.",$B38))=TRUE,ISNUMBER(SEARCH("H-Res",$B38))=TRUE,ISNUMBER(SEARCH("E.",$B38))=TRUE),INDEX(tillage_HDHR_E,MATCH($J38,tillage_CROPS,0)),
IF(AND(ISNUMBER(SEARCH("H-Dsty.",$B38))=TRUE,ISNUMBER(SEARCH("H-Res",$B38))=TRUE,ISNUMBER(SEARCH("N.",$B38))=TRUE),INDEX(tillage_HDHR_N,MATCH($J38,tillage_CROPS,0)),
IF(AND(ISNUMBER(SEARCH("H-Dsty.",$B38))=TRUE,ISNUMBER(SEARCH("H-Res",$B38))=TRUE,ISNUMBER(SEARCH("C.",$B38))=TRUE),INDEX(tillage_HDHR_C,MATCH($J38,tillage_CROPS,0)),
IF(AND(ISNUMBER(SEARCH("L-Dsty.",$B38))=TRUE,ISNUMBER(SEARCH("H-Res",$B38))=TRUE,ISNUMBER(SEARCH("E.",$B38))=TRUE),INDEX(tillage_LDHR_E,MATCH($J38,tillage_CROPS,0)),
IF(AND(ISNUMBER(SEARCH("L-Dsty.",$B38))=TRUE,ISNUMBER(SEARCH("H-Res",$B38))=TRUE,ISNUMBER(SEARCH("N.",$B38))=TRUE),INDEX(tillage_LDHR_N,MATCH($J38,tillage_CROPS,0)),
IF(AND(ISNUMBER(SEARCH("L-Dsty.",$B38))=TRUE,ISNUMBER(SEARCH("H-Res",$B38))=TRUE,ISNUMBER(SEARCH("C.",$B38))=TRUE),INDEX(tillage_LDHR_C,MATCH($J38,tillage_CROPS,0)),
IF(AND(ISNUMBER(SEARCH("L-Dsty.",$B38))=TRUE,ISNUMBER(SEARCH("L-Res",$B38))=TRUE,ISNUMBER(SEARCH("E.",$B38))=TRUE),INDEX(tillage_LDLR_E,MATCH($J38,tillage_CROPS,0)),
IF(AND(ISNUMBER(SEARCH("L-Dsty.",$B38))=TRUE,ISNUMBER(SEARCH("L-Res",$B38))=TRUE,ISNUMBER(SEARCH("N.",$B38))=TRUE),INDEX(tillage_LDLR_N,MATCH($J38,tillage_CROPS,0)),
IF(AND(ISNUMBER(SEARCH("L-Dsty.",$B38))=TRUE,ISNUMBER(SEARCH("L-Res",$B38))=TRUE,ISNUMBER(SEARCH("C.",$B38))=TRUE),INDEX(tillage_LDLR_C,MATCH($J38,tillage_CROPS,0))
)))))))))</f>
        <v>subsoiling</v>
      </c>
      <c r="Q38" s="154" t="str">
        <f t="shared" si="95"/>
        <v>minimumtillage</v>
      </c>
      <c r="R38" s="234">
        <f t="shared" si="86"/>
        <v>200</v>
      </c>
      <c r="S38" s="234">
        <f t="shared" si="107"/>
        <v>3.2</v>
      </c>
      <c r="T38" s="234">
        <f t="shared" si="108"/>
        <v>200</v>
      </c>
      <c r="U38" s="234">
        <f t="shared" si="87"/>
        <v>200</v>
      </c>
      <c r="V38" s="234">
        <f t="shared" si="109"/>
        <v>3.2</v>
      </c>
      <c r="W38" s="234">
        <f t="shared" si="110"/>
        <v>200</v>
      </c>
      <c r="X38" s="154" t="str">
        <f t="shared" si="111"/>
        <v>late</v>
      </c>
      <c r="Y38" s="154" t="str">
        <f t="shared" si="112"/>
        <v>no</v>
      </c>
      <c r="Z38" s="154" t="str">
        <f t="shared" si="113"/>
        <v>late</v>
      </c>
      <c r="AA38" s="154" t="str">
        <f t="shared" si="114"/>
        <v>late</v>
      </c>
      <c r="AB38" s="154" t="str">
        <f t="shared" si="115"/>
        <v>no</v>
      </c>
      <c r="AC38" s="154" t="str">
        <f t="shared" si="116"/>
        <v>late</v>
      </c>
      <c r="AD38" s="234">
        <f>IF(AND(ISNUMBER(SEARCH("H-Dsty.H-Res",$B38))=TRUE,ISNUMBER(SEARCH("E.",$B38))=TRUE),INDEX(fertrate_HDHR_E,MATCH($F38,fertrate_CROPS,0)),
IF(AND(ISNUMBER(SEARCH("H-Dsty.H-Res",$B38))=TRUE,ISNUMBER(SEARCH("N.",$B38))=TRUE),INDEX(fertrate_HDHR_N,MATCH($F38,fertrate_CROPS,0)),
IF(AND(ISNUMBER(SEARCH("H-Dsty.H-Res",$B38))=TRUE,ISNUMBER(SEARCH("C.",$B38))=TRUE),INDEX(fertrate_HDHR_C,MATCH($F38,fertrate_CROPS,0)),
IF(AND(ISNUMBER(SEARCH("L-Dsty.H-Res",$B38))=TRUE,ISNUMBER(SEARCH("E.",$B38))=TRUE),INDEX(fertrate_LDHR_E,MATCH($F38,fertrate_CROPS,0)),
IF(AND(ISNUMBER(SEARCH("L-Dsty.H-Res",$B38))=TRUE,ISNUMBER(SEARCH("N.",$B38))=TRUE),INDEX(fertrate_LDHR_N,MATCH($F38,fertrate_CROPS,0)),
IF(AND(ISNUMBER(SEARCH("L-Dsty.H-Res",$B38))=TRUE,ISNUMBER(SEARCH("C.",$B38))=TRUE),INDEX(fertrate_LDHR_C,MATCH($F38,fertrate_CROPS,0)),
IF(AND(ISNUMBER(SEARCH("L-Dsty.L-Res",$B38))=TRUE,ISNUMBER(SEARCH("E.",$B38))=TRUE),INDEX(fertrate_LDLR_E,MATCH($F38,fertrate_CROPS,0)),
IF(AND(ISNUMBER(SEARCH("L-Dsty.L-Res",$B38))=TRUE,ISNUMBER(SEARCH("N.",$B38))=TRUE),INDEX(fertrate_LDLR_N,MATCH($F38,fertrate_CROPS,0)),
IF(AND(ISNUMBER(SEARCH("L-Dsty.L-Res",$B38))=TRUE,ISNUMBER(SEARCH("C.",$B38))=TRUE),INDEX(fertrate_LDLR_C,MATCH($F38,fertrate_CROPS,0))
)))))))))</f>
        <v>220</v>
      </c>
      <c r="AE38" s="234">
        <f t="shared" si="85"/>
        <v>180</v>
      </c>
      <c r="AF38" s="234">
        <f t="shared" si="96"/>
        <v>220</v>
      </c>
      <c r="AG38" s="234">
        <f>IF(AND(ISNUMBER(SEARCH("H-Dsty.",$B38))=TRUE,ISNUMBER(SEARCH("H-Res",$B38))=TRUE,ISNUMBER(SEARCH("E.",$B38))=TRUE),INDEX(fertrate_HDHR_E,MATCH($I38,fertrate_CROPS,0)),
IF(AND(ISNUMBER(SEARCH("H-Dsty.",$B38))=TRUE,ISNUMBER(SEARCH("H-Res",$B38))=TRUE,ISNUMBER(SEARCH("N.",$B38))=TRUE),INDEX(fertrate_HDHR_N,MATCH($I38,fertrate_CROPS,0)),
IF(AND(ISNUMBER(SEARCH("H-Dsty.",$B38))=TRUE,ISNUMBER(SEARCH("H-Res",$B38))=TRUE,ISNUMBER(SEARCH("C.",$B38))=TRUE),INDEX(fertrate_HDHR_C,MATCH($I38,fertrate_CROPS,0)),
IF(AND(ISNUMBER(SEARCH("L-Dsty.",$B38))=TRUE,ISNUMBER(SEARCH("H-Res",$B38))=TRUE,ISNUMBER(SEARCH("E.",$B38))=TRUE),INDEX(fertrate_LDHR_E,MATCH($I38,fertrate_CROPS,0)),
IF(AND(ISNUMBER(SEARCH("L-Dsty.",$B38))=TRUE,ISNUMBER(SEARCH("H-Res",$B38))=TRUE,ISNUMBER(SEARCH("N.",$B38))=TRUE),INDEX(fertrate_LDHR_N,MATCH($I38,fertrate_CROPS,0)),
IF(AND(ISNUMBER(SEARCH("L-Dsty.",$B38))=TRUE,ISNUMBER(SEARCH("H-Res",$B38))=TRUE,ISNUMBER(SEARCH("C.",$B38))=TRUE),INDEX(fertrate_LDHR_C,MATCH($I38,fertrate_CROPS,0)),
IF(AND(ISNUMBER(SEARCH("L-Dsty.",$B38))=TRUE,ISNUMBER(SEARCH("L-Res",$B38))=TRUE,ISNUMBER(SEARCH("E.",$B38))=TRUE),INDEX(fertrate_LDLR_E,MATCH($I38,fertrate_CROPS,0)),
IF(AND(ISNUMBER(SEARCH("L-Dsty.",$B38))=TRUE,ISNUMBER(SEARCH("L-Res",$B38))=TRUE,ISNUMBER(SEARCH("N.",$B38))=TRUE),INDEX(fertrate_LDLR_N,MATCH($I38,fertrate_CROPS,0)),
IF(AND(ISNUMBER(SEARCH("L-Dsty.",$B38))=TRUE,ISNUMBER(SEARCH("L-Res",$B38))=TRUE,ISNUMBER(SEARCH("C.",$B38))=TRUE),INDEX(fertrate_LDLR_C,MATCH($I38,fertrate_CROPS,0))
)))))))))</f>
        <v>220</v>
      </c>
      <c r="AH38" s="234">
        <f t="shared" si="80"/>
        <v>180</v>
      </c>
      <c r="AI38" s="234">
        <f t="shared" si="97"/>
        <v>220</v>
      </c>
      <c r="AJ38" s="154">
        <f t="shared" si="117"/>
        <v>67</v>
      </c>
      <c r="AK38" s="154">
        <f t="shared" si="118"/>
        <v>49</v>
      </c>
      <c r="AL38" s="154">
        <f t="shared" si="119"/>
        <v>67</v>
      </c>
      <c r="AM38" s="154">
        <f t="shared" si="120"/>
        <v>67</v>
      </c>
      <c r="AN38" s="154">
        <f t="shared" si="121"/>
        <v>49</v>
      </c>
      <c r="AO38" s="154">
        <f t="shared" si="122"/>
        <v>67</v>
      </c>
      <c r="AP38" s="154">
        <f t="shared" si="123"/>
        <v>48</v>
      </c>
      <c r="AQ38" s="154">
        <f t="shared" si="124"/>
        <v>39</v>
      </c>
      <c r="AR38" s="154">
        <f t="shared" si="125"/>
        <v>48</v>
      </c>
      <c r="AS38" s="154">
        <f t="shared" si="126"/>
        <v>48</v>
      </c>
      <c r="AT38" s="154">
        <f t="shared" si="127"/>
        <v>39</v>
      </c>
      <c r="AU38" s="154">
        <f t="shared" si="128"/>
        <v>48</v>
      </c>
      <c r="AV38" s="234">
        <f t="shared" si="89"/>
        <v>5</v>
      </c>
      <c r="AW38" s="234">
        <f t="shared" si="129"/>
        <v>0</v>
      </c>
      <c r="AX38" s="234">
        <f t="shared" si="130"/>
        <v>5</v>
      </c>
      <c r="AY38" s="234">
        <f t="shared" si="90"/>
        <v>5</v>
      </c>
      <c r="AZ38" s="234">
        <f t="shared" si="131"/>
        <v>0</v>
      </c>
      <c r="BA38" s="234">
        <f t="shared" si="132"/>
        <v>5</v>
      </c>
      <c r="BB38" s="234">
        <f t="shared" si="133"/>
        <v>4</v>
      </c>
      <c r="BC38" s="234">
        <f t="shared" si="134"/>
        <v>0</v>
      </c>
      <c r="BD38" s="234">
        <f t="shared" si="135"/>
        <v>4</v>
      </c>
      <c r="BE38" s="234">
        <f t="shared" si="91"/>
        <v>4</v>
      </c>
      <c r="BF38" s="234">
        <f t="shared" si="136"/>
        <v>0</v>
      </c>
      <c r="BG38" s="234">
        <f t="shared" si="137"/>
        <v>4</v>
      </c>
      <c r="BH38" s="234">
        <f t="shared" si="138"/>
        <v>4</v>
      </c>
      <c r="BI38" s="234">
        <f t="shared" si="139"/>
        <v>0</v>
      </c>
      <c r="BJ38" s="234">
        <f t="shared" si="140"/>
        <v>4</v>
      </c>
      <c r="BK38" s="234">
        <f t="shared" si="92"/>
        <v>4</v>
      </c>
      <c r="BL38" s="234">
        <f t="shared" si="141"/>
        <v>0</v>
      </c>
      <c r="BM38" s="234">
        <f t="shared" si="142"/>
        <v>4</v>
      </c>
      <c r="BN38" s="154" t="s">
        <v>483</v>
      </c>
      <c r="BO38" s="154" t="str">
        <f t="shared" si="143"/>
        <v>low</v>
      </c>
      <c r="BP38" s="154" t="str">
        <f t="shared" si="144"/>
        <v>low</v>
      </c>
      <c r="BQ38" s="154" t="str">
        <f t="shared" si="145"/>
        <v>low</v>
      </c>
      <c r="BR38" s="154" t="s">
        <v>18</v>
      </c>
      <c r="BS38" s="154" t="s">
        <v>18</v>
      </c>
      <c r="BT38" s="154" t="s">
        <v>18</v>
      </c>
      <c r="BU38" s="154">
        <f t="shared" si="146"/>
        <v>150</v>
      </c>
      <c r="BV38" s="154">
        <f t="shared" si="147"/>
        <v>335</v>
      </c>
      <c r="BW38" s="154">
        <f t="shared" si="148"/>
        <v>150</v>
      </c>
      <c r="BX38" s="154">
        <f t="shared" si="149"/>
        <v>150</v>
      </c>
      <c r="BY38" s="154">
        <f t="shared" si="150"/>
        <v>335</v>
      </c>
      <c r="BZ38" s="154">
        <f t="shared" si="151"/>
        <v>150</v>
      </c>
      <c r="CA38" s="356">
        <f t="array" ref="CA38">IF(yieldsetting1="estimate",0,INDEX(cropdata, MATCH(yieldsource,outputs,0), MATCH($F38,cropdatacrops,0)))</f>
        <v>0</v>
      </c>
      <c r="CB38" s="356">
        <f t="array" ref="CB38">IF(yieldsetting1="estimate",0,INDEX(cropdata, MATCH(yieldsource,outputs,0), MATCH($G38,cropdatacrops,0)))</f>
        <v>0</v>
      </c>
      <c r="CC38" s="356">
        <f t="array" ref="CC38">IF(yieldsetting1="estimate",0,INDEX(cropdata, MATCH(yieldsource,outputs,0), MATCH($H38,cropdatacrops,0)))</f>
        <v>0</v>
      </c>
      <c r="CD38" s="356">
        <f t="array" ref="CD38">IF(yieldsetting1="estimate",0,INDEX(cropdata, MATCH(yieldsource,outputs,0), MATCH($I38,cropdatacrops,0)))</f>
        <v>0</v>
      </c>
      <c r="CE38" s="356">
        <f t="array" ref="CE38">IF(yieldsetting1="estimate",0,INDEX(cropdata, MATCH(yieldsource,outputs,0), MATCH($J38,cropdatacrops,0)))</f>
        <v>0</v>
      </c>
      <c r="CF38" s="356">
        <f t="array" ref="CF38">IF(yieldsetting1="estimate",0,INDEX(cropdata, MATCH(yieldsource,outputs,0), MATCH($K38,cropdatacrops,0)))</f>
        <v>0</v>
      </c>
      <c r="CG38" s="154" t="str">
        <f t="shared" si="152"/>
        <v>estimate</v>
      </c>
      <c r="CH38" s="235">
        <f t="shared" si="153"/>
        <v>0.8</v>
      </c>
      <c r="CI38" s="235">
        <f t="shared" si="154"/>
        <v>0.72</v>
      </c>
      <c r="CJ38" s="154">
        <f t="shared" si="155"/>
        <v>0.46</v>
      </c>
      <c r="CK38" s="154">
        <f t="shared" si="156"/>
        <v>0.36</v>
      </c>
      <c r="CL38" s="154">
        <f t="shared" si="157"/>
        <v>7.34</v>
      </c>
      <c r="CM38" s="154">
        <f t="shared" si="158"/>
        <v>0.36</v>
      </c>
      <c r="CN38" s="154">
        <f t="shared" si="159"/>
        <v>0.36</v>
      </c>
      <c r="CO38" s="154">
        <f t="shared" si="160"/>
        <v>7.34</v>
      </c>
      <c r="CP38" s="154">
        <f t="shared" si="161"/>
        <v>0.36</v>
      </c>
      <c r="CQ38" s="154">
        <f t="shared" si="98"/>
        <v>19.5</v>
      </c>
      <c r="CR38" s="154">
        <f t="shared" si="98"/>
        <v>19.5</v>
      </c>
      <c r="CS38" s="154">
        <f t="shared" si="98"/>
        <v>19.5</v>
      </c>
      <c r="CT38" s="154">
        <f t="shared" si="98"/>
        <v>19.5</v>
      </c>
      <c r="CU38" s="154">
        <f t="shared" si="98"/>
        <v>19.5</v>
      </c>
      <c r="CV38" s="154">
        <f t="shared" si="98"/>
        <v>19.5</v>
      </c>
      <c r="CW38" s="154">
        <f t="shared" si="99"/>
        <v>2.4300000000000002</v>
      </c>
      <c r="CX38" s="154">
        <f t="shared" si="99"/>
        <v>2.4300000000000002</v>
      </c>
      <c r="CY38" s="154">
        <f t="shared" si="99"/>
        <v>2.4300000000000002</v>
      </c>
      <c r="CZ38" s="154">
        <f t="shared" si="99"/>
        <v>2.4300000000000002</v>
      </c>
      <c r="DA38" s="154">
        <f t="shared" si="99"/>
        <v>2.4300000000000002</v>
      </c>
      <c r="DB38" s="154">
        <f t="shared" si="99"/>
        <v>2.4300000000000002</v>
      </c>
      <c r="DC38" s="154">
        <v>102</v>
      </c>
      <c r="DD38" s="154">
        <v>6</v>
      </c>
      <c r="DE38" s="154">
        <v>4</v>
      </c>
      <c r="DF38" s="154">
        <v>1400</v>
      </c>
      <c r="DG38" s="154">
        <v>125</v>
      </c>
      <c r="DH38" s="154">
        <f t="shared" si="162"/>
        <v>0.625</v>
      </c>
      <c r="DI38" s="154">
        <f t="shared" si="163"/>
        <v>10.08</v>
      </c>
    </row>
    <row r="39" spans="1:113" x14ac:dyDescent="0.2">
      <c r="A39" s="335" t="s">
        <v>1670</v>
      </c>
      <c r="B39" s="334" t="s">
        <v>504</v>
      </c>
      <c r="C39" s="334" t="s">
        <v>1619</v>
      </c>
      <c r="D39" s="233" t="str">
        <f>IF(ISNUMBER(SEARCH("heavy",B39))=TRUE,"2.25",
IF(ISNUMBER(SEARCH("medium",B39))=TRUE,"1.5",
IF(ISNUMBER(SEARCH("light",B39))=TRUE,"0.75")))</f>
        <v>2.25</v>
      </c>
      <c r="E39" s="154">
        <v>6</v>
      </c>
      <c r="F39" s="234" t="str" cm="1">
        <f t="array" ref="F39">IF(AND(ISNUMBER(SEARCH("H-Dsty.H-Res",$B39))=TRUE,ISNUMBER(SEARCH("E.",$B39))=TRUE,OR(ISNUMBER(SEARCH("heavy",$B39)),ISNUMBER(SEARCH("MEDIUM",$B39)))=TRUE),INDEX(croprotn_HDHR_E_h,MATCH(RIGHT($F$1,1),rotation_heavy,0)),
IF(AND(ISNUMBER(SEARCH("H-Dsty.H-Res",$B39))=TRUE,ISNUMBER(SEARCH("N.",$B39))=TRUE,OR(ISNUMBER(SEARCH("heavy",$B39)),ISNUMBER(SEARCH("MEDIUM",$B39)))=TRUE),INDEX(croprotn_HDHR_N_h,MATCH(RIGHT($F$1,1),rotation_heavy,0)),
IF(AND(ISNUMBER(SEARCH("H-Dsty.H-Res",$B39))=TRUE,ISNUMBER(SEARCH("C.",$B39))=TRUE,OR(ISNUMBER(SEARCH("heavy",$B39)),ISNUMBER(SEARCH("MEDIUM",$B39)))=TRUE),INDEX(croprotn_HDHR_C_h,MATCH(RIGHT($F$1,1),rotation_heavy,0)),
IF(AND(ISNUMBER(SEARCH("L-Dsty.H-Res",$B39))=TRUE,ISNUMBER(SEARCH("E.",$B39))=TRUE,OR(ISNUMBER(SEARCH("heavy",$B39)),ISNUMBER(SEARCH("MEDIUM",$B39)))=TRUE),INDEX(croprotn_LDHR_E_h,MATCH(RIGHT($F$1,1),rotation_heavy,0)),
IF(AND(ISNUMBER(SEARCH("L-Dsty.H-Res",$B39))=TRUE,ISNUMBER(SEARCH("N.",$B39))=TRUE,OR(ISNUMBER(SEARCH("heavy",$B39)),ISNUMBER(SEARCH("MEDIUM",$B39)))=TRUE),INDEX(croprotn_LDHR_N_h,MATCH(RIGHT($F$1,1),rotation_heavy,0)),
IF(AND(ISNUMBER(SEARCH("L-Dsty.H-Res",$B39))=TRUE,ISNUMBER(SEARCH("C.",$B39))=TRUE,OR(ISNUMBER(SEARCH("heavy",$B39)),ISNUMBER(SEARCH("MEDIUM",$B39)))=TRUE),INDEX(croprotn_LDHR_C_h,MATCH(RIGHT($F$1,1),rotation_heavy,0)),
IF(AND(ISNUMBER(SEARCH("L-Dsty.L-Res",$B39))=TRUE,ISNUMBER(SEARCH("E.",$B39))=TRUE,OR(ISNUMBER(SEARCH("heavy",$B39)),ISNUMBER(SEARCH("MEDIUM",$B39)))=TRUE),INDEX(croprotn_LDLR_E_h,MATCH(RIGHT($F$1,1),rotation_heavy,0)),
IF(AND(ISNUMBER(SEARCH("L-Dsty.L-Res",$B39))=TRUE,ISNUMBER(SEARCH("N.",$B39))=TRUE,OR(ISNUMBER(SEARCH("heavy",$B39)),ISNUMBER(SEARCH("MEDIUM",$B39)))=TRUE),INDEX(croprotn_LDLR_N_h,MATCH(RIGHT($F$1,1),rotation_heavy,0)),
IF(AND(ISNUMBER(SEARCH("L-Dsty.L-Res",$B39))=TRUE,ISNUMBER(SEARCH("C.",$B39))=TRUE,OR(ISNUMBER(SEARCH("heavy",$B39)),ISNUMBER(SEARCH("MEDIUM",$B39)))=TRUE),INDEX(croprotn_LDLR_C_h,MATCH(RIGHT($F$1,1),rotation_heavy,0)),
IF(AND(ISNUMBER(SEARCH("H-Dsty.H-Res",$B39))=TRUE,ISNUMBER(SEARCH("E.",$B39))=TRUE,ISNUMBER(SEARCH("light",$B39))=TRUE),INDEX(croprotn_HDHR_E_l,MATCH(RIGHT($F$1,1),rotation_light,0)),
IF(AND(ISNUMBER(SEARCH("H-Dsty.H-Res",$B39))=TRUE,ISNUMBER(SEARCH("N.",$B39))=TRUE,ISNUMBER(SEARCH("light",$B39))=TRUE),INDEX(croprotn_HDHR_N_l,MATCH(RIGHT($F$1,1),rotation_light,0)),
IF(AND(ISNUMBER(SEARCH("H-Dsty.H-Res",$B39))=TRUE,ISNUMBER(SEARCH("C.",$B39))=TRUE,ISNUMBER(SEARCH("light",$B39))=TRUE),INDEX(croprotn_HDHR_C_l,MATCH(RIGHT($F$1,1),rotation_light,0)),
IF(AND(ISNUMBER(SEARCH("L-Dsty.H-Res",$B39))=TRUE,ISNUMBER(SEARCH("E.",$B39))=TRUE,ISNUMBER(SEARCH("light",$B39))=TRUE),INDEX(croprotn_LDHR_E_l,MATCH(RIGHT($F$1,1),rotation_light,0)),
IF(AND(ISNUMBER(SEARCH("L-Dsty.H-Res",$B39))=TRUE,ISNUMBER(SEARCH("N.",$B39))=TRUE,ISNUMBER(SEARCH("light",$B39))=TRUE),INDEX(croprotn_LDHR_N_l,MATCH(RIGHT($F$1,1),rotation_light,0)),
IF(AND(ISNUMBER(SEARCH("L-Dsty.H-Res",$B39))=TRUE,ISNUMBER(SEARCH("C.",$B39))=TRUE,ISNUMBER(SEARCH("light",$B39))=TRUE),INDEX(croprotn_LDHR_C_l,MATCH(RIGHT($F$1,1),rotation_light,0)),
IF(AND(ISNUMBER(SEARCH("L-Dsty.L-Res",$B39))=TRUE,ISNUMBER(SEARCH("E.",$B39))=TRUE,ISNUMBER(SEARCH("light",$B39))=TRUE),INDEX(croprotn_LDLR_E_l,MATCH(RIGHT($F$1,1),rotation_light,0)),
IF(AND(ISNUMBER(SEARCH("L-Dsty.L-Res",$B39))=TRUE,ISNUMBER(SEARCH("N.",$B39))=TRUE,ISNUMBER(SEARCH("light",$B39))=TRUE),INDEX(croprotn_LDLR_N_l,MATCH(RIGHT($F$1,1),rotation_light,0)),
IF(AND(ISNUMBER(SEARCH("L-Dsty.L-Res",$B39))=TRUE,ISNUMBER(SEARCH("C.",$B39))=TRUE,ISNUMBER(SEARCH("light",$B39))=TRUE),INDEX(croprotn_LDLR_C_l,MATCH(RIGHT($F$1,1),rotation_light,0))
))))))))))))))))))</f>
        <v>winterwheat</v>
      </c>
      <c r="G39" s="234" t="str">
        <f t="shared" si="84"/>
        <v>wosr</v>
      </c>
      <c r="H39" s="234" t="str">
        <f t="shared" si="100"/>
        <v>winterwheat</v>
      </c>
      <c r="I39" s="234" t="str">
        <f t="shared" si="101"/>
        <v>winterwheat</v>
      </c>
      <c r="J39" s="234" t="str">
        <f t="shared" si="102"/>
        <v>wosr</v>
      </c>
      <c r="K39" s="234" t="str">
        <f t="shared" si="103"/>
        <v>winterwheat</v>
      </c>
      <c r="L39" s="154" t="str">
        <f t="shared" si="104"/>
        <v>minimumtillage</v>
      </c>
      <c r="M39" s="154" t="str">
        <f t="shared" si="105"/>
        <v>subsoiling</v>
      </c>
      <c r="N39" s="154" t="str">
        <f t="shared" si="106"/>
        <v>minimumtillage</v>
      </c>
      <c r="O39" s="154" t="str">
        <f t="shared" si="164"/>
        <v>minimumtillage</v>
      </c>
      <c r="P39" s="154" t="str">
        <f t="shared" si="165"/>
        <v>subsoiling</v>
      </c>
      <c r="Q39" s="154" t="str">
        <f t="shared" si="95"/>
        <v>minimumtillage</v>
      </c>
      <c r="R39" s="234">
        <f t="shared" si="86"/>
        <v>200</v>
      </c>
      <c r="S39" s="234">
        <f t="shared" si="107"/>
        <v>3.2</v>
      </c>
      <c r="T39" s="234">
        <f t="shared" si="108"/>
        <v>200</v>
      </c>
      <c r="U39" s="234">
        <f t="shared" si="87"/>
        <v>200</v>
      </c>
      <c r="V39" s="234">
        <f t="shared" si="109"/>
        <v>3.2</v>
      </c>
      <c r="W39" s="234">
        <f t="shared" si="110"/>
        <v>200</v>
      </c>
      <c r="X39" s="154" t="str">
        <f t="shared" si="111"/>
        <v>late</v>
      </c>
      <c r="Y39" s="154" t="str">
        <f t="shared" si="112"/>
        <v>no</v>
      </c>
      <c r="Z39" s="154" t="str">
        <f t="shared" si="113"/>
        <v>late</v>
      </c>
      <c r="AA39" s="154" t="str">
        <f t="shared" si="114"/>
        <v>late</v>
      </c>
      <c r="AB39" s="154" t="str">
        <f t="shared" si="115"/>
        <v>no</v>
      </c>
      <c r="AC39" s="154" t="str">
        <f t="shared" si="116"/>
        <v>late</v>
      </c>
      <c r="AD39" s="234">
        <f>IF(AND(ISNUMBER(SEARCH("H-Dsty.H-Res",$B39))=TRUE,ISNUMBER(SEARCH("E.",$B39))=TRUE),INDEX(fertrate_HDHR_E,MATCH($F39,fertrate_CROPS,0)),
IF(AND(ISNUMBER(SEARCH("H-Dsty.H-Res",$B39))=TRUE,ISNUMBER(SEARCH("N.",$B39))=TRUE),INDEX(fertrate_HDHR_N,MATCH($F39,fertrate_CROPS,0)),
IF(AND(ISNUMBER(SEARCH("H-Dsty.H-Res",$B39))=TRUE,ISNUMBER(SEARCH("C.",$B39))=TRUE),INDEX(fertrate_HDHR_C,MATCH($F39,fertrate_CROPS,0)),
IF(AND(ISNUMBER(SEARCH("L-Dsty.H-Res",$B39))=TRUE,ISNUMBER(SEARCH("E.",$B39))=TRUE),INDEX(fertrate_LDHR_E,MATCH($F39,fertrate_CROPS,0)),
IF(AND(ISNUMBER(SEARCH("L-Dsty.H-Res",$B39))=TRUE,ISNUMBER(SEARCH("N.",$B39))=TRUE),INDEX(fertrate_LDHR_N,MATCH($F39,fertrate_CROPS,0)),
IF(AND(ISNUMBER(SEARCH("L-Dsty.H-Res",$B39))=TRUE,ISNUMBER(SEARCH("C.",$B39))=TRUE),INDEX(fertrate_LDHR_C,MATCH($F39,fertrate_CROPS,0)),
IF(AND(ISNUMBER(SEARCH("L-Dsty.L-Res",$B39))=TRUE,ISNUMBER(SEARCH("E.",$B39))=TRUE),INDEX(fertrate_LDLR_E,MATCH($F39,fertrate_CROPS,0)),
IF(AND(ISNUMBER(SEARCH("L-Dsty.L-Res",$B39))=TRUE,ISNUMBER(SEARCH("N.",$B39))=TRUE),INDEX(fertrate_LDLR_N,MATCH($F39,fertrate_CROPS,0)),
IF(AND(ISNUMBER(SEARCH("L-Dsty.L-Res",$B39))=TRUE,ISNUMBER(SEARCH("C.",$B39))=TRUE),INDEX(fertrate_LDLR_C,MATCH($F39,fertrate_CROPS,0))
)))))))))</f>
        <v>220</v>
      </c>
      <c r="AE39" s="234">
        <f t="shared" si="85"/>
        <v>180</v>
      </c>
      <c r="AF39" s="234">
        <f t="shared" si="96"/>
        <v>220</v>
      </c>
      <c r="AG39" s="234">
        <f>IF(AND(ISNUMBER(SEARCH("H-Dsty.",$B39))=TRUE,ISNUMBER(SEARCH("H-Res",$B39))=TRUE,ISNUMBER(SEARCH("E.",$B39))=TRUE),INDEX(fertrate_HDHR_E,MATCH($I39,fertrate_CROPS,0)),
IF(AND(ISNUMBER(SEARCH("H-Dsty.",$B39))=TRUE,ISNUMBER(SEARCH("H-Res",$B39))=TRUE,ISNUMBER(SEARCH("N.",$B39))=TRUE),INDEX(fertrate_HDHR_N,MATCH($I39,fertrate_CROPS,0)),
IF(AND(ISNUMBER(SEARCH("H-Dsty.",$B39))=TRUE,ISNUMBER(SEARCH("H-Res",$B39))=TRUE,ISNUMBER(SEARCH("C.",$B39))=TRUE),INDEX(fertrate_HDHR_C,MATCH($I39,fertrate_CROPS,0)),
IF(AND(ISNUMBER(SEARCH("L-Dsty.",$B39))=TRUE,ISNUMBER(SEARCH("H-Res",$B39))=TRUE,ISNUMBER(SEARCH("E.",$B39))=TRUE),INDEX(fertrate_LDHR_E,MATCH($I39,fertrate_CROPS,0)),
IF(AND(ISNUMBER(SEARCH("L-Dsty.",$B39))=TRUE,ISNUMBER(SEARCH("H-Res",$B39))=TRUE,ISNUMBER(SEARCH("N.",$B39))=TRUE),INDEX(fertrate_LDHR_N,MATCH($I39,fertrate_CROPS,0)),
IF(AND(ISNUMBER(SEARCH("L-Dsty.",$B39))=TRUE,ISNUMBER(SEARCH("H-Res",$B39))=TRUE,ISNUMBER(SEARCH("C.",$B39))=TRUE),INDEX(fertrate_LDHR_C,MATCH($I39,fertrate_CROPS,0)),
IF(AND(ISNUMBER(SEARCH("L-Dsty.",$B39))=TRUE,ISNUMBER(SEARCH("L-Res",$B39))=TRUE,ISNUMBER(SEARCH("E.",$B39))=TRUE),INDEX(fertrate_LDLR_E,MATCH($I39,fertrate_CROPS,0)),
IF(AND(ISNUMBER(SEARCH("L-Dsty.",$B39))=TRUE,ISNUMBER(SEARCH("L-Res",$B39))=TRUE,ISNUMBER(SEARCH("N.",$B39))=TRUE),INDEX(fertrate_LDLR_N,MATCH($I39,fertrate_CROPS,0)),
IF(AND(ISNUMBER(SEARCH("L-Dsty.",$B39))=TRUE,ISNUMBER(SEARCH("L-Res",$B39))=TRUE,ISNUMBER(SEARCH("C.",$B39))=TRUE),INDEX(fertrate_LDLR_C,MATCH($I39,fertrate_CROPS,0))
)))))))))</f>
        <v>220</v>
      </c>
      <c r="AH39" s="234">
        <f t="shared" si="80"/>
        <v>180</v>
      </c>
      <c r="AI39" s="234">
        <f t="shared" si="97"/>
        <v>220</v>
      </c>
      <c r="AJ39" s="154">
        <f t="shared" si="117"/>
        <v>67</v>
      </c>
      <c r="AK39" s="154">
        <f t="shared" si="118"/>
        <v>49</v>
      </c>
      <c r="AL39" s="154">
        <f t="shared" si="119"/>
        <v>67</v>
      </c>
      <c r="AM39" s="154">
        <f t="shared" si="120"/>
        <v>67</v>
      </c>
      <c r="AN39" s="154">
        <f t="shared" si="121"/>
        <v>49</v>
      </c>
      <c r="AO39" s="154">
        <f t="shared" si="122"/>
        <v>67</v>
      </c>
      <c r="AP39" s="154">
        <f t="shared" si="123"/>
        <v>48</v>
      </c>
      <c r="AQ39" s="154">
        <f t="shared" si="124"/>
        <v>39</v>
      </c>
      <c r="AR39" s="154">
        <f t="shared" si="125"/>
        <v>48</v>
      </c>
      <c r="AS39" s="154">
        <f t="shared" si="126"/>
        <v>48</v>
      </c>
      <c r="AT39" s="154">
        <f t="shared" si="127"/>
        <v>39</v>
      </c>
      <c r="AU39" s="154">
        <f t="shared" si="128"/>
        <v>48</v>
      </c>
      <c r="AV39" s="234">
        <f t="shared" si="89"/>
        <v>5</v>
      </c>
      <c r="AW39" s="234">
        <f t="shared" si="129"/>
        <v>0</v>
      </c>
      <c r="AX39" s="234">
        <f t="shared" si="130"/>
        <v>5</v>
      </c>
      <c r="AY39" s="234">
        <f t="shared" si="90"/>
        <v>5</v>
      </c>
      <c r="AZ39" s="234">
        <f t="shared" si="131"/>
        <v>0</v>
      </c>
      <c r="BA39" s="234">
        <f t="shared" si="132"/>
        <v>5</v>
      </c>
      <c r="BB39" s="234">
        <f t="shared" si="133"/>
        <v>4</v>
      </c>
      <c r="BC39" s="234">
        <f t="shared" si="134"/>
        <v>0</v>
      </c>
      <c r="BD39" s="234">
        <f t="shared" si="135"/>
        <v>4</v>
      </c>
      <c r="BE39" s="234">
        <f t="shared" si="91"/>
        <v>4</v>
      </c>
      <c r="BF39" s="234">
        <f t="shared" si="136"/>
        <v>0</v>
      </c>
      <c r="BG39" s="234">
        <f t="shared" si="137"/>
        <v>4</v>
      </c>
      <c r="BH39" s="234">
        <f t="shared" si="138"/>
        <v>4</v>
      </c>
      <c r="BI39" s="234">
        <f t="shared" si="139"/>
        <v>0</v>
      </c>
      <c r="BJ39" s="234">
        <f t="shared" si="140"/>
        <v>4</v>
      </c>
      <c r="BK39" s="234">
        <f t="shared" si="92"/>
        <v>4</v>
      </c>
      <c r="BL39" s="234">
        <f t="shared" si="141"/>
        <v>0</v>
      </c>
      <c r="BM39" s="234">
        <f t="shared" si="142"/>
        <v>4</v>
      </c>
      <c r="BN39" s="154" t="s">
        <v>483</v>
      </c>
      <c r="BO39" s="154" t="str">
        <f t="shared" si="143"/>
        <v>medium</v>
      </c>
      <c r="BP39" s="154" t="str">
        <f t="shared" si="144"/>
        <v>low</v>
      </c>
      <c r="BQ39" s="154" t="str">
        <f t="shared" si="145"/>
        <v>low</v>
      </c>
      <c r="BR39" s="154" t="s">
        <v>182</v>
      </c>
      <c r="BS39" s="154" t="s">
        <v>182</v>
      </c>
      <c r="BT39" s="154" t="s">
        <v>182</v>
      </c>
      <c r="BU39" s="154">
        <f t="shared" si="146"/>
        <v>150</v>
      </c>
      <c r="BV39" s="154">
        <f t="shared" si="147"/>
        <v>335</v>
      </c>
      <c r="BW39" s="154">
        <f t="shared" si="148"/>
        <v>150</v>
      </c>
      <c r="BX39" s="154">
        <f t="shared" si="149"/>
        <v>150</v>
      </c>
      <c r="BY39" s="154">
        <f t="shared" si="150"/>
        <v>335</v>
      </c>
      <c r="BZ39" s="154">
        <f t="shared" si="151"/>
        <v>150</v>
      </c>
      <c r="CA39" s="356">
        <f t="array" ref="CA39">IF(yieldsetting1="estimate",0,INDEX(cropdata, MATCH(yieldsource,outputs,0), MATCH($F39,cropdatacrops,0)))</f>
        <v>0</v>
      </c>
      <c r="CB39" s="356">
        <f t="array" ref="CB39">IF(yieldsetting1="estimate",0,INDEX(cropdata, MATCH(yieldsource,outputs,0), MATCH($G39,cropdatacrops,0)))</f>
        <v>0</v>
      </c>
      <c r="CC39" s="356">
        <f t="array" ref="CC39">IF(yieldsetting1="estimate",0,INDEX(cropdata, MATCH(yieldsource,outputs,0), MATCH($H39,cropdatacrops,0)))</f>
        <v>0</v>
      </c>
      <c r="CD39" s="356">
        <f t="array" ref="CD39">IF(yieldsetting1="estimate",0,INDEX(cropdata, MATCH(yieldsource,outputs,0), MATCH($I39,cropdatacrops,0)))</f>
        <v>0</v>
      </c>
      <c r="CE39" s="356">
        <f t="array" ref="CE39">IF(yieldsetting1="estimate",0,INDEX(cropdata, MATCH(yieldsource,outputs,0), MATCH($J39,cropdatacrops,0)))</f>
        <v>0</v>
      </c>
      <c r="CF39" s="356">
        <f t="array" ref="CF39">IF(yieldsetting1="estimate",0,INDEX(cropdata, MATCH(yieldsource,outputs,0), MATCH($K39,cropdatacrops,0)))</f>
        <v>0</v>
      </c>
      <c r="CG39" s="154" t="str">
        <f t="shared" si="152"/>
        <v>estimate</v>
      </c>
      <c r="CH39" s="235">
        <f t="shared" si="153"/>
        <v>0.8</v>
      </c>
      <c r="CI39" s="235">
        <f t="shared" si="154"/>
        <v>0.72</v>
      </c>
      <c r="CJ39" s="154">
        <f t="shared" si="155"/>
        <v>0.46</v>
      </c>
      <c r="CK39" s="154">
        <f t="shared" si="156"/>
        <v>0.36</v>
      </c>
      <c r="CL39" s="154">
        <f t="shared" si="157"/>
        <v>7.34</v>
      </c>
      <c r="CM39" s="154">
        <f t="shared" si="158"/>
        <v>0.36</v>
      </c>
      <c r="CN39" s="154">
        <f t="shared" si="159"/>
        <v>0.36</v>
      </c>
      <c r="CO39" s="154">
        <f t="shared" si="160"/>
        <v>7.34</v>
      </c>
      <c r="CP39" s="154">
        <f t="shared" si="161"/>
        <v>0.36</v>
      </c>
      <c r="CQ39" s="154">
        <f t="shared" si="98"/>
        <v>19.5</v>
      </c>
      <c r="CR39" s="154">
        <f t="shared" si="98"/>
        <v>19.5</v>
      </c>
      <c r="CS39" s="154">
        <f t="shared" si="98"/>
        <v>19.5</v>
      </c>
      <c r="CT39" s="154">
        <f t="shared" si="98"/>
        <v>19.5</v>
      </c>
      <c r="CU39" s="154">
        <f t="shared" si="98"/>
        <v>19.5</v>
      </c>
      <c r="CV39" s="154">
        <f t="shared" si="98"/>
        <v>19.5</v>
      </c>
      <c r="CW39" s="154">
        <f t="shared" si="99"/>
        <v>2.4300000000000002</v>
      </c>
      <c r="CX39" s="154">
        <f t="shared" si="99"/>
        <v>2.4300000000000002</v>
      </c>
      <c r="CY39" s="154">
        <f t="shared" si="99"/>
        <v>2.4300000000000002</v>
      </c>
      <c r="CZ39" s="154">
        <f t="shared" si="99"/>
        <v>2.4300000000000002</v>
      </c>
      <c r="DA39" s="154">
        <f t="shared" si="99"/>
        <v>2.4300000000000002</v>
      </c>
      <c r="DB39" s="154">
        <f t="shared" si="99"/>
        <v>2.4300000000000002</v>
      </c>
      <c r="DC39" s="154">
        <v>102</v>
      </c>
      <c r="DD39" s="154">
        <v>6</v>
      </c>
      <c r="DE39" s="154">
        <v>4</v>
      </c>
      <c r="DF39" s="154">
        <v>1400</v>
      </c>
      <c r="DG39" s="154">
        <v>125</v>
      </c>
      <c r="DH39" s="154">
        <f t="shared" si="162"/>
        <v>0.625</v>
      </c>
      <c r="DI39" s="154">
        <f t="shared" si="163"/>
        <v>10.08</v>
      </c>
    </row>
    <row r="40" spans="1:113" x14ac:dyDescent="0.2">
      <c r="A40" s="335" t="s">
        <v>1679</v>
      </c>
      <c r="B40" s="334" t="s">
        <v>507</v>
      </c>
      <c r="C40" s="334" t="s">
        <v>1620</v>
      </c>
      <c r="D40" s="233" t="str">
        <f>IF(ISNUMBER(SEARCH("heavy",B40))=TRUE,"2.25",
IF(ISNUMBER(SEARCH("medium",B40))=TRUE,"1.50",
IF(ISNUMBER(SEARCH("light",B40))=TRUE,"0.75")))</f>
        <v>1.50</v>
      </c>
      <c r="E40" s="154">
        <v>6</v>
      </c>
      <c r="F40" s="234" t="str" cm="1">
        <f t="array" ref="F40">IF(AND(ISNUMBER(SEARCH("H-Dsty.H-Res",$B40))=TRUE,ISNUMBER(SEARCH("E.",$B40))=TRUE,OR(ISNUMBER(SEARCH("heavy",$B40)),ISNUMBER(SEARCH("MEDIUM",$B40)))=TRUE),INDEX(croprotn_HDHR_E_h,MATCH(RIGHT($F$1,1),rotation_heavy,0)),
IF(AND(ISNUMBER(SEARCH("H-Dsty.H-Res",$B40))=TRUE,ISNUMBER(SEARCH("N.",$B40))=TRUE,OR(ISNUMBER(SEARCH("heavy",$B40)),ISNUMBER(SEARCH("MEDIUM",$B40)))=TRUE),INDEX(croprotn_HDHR_N_h,MATCH(RIGHT($F$1,1),rotation_heavy,0)),
IF(AND(ISNUMBER(SEARCH("H-Dsty.H-Res",$B40))=TRUE,ISNUMBER(SEARCH("C.",$B40))=TRUE,OR(ISNUMBER(SEARCH("heavy",$B40)),ISNUMBER(SEARCH("MEDIUM",$B40)))=TRUE),INDEX(croprotn_HDHR_C_h,MATCH(RIGHT($F$1,1),rotation_heavy,0)),
IF(AND(ISNUMBER(SEARCH("L-Dsty.H-Res",$B40))=TRUE,ISNUMBER(SEARCH("E.",$B40))=TRUE,OR(ISNUMBER(SEARCH("heavy",$B40)),ISNUMBER(SEARCH("MEDIUM",$B40)))=TRUE),INDEX(croprotn_LDHR_E_h,MATCH(RIGHT($F$1,1),rotation_heavy,0)),
IF(AND(ISNUMBER(SEARCH("L-Dsty.H-Res",$B40))=TRUE,ISNUMBER(SEARCH("N.",$B40))=TRUE,OR(ISNUMBER(SEARCH("heavy",$B40)),ISNUMBER(SEARCH("MEDIUM",$B40)))=TRUE),INDEX(croprotn_LDHR_N_h,MATCH(RIGHT($F$1,1),rotation_heavy,0)),
IF(AND(ISNUMBER(SEARCH("L-Dsty.H-Res",$B40))=TRUE,ISNUMBER(SEARCH("C.",$B40))=TRUE,OR(ISNUMBER(SEARCH("heavy",$B40)),ISNUMBER(SEARCH("MEDIUM",$B40)))=TRUE),INDEX(croprotn_LDHR_C_h,MATCH(RIGHT($F$1,1),rotation_heavy,0)),
IF(AND(ISNUMBER(SEARCH("L-Dsty.L-Res",$B40))=TRUE,ISNUMBER(SEARCH("E.",$B40))=TRUE,OR(ISNUMBER(SEARCH("heavy",$B40)),ISNUMBER(SEARCH("MEDIUM",$B40)))=TRUE),INDEX(croprotn_LDLR_E_h,MATCH(RIGHT($F$1,1),rotation_heavy,0)),
IF(AND(ISNUMBER(SEARCH("L-Dsty.L-Res",$B40))=TRUE,ISNUMBER(SEARCH("N.",$B40))=TRUE,OR(ISNUMBER(SEARCH("heavy",$B40)),ISNUMBER(SEARCH("MEDIUM",$B40)))=TRUE),INDEX(croprotn_LDLR_N_h,MATCH(RIGHT($F$1,1),rotation_heavy,0)),
IF(AND(ISNUMBER(SEARCH("L-Dsty.L-Res",$B40))=TRUE,ISNUMBER(SEARCH("C.",$B40))=TRUE,OR(ISNUMBER(SEARCH("heavy",$B40)),ISNUMBER(SEARCH("MEDIUM",$B40)))=TRUE),INDEX(croprotn_LDLR_C_h,MATCH(RIGHT($F$1,1),rotation_heavy,0)),
IF(AND(ISNUMBER(SEARCH("H-Dsty.H-Res",$B40))=TRUE,ISNUMBER(SEARCH("E.",$B40))=TRUE,ISNUMBER(SEARCH("light",$B40))=TRUE),INDEX(croprotn_HDHR_E_l,MATCH(RIGHT($F$1,1),rotation_light,0)),
IF(AND(ISNUMBER(SEARCH("H-Dsty.H-Res",$B40))=TRUE,ISNUMBER(SEARCH("N.",$B40))=TRUE,ISNUMBER(SEARCH("light",$B40))=TRUE),INDEX(croprotn_HDHR_N_l,MATCH(RIGHT($F$1,1),rotation_light,0)),
IF(AND(ISNUMBER(SEARCH("H-Dsty.H-Res",$B40))=TRUE,ISNUMBER(SEARCH("C.",$B40))=TRUE,ISNUMBER(SEARCH("light",$B40))=TRUE),INDEX(croprotn_HDHR_C_l,MATCH(RIGHT($F$1,1),rotation_light,0)),
IF(AND(ISNUMBER(SEARCH("L-Dsty.H-Res",$B40))=TRUE,ISNUMBER(SEARCH("E.",$B40))=TRUE,ISNUMBER(SEARCH("light",$B40))=TRUE),INDEX(croprotn_LDHR_E_l,MATCH(RIGHT($F$1,1),rotation_light,0)),
IF(AND(ISNUMBER(SEARCH("L-Dsty.H-Res",$B40))=TRUE,ISNUMBER(SEARCH("N.",$B40))=TRUE,ISNUMBER(SEARCH("light",$B40))=TRUE),INDEX(croprotn_LDHR_N_l,MATCH(RIGHT($F$1,1),rotation_light,0)),
IF(AND(ISNUMBER(SEARCH("L-Dsty.H-Res",$B40))=TRUE,ISNUMBER(SEARCH("C.",$B40))=TRUE,ISNUMBER(SEARCH("light",$B40))=TRUE),INDEX(croprotn_LDHR_C_l,MATCH(RIGHT($F$1,1),rotation_light,0)),
IF(AND(ISNUMBER(SEARCH("L-Dsty.L-Res",$B40))=TRUE,ISNUMBER(SEARCH("E.",$B40))=TRUE,ISNUMBER(SEARCH("light",$B40))=TRUE),INDEX(croprotn_LDLR_E_l,MATCH(RIGHT($F$1,1),rotation_light,0)),
IF(AND(ISNUMBER(SEARCH("L-Dsty.L-Res",$B40))=TRUE,ISNUMBER(SEARCH("N.",$B40))=TRUE,ISNUMBER(SEARCH("light",$B40))=TRUE),INDEX(croprotn_LDLR_N_l,MATCH(RIGHT($F$1,1),rotation_light,0)),
IF(AND(ISNUMBER(SEARCH("L-Dsty.L-Res",$B40))=TRUE,ISNUMBER(SEARCH("C.",$B40))=TRUE,ISNUMBER(SEARCH("light",$B40))=TRUE),INDEX(croprotn_LDLR_C_l,MATCH(RIGHT($F$1,1),rotation_light,0))
))))))))))))))))))</f>
        <v>winterwheat</v>
      </c>
      <c r="G40" s="234" t="str">
        <f t="shared" si="84"/>
        <v>wosr</v>
      </c>
      <c r="H40" s="234" t="str">
        <f t="shared" si="100"/>
        <v>winterwheat</v>
      </c>
      <c r="I40" s="234" t="str">
        <f t="shared" si="101"/>
        <v>winterwheat</v>
      </c>
      <c r="J40" s="234" t="str">
        <f t="shared" si="102"/>
        <v>wosr</v>
      </c>
      <c r="K40" s="234" t="str">
        <f t="shared" si="103"/>
        <v>winterwheat</v>
      </c>
      <c r="L40" s="154" t="str">
        <f t="shared" si="104"/>
        <v>minimumtillage</v>
      </c>
      <c r="M40" s="154" t="str">
        <f t="shared" si="105"/>
        <v>subsoiling</v>
      </c>
      <c r="N40" s="154" t="str">
        <f t="shared" si="106"/>
        <v>minimumtillage</v>
      </c>
      <c r="O40" s="154" t="str">
        <f t="shared" si="164"/>
        <v>minimumtillage</v>
      </c>
      <c r="P40" s="154" t="str">
        <f t="shared" si="165"/>
        <v>subsoiling</v>
      </c>
      <c r="Q40" s="154" t="str">
        <f t="shared" si="95"/>
        <v>minimumtillage</v>
      </c>
      <c r="R40" s="234">
        <f t="shared" si="86"/>
        <v>200</v>
      </c>
      <c r="S40" s="234">
        <f t="shared" si="107"/>
        <v>3.2</v>
      </c>
      <c r="T40" s="234">
        <f t="shared" si="108"/>
        <v>200</v>
      </c>
      <c r="U40" s="234">
        <f t="shared" si="87"/>
        <v>200</v>
      </c>
      <c r="V40" s="234">
        <f t="shared" si="109"/>
        <v>3.2</v>
      </c>
      <c r="W40" s="234">
        <f t="shared" si="110"/>
        <v>200</v>
      </c>
      <c r="X40" s="154" t="str">
        <f t="shared" si="111"/>
        <v>late</v>
      </c>
      <c r="Y40" s="154" t="str">
        <f t="shared" si="112"/>
        <v>no</v>
      </c>
      <c r="Z40" s="154" t="str">
        <f t="shared" si="113"/>
        <v>late</v>
      </c>
      <c r="AA40" s="154" t="str">
        <f t="shared" si="114"/>
        <v>late</v>
      </c>
      <c r="AB40" s="154" t="str">
        <f t="shared" si="115"/>
        <v>no</v>
      </c>
      <c r="AC40" s="154" t="str">
        <f t="shared" si="116"/>
        <v>late</v>
      </c>
      <c r="AD40" s="234">
        <f>IF(AND(ISNUMBER(SEARCH("H-Dsty.H-Res",$B40))=TRUE,ISNUMBER(SEARCH("E.",$B40))=TRUE),INDEX(fertrate_HDHR_E,MATCH($F40,fertrate_CROPS,0)),
IF(AND(ISNUMBER(SEARCH("H-Dsty.H-Res",$B40))=TRUE,ISNUMBER(SEARCH("N.",$B40))=TRUE),INDEX(fertrate_HDHR_N,MATCH($F40,fertrate_CROPS,0)),
IF(AND(ISNUMBER(SEARCH("H-Dsty.H-Res",$B40))=TRUE,ISNUMBER(SEARCH("C.",$B40))=TRUE),INDEX(fertrate_HDHR_C,MATCH($F40,fertrate_CROPS,0)),
IF(AND(ISNUMBER(SEARCH("L-Dsty.H-Res",$B40))=TRUE,ISNUMBER(SEARCH("E.",$B40))=TRUE),INDEX(fertrate_LDHR_E,MATCH($F40,fertrate_CROPS,0)),
IF(AND(ISNUMBER(SEARCH("L-Dsty.H-Res",$B40))=TRUE,ISNUMBER(SEARCH("N.",$B40))=TRUE),INDEX(fertrate_LDHR_N,MATCH($F40,fertrate_CROPS,0)),
IF(AND(ISNUMBER(SEARCH("L-Dsty.H-Res",$B40))=TRUE,ISNUMBER(SEARCH("C.",$B40))=TRUE),INDEX(fertrate_LDHR_C,MATCH($F40,fertrate_CROPS,0)),
IF(AND(ISNUMBER(SEARCH("L-Dsty.L-Res",$B40))=TRUE,ISNUMBER(SEARCH("E.",$B40))=TRUE),INDEX(fertrate_LDLR_E,MATCH($F40,fertrate_CROPS,0)),
IF(AND(ISNUMBER(SEARCH("L-Dsty.L-Res",$B40))=TRUE,ISNUMBER(SEARCH("N.",$B40))=TRUE),INDEX(fertrate_LDLR_N,MATCH($F40,fertrate_CROPS,0)),
IF(AND(ISNUMBER(SEARCH("L-Dsty.L-Res",$B40))=TRUE,ISNUMBER(SEARCH("C.",$B40))=TRUE),INDEX(fertrate_LDLR_C,MATCH($F40,fertrate_CROPS,0))
)))))))))</f>
        <v>220</v>
      </c>
      <c r="AE40" s="234">
        <f t="shared" si="85"/>
        <v>180</v>
      </c>
      <c r="AF40" s="234">
        <f t="shared" si="96"/>
        <v>220</v>
      </c>
      <c r="AG40" s="234">
        <f>IF(AND(ISNUMBER(SEARCH("H-Dsty.",$B40))=TRUE,ISNUMBER(SEARCH("H-Res",$B40))=TRUE,ISNUMBER(SEARCH("E.",$B40))=TRUE),INDEX(fertrate_HDHR_E,MATCH($I40,fertrate_CROPS,0)),
IF(AND(ISNUMBER(SEARCH("H-Dsty.",$B40))=TRUE,ISNUMBER(SEARCH("H-Res",$B40))=TRUE,ISNUMBER(SEARCH("N.",$B40))=TRUE),INDEX(fertrate_HDHR_N,MATCH($I40,fertrate_CROPS,0)),
IF(AND(ISNUMBER(SEARCH("H-Dsty.",$B40))=TRUE,ISNUMBER(SEARCH("H-Res",$B40))=TRUE,ISNUMBER(SEARCH("C.",$B40))=TRUE),INDEX(fertrate_HDHR_C,MATCH($I40,fertrate_CROPS,0)),
IF(AND(ISNUMBER(SEARCH("L-Dsty.",$B40))=TRUE,ISNUMBER(SEARCH("H-Res",$B40))=TRUE,ISNUMBER(SEARCH("E.",$B40))=TRUE),INDEX(fertrate_LDHR_E,MATCH($I40,fertrate_CROPS,0)),
IF(AND(ISNUMBER(SEARCH("L-Dsty.",$B40))=TRUE,ISNUMBER(SEARCH("H-Res",$B40))=TRUE,ISNUMBER(SEARCH("N.",$B40))=TRUE),INDEX(fertrate_LDHR_N,MATCH($I40,fertrate_CROPS,0)),
IF(AND(ISNUMBER(SEARCH("L-Dsty.",$B40))=TRUE,ISNUMBER(SEARCH("H-Res",$B40))=TRUE,ISNUMBER(SEARCH("C.",$B40))=TRUE),INDEX(fertrate_LDHR_C,MATCH($I40,fertrate_CROPS,0)),
IF(AND(ISNUMBER(SEARCH("L-Dsty.",$B40))=TRUE,ISNUMBER(SEARCH("L-Res",$B40))=TRUE,ISNUMBER(SEARCH("E.",$B40))=TRUE),INDEX(fertrate_LDLR_E,MATCH($I40,fertrate_CROPS,0)),
IF(AND(ISNUMBER(SEARCH("L-Dsty.",$B40))=TRUE,ISNUMBER(SEARCH("L-Res",$B40))=TRUE,ISNUMBER(SEARCH("N.",$B40))=TRUE),INDEX(fertrate_LDLR_N,MATCH($I40,fertrate_CROPS,0)),
IF(AND(ISNUMBER(SEARCH("L-Dsty.",$B40))=TRUE,ISNUMBER(SEARCH("L-Res",$B40))=TRUE,ISNUMBER(SEARCH("C.",$B40))=TRUE),INDEX(fertrate_LDLR_C,MATCH($I40,fertrate_CROPS,0))
)))))))))</f>
        <v>220</v>
      </c>
      <c r="AH40" s="234">
        <f t="shared" si="80"/>
        <v>180</v>
      </c>
      <c r="AI40" s="234">
        <f t="shared" si="97"/>
        <v>220</v>
      </c>
      <c r="AJ40" s="154">
        <f t="shared" si="117"/>
        <v>67</v>
      </c>
      <c r="AK40" s="154">
        <f t="shared" si="118"/>
        <v>49</v>
      </c>
      <c r="AL40" s="154">
        <f t="shared" si="119"/>
        <v>67</v>
      </c>
      <c r="AM40" s="154">
        <f t="shared" si="120"/>
        <v>67</v>
      </c>
      <c r="AN40" s="154">
        <f t="shared" si="121"/>
        <v>49</v>
      </c>
      <c r="AO40" s="154">
        <f t="shared" si="122"/>
        <v>67</v>
      </c>
      <c r="AP40" s="154">
        <f t="shared" si="123"/>
        <v>48</v>
      </c>
      <c r="AQ40" s="154">
        <f t="shared" si="124"/>
        <v>39</v>
      </c>
      <c r="AR40" s="154">
        <f t="shared" si="125"/>
        <v>48</v>
      </c>
      <c r="AS40" s="154">
        <f t="shared" si="126"/>
        <v>48</v>
      </c>
      <c r="AT40" s="154">
        <f t="shared" si="127"/>
        <v>39</v>
      </c>
      <c r="AU40" s="154">
        <f t="shared" si="128"/>
        <v>48</v>
      </c>
      <c r="AV40" s="234">
        <f t="shared" si="89"/>
        <v>5</v>
      </c>
      <c r="AW40" s="234">
        <f t="shared" si="129"/>
        <v>0</v>
      </c>
      <c r="AX40" s="234">
        <f t="shared" si="130"/>
        <v>5</v>
      </c>
      <c r="AY40" s="234">
        <f t="shared" si="90"/>
        <v>5</v>
      </c>
      <c r="AZ40" s="234">
        <f t="shared" si="131"/>
        <v>0</v>
      </c>
      <c r="BA40" s="234">
        <f t="shared" si="132"/>
        <v>5</v>
      </c>
      <c r="BB40" s="234">
        <f t="shared" si="133"/>
        <v>4</v>
      </c>
      <c r="BC40" s="234">
        <f t="shared" si="134"/>
        <v>0</v>
      </c>
      <c r="BD40" s="234">
        <f t="shared" si="135"/>
        <v>4</v>
      </c>
      <c r="BE40" s="234">
        <f t="shared" si="91"/>
        <v>4</v>
      </c>
      <c r="BF40" s="234">
        <f t="shared" si="136"/>
        <v>0</v>
      </c>
      <c r="BG40" s="234">
        <f t="shared" si="137"/>
        <v>4</v>
      </c>
      <c r="BH40" s="234">
        <f t="shared" si="138"/>
        <v>4</v>
      </c>
      <c r="BI40" s="234">
        <f t="shared" si="139"/>
        <v>0</v>
      </c>
      <c r="BJ40" s="234">
        <f t="shared" si="140"/>
        <v>4</v>
      </c>
      <c r="BK40" s="234">
        <f t="shared" si="92"/>
        <v>4</v>
      </c>
      <c r="BL40" s="234">
        <f t="shared" si="141"/>
        <v>0</v>
      </c>
      <c r="BM40" s="234">
        <f t="shared" si="142"/>
        <v>4</v>
      </c>
      <c r="BN40" s="154" t="s">
        <v>483</v>
      </c>
      <c r="BO40" s="154" t="str">
        <f t="shared" si="143"/>
        <v>low</v>
      </c>
      <c r="BP40" s="154" t="str">
        <f t="shared" si="144"/>
        <v>low</v>
      </c>
      <c r="BQ40" s="154" t="str">
        <f t="shared" si="145"/>
        <v>low</v>
      </c>
      <c r="BR40" s="154" t="s">
        <v>183</v>
      </c>
      <c r="BS40" s="154" t="s">
        <v>183</v>
      </c>
      <c r="BT40" s="154" t="s">
        <v>183</v>
      </c>
      <c r="BU40" s="154">
        <f t="shared" si="146"/>
        <v>150</v>
      </c>
      <c r="BV40" s="154">
        <f t="shared" si="147"/>
        <v>335</v>
      </c>
      <c r="BW40" s="154">
        <f t="shared" si="148"/>
        <v>150</v>
      </c>
      <c r="BX40" s="154">
        <f t="shared" si="149"/>
        <v>150</v>
      </c>
      <c r="BY40" s="154">
        <f t="shared" si="150"/>
        <v>335</v>
      </c>
      <c r="BZ40" s="154">
        <f t="shared" si="151"/>
        <v>150</v>
      </c>
      <c r="CA40" s="356">
        <f t="array" ref="CA40">IF(yieldsetting1="estimate",0,INDEX(cropdata, MATCH(yieldsource,outputs,0), MATCH($F40,cropdatacrops,0)))</f>
        <v>0</v>
      </c>
      <c r="CB40" s="356">
        <f t="array" ref="CB40">IF(yieldsetting1="estimate",0,INDEX(cropdata, MATCH(yieldsource,outputs,0), MATCH($G40,cropdatacrops,0)))</f>
        <v>0</v>
      </c>
      <c r="CC40" s="356">
        <f t="array" ref="CC40">IF(yieldsetting1="estimate",0,INDEX(cropdata, MATCH(yieldsource,outputs,0), MATCH($H40,cropdatacrops,0)))</f>
        <v>0</v>
      </c>
      <c r="CD40" s="356">
        <f t="array" ref="CD40">IF(yieldsetting1="estimate",0,INDEX(cropdata, MATCH(yieldsource,outputs,0), MATCH($I40,cropdatacrops,0)))</f>
        <v>0</v>
      </c>
      <c r="CE40" s="356">
        <f t="array" ref="CE40">IF(yieldsetting1="estimate",0,INDEX(cropdata, MATCH(yieldsource,outputs,0), MATCH($J40,cropdatacrops,0)))</f>
        <v>0</v>
      </c>
      <c r="CF40" s="356">
        <f t="array" ref="CF40">IF(yieldsetting1="estimate",0,INDEX(cropdata, MATCH(yieldsource,outputs,0), MATCH($K40,cropdatacrops,0)))</f>
        <v>0</v>
      </c>
      <c r="CG40" s="154" t="str">
        <f t="shared" si="152"/>
        <v>estimate</v>
      </c>
      <c r="CH40" s="235">
        <f t="shared" si="153"/>
        <v>0.8</v>
      </c>
      <c r="CI40" s="235">
        <f t="shared" si="154"/>
        <v>0.72</v>
      </c>
      <c r="CJ40" s="154">
        <f t="shared" si="155"/>
        <v>0.46</v>
      </c>
      <c r="CK40" s="154">
        <f t="shared" si="156"/>
        <v>0.36</v>
      </c>
      <c r="CL40" s="154">
        <f t="shared" si="157"/>
        <v>7.34</v>
      </c>
      <c r="CM40" s="154">
        <f t="shared" si="158"/>
        <v>0.36</v>
      </c>
      <c r="CN40" s="154">
        <f t="shared" si="159"/>
        <v>0.36</v>
      </c>
      <c r="CO40" s="154">
        <f t="shared" si="160"/>
        <v>7.34</v>
      </c>
      <c r="CP40" s="154">
        <f t="shared" si="161"/>
        <v>0.36</v>
      </c>
      <c r="CQ40" s="154">
        <f t="shared" si="98"/>
        <v>19.5</v>
      </c>
      <c r="CR40" s="154">
        <f t="shared" si="98"/>
        <v>19.5</v>
      </c>
      <c r="CS40" s="154">
        <f t="shared" si="98"/>
        <v>19.5</v>
      </c>
      <c r="CT40" s="154">
        <f t="shared" si="98"/>
        <v>19.5</v>
      </c>
      <c r="CU40" s="154">
        <f t="shared" si="98"/>
        <v>19.5</v>
      </c>
      <c r="CV40" s="154">
        <f t="shared" si="98"/>
        <v>19.5</v>
      </c>
      <c r="CW40" s="154">
        <f t="shared" si="99"/>
        <v>2.4300000000000002</v>
      </c>
      <c r="CX40" s="154">
        <f t="shared" si="99"/>
        <v>2.4300000000000002</v>
      </c>
      <c r="CY40" s="154">
        <f t="shared" si="99"/>
        <v>2.4300000000000002</v>
      </c>
      <c r="CZ40" s="154">
        <f t="shared" si="99"/>
        <v>2.4300000000000002</v>
      </c>
      <c r="DA40" s="154">
        <f t="shared" si="99"/>
        <v>2.4300000000000002</v>
      </c>
      <c r="DB40" s="154">
        <f t="shared" si="99"/>
        <v>2.4300000000000002</v>
      </c>
      <c r="DC40" s="154">
        <v>102</v>
      </c>
      <c r="DD40" s="154">
        <v>6</v>
      </c>
      <c r="DE40" s="154">
        <v>4</v>
      </c>
      <c r="DF40" s="154">
        <v>1400</v>
      </c>
      <c r="DG40" s="154">
        <v>125</v>
      </c>
      <c r="DH40" s="154">
        <f t="shared" si="162"/>
        <v>0.625</v>
      </c>
      <c r="DI40" s="154">
        <f t="shared" si="163"/>
        <v>10.08</v>
      </c>
    </row>
    <row r="41" spans="1:113" x14ac:dyDescent="0.2">
      <c r="A41" s="335" t="s">
        <v>1680</v>
      </c>
      <c r="B41" s="334" t="s">
        <v>507</v>
      </c>
      <c r="C41" s="334" t="s">
        <v>1621</v>
      </c>
      <c r="D41" s="233" t="str">
        <f>IF(ISNUMBER(SEARCH("heavy",B41))=TRUE,"2.25",
IF(ISNUMBER(SEARCH("medium",B41))=TRUE,"1.50",
IF(ISNUMBER(SEARCH("light",B41))=TRUE,"0.75")))</f>
        <v>1.50</v>
      </c>
      <c r="E41" s="154">
        <v>6</v>
      </c>
      <c r="F41" s="234" t="str" cm="1">
        <f t="array" ref="F41">IF(AND(ISNUMBER(SEARCH("H-Dsty.H-Res",$B41))=TRUE,ISNUMBER(SEARCH("E.",$B41))=TRUE,OR(ISNUMBER(SEARCH("heavy",$B41)),ISNUMBER(SEARCH("MEDIUM",$B41)))=TRUE),INDEX(croprotn_HDHR_E_h,MATCH(RIGHT($F$1,1),rotation_heavy,0)),
IF(AND(ISNUMBER(SEARCH("H-Dsty.H-Res",$B41))=TRUE,ISNUMBER(SEARCH("N.",$B41))=TRUE,OR(ISNUMBER(SEARCH("heavy",$B41)),ISNUMBER(SEARCH("MEDIUM",$B41)))=TRUE),INDEX(croprotn_HDHR_N_h,MATCH(RIGHT($F$1,1),rotation_heavy,0)),
IF(AND(ISNUMBER(SEARCH("H-Dsty.H-Res",$B41))=TRUE,ISNUMBER(SEARCH("C.",$B41))=TRUE,OR(ISNUMBER(SEARCH("heavy",$B41)),ISNUMBER(SEARCH("MEDIUM",$B41)))=TRUE),INDEX(croprotn_HDHR_C_h,MATCH(RIGHT($F$1,1),rotation_heavy,0)),
IF(AND(ISNUMBER(SEARCH("L-Dsty.H-Res",$B41))=TRUE,ISNUMBER(SEARCH("E.",$B41))=TRUE,OR(ISNUMBER(SEARCH("heavy",$B41)),ISNUMBER(SEARCH("MEDIUM",$B41)))=TRUE),INDEX(croprotn_LDHR_E_h,MATCH(RIGHT($F$1,1),rotation_heavy,0)),
IF(AND(ISNUMBER(SEARCH("L-Dsty.H-Res",$B41))=TRUE,ISNUMBER(SEARCH("N.",$B41))=TRUE,OR(ISNUMBER(SEARCH("heavy",$B41)),ISNUMBER(SEARCH("MEDIUM",$B41)))=TRUE),INDEX(croprotn_LDHR_N_h,MATCH(RIGHT($F$1,1),rotation_heavy,0)),
IF(AND(ISNUMBER(SEARCH("L-Dsty.H-Res",$B41))=TRUE,ISNUMBER(SEARCH("C.",$B41))=TRUE,OR(ISNUMBER(SEARCH("heavy",$B41)),ISNUMBER(SEARCH("MEDIUM",$B41)))=TRUE),INDEX(croprotn_LDHR_C_h,MATCH(RIGHT($F$1,1),rotation_heavy,0)),
IF(AND(ISNUMBER(SEARCH("L-Dsty.L-Res",$B41))=TRUE,ISNUMBER(SEARCH("E.",$B41))=TRUE,OR(ISNUMBER(SEARCH("heavy",$B41)),ISNUMBER(SEARCH("MEDIUM",$B41)))=TRUE),INDEX(croprotn_LDLR_E_h,MATCH(RIGHT($F$1,1),rotation_heavy,0)),
IF(AND(ISNUMBER(SEARCH("L-Dsty.L-Res",$B41))=TRUE,ISNUMBER(SEARCH("N.",$B41))=TRUE,OR(ISNUMBER(SEARCH("heavy",$B41)),ISNUMBER(SEARCH("MEDIUM",$B41)))=TRUE),INDEX(croprotn_LDLR_N_h,MATCH(RIGHT($F$1,1),rotation_heavy,0)),
IF(AND(ISNUMBER(SEARCH("L-Dsty.L-Res",$B41))=TRUE,ISNUMBER(SEARCH("C.",$B41))=TRUE,OR(ISNUMBER(SEARCH("heavy",$B41)),ISNUMBER(SEARCH("MEDIUM",$B41)))=TRUE),INDEX(croprotn_LDLR_C_h,MATCH(RIGHT($F$1,1),rotation_heavy,0)),
IF(AND(ISNUMBER(SEARCH("H-Dsty.H-Res",$B41))=TRUE,ISNUMBER(SEARCH("E.",$B41))=TRUE,ISNUMBER(SEARCH("light",$B41))=TRUE),INDEX(croprotn_HDHR_E_l,MATCH(RIGHT($F$1,1),rotation_light,0)),
IF(AND(ISNUMBER(SEARCH("H-Dsty.H-Res",$B41))=TRUE,ISNUMBER(SEARCH("N.",$B41))=TRUE,ISNUMBER(SEARCH("light",$B41))=TRUE),INDEX(croprotn_HDHR_N_l,MATCH(RIGHT($F$1,1),rotation_light,0)),
IF(AND(ISNUMBER(SEARCH("H-Dsty.H-Res",$B41))=TRUE,ISNUMBER(SEARCH("C.",$B41))=TRUE,ISNUMBER(SEARCH("light",$B41))=TRUE),INDEX(croprotn_HDHR_C_l,MATCH(RIGHT($F$1,1),rotation_light,0)),
IF(AND(ISNUMBER(SEARCH("L-Dsty.H-Res",$B41))=TRUE,ISNUMBER(SEARCH("E.",$B41))=TRUE,ISNUMBER(SEARCH("light",$B41))=TRUE),INDEX(croprotn_LDHR_E_l,MATCH(RIGHT($F$1,1),rotation_light,0)),
IF(AND(ISNUMBER(SEARCH("L-Dsty.H-Res",$B41))=TRUE,ISNUMBER(SEARCH("N.",$B41))=TRUE,ISNUMBER(SEARCH("light",$B41))=TRUE),INDEX(croprotn_LDHR_N_l,MATCH(RIGHT($F$1,1),rotation_light,0)),
IF(AND(ISNUMBER(SEARCH("L-Dsty.H-Res",$B41))=TRUE,ISNUMBER(SEARCH("C.",$B41))=TRUE,ISNUMBER(SEARCH("light",$B41))=TRUE),INDEX(croprotn_LDHR_C_l,MATCH(RIGHT($F$1,1),rotation_light,0)),
IF(AND(ISNUMBER(SEARCH("L-Dsty.L-Res",$B41))=TRUE,ISNUMBER(SEARCH("E.",$B41))=TRUE,ISNUMBER(SEARCH("light",$B41))=TRUE),INDEX(croprotn_LDLR_E_l,MATCH(RIGHT($F$1,1),rotation_light,0)),
IF(AND(ISNUMBER(SEARCH("L-Dsty.L-Res",$B41))=TRUE,ISNUMBER(SEARCH("N.",$B41))=TRUE,ISNUMBER(SEARCH("light",$B41))=TRUE),INDEX(croprotn_LDLR_N_l,MATCH(RIGHT($F$1,1),rotation_light,0)),
IF(AND(ISNUMBER(SEARCH("L-Dsty.L-Res",$B41))=TRUE,ISNUMBER(SEARCH("C.",$B41))=TRUE,ISNUMBER(SEARCH("light",$B41))=TRUE),INDEX(croprotn_LDLR_C_l,MATCH(RIGHT($F$1,1),rotation_light,0))
))))))))))))))))))</f>
        <v>winterwheat</v>
      </c>
      <c r="G41" s="234" t="str">
        <f t="shared" si="84"/>
        <v>wosr</v>
      </c>
      <c r="H41" s="234" t="str">
        <f t="shared" si="100"/>
        <v>winterwheat</v>
      </c>
      <c r="I41" s="234" t="str">
        <f t="shared" si="101"/>
        <v>winterwheat</v>
      </c>
      <c r="J41" s="234" t="str">
        <f t="shared" si="102"/>
        <v>wosr</v>
      </c>
      <c r="K41" s="234" t="str">
        <f t="shared" si="103"/>
        <v>winterwheat</v>
      </c>
      <c r="L41" s="154" t="str">
        <f t="shared" si="104"/>
        <v>minimumtillage</v>
      </c>
      <c r="M41" s="154" t="str">
        <f t="shared" si="105"/>
        <v>subsoiling</v>
      </c>
      <c r="N41" s="154" t="str">
        <f t="shared" si="106"/>
        <v>minimumtillage</v>
      </c>
      <c r="O41" s="154" t="str">
        <f t="shared" si="164"/>
        <v>minimumtillage</v>
      </c>
      <c r="P41" s="154" t="str">
        <f t="shared" si="165"/>
        <v>subsoiling</v>
      </c>
      <c r="Q41" s="154" t="str">
        <f t="shared" si="95"/>
        <v>minimumtillage</v>
      </c>
      <c r="R41" s="234">
        <f t="shared" si="86"/>
        <v>200</v>
      </c>
      <c r="S41" s="234">
        <f t="shared" si="107"/>
        <v>3.2</v>
      </c>
      <c r="T41" s="234">
        <f t="shared" si="108"/>
        <v>200</v>
      </c>
      <c r="U41" s="234">
        <f t="shared" si="87"/>
        <v>200</v>
      </c>
      <c r="V41" s="234">
        <f t="shared" si="109"/>
        <v>3.2</v>
      </c>
      <c r="W41" s="234">
        <f t="shared" si="110"/>
        <v>200</v>
      </c>
      <c r="X41" s="154" t="str">
        <f t="shared" si="111"/>
        <v>late</v>
      </c>
      <c r="Y41" s="154" t="str">
        <f t="shared" si="112"/>
        <v>no</v>
      </c>
      <c r="Z41" s="154" t="str">
        <f t="shared" si="113"/>
        <v>late</v>
      </c>
      <c r="AA41" s="154" t="str">
        <f t="shared" si="114"/>
        <v>late</v>
      </c>
      <c r="AB41" s="154" t="str">
        <f t="shared" si="115"/>
        <v>no</v>
      </c>
      <c r="AC41" s="154" t="str">
        <f t="shared" si="116"/>
        <v>late</v>
      </c>
      <c r="AD41" s="234">
        <f>IF(AND(ISNUMBER(SEARCH("H-Dsty.H-Res",$B41))=TRUE,ISNUMBER(SEARCH("E.",$B41))=TRUE),INDEX(fertrate_HDHR_E,MATCH($F41,fertrate_CROPS,0)),
IF(AND(ISNUMBER(SEARCH("H-Dsty.H-Res",$B41))=TRUE,ISNUMBER(SEARCH("N.",$B41))=TRUE),INDEX(fertrate_HDHR_N,MATCH($F41,fertrate_CROPS,0)),
IF(AND(ISNUMBER(SEARCH("H-Dsty.H-Res",$B41))=TRUE,ISNUMBER(SEARCH("C.",$B41))=TRUE),INDEX(fertrate_HDHR_C,MATCH($F41,fertrate_CROPS,0)),
IF(AND(ISNUMBER(SEARCH("L-Dsty.H-Res",$B41))=TRUE,ISNUMBER(SEARCH("E.",$B41))=TRUE),INDEX(fertrate_LDHR_E,MATCH($F41,fertrate_CROPS,0)),
IF(AND(ISNUMBER(SEARCH("L-Dsty.H-Res",$B41))=TRUE,ISNUMBER(SEARCH("N.",$B41))=TRUE),INDEX(fertrate_LDHR_N,MATCH($F41,fertrate_CROPS,0)),
IF(AND(ISNUMBER(SEARCH("L-Dsty.H-Res",$B41))=TRUE,ISNUMBER(SEARCH("C.",$B41))=TRUE),INDEX(fertrate_LDHR_C,MATCH($F41,fertrate_CROPS,0)),
IF(AND(ISNUMBER(SEARCH("L-Dsty.L-Res",$B41))=TRUE,ISNUMBER(SEARCH("E.",$B41))=TRUE),INDEX(fertrate_LDLR_E,MATCH($F41,fertrate_CROPS,0)),
IF(AND(ISNUMBER(SEARCH("L-Dsty.L-Res",$B41))=TRUE,ISNUMBER(SEARCH("N.",$B41))=TRUE),INDEX(fertrate_LDLR_N,MATCH($F41,fertrate_CROPS,0)),
IF(AND(ISNUMBER(SEARCH("L-Dsty.L-Res",$B41))=TRUE,ISNUMBER(SEARCH("C.",$B41))=TRUE),INDEX(fertrate_LDLR_C,MATCH($F41,fertrate_CROPS,0))
)))))))))</f>
        <v>220</v>
      </c>
      <c r="AE41" s="234">
        <f t="shared" si="85"/>
        <v>180</v>
      </c>
      <c r="AF41" s="234">
        <f t="shared" si="96"/>
        <v>220</v>
      </c>
      <c r="AG41" s="234">
        <f>IF(AND(ISNUMBER(SEARCH("H-Dsty.",$B41))=TRUE,ISNUMBER(SEARCH("H-Res",$B41))=TRUE,ISNUMBER(SEARCH("E.",$B41))=TRUE),INDEX(fertrate_HDHR_E,MATCH($I41,fertrate_CROPS,0)),
IF(AND(ISNUMBER(SEARCH("H-Dsty.",$B41))=TRUE,ISNUMBER(SEARCH("H-Res",$B41))=TRUE,ISNUMBER(SEARCH("N.",$B41))=TRUE),INDEX(fertrate_HDHR_N,MATCH($I41,fertrate_CROPS,0)),
IF(AND(ISNUMBER(SEARCH("H-Dsty.",$B41))=TRUE,ISNUMBER(SEARCH("H-Res",$B41))=TRUE,ISNUMBER(SEARCH("C.",$B41))=TRUE),INDEX(fertrate_HDHR_C,MATCH($I41,fertrate_CROPS,0)),
IF(AND(ISNUMBER(SEARCH("L-Dsty.",$B41))=TRUE,ISNUMBER(SEARCH("H-Res",$B41))=TRUE,ISNUMBER(SEARCH("E.",$B41))=TRUE),INDEX(fertrate_LDHR_E,MATCH($I41,fertrate_CROPS,0)),
IF(AND(ISNUMBER(SEARCH("L-Dsty.",$B41))=TRUE,ISNUMBER(SEARCH("H-Res",$B41))=TRUE,ISNUMBER(SEARCH("N.",$B41))=TRUE),INDEX(fertrate_LDHR_N,MATCH($I41,fertrate_CROPS,0)),
IF(AND(ISNUMBER(SEARCH("L-Dsty.",$B41))=TRUE,ISNUMBER(SEARCH("H-Res",$B41))=TRUE,ISNUMBER(SEARCH("C.",$B41))=TRUE),INDEX(fertrate_LDHR_C,MATCH($I41,fertrate_CROPS,0)),
IF(AND(ISNUMBER(SEARCH("L-Dsty.",$B41))=TRUE,ISNUMBER(SEARCH("L-Res",$B41))=TRUE,ISNUMBER(SEARCH("E.",$B41))=TRUE),INDEX(fertrate_LDLR_E,MATCH($I41,fertrate_CROPS,0)),
IF(AND(ISNUMBER(SEARCH("L-Dsty.",$B41))=TRUE,ISNUMBER(SEARCH("L-Res",$B41))=TRUE,ISNUMBER(SEARCH("N.",$B41))=TRUE),INDEX(fertrate_LDLR_N,MATCH($I41,fertrate_CROPS,0)),
IF(AND(ISNUMBER(SEARCH("L-Dsty.",$B41))=TRUE,ISNUMBER(SEARCH("L-Res",$B41))=TRUE,ISNUMBER(SEARCH("C.",$B41))=TRUE),INDEX(fertrate_LDLR_C,MATCH($I41,fertrate_CROPS,0))
)))))))))</f>
        <v>220</v>
      </c>
      <c r="AH41" s="234">
        <f t="shared" si="80"/>
        <v>180</v>
      </c>
      <c r="AI41" s="234">
        <f t="shared" si="97"/>
        <v>220</v>
      </c>
      <c r="AJ41" s="154">
        <f t="shared" si="117"/>
        <v>67</v>
      </c>
      <c r="AK41" s="154">
        <f t="shared" si="118"/>
        <v>49</v>
      </c>
      <c r="AL41" s="154">
        <f t="shared" si="119"/>
        <v>67</v>
      </c>
      <c r="AM41" s="154">
        <f t="shared" si="120"/>
        <v>67</v>
      </c>
      <c r="AN41" s="154">
        <f t="shared" si="121"/>
        <v>49</v>
      </c>
      <c r="AO41" s="154">
        <f t="shared" si="122"/>
        <v>67</v>
      </c>
      <c r="AP41" s="154">
        <f t="shared" si="123"/>
        <v>48</v>
      </c>
      <c r="AQ41" s="154">
        <f t="shared" si="124"/>
        <v>39</v>
      </c>
      <c r="AR41" s="154">
        <f t="shared" si="125"/>
        <v>48</v>
      </c>
      <c r="AS41" s="154">
        <f t="shared" si="126"/>
        <v>48</v>
      </c>
      <c r="AT41" s="154">
        <f t="shared" si="127"/>
        <v>39</v>
      </c>
      <c r="AU41" s="154">
        <f t="shared" si="128"/>
        <v>48</v>
      </c>
      <c r="AV41" s="234">
        <f t="shared" si="89"/>
        <v>5</v>
      </c>
      <c r="AW41" s="234">
        <f t="shared" si="129"/>
        <v>0</v>
      </c>
      <c r="AX41" s="234">
        <f t="shared" si="130"/>
        <v>5</v>
      </c>
      <c r="AY41" s="234">
        <f t="shared" si="90"/>
        <v>5</v>
      </c>
      <c r="AZ41" s="234">
        <f t="shared" si="131"/>
        <v>0</v>
      </c>
      <c r="BA41" s="234">
        <f t="shared" si="132"/>
        <v>5</v>
      </c>
      <c r="BB41" s="234">
        <f t="shared" si="133"/>
        <v>4</v>
      </c>
      <c r="BC41" s="234">
        <f t="shared" si="134"/>
        <v>0</v>
      </c>
      <c r="BD41" s="234">
        <f t="shared" si="135"/>
        <v>4</v>
      </c>
      <c r="BE41" s="234">
        <f t="shared" si="91"/>
        <v>4</v>
      </c>
      <c r="BF41" s="234">
        <f t="shared" si="136"/>
        <v>0</v>
      </c>
      <c r="BG41" s="234">
        <f t="shared" si="137"/>
        <v>4</v>
      </c>
      <c r="BH41" s="234">
        <f t="shared" si="138"/>
        <v>4</v>
      </c>
      <c r="BI41" s="234">
        <f t="shared" si="139"/>
        <v>0</v>
      </c>
      <c r="BJ41" s="234">
        <f t="shared" si="140"/>
        <v>4</v>
      </c>
      <c r="BK41" s="234">
        <f t="shared" si="92"/>
        <v>4</v>
      </c>
      <c r="BL41" s="234">
        <f t="shared" si="141"/>
        <v>0</v>
      </c>
      <c r="BM41" s="234">
        <f t="shared" si="142"/>
        <v>4</v>
      </c>
      <c r="BN41" s="154" t="s">
        <v>483</v>
      </c>
      <c r="BO41" s="154" t="str">
        <f t="shared" si="143"/>
        <v>medium</v>
      </c>
      <c r="BP41" s="154" t="str">
        <f t="shared" si="144"/>
        <v>low</v>
      </c>
      <c r="BQ41" s="154" t="str">
        <f t="shared" si="145"/>
        <v>low</v>
      </c>
      <c r="BR41" s="154" t="s">
        <v>18</v>
      </c>
      <c r="BS41" s="154" t="s">
        <v>18</v>
      </c>
      <c r="BT41" s="154" t="s">
        <v>18</v>
      </c>
      <c r="BU41" s="154">
        <f t="shared" si="146"/>
        <v>150</v>
      </c>
      <c r="BV41" s="154">
        <f t="shared" si="147"/>
        <v>335</v>
      </c>
      <c r="BW41" s="154">
        <f t="shared" si="148"/>
        <v>150</v>
      </c>
      <c r="BX41" s="154">
        <f t="shared" si="149"/>
        <v>150</v>
      </c>
      <c r="BY41" s="154">
        <f t="shared" si="150"/>
        <v>335</v>
      </c>
      <c r="BZ41" s="154">
        <f t="shared" si="151"/>
        <v>150</v>
      </c>
      <c r="CA41" s="356">
        <f t="array" ref="CA41">IF(yieldsetting1="estimate",0,INDEX(cropdata, MATCH(yieldsource,outputs,0), MATCH($F41,cropdatacrops,0)))</f>
        <v>0</v>
      </c>
      <c r="CB41" s="356">
        <f t="array" ref="CB41">IF(yieldsetting1="estimate",0,INDEX(cropdata, MATCH(yieldsource,outputs,0), MATCH($G41,cropdatacrops,0)))</f>
        <v>0</v>
      </c>
      <c r="CC41" s="356">
        <f t="array" ref="CC41">IF(yieldsetting1="estimate",0,INDEX(cropdata, MATCH(yieldsource,outputs,0), MATCH($H41,cropdatacrops,0)))</f>
        <v>0</v>
      </c>
      <c r="CD41" s="356">
        <f t="array" ref="CD41">IF(yieldsetting1="estimate",0,INDEX(cropdata, MATCH(yieldsource,outputs,0), MATCH($I41,cropdatacrops,0)))</f>
        <v>0</v>
      </c>
      <c r="CE41" s="356">
        <f t="array" ref="CE41">IF(yieldsetting1="estimate",0,INDEX(cropdata, MATCH(yieldsource,outputs,0), MATCH($J41,cropdatacrops,0)))</f>
        <v>0</v>
      </c>
      <c r="CF41" s="356">
        <f t="array" ref="CF41">IF(yieldsetting1="estimate",0,INDEX(cropdata, MATCH(yieldsource,outputs,0), MATCH($K41,cropdatacrops,0)))</f>
        <v>0</v>
      </c>
      <c r="CG41" s="154" t="str">
        <f t="shared" si="152"/>
        <v>estimate</v>
      </c>
      <c r="CH41" s="235">
        <f t="shared" si="153"/>
        <v>0.8</v>
      </c>
      <c r="CI41" s="235">
        <f t="shared" si="154"/>
        <v>0.72</v>
      </c>
      <c r="CJ41" s="154">
        <f t="shared" si="155"/>
        <v>0.46</v>
      </c>
      <c r="CK41" s="154">
        <f t="shared" si="156"/>
        <v>0.36</v>
      </c>
      <c r="CL41" s="154">
        <f t="shared" si="157"/>
        <v>7.34</v>
      </c>
      <c r="CM41" s="154">
        <f t="shared" si="158"/>
        <v>0.36</v>
      </c>
      <c r="CN41" s="154">
        <f t="shared" si="159"/>
        <v>0.36</v>
      </c>
      <c r="CO41" s="154">
        <f t="shared" si="160"/>
        <v>7.34</v>
      </c>
      <c r="CP41" s="154">
        <f t="shared" si="161"/>
        <v>0.36</v>
      </c>
      <c r="CQ41" s="154">
        <f t="shared" si="98"/>
        <v>19.5</v>
      </c>
      <c r="CR41" s="154">
        <f t="shared" si="98"/>
        <v>19.5</v>
      </c>
      <c r="CS41" s="154">
        <f t="shared" si="98"/>
        <v>19.5</v>
      </c>
      <c r="CT41" s="154">
        <f t="shared" si="98"/>
        <v>19.5</v>
      </c>
      <c r="CU41" s="154">
        <f t="shared" si="98"/>
        <v>19.5</v>
      </c>
      <c r="CV41" s="154">
        <f t="shared" si="98"/>
        <v>19.5</v>
      </c>
      <c r="CW41" s="154">
        <f t="shared" si="99"/>
        <v>2.4300000000000002</v>
      </c>
      <c r="CX41" s="154">
        <f t="shared" si="99"/>
        <v>2.4300000000000002</v>
      </c>
      <c r="CY41" s="154">
        <f t="shared" si="99"/>
        <v>2.4300000000000002</v>
      </c>
      <c r="CZ41" s="154">
        <f t="shared" si="99"/>
        <v>2.4300000000000002</v>
      </c>
      <c r="DA41" s="154">
        <f t="shared" si="99"/>
        <v>2.4300000000000002</v>
      </c>
      <c r="DB41" s="154">
        <f t="shared" si="99"/>
        <v>2.4300000000000002</v>
      </c>
      <c r="DC41" s="154">
        <v>102</v>
      </c>
      <c r="DD41" s="154">
        <v>6</v>
      </c>
      <c r="DE41" s="154">
        <v>4</v>
      </c>
      <c r="DF41" s="154">
        <v>1400</v>
      </c>
      <c r="DG41" s="154">
        <v>125</v>
      </c>
      <c r="DH41" s="154">
        <f t="shared" si="162"/>
        <v>0.625</v>
      </c>
      <c r="DI41" s="154">
        <f t="shared" si="163"/>
        <v>10.08</v>
      </c>
    </row>
    <row r="42" spans="1:113" x14ac:dyDescent="0.2">
      <c r="A42" s="335" t="s">
        <v>1688</v>
      </c>
      <c r="B42" s="334" t="s">
        <v>510</v>
      </c>
      <c r="C42" s="334" t="s">
        <v>1630</v>
      </c>
      <c r="D42" s="233" t="str">
        <f>IF(ISNUMBER(SEARCH("heavy",B42))=TRUE,"2.25",
IF(ISNUMBER(SEARCH("medium",B42))=TRUE,"1.5",
IF(ISNUMBER(SEARCH("light",B42))=TRUE,"0.75")))</f>
        <v>0.75</v>
      </c>
      <c r="E42" s="154">
        <v>6</v>
      </c>
      <c r="F42" s="234" t="str" cm="1">
        <f t="array" ref="F42">IF(AND(ISNUMBER(SEARCH("H-Dsty.H-Res",$B42))=TRUE,ISNUMBER(SEARCH("E.",$B42))=TRUE,OR(ISNUMBER(SEARCH("heavy",$B42)),ISNUMBER(SEARCH("MEDIUM",$B42)))=TRUE),INDEX(croprotn_HDHR_E_h,MATCH(RIGHT($F$1,1),rotation_heavy,0)),
IF(AND(ISNUMBER(SEARCH("H-Dsty.H-Res",$B42))=TRUE,ISNUMBER(SEARCH("N.",$B42))=TRUE,OR(ISNUMBER(SEARCH("heavy",$B42)),ISNUMBER(SEARCH("MEDIUM",$B42)))=TRUE),INDEX(croprotn_HDHR_N_h,MATCH(RIGHT($F$1,1),rotation_heavy,0)),
IF(AND(ISNUMBER(SEARCH("H-Dsty.H-Res",$B42))=TRUE,ISNUMBER(SEARCH("C.",$B42))=TRUE,OR(ISNUMBER(SEARCH("heavy",$B42)),ISNUMBER(SEARCH("MEDIUM",$B42)))=TRUE),INDEX(croprotn_HDHR_C_h,MATCH(RIGHT($F$1,1),rotation_heavy,0)),
IF(AND(ISNUMBER(SEARCH("L-Dsty.H-Res",$B42))=TRUE,ISNUMBER(SEARCH("E.",$B42))=TRUE,OR(ISNUMBER(SEARCH("heavy",$B42)),ISNUMBER(SEARCH("MEDIUM",$B42)))=TRUE),INDEX(croprotn_LDHR_E_h,MATCH(RIGHT($F$1,1),rotation_heavy,0)),
IF(AND(ISNUMBER(SEARCH("L-Dsty.H-Res",$B42))=TRUE,ISNUMBER(SEARCH("N.",$B42))=TRUE,OR(ISNUMBER(SEARCH("heavy",$B42)),ISNUMBER(SEARCH("MEDIUM",$B42)))=TRUE),INDEX(croprotn_LDHR_N_h,MATCH(RIGHT($F$1,1),rotation_heavy,0)),
IF(AND(ISNUMBER(SEARCH("L-Dsty.H-Res",$B42))=TRUE,ISNUMBER(SEARCH("C.",$B42))=TRUE,OR(ISNUMBER(SEARCH("heavy",$B42)),ISNUMBER(SEARCH("MEDIUM",$B42)))=TRUE),INDEX(croprotn_LDHR_C_h,MATCH(RIGHT($F$1,1),rotation_heavy,0)),
IF(AND(ISNUMBER(SEARCH("L-Dsty.L-Res",$B42))=TRUE,ISNUMBER(SEARCH("E.",$B42))=TRUE,OR(ISNUMBER(SEARCH("heavy",$B42)),ISNUMBER(SEARCH("MEDIUM",$B42)))=TRUE),INDEX(croprotn_LDLR_E_h,MATCH(RIGHT($F$1,1),rotation_heavy,0)),
IF(AND(ISNUMBER(SEARCH("L-Dsty.L-Res",$B42))=TRUE,ISNUMBER(SEARCH("N.",$B42))=TRUE,OR(ISNUMBER(SEARCH("heavy",$B42)),ISNUMBER(SEARCH("MEDIUM",$B42)))=TRUE),INDEX(croprotn_LDLR_N_h,MATCH(RIGHT($F$1,1),rotation_heavy,0)),
IF(AND(ISNUMBER(SEARCH("L-Dsty.L-Res",$B42))=TRUE,ISNUMBER(SEARCH("C.",$B42))=TRUE,OR(ISNUMBER(SEARCH("heavy",$B42)),ISNUMBER(SEARCH("MEDIUM",$B42)))=TRUE),INDEX(croprotn_LDLR_C_h,MATCH(RIGHT($F$1,1),rotation_heavy,0)),
IF(AND(ISNUMBER(SEARCH("H-Dsty.H-Res",$B42))=TRUE,ISNUMBER(SEARCH("E.",$B42))=TRUE,ISNUMBER(SEARCH("light",$B42))=TRUE),INDEX(croprotn_HDHR_E_l,MATCH(RIGHT($F$1,1),rotation_light,0)),
IF(AND(ISNUMBER(SEARCH("H-Dsty.H-Res",$B42))=TRUE,ISNUMBER(SEARCH("N.",$B42))=TRUE,ISNUMBER(SEARCH("light",$B42))=TRUE),INDEX(croprotn_HDHR_N_l,MATCH(RIGHT($F$1,1),rotation_light,0)),
IF(AND(ISNUMBER(SEARCH("H-Dsty.H-Res",$B42))=TRUE,ISNUMBER(SEARCH("C.",$B42))=TRUE,ISNUMBER(SEARCH("light",$B42))=TRUE),INDEX(croprotn_HDHR_C_l,MATCH(RIGHT($F$1,1),rotation_light,0)),
IF(AND(ISNUMBER(SEARCH("L-Dsty.H-Res",$B42))=TRUE,ISNUMBER(SEARCH("E.",$B42))=TRUE,ISNUMBER(SEARCH("light",$B42))=TRUE),INDEX(croprotn_LDHR_E_l,MATCH(RIGHT($F$1,1),rotation_light,0)),
IF(AND(ISNUMBER(SEARCH("L-Dsty.H-Res",$B42))=TRUE,ISNUMBER(SEARCH("N.",$B42))=TRUE,ISNUMBER(SEARCH("light",$B42))=TRUE),INDEX(croprotn_LDHR_N_l,MATCH(RIGHT($F$1,1),rotation_light,0)),
IF(AND(ISNUMBER(SEARCH("L-Dsty.H-Res",$B42))=TRUE,ISNUMBER(SEARCH("C.",$B42))=TRUE,ISNUMBER(SEARCH("light",$B42))=TRUE),INDEX(croprotn_LDHR_C_l,MATCH(RIGHT($F$1,1),rotation_light,0)),
IF(AND(ISNUMBER(SEARCH("L-Dsty.L-Res",$B42))=TRUE,ISNUMBER(SEARCH("E.",$B42))=TRUE,ISNUMBER(SEARCH("light",$B42))=TRUE),INDEX(croprotn_LDLR_E_l,MATCH(RIGHT($F$1,1),rotation_light,0)),
IF(AND(ISNUMBER(SEARCH("L-Dsty.L-Res",$B42))=TRUE,ISNUMBER(SEARCH("N.",$B42))=TRUE,ISNUMBER(SEARCH("light",$B42))=TRUE),INDEX(croprotn_LDLR_N_l,MATCH(RIGHT($F$1,1),rotation_light,0)),
IF(AND(ISNUMBER(SEARCH("L-Dsty.L-Res",$B42))=TRUE,ISNUMBER(SEARCH("C.",$B42))=TRUE,ISNUMBER(SEARCH("light",$B42))=TRUE),INDEX(croprotn_LDLR_C_l,MATCH(RIGHT($F$1,1),rotation_light,0))
))))))))))))))))))</f>
        <v>winterwheat</v>
      </c>
      <c r="G42" s="234" t="str">
        <f t="shared" si="84"/>
        <v>wosr</v>
      </c>
      <c r="H42" s="234" t="str">
        <f t="shared" si="100"/>
        <v>winterwheat</v>
      </c>
      <c r="I42" s="234" t="str">
        <f t="shared" si="101"/>
        <v>winterwheat</v>
      </c>
      <c r="J42" s="234" t="str">
        <f t="shared" si="102"/>
        <v>wosr</v>
      </c>
      <c r="K42" s="234" t="str">
        <f t="shared" si="103"/>
        <v>winterwheat</v>
      </c>
      <c r="L42" s="154" t="str">
        <f t="shared" si="104"/>
        <v>minimumtillage</v>
      </c>
      <c r="M42" s="154" t="str">
        <f t="shared" si="105"/>
        <v>subsoiling</v>
      </c>
      <c r="N42" s="154" t="str">
        <f t="shared" si="106"/>
        <v>minimumtillage</v>
      </c>
      <c r="O42" s="154" t="str">
        <f t="shared" si="164"/>
        <v>minimumtillage</v>
      </c>
      <c r="P42" s="154" t="str">
        <f t="shared" si="165"/>
        <v>subsoiling</v>
      </c>
      <c r="Q42" s="154" t="str">
        <f t="shared" si="95"/>
        <v>minimumtillage</v>
      </c>
      <c r="R42" s="234">
        <f t="shared" si="86"/>
        <v>200</v>
      </c>
      <c r="S42" s="234">
        <f t="shared" si="107"/>
        <v>3.2</v>
      </c>
      <c r="T42" s="234">
        <f t="shared" si="108"/>
        <v>200</v>
      </c>
      <c r="U42" s="234">
        <f t="shared" si="87"/>
        <v>200</v>
      </c>
      <c r="V42" s="234">
        <f t="shared" si="109"/>
        <v>3.2</v>
      </c>
      <c r="W42" s="234">
        <f t="shared" si="110"/>
        <v>200</v>
      </c>
      <c r="X42" s="154" t="str">
        <f t="shared" si="111"/>
        <v>late</v>
      </c>
      <c r="Y42" s="154" t="str">
        <f t="shared" si="112"/>
        <v>no</v>
      </c>
      <c r="Z42" s="154" t="str">
        <f t="shared" si="113"/>
        <v>late</v>
      </c>
      <c r="AA42" s="154" t="str">
        <f t="shared" si="114"/>
        <v>late</v>
      </c>
      <c r="AB42" s="154" t="str">
        <f t="shared" si="115"/>
        <v>no</v>
      </c>
      <c r="AC42" s="154" t="str">
        <f t="shared" si="116"/>
        <v>late</v>
      </c>
      <c r="AD42" s="345">
        <v>150</v>
      </c>
      <c r="AE42" s="234">
        <f t="shared" si="85"/>
        <v>180</v>
      </c>
      <c r="AF42" s="345">
        <v>150</v>
      </c>
      <c r="AG42" s="345">
        <v>150</v>
      </c>
      <c r="AH42" s="234">
        <f t="shared" si="80"/>
        <v>180</v>
      </c>
      <c r="AI42" s="345">
        <v>150</v>
      </c>
      <c r="AJ42" s="154">
        <f t="shared" si="117"/>
        <v>67</v>
      </c>
      <c r="AK42" s="154">
        <f t="shared" si="118"/>
        <v>49</v>
      </c>
      <c r="AL42" s="154">
        <f t="shared" si="119"/>
        <v>67</v>
      </c>
      <c r="AM42" s="154">
        <f t="shared" si="120"/>
        <v>67</v>
      </c>
      <c r="AN42" s="154">
        <f t="shared" si="121"/>
        <v>49</v>
      </c>
      <c r="AO42" s="154">
        <f t="shared" si="122"/>
        <v>67</v>
      </c>
      <c r="AP42" s="154">
        <f t="shared" si="123"/>
        <v>48</v>
      </c>
      <c r="AQ42" s="154">
        <f t="shared" si="124"/>
        <v>39</v>
      </c>
      <c r="AR42" s="154">
        <f t="shared" si="125"/>
        <v>48</v>
      </c>
      <c r="AS42" s="154">
        <f t="shared" si="126"/>
        <v>48</v>
      </c>
      <c r="AT42" s="154">
        <f t="shared" si="127"/>
        <v>39</v>
      </c>
      <c r="AU42" s="154">
        <f t="shared" si="128"/>
        <v>48</v>
      </c>
      <c r="AV42" s="234">
        <f t="shared" si="89"/>
        <v>5</v>
      </c>
      <c r="AW42" s="234">
        <f t="shared" si="129"/>
        <v>0</v>
      </c>
      <c r="AX42" s="234">
        <f t="shared" si="130"/>
        <v>5</v>
      </c>
      <c r="AY42" s="234">
        <f t="shared" si="90"/>
        <v>5</v>
      </c>
      <c r="AZ42" s="234">
        <f t="shared" si="131"/>
        <v>0</v>
      </c>
      <c r="BA42" s="234">
        <f t="shared" si="132"/>
        <v>5</v>
      </c>
      <c r="BB42" s="234">
        <f t="shared" si="133"/>
        <v>4</v>
      </c>
      <c r="BC42" s="234">
        <f t="shared" si="134"/>
        <v>0</v>
      </c>
      <c r="BD42" s="234">
        <f t="shared" si="135"/>
        <v>4</v>
      </c>
      <c r="BE42" s="234">
        <f t="shared" si="91"/>
        <v>4</v>
      </c>
      <c r="BF42" s="234">
        <f t="shared" si="136"/>
        <v>0</v>
      </c>
      <c r="BG42" s="234">
        <f t="shared" si="137"/>
        <v>4</v>
      </c>
      <c r="BH42" s="234">
        <f t="shared" si="138"/>
        <v>4</v>
      </c>
      <c r="BI42" s="234">
        <f t="shared" si="139"/>
        <v>0</v>
      </c>
      <c r="BJ42" s="234">
        <f t="shared" si="140"/>
        <v>4</v>
      </c>
      <c r="BK42" s="234">
        <f t="shared" si="92"/>
        <v>4</v>
      </c>
      <c r="BL42" s="234">
        <f t="shared" si="141"/>
        <v>0</v>
      </c>
      <c r="BM42" s="234">
        <f t="shared" si="142"/>
        <v>4</v>
      </c>
      <c r="BN42" s="154" t="s">
        <v>483</v>
      </c>
      <c r="BO42" s="154" t="str">
        <f t="shared" si="143"/>
        <v>low</v>
      </c>
      <c r="BP42" s="154" t="str">
        <f t="shared" si="144"/>
        <v>low</v>
      </c>
      <c r="BQ42" s="154" t="str">
        <f t="shared" si="145"/>
        <v>low</v>
      </c>
      <c r="BR42" s="154" t="s">
        <v>182</v>
      </c>
      <c r="BS42" s="154" t="s">
        <v>182</v>
      </c>
      <c r="BT42" s="154" t="s">
        <v>182</v>
      </c>
      <c r="BU42" s="154">
        <f t="shared" si="146"/>
        <v>150</v>
      </c>
      <c r="BV42" s="154">
        <f t="shared" si="147"/>
        <v>335</v>
      </c>
      <c r="BW42" s="154">
        <f t="shared" si="148"/>
        <v>150</v>
      </c>
      <c r="BX42" s="154">
        <f t="shared" si="149"/>
        <v>150</v>
      </c>
      <c r="BY42" s="154">
        <f t="shared" si="150"/>
        <v>335</v>
      </c>
      <c r="BZ42" s="154">
        <f t="shared" si="151"/>
        <v>150</v>
      </c>
      <c r="CA42" s="356">
        <f t="array" ref="CA42">IF(yieldsetting1="estimate",0,INDEX(cropdata, MATCH(yieldsource,outputs,0), MATCH($F42,cropdatacrops,0)))</f>
        <v>0</v>
      </c>
      <c r="CB42" s="356">
        <f t="array" ref="CB42">IF(yieldsetting1="estimate",0,INDEX(cropdata, MATCH(yieldsource,outputs,0), MATCH($G42,cropdatacrops,0)))</f>
        <v>0</v>
      </c>
      <c r="CC42" s="356">
        <f t="array" ref="CC42">IF(yieldsetting1="estimate",0,INDEX(cropdata, MATCH(yieldsource,outputs,0), MATCH($H42,cropdatacrops,0)))</f>
        <v>0</v>
      </c>
      <c r="CD42" s="356">
        <f t="array" ref="CD42">IF(yieldsetting1="estimate",0,INDEX(cropdata, MATCH(yieldsource,outputs,0), MATCH($I42,cropdatacrops,0)))</f>
        <v>0</v>
      </c>
      <c r="CE42" s="356">
        <f t="array" ref="CE42">IF(yieldsetting1="estimate",0,INDEX(cropdata, MATCH(yieldsource,outputs,0), MATCH($J42,cropdatacrops,0)))</f>
        <v>0</v>
      </c>
      <c r="CF42" s="356">
        <f t="array" ref="CF42">IF(yieldsetting1="estimate",0,INDEX(cropdata, MATCH(yieldsource,outputs,0), MATCH($K42,cropdatacrops,0)))</f>
        <v>0</v>
      </c>
      <c r="CG42" s="154" t="str">
        <f t="shared" si="152"/>
        <v>estimate</v>
      </c>
      <c r="CH42" s="235">
        <f t="shared" si="153"/>
        <v>0.8</v>
      </c>
      <c r="CI42" s="235">
        <f t="shared" si="154"/>
        <v>0.72</v>
      </c>
      <c r="CJ42" s="154">
        <f t="shared" si="155"/>
        <v>0.46</v>
      </c>
      <c r="CK42" s="154">
        <f t="shared" si="156"/>
        <v>0.36</v>
      </c>
      <c r="CL42" s="154">
        <f t="shared" si="157"/>
        <v>7.34</v>
      </c>
      <c r="CM42" s="154">
        <f t="shared" si="158"/>
        <v>0.36</v>
      </c>
      <c r="CN42" s="154">
        <f t="shared" si="159"/>
        <v>0.36</v>
      </c>
      <c r="CO42" s="154">
        <f t="shared" si="160"/>
        <v>7.34</v>
      </c>
      <c r="CP42" s="154">
        <f t="shared" si="161"/>
        <v>0.36</v>
      </c>
      <c r="CQ42" s="154">
        <f t="shared" ref="CQ42:CV55" si="166">herbprice</f>
        <v>19.5</v>
      </c>
      <c r="CR42" s="154">
        <f t="shared" si="166"/>
        <v>19.5</v>
      </c>
      <c r="CS42" s="154">
        <f t="shared" si="166"/>
        <v>19.5</v>
      </c>
      <c r="CT42" s="154">
        <f t="shared" si="166"/>
        <v>19.5</v>
      </c>
      <c r="CU42" s="154">
        <f t="shared" si="166"/>
        <v>19.5</v>
      </c>
      <c r="CV42" s="154">
        <f t="shared" si="166"/>
        <v>19.5</v>
      </c>
      <c r="CW42" s="154">
        <f t="shared" ref="CW42:DB55" si="167">glyprice</f>
        <v>2.4300000000000002</v>
      </c>
      <c r="CX42" s="154">
        <f t="shared" si="167"/>
        <v>2.4300000000000002</v>
      </c>
      <c r="CY42" s="154">
        <f t="shared" si="167"/>
        <v>2.4300000000000002</v>
      </c>
      <c r="CZ42" s="154">
        <f t="shared" si="167"/>
        <v>2.4300000000000002</v>
      </c>
      <c r="DA42" s="154">
        <f t="shared" si="167"/>
        <v>2.4300000000000002</v>
      </c>
      <c r="DB42" s="154">
        <f t="shared" si="167"/>
        <v>2.4300000000000002</v>
      </c>
      <c r="DC42" s="154">
        <v>102</v>
      </c>
      <c r="DD42" s="154">
        <v>6</v>
      </c>
      <c r="DE42" s="154">
        <v>4</v>
      </c>
      <c r="DF42" s="154">
        <v>1400</v>
      </c>
      <c r="DG42" s="154">
        <v>125</v>
      </c>
      <c r="DH42" s="154">
        <f t="shared" si="162"/>
        <v>0.625</v>
      </c>
      <c r="DI42" s="154">
        <f t="shared" si="163"/>
        <v>10.08</v>
      </c>
    </row>
    <row r="43" spans="1:113" x14ac:dyDescent="0.2">
      <c r="A43" s="335" t="s">
        <v>1689</v>
      </c>
      <c r="B43" s="334" t="s">
        <v>510</v>
      </c>
      <c r="C43" s="334" t="s">
        <v>1632</v>
      </c>
      <c r="D43" s="233" t="str">
        <f>IF(ISNUMBER(SEARCH("heavy",B43))=TRUE,"2.25",
IF(ISNUMBER(SEARCH("medium",B43))=TRUE,"1.5",
IF(ISNUMBER(SEARCH("light",B43))=TRUE,"0.75")))</f>
        <v>0.75</v>
      </c>
      <c r="E43" s="154">
        <v>6</v>
      </c>
      <c r="F43" s="234" t="str" cm="1">
        <f t="array" ref="F43">IF(AND(ISNUMBER(SEARCH("H-Dsty.H-Res",$B43))=TRUE,ISNUMBER(SEARCH("E.",$B43))=TRUE,OR(ISNUMBER(SEARCH("heavy",$B43)),ISNUMBER(SEARCH("MEDIUM",$B43)))=TRUE),INDEX(croprotn_HDHR_E_h,MATCH(RIGHT($F$1,1),rotation_heavy,0)),
IF(AND(ISNUMBER(SEARCH("H-Dsty.H-Res",$B43))=TRUE,ISNUMBER(SEARCH("N.",$B43))=TRUE,OR(ISNUMBER(SEARCH("heavy",$B43)),ISNUMBER(SEARCH("MEDIUM",$B43)))=TRUE),INDEX(croprotn_HDHR_N_h,MATCH(RIGHT($F$1,1),rotation_heavy,0)),
IF(AND(ISNUMBER(SEARCH("H-Dsty.H-Res",$B43))=TRUE,ISNUMBER(SEARCH("C.",$B43))=TRUE,OR(ISNUMBER(SEARCH("heavy",$B43)),ISNUMBER(SEARCH("MEDIUM",$B43)))=TRUE),INDEX(croprotn_HDHR_C_h,MATCH(RIGHT($F$1,1),rotation_heavy,0)),
IF(AND(ISNUMBER(SEARCH("L-Dsty.H-Res",$B43))=TRUE,ISNUMBER(SEARCH("E.",$B43))=TRUE,OR(ISNUMBER(SEARCH("heavy",$B43)),ISNUMBER(SEARCH("MEDIUM",$B43)))=TRUE),INDEX(croprotn_LDHR_E_h,MATCH(RIGHT($F$1,1),rotation_heavy,0)),
IF(AND(ISNUMBER(SEARCH("L-Dsty.H-Res",$B43))=TRUE,ISNUMBER(SEARCH("N.",$B43))=TRUE,OR(ISNUMBER(SEARCH("heavy",$B43)),ISNUMBER(SEARCH("MEDIUM",$B43)))=TRUE),INDEX(croprotn_LDHR_N_h,MATCH(RIGHT($F$1,1),rotation_heavy,0)),
IF(AND(ISNUMBER(SEARCH("L-Dsty.H-Res",$B43))=TRUE,ISNUMBER(SEARCH("C.",$B43))=TRUE,OR(ISNUMBER(SEARCH("heavy",$B43)),ISNUMBER(SEARCH("MEDIUM",$B43)))=TRUE),INDEX(croprotn_LDHR_C_h,MATCH(RIGHT($F$1,1),rotation_heavy,0)),
IF(AND(ISNUMBER(SEARCH("L-Dsty.L-Res",$B43))=TRUE,ISNUMBER(SEARCH("E.",$B43))=TRUE,OR(ISNUMBER(SEARCH("heavy",$B43)),ISNUMBER(SEARCH("MEDIUM",$B43)))=TRUE),INDEX(croprotn_LDLR_E_h,MATCH(RIGHT($F$1,1),rotation_heavy,0)),
IF(AND(ISNUMBER(SEARCH("L-Dsty.L-Res",$B43))=TRUE,ISNUMBER(SEARCH("N.",$B43))=TRUE,OR(ISNUMBER(SEARCH("heavy",$B43)),ISNUMBER(SEARCH("MEDIUM",$B43)))=TRUE),INDEX(croprotn_LDLR_N_h,MATCH(RIGHT($F$1,1),rotation_heavy,0)),
IF(AND(ISNUMBER(SEARCH("L-Dsty.L-Res",$B43))=TRUE,ISNUMBER(SEARCH("C.",$B43))=TRUE,OR(ISNUMBER(SEARCH("heavy",$B43)),ISNUMBER(SEARCH("MEDIUM",$B43)))=TRUE),INDEX(croprotn_LDLR_C_h,MATCH(RIGHT($F$1,1),rotation_heavy,0)),
IF(AND(ISNUMBER(SEARCH("H-Dsty.H-Res",$B43))=TRUE,ISNUMBER(SEARCH("E.",$B43))=TRUE,ISNUMBER(SEARCH("light",$B43))=TRUE),INDEX(croprotn_HDHR_E_l,MATCH(RIGHT($F$1,1),rotation_light,0)),
IF(AND(ISNUMBER(SEARCH("H-Dsty.H-Res",$B43))=TRUE,ISNUMBER(SEARCH("N.",$B43))=TRUE,ISNUMBER(SEARCH("light",$B43))=TRUE),INDEX(croprotn_HDHR_N_l,MATCH(RIGHT($F$1,1),rotation_light,0)),
IF(AND(ISNUMBER(SEARCH("H-Dsty.H-Res",$B43))=TRUE,ISNUMBER(SEARCH("C.",$B43))=TRUE,ISNUMBER(SEARCH("light",$B43))=TRUE),INDEX(croprotn_HDHR_C_l,MATCH(RIGHT($F$1,1),rotation_light,0)),
IF(AND(ISNUMBER(SEARCH("L-Dsty.H-Res",$B43))=TRUE,ISNUMBER(SEARCH("E.",$B43))=TRUE,ISNUMBER(SEARCH("light",$B43))=TRUE),INDEX(croprotn_LDHR_E_l,MATCH(RIGHT($F$1,1),rotation_light,0)),
IF(AND(ISNUMBER(SEARCH("L-Dsty.H-Res",$B43))=TRUE,ISNUMBER(SEARCH("N.",$B43))=TRUE,ISNUMBER(SEARCH("light",$B43))=TRUE),INDEX(croprotn_LDHR_N_l,MATCH(RIGHT($F$1,1),rotation_light,0)),
IF(AND(ISNUMBER(SEARCH("L-Dsty.H-Res",$B43))=TRUE,ISNUMBER(SEARCH("C.",$B43))=TRUE,ISNUMBER(SEARCH("light",$B43))=TRUE),INDEX(croprotn_LDHR_C_l,MATCH(RIGHT($F$1,1),rotation_light,0)),
IF(AND(ISNUMBER(SEARCH("L-Dsty.L-Res",$B43))=TRUE,ISNUMBER(SEARCH("E.",$B43))=TRUE,ISNUMBER(SEARCH("light",$B43))=TRUE),INDEX(croprotn_LDLR_E_l,MATCH(RIGHT($F$1,1),rotation_light,0)),
IF(AND(ISNUMBER(SEARCH("L-Dsty.L-Res",$B43))=TRUE,ISNUMBER(SEARCH("N.",$B43))=TRUE,ISNUMBER(SEARCH("light",$B43))=TRUE),INDEX(croprotn_LDLR_N_l,MATCH(RIGHT($F$1,1),rotation_light,0)),
IF(AND(ISNUMBER(SEARCH("L-Dsty.L-Res",$B43))=TRUE,ISNUMBER(SEARCH("C.",$B43))=TRUE,ISNUMBER(SEARCH("light",$B43))=TRUE),INDEX(croprotn_LDLR_C_l,MATCH(RIGHT($F$1,1),rotation_light,0))
))))))))))))))))))</f>
        <v>winterwheat</v>
      </c>
      <c r="G43" s="234" t="str">
        <f t="shared" si="84"/>
        <v>wosr</v>
      </c>
      <c r="H43" s="234" t="str">
        <f t="shared" si="100"/>
        <v>winterwheat</v>
      </c>
      <c r="I43" s="234" t="str">
        <f t="shared" si="101"/>
        <v>winterwheat</v>
      </c>
      <c r="J43" s="234" t="str">
        <f t="shared" si="102"/>
        <v>wosr</v>
      </c>
      <c r="K43" s="234" t="str">
        <f t="shared" si="103"/>
        <v>winterwheat</v>
      </c>
      <c r="L43" s="154" t="str">
        <f t="shared" si="104"/>
        <v>minimumtillage</v>
      </c>
      <c r="M43" s="154" t="str">
        <f t="shared" si="105"/>
        <v>subsoiling</v>
      </c>
      <c r="N43" s="154" t="str">
        <f t="shared" si="106"/>
        <v>minimumtillage</v>
      </c>
      <c r="O43" s="154" t="str">
        <f t="shared" si="164"/>
        <v>minimumtillage</v>
      </c>
      <c r="P43" s="154" t="str">
        <f t="shared" si="165"/>
        <v>subsoiling</v>
      </c>
      <c r="Q43" s="154" t="str">
        <f t="shared" si="95"/>
        <v>minimumtillage</v>
      </c>
      <c r="R43" s="234">
        <f t="shared" si="86"/>
        <v>200</v>
      </c>
      <c r="S43" s="234">
        <f t="shared" si="107"/>
        <v>3.2</v>
      </c>
      <c r="T43" s="234">
        <f t="shared" si="108"/>
        <v>200</v>
      </c>
      <c r="U43" s="234">
        <f t="shared" si="87"/>
        <v>200</v>
      </c>
      <c r="V43" s="234">
        <f t="shared" si="109"/>
        <v>3.2</v>
      </c>
      <c r="W43" s="234">
        <f t="shared" si="110"/>
        <v>200</v>
      </c>
      <c r="X43" s="154" t="str">
        <f t="shared" si="111"/>
        <v>late</v>
      </c>
      <c r="Y43" s="154" t="str">
        <f t="shared" si="112"/>
        <v>no</v>
      </c>
      <c r="Z43" s="154" t="str">
        <f t="shared" si="113"/>
        <v>late</v>
      </c>
      <c r="AA43" s="154" t="str">
        <f t="shared" si="114"/>
        <v>late</v>
      </c>
      <c r="AB43" s="154" t="str">
        <f t="shared" si="115"/>
        <v>no</v>
      </c>
      <c r="AC43" s="154" t="str">
        <f t="shared" si="116"/>
        <v>late</v>
      </c>
      <c r="AD43" s="345">
        <v>150</v>
      </c>
      <c r="AE43" s="234">
        <f t="shared" si="85"/>
        <v>180</v>
      </c>
      <c r="AF43" s="345">
        <v>150</v>
      </c>
      <c r="AG43" s="345">
        <v>150</v>
      </c>
      <c r="AH43" s="234">
        <f t="shared" si="80"/>
        <v>180</v>
      </c>
      <c r="AI43" s="345">
        <v>150</v>
      </c>
      <c r="AJ43" s="154">
        <f t="shared" si="117"/>
        <v>67</v>
      </c>
      <c r="AK43" s="154">
        <f t="shared" si="118"/>
        <v>49</v>
      </c>
      <c r="AL43" s="154">
        <f t="shared" si="119"/>
        <v>67</v>
      </c>
      <c r="AM43" s="154">
        <f t="shared" si="120"/>
        <v>67</v>
      </c>
      <c r="AN43" s="154">
        <f t="shared" si="121"/>
        <v>49</v>
      </c>
      <c r="AO43" s="154">
        <f t="shared" si="122"/>
        <v>67</v>
      </c>
      <c r="AP43" s="154">
        <f t="shared" si="123"/>
        <v>48</v>
      </c>
      <c r="AQ43" s="154">
        <f t="shared" si="124"/>
        <v>39</v>
      </c>
      <c r="AR43" s="154">
        <f t="shared" si="125"/>
        <v>48</v>
      </c>
      <c r="AS43" s="154">
        <f t="shared" si="126"/>
        <v>48</v>
      </c>
      <c r="AT43" s="154">
        <f t="shared" si="127"/>
        <v>39</v>
      </c>
      <c r="AU43" s="154">
        <f t="shared" si="128"/>
        <v>48</v>
      </c>
      <c r="AV43" s="234">
        <f t="shared" si="89"/>
        <v>5</v>
      </c>
      <c r="AW43" s="234">
        <f t="shared" si="129"/>
        <v>0</v>
      </c>
      <c r="AX43" s="234">
        <f t="shared" si="130"/>
        <v>5</v>
      </c>
      <c r="AY43" s="234">
        <f t="shared" si="90"/>
        <v>5</v>
      </c>
      <c r="AZ43" s="234">
        <f t="shared" si="131"/>
        <v>0</v>
      </c>
      <c r="BA43" s="234">
        <f t="shared" si="132"/>
        <v>5</v>
      </c>
      <c r="BB43" s="234">
        <f t="shared" si="133"/>
        <v>4</v>
      </c>
      <c r="BC43" s="234">
        <f t="shared" si="134"/>
        <v>0</v>
      </c>
      <c r="BD43" s="234">
        <f t="shared" si="135"/>
        <v>4</v>
      </c>
      <c r="BE43" s="234">
        <f t="shared" si="91"/>
        <v>4</v>
      </c>
      <c r="BF43" s="234">
        <f t="shared" si="136"/>
        <v>0</v>
      </c>
      <c r="BG43" s="234">
        <f t="shared" si="137"/>
        <v>4</v>
      </c>
      <c r="BH43" s="234">
        <f t="shared" si="138"/>
        <v>4</v>
      </c>
      <c r="BI43" s="234">
        <f t="shared" si="139"/>
        <v>0</v>
      </c>
      <c r="BJ43" s="234">
        <f t="shared" si="140"/>
        <v>4</v>
      </c>
      <c r="BK43" s="234">
        <f t="shared" si="92"/>
        <v>4</v>
      </c>
      <c r="BL43" s="234">
        <f t="shared" si="141"/>
        <v>0</v>
      </c>
      <c r="BM43" s="234">
        <f t="shared" si="142"/>
        <v>4</v>
      </c>
      <c r="BN43" s="154" t="s">
        <v>483</v>
      </c>
      <c r="BO43" s="154" t="str">
        <f t="shared" si="143"/>
        <v>medium</v>
      </c>
      <c r="BP43" s="154" t="str">
        <f t="shared" si="144"/>
        <v>low</v>
      </c>
      <c r="BQ43" s="154" t="str">
        <f t="shared" si="145"/>
        <v>low</v>
      </c>
      <c r="BR43" s="154" t="s">
        <v>183</v>
      </c>
      <c r="BS43" s="154" t="s">
        <v>183</v>
      </c>
      <c r="BT43" s="154" t="s">
        <v>183</v>
      </c>
      <c r="BU43" s="154">
        <f t="shared" si="146"/>
        <v>150</v>
      </c>
      <c r="BV43" s="154">
        <f t="shared" si="147"/>
        <v>335</v>
      </c>
      <c r="BW43" s="154">
        <f t="shared" si="148"/>
        <v>150</v>
      </c>
      <c r="BX43" s="154">
        <f t="shared" si="149"/>
        <v>150</v>
      </c>
      <c r="BY43" s="154">
        <f t="shared" si="150"/>
        <v>335</v>
      </c>
      <c r="BZ43" s="154">
        <f t="shared" si="151"/>
        <v>150</v>
      </c>
      <c r="CA43" s="356">
        <f t="array" ref="CA43">IF(yieldsetting1="estimate",0,INDEX(cropdata, MATCH(yieldsource,outputs,0), MATCH($F43,cropdatacrops,0)))</f>
        <v>0</v>
      </c>
      <c r="CB43" s="356">
        <f t="array" ref="CB43">IF(yieldsetting1="estimate",0,INDEX(cropdata, MATCH(yieldsource,outputs,0), MATCH($G43,cropdatacrops,0)))</f>
        <v>0</v>
      </c>
      <c r="CC43" s="356">
        <f t="array" ref="CC43">IF(yieldsetting1="estimate",0,INDEX(cropdata, MATCH(yieldsource,outputs,0), MATCH($H43,cropdatacrops,0)))</f>
        <v>0</v>
      </c>
      <c r="CD43" s="356">
        <f t="array" ref="CD43">IF(yieldsetting1="estimate",0,INDEX(cropdata, MATCH(yieldsource,outputs,0), MATCH($I43,cropdatacrops,0)))</f>
        <v>0</v>
      </c>
      <c r="CE43" s="356">
        <f t="array" ref="CE43">IF(yieldsetting1="estimate",0,INDEX(cropdata, MATCH(yieldsource,outputs,0), MATCH($J43,cropdatacrops,0)))</f>
        <v>0</v>
      </c>
      <c r="CF43" s="356">
        <f t="array" ref="CF43">IF(yieldsetting1="estimate",0,INDEX(cropdata, MATCH(yieldsource,outputs,0), MATCH($K43,cropdatacrops,0)))</f>
        <v>0</v>
      </c>
      <c r="CG43" s="154" t="str">
        <f t="shared" si="152"/>
        <v>estimate</v>
      </c>
      <c r="CH43" s="235">
        <f t="shared" si="153"/>
        <v>0.8</v>
      </c>
      <c r="CI43" s="235">
        <f t="shared" si="154"/>
        <v>0.72</v>
      </c>
      <c r="CJ43" s="154">
        <f t="shared" si="155"/>
        <v>0.46</v>
      </c>
      <c r="CK43" s="154">
        <f t="shared" si="156"/>
        <v>0.36</v>
      </c>
      <c r="CL43" s="154">
        <f t="shared" si="157"/>
        <v>7.34</v>
      </c>
      <c r="CM43" s="154">
        <f t="shared" si="158"/>
        <v>0.36</v>
      </c>
      <c r="CN43" s="154">
        <f t="shared" si="159"/>
        <v>0.36</v>
      </c>
      <c r="CO43" s="154">
        <f t="shared" si="160"/>
        <v>7.34</v>
      </c>
      <c r="CP43" s="154">
        <f t="shared" si="161"/>
        <v>0.36</v>
      </c>
      <c r="CQ43" s="154">
        <f t="shared" si="166"/>
        <v>19.5</v>
      </c>
      <c r="CR43" s="154">
        <f t="shared" si="166"/>
        <v>19.5</v>
      </c>
      <c r="CS43" s="154">
        <f t="shared" si="166"/>
        <v>19.5</v>
      </c>
      <c r="CT43" s="154">
        <f t="shared" si="166"/>
        <v>19.5</v>
      </c>
      <c r="CU43" s="154">
        <f t="shared" si="166"/>
        <v>19.5</v>
      </c>
      <c r="CV43" s="154">
        <f t="shared" si="166"/>
        <v>19.5</v>
      </c>
      <c r="CW43" s="154">
        <f t="shared" si="167"/>
        <v>2.4300000000000002</v>
      </c>
      <c r="CX43" s="154">
        <f t="shared" si="167"/>
        <v>2.4300000000000002</v>
      </c>
      <c r="CY43" s="154">
        <f t="shared" si="167"/>
        <v>2.4300000000000002</v>
      </c>
      <c r="CZ43" s="154">
        <f t="shared" si="167"/>
        <v>2.4300000000000002</v>
      </c>
      <c r="DA43" s="154">
        <f t="shared" si="167"/>
        <v>2.4300000000000002</v>
      </c>
      <c r="DB43" s="154">
        <f t="shared" si="167"/>
        <v>2.4300000000000002</v>
      </c>
      <c r="DC43" s="154">
        <v>102</v>
      </c>
      <c r="DD43" s="154">
        <v>6</v>
      </c>
      <c r="DE43" s="154">
        <v>4</v>
      </c>
      <c r="DF43" s="154">
        <v>1400</v>
      </c>
      <c r="DG43" s="154">
        <v>125</v>
      </c>
      <c r="DH43" s="154">
        <f t="shared" si="162"/>
        <v>0.625</v>
      </c>
      <c r="DI43" s="154">
        <f t="shared" si="163"/>
        <v>10.08</v>
      </c>
    </row>
    <row r="44" spans="1:113" x14ac:dyDescent="0.2">
      <c r="A44" s="335" t="s">
        <v>1622</v>
      </c>
      <c r="B44" s="334" t="s">
        <v>486</v>
      </c>
      <c r="C44" s="334" t="s">
        <v>1641</v>
      </c>
      <c r="D44" s="233" t="str">
        <f>IF(ISNUMBER(SEARCH("heavy",B44))=TRUE,"2.25",
IF(ISNUMBER(SEARCH("medium",B44))=TRUE,"1.5",
IF(ISNUMBER(SEARCH("light",B44))=TRUE,"0.75")))</f>
        <v>2.25</v>
      </c>
      <c r="E44" s="154">
        <v>6</v>
      </c>
      <c r="F44" s="234" t="str" cm="1">
        <f t="array" ref="F44">IF(AND(ISNUMBER(SEARCH("H-Dsty.H-Res",$B44))=TRUE,ISNUMBER(SEARCH("E.",$B44))=TRUE,OR(ISNUMBER(SEARCH("heavy",$B44)),ISNUMBER(SEARCH("MEDIUM",$B44)))=TRUE),INDEX(croprotn_HDHR_E_h,MATCH(RIGHT($F$1,1),rotation_heavy,0)),
IF(AND(ISNUMBER(SEARCH("H-Dsty.H-Res",$B44))=TRUE,ISNUMBER(SEARCH("N.",$B44))=TRUE,OR(ISNUMBER(SEARCH("heavy",$B44)),ISNUMBER(SEARCH("MEDIUM",$B44)))=TRUE),INDEX(croprotn_HDHR_N_h,MATCH(RIGHT($F$1,1),rotation_heavy,0)),
IF(AND(ISNUMBER(SEARCH("H-Dsty.H-Res",$B44))=TRUE,ISNUMBER(SEARCH("C.",$B44))=TRUE,OR(ISNUMBER(SEARCH("heavy",$B44)),ISNUMBER(SEARCH("MEDIUM",$B44)))=TRUE),INDEX(croprotn_HDHR_C_h,MATCH(RIGHT($F$1,1),rotation_heavy,0)),
IF(AND(ISNUMBER(SEARCH("L-Dsty.H-Res",$B44))=TRUE,ISNUMBER(SEARCH("E.",$B44))=TRUE,OR(ISNUMBER(SEARCH("heavy",$B44)),ISNUMBER(SEARCH("MEDIUM",$B44)))=TRUE),INDEX(croprotn_LDHR_E_h,MATCH(RIGHT($F$1,1),rotation_heavy,0)),
IF(AND(ISNUMBER(SEARCH("L-Dsty.H-Res",$B44))=TRUE,ISNUMBER(SEARCH("N.",$B44))=TRUE,OR(ISNUMBER(SEARCH("heavy",$B44)),ISNUMBER(SEARCH("MEDIUM",$B44)))=TRUE),INDEX(croprotn_LDHR_N_h,MATCH(RIGHT($F$1,1),rotation_heavy,0)),
IF(AND(ISNUMBER(SEARCH("L-Dsty.H-Res",$B44))=TRUE,ISNUMBER(SEARCH("C.",$B44))=TRUE,OR(ISNUMBER(SEARCH("heavy",$B44)),ISNUMBER(SEARCH("MEDIUM",$B44)))=TRUE),INDEX(croprotn_LDHR_C_h,MATCH(RIGHT($F$1,1),rotation_heavy,0)),
IF(AND(ISNUMBER(SEARCH("L-Dsty.L-Res",$B44))=TRUE,ISNUMBER(SEARCH("E.",$B44))=TRUE,OR(ISNUMBER(SEARCH("heavy",$B44)),ISNUMBER(SEARCH("MEDIUM",$B44)))=TRUE),INDEX(croprotn_LDLR_E_h,MATCH(RIGHT($F$1,1),rotation_heavy,0)),
IF(AND(ISNUMBER(SEARCH("L-Dsty.L-Res",$B44))=TRUE,ISNUMBER(SEARCH("N.",$B44))=TRUE,OR(ISNUMBER(SEARCH("heavy",$B44)),ISNUMBER(SEARCH("MEDIUM",$B44)))=TRUE),INDEX(croprotn_LDLR_N_h,MATCH(RIGHT($F$1,1),rotation_heavy,0)),
IF(AND(ISNUMBER(SEARCH("L-Dsty.L-Res",$B44))=TRUE,ISNUMBER(SEARCH("C.",$B44))=TRUE,OR(ISNUMBER(SEARCH("heavy",$B44)),ISNUMBER(SEARCH("MEDIUM",$B44)))=TRUE),INDEX(croprotn_LDLR_C_h,MATCH(RIGHT($F$1,1),rotation_heavy,0)),
IF(AND(ISNUMBER(SEARCH("H-Dsty.H-Res",$B44))=TRUE,ISNUMBER(SEARCH("E.",$B44))=TRUE,ISNUMBER(SEARCH("light",$B44))=TRUE),INDEX(croprotn_HDHR_E_l,MATCH(RIGHT($F$1,1),rotation_light,0)),
IF(AND(ISNUMBER(SEARCH("H-Dsty.H-Res",$B44))=TRUE,ISNUMBER(SEARCH("N.",$B44))=TRUE,ISNUMBER(SEARCH("light",$B44))=TRUE),INDEX(croprotn_HDHR_N_l,MATCH(RIGHT($F$1,1),rotation_light,0)),
IF(AND(ISNUMBER(SEARCH("H-Dsty.H-Res",$B44))=TRUE,ISNUMBER(SEARCH("C.",$B44))=TRUE,ISNUMBER(SEARCH("light",$B44))=TRUE),INDEX(croprotn_HDHR_C_l,MATCH(RIGHT($F$1,1),rotation_light,0)),
IF(AND(ISNUMBER(SEARCH("L-Dsty.H-Res",$B44))=TRUE,ISNUMBER(SEARCH("E.",$B44))=TRUE,ISNUMBER(SEARCH("light",$B44))=TRUE),INDEX(croprotn_LDHR_E_l,MATCH(RIGHT($F$1,1),rotation_light,0)),
IF(AND(ISNUMBER(SEARCH("L-Dsty.H-Res",$B44))=TRUE,ISNUMBER(SEARCH("N.",$B44))=TRUE,ISNUMBER(SEARCH("light",$B44))=TRUE),INDEX(croprotn_LDHR_N_l,MATCH(RIGHT($F$1,1),rotation_light,0)),
IF(AND(ISNUMBER(SEARCH("L-Dsty.H-Res",$B44))=TRUE,ISNUMBER(SEARCH("C.",$B44))=TRUE,ISNUMBER(SEARCH("light",$B44))=TRUE),INDEX(croprotn_LDHR_C_l,MATCH(RIGHT($F$1,1),rotation_light,0)),
IF(AND(ISNUMBER(SEARCH("L-Dsty.L-Res",$B44))=TRUE,ISNUMBER(SEARCH("E.",$B44))=TRUE,ISNUMBER(SEARCH("light",$B44))=TRUE),INDEX(croprotn_LDLR_E_l,MATCH(RIGHT($F$1,1),rotation_light,0)),
IF(AND(ISNUMBER(SEARCH("L-Dsty.L-Res",$B44))=TRUE,ISNUMBER(SEARCH("N.",$B44))=TRUE,ISNUMBER(SEARCH("light",$B44))=TRUE),INDEX(croprotn_LDLR_N_l,MATCH(RIGHT($F$1,1),rotation_light,0)),
IF(AND(ISNUMBER(SEARCH("L-Dsty.L-Res",$B44))=TRUE,ISNUMBER(SEARCH("C.",$B44))=TRUE,ISNUMBER(SEARCH("light",$B44))=TRUE),INDEX(croprotn_LDLR_C_l,MATCH(RIGHT($F$1,1),rotation_light,0))
))))))))))))))))))</f>
        <v>winterwheat</v>
      </c>
      <c r="G44" s="234" t="str">
        <f t="shared" si="84"/>
        <v>winterbarley</v>
      </c>
      <c r="H44" s="234" t="str">
        <f t="shared" si="100"/>
        <v>wosr</v>
      </c>
      <c r="I44" s="234" t="str">
        <f t="shared" si="101"/>
        <v>winterwheat</v>
      </c>
      <c r="J44" s="234" t="str">
        <f t="shared" si="102"/>
        <v>springbeans</v>
      </c>
      <c r="K44" s="234" t="str">
        <f t="shared" si="103"/>
        <v>winterwheat</v>
      </c>
      <c r="L44" s="154" t="str">
        <f t="shared" si="104"/>
        <v>lightcultivation</v>
      </c>
      <c r="M44" s="154" t="str">
        <f t="shared" si="105"/>
        <v>lightcultivation</v>
      </c>
      <c r="N44" s="154" t="str">
        <f t="shared" si="106"/>
        <v>subsoiling</v>
      </c>
      <c r="O44" s="154" t="str">
        <f t="shared" si="164"/>
        <v>lightcultivation</v>
      </c>
      <c r="P44" s="154" t="str">
        <f t="shared" si="165"/>
        <v>lightcultivation</v>
      </c>
      <c r="Q44" s="154" t="str">
        <f t="shared" si="95"/>
        <v>lightcultivation</v>
      </c>
      <c r="R44" s="234">
        <f t="shared" si="86"/>
        <v>190</v>
      </c>
      <c r="S44" s="234">
        <f t="shared" si="107"/>
        <v>195</v>
      </c>
      <c r="T44" s="234">
        <f t="shared" si="108"/>
        <v>3.2</v>
      </c>
      <c r="U44" s="234">
        <f t="shared" si="87"/>
        <v>190</v>
      </c>
      <c r="V44" s="234">
        <f t="shared" si="109"/>
        <v>305</v>
      </c>
      <c r="W44" s="234">
        <f t="shared" si="110"/>
        <v>190</v>
      </c>
      <c r="X44" s="154" t="str">
        <f t="shared" si="111"/>
        <v>no</v>
      </c>
      <c r="Y44" s="154" t="str">
        <f t="shared" si="112"/>
        <v>no</v>
      </c>
      <c r="Z44" s="154" t="str">
        <f t="shared" si="113"/>
        <v>no</v>
      </c>
      <c r="AA44" s="154" t="str">
        <f t="shared" si="114"/>
        <v>no</v>
      </c>
      <c r="AB44" s="154" t="str">
        <f t="shared" si="115"/>
        <v>no</v>
      </c>
      <c r="AC44" s="154" t="str">
        <f t="shared" si="116"/>
        <v>no</v>
      </c>
      <c r="AD44" s="234">
        <f>IF(AND(ISNUMBER(SEARCH("H-Dsty.H-Res",$B44))=TRUE,ISNUMBER(SEARCH("E.",$B44))=TRUE),INDEX(fertrate_HDHR_E,MATCH($F44,fertrate_CROPS,0)),
IF(AND(ISNUMBER(SEARCH("H-Dsty.H-Res",$B44))=TRUE,ISNUMBER(SEARCH("N.",$B44))=TRUE),INDEX(fertrate_HDHR_N,MATCH($F44,fertrate_CROPS,0)),
IF(AND(ISNUMBER(SEARCH("H-Dsty.H-Res",$B44))=TRUE,ISNUMBER(SEARCH("C.",$B44))=TRUE),INDEX(fertrate_HDHR_C,MATCH($F44,fertrate_CROPS,0)),
IF(AND(ISNUMBER(SEARCH("L-Dsty.H-Res",$B44))=TRUE,ISNUMBER(SEARCH("E.",$B44))=TRUE),INDEX(fertrate_LDHR_E,MATCH($F44,fertrate_CROPS,0)),
IF(AND(ISNUMBER(SEARCH("L-Dsty.H-Res",$B44))=TRUE,ISNUMBER(SEARCH("N.",$B44))=TRUE),INDEX(fertrate_LDHR_N,MATCH($F44,fertrate_CROPS,0)),
IF(AND(ISNUMBER(SEARCH("L-Dsty.H-Res",$B44))=TRUE,ISNUMBER(SEARCH("C.",$B44))=TRUE),INDEX(fertrate_LDHR_C,MATCH($F44,fertrate_CROPS,0)),
IF(AND(ISNUMBER(SEARCH("L-Dsty.L-Res",$B44))=TRUE,ISNUMBER(SEARCH("E.",$B44))=TRUE),INDEX(fertrate_LDLR_E,MATCH($F44,fertrate_CROPS,0)),
IF(AND(ISNUMBER(SEARCH("L-Dsty.L-Res",$B44))=TRUE,ISNUMBER(SEARCH("N.",$B44))=TRUE),INDEX(fertrate_LDLR_N,MATCH($F44,fertrate_CROPS,0)),
IF(AND(ISNUMBER(SEARCH("L-Dsty.L-Res",$B44))=TRUE,ISNUMBER(SEARCH("C.",$B44))=TRUE),INDEX(fertrate_LDLR_C,MATCH($F44,fertrate_CROPS,0))
)))))))))</f>
        <v>220</v>
      </c>
      <c r="AE44" s="234">
        <f t="shared" si="85"/>
        <v>190</v>
      </c>
      <c r="AF44" s="234">
        <f t="shared" ref="AF44:AF55" si="168">IF(AND(ISNUMBER(SEARCH("H-Dsty.",$B44))=TRUE,ISNUMBER(SEARCH("H-Res",$B44))=TRUE,ISNUMBER(SEARCH("E.",$B44))=TRUE),INDEX(fertrate_HDHR_E,MATCH($H44,fertrate_CROPS,0)),
IF(AND(ISNUMBER(SEARCH("H-Dsty.",$B44))=TRUE,ISNUMBER(SEARCH("H-Res",$B44))=TRUE,ISNUMBER(SEARCH("N.",$B44))=TRUE),INDEX(fertrate_HDHR_N,MATCH($H44,fertrate_CROPS,0)),
IF(AND(ISNUMBER(SEARCH("H-Dsty.",$B44))=TRUE,ISNUMBER(SEARCH("H-Res",$B44))=TRUE,ISNUMBER(SEARCH("C.",$B44))=TRUE),INDEX(fertrate_HDHR_C,MATCH($H44,fertrate_CROPS,0)),
IF(AND(ISNUMBER(SEARCH("L-Dsty.",$B44))=TRUE,ISNUMBER(SEARCH("H-Res",$B44))=TRUE,ISNUMBER(SEARCH("E.",$B44))=TRUE),INDEX(fertrate_LDHR_E,MATCH($H44,fertrate_CROPS,0)),
IF(AND(ISNUMBER(SEARCH("L-Dsty.",$B44))=TRUE,ISNUMBER(SEARCH("H-Res",$B44))=TRUE,ISNUMBER(SEARCH("N.",$B44))=TRUE),INDEX(fertrate_LDHR_N,MATCH($H44,fertrate_CROPS,0)),
IF(AND(ISNUMBER(SEARCH("L-Dsty.",$B44))=TRUE,ISNUMBER(SEARCH("H-Res",$B44))=TRUE,ISNUMBER(SEARCH("C.",$B44))=TRUE),INDEX(fertrate_LDHR_C,MATCH($H44,fertrate_CROPS,0)),
IF(AND(ISNUMBER(SEARCH("L-Dsty.",$B44))=TRUE,ISNUMBER(SEARCH("L-Res",$B44))=TRUE,ISNUMBER(SEARCH("E.",$B44))=TRUE),INDEX(fertrate_LDLR_E,MATCH($H44,fertrate_CROPS,0)),
IF(AND(ISNUMBER(SEARCH("L-Dsty.",$B44))=TRUE,ISNUMBER(SEARCH("L-Res",$B44))=TRUE,ISNUMBER(SEARCH("N.",$B44))=TRUE),INDEX(fertrate_LDLR_N,MATCH($H44,fertrate_CROPS,0)),
IF(AND(ISNUMBER(SEARCH("L-Dsty.",$B44))=TRUE,ISNUMBER(SEARCH("L-Res",$B44))=TRUE,ISNUMBER(SEARCH("C.",$B44))=TRUE),INDEX(fertrate_LDLR_C,MATCH($H44,fertrate_CROPS,0))
)))))))))</f>
        <v>180</v>
      </c>
      <c r="AG44" s="234">
        <f>IF(AND(ISNUMBER(SEARCH("H-Dsty.",$B44))=TRUE,ISNUMBER(SEARCH("H-Res",$B44))=TRUE,ISNUMBER(SEARCH("E.",$B44))=TRUE),INDEX(fertrate_HDHR_E,MATCH($I44,fertrate_CROPS,0)),
IF(AND(ISNUMBER(SEARCH("H-Dsty.",$B44))=TRUE,ISNUMBER(SEARCH("H-Res",$B44))=TRUE,ISNUMBER(SEARCH("N.",$B44))=TRUE),INDEX(fertrate_HDHR_N,MATCH($I44,fertrate_CROPS,0)),
IF(AND(ISNUMBER(SEARCH("H-Dsty.",$B44))=TRUE,ISNUMBER(SEARCH("H-Res",$B44))=TRUE,ISNUMBER(SEARCH("C.",$B44))=TRUE),INDEX(fertrate_HDHR_C,MATCH($I44,fertrate_CROPS,0)),
IF(AND(ISNUMBER(SEARCH("L-Dsty.",$B44))=TRUE,ISNUMBER(SEARCH("H-Res",$B44))=TRUE,ISNUMBER(SEARCH("E.",$B44))=TRUE),INDEX(fertrate_LDHR_E,MATCH($I44,fertrate_CROPS,0)),
IF(AND(ISNUMBER(SEARCH("L-Dsty.",$B44))=TRUE,ISNUMBER(SEARCH("H-Res",$B44))=TRUE,ISNUMBER(SEARCH("N.",$B44))=TRUE),INDEX(fertrate_LDHR_N,MATCH($I44,fertrate_CROPS,0)),
IF(AND(ISNUMBER(SEARCH("L-Dsty.",$B44))=TRUE,ISNUMBER(SEARCH("H-Res",$B44))=TRUE,ISNUMBER(SEARCH("C.",$B44))=TRUE),INDEX(fertrate_LDHR_C,MATCH($I44,fertrate_CROPS,0)),
IF(AND(ISNUMBER(SEARCH("L-Dsty.",$B44))=TRUE,ISNUMBER(SEARCH("L-Res",$B44))=TRUE,ISNUMBER(SEARCH("E.",$B44))=TRUE),INDEX(fertrate_LDLR_E,MATCH($I44,fertrate_CROPS,0)),
IF(AND(ISNUMBER(SEARCH("L-Dsty.",$B44))=TRUE,ISNUMBER(SEARCH("L-Res",$B44))=TRUE,ISNUMBER(SEARCH("N.",$B44))=TRUE),INDEX(fertrate_LDLR_N,MATCH($I44,fertrate_CROPS,0)),
IF(AND(ISNUMBER(SEARCH("L-Dsty.",$B44))=TRUE,ISNUMBER(SEARCH("L-Res",$B44))=TRUE,ISNUMBER(SEARCH("C.",$B44))=TRUE),INDEX(fertrate_LDLR_C,MATCH($I44,fertrate_CROPS,0))
)))))))))</f>
        <v>220</v>
      </c>
      <c r="AH44" s="234">
        <f t="shared" si="80"/>
        <v>0</v>
      </c>
      <c r="AI44" s="234">
        <f>IF(AND(ISNUMBER(SEARCH("H-Dsty.",$B44))=TRUE,ISNUMBER(SEARCH("H-Res",$B44))=TRUE,ISNUMBER(SEARCH("E.",$B44))=TRUE),INDEX(fertrate_HDHR_E,MATCH($K44,fertrate_CROPS,0)),
IF(AND(ISNUMBER(SEARCH("H-Dsty.",$B44))=TRUE,ISNUMBER(SEARCH("H-Res",$B44))=TRUE,ISNUMBER(SEARCH("N.",$B44))=TRUE),INDEX(fertrate_HDHR_N,MATCH($K44,fertrate_CROPS,0)),
IF(AND(ISNUMBER(SEARCH("H-Dsty.",$B44))=TRUE,ISNUMBER(SEARCH("H-Res",$B44))=TRUE,ISNUMBER(SEARCH("C.",$B44))=TRUE),INDEX(fertrate_HDHR_C,MATCH($K44,fertrate_CROPS,0)),
IF(AND(ISNUMBER(SEARCH("L-Dsty.",$B44))=TRUE,ISNUMBER(SEARCH("H-Res",$B44))=TRUE,ISNUMBER(SEARCH("E.",$B44))=TRUE),INDEX(fertrate_LDHR_E,MATCH($K44,fertrate_CROPS,0)),
IF(AND(ISNUMBER(SEARCH("L-Dsty.",$B44))=TRUE,ISNUMBER(SEARCH("H-Res",$B44))=TRUE,ISNUMBER(SEARCH("N.",$B44))=TRUE),INDEX(fertrate_LDHR_N,MATCH($K44,fertrate_CROPS,0)),
IF(AND(ISNUMBER(SEARCH("L-Dsty.",$B44))=TRUE,ISNUMBER(SEARCH("H-Res",$B44))=TRUE,ISNUMBER(SEARCH("C.",$B44))=TRUE),INDEX(fertrate_LDHR_C,MATCH($K44,fertrate_CROPS,0)),
IF(AND(ISNUMBER(SEARCH("L-Dsty.",$B44))=TRUE,ISNUMBER(SEARCH("L-Res",$B44))=TRUE,ISNUMBER(SEARCH("E.",$B44))=TRUE),INDEX(fertrate_LDLR_E,MATCH($K44,fertrate_CROPS,0)),
IF(AND(ISNUMBER(SEARCH("L-Dsty.",$B44))=TRUE,ISNUMBER(SEARCH("L-Res",$B44))=TRUE,ISNUMBER(SEARCH("N.",$B44))=TRUE),INDEX(fertrate_LDLR_N,MATCH($K44,fertrate_CROPS,0)),
IF(AND(ISNUMBER(SEARCH("L-Dsty.",$B44))=TRUE,ISNUMBER(SEARCH("L-Res",$B44))=TRUE,ISNUMBER(SEARCH("C.",$B44))=TRUE),INDEX(fertrate_LDLR_C,MATCH($K44,fertrate_CROPS,0))
)))))))))</f>
        <v>220</v>
      </c>
      <c r="AJ44" s="154">
        <f t="shared" si="117"/>
        <v>67</v>
      </c>
      <c r="AK44" s="154">
        <f t="shared" si="118"/>
        <v>58</v>
      </c>
      <c r="AL44" s="154">
        <f t="shared" si="119"/>
        <v>49</v>
      </c>
      <c r="AM44" s="154">
        <f t="shared" si="120"/>
        <v>67</v>
      </c>
      <c r="AN44" s="154">
        <f t="shared" si="121"/>
        <v>43</v>
      </c>
      <c r="AO44" s="154">
        <f t="shared" si="122"/>
        <v>67</v>
      </c>
      <c r="AP44" s="154">
        <f t="shared" si="123"/>
        <v>48</v>
      </c>
      <c r="AQ44" s="154">
        <f t="shared" si="124"/>
        <v>41</v>
      </c>
      <c r="AR44" s="154">
        <f t="shared" si="125"/>
        <v>39</v>
      </c>
      <c r="AS44" s="154">
        <f t="shared" si="126"/>
        <v>48</v>
      </c>
      <c r="AT44" s="154">
        <f t="shared" si="127"/>
        <v>47</v>
      </c>
      <c r="AU44" s="154">
        <f t="shared" si="128"/>
        <v>48</v>
      </c>
      <c r="AV44" s="234">
        <f t="shared" si="89"/>
        <v>1</v>
      </c>
      <c r="AW44" s="234">
        <f t="shared" si="129"/>
        <v>0.4</v>
      </c>
      <c r="AX44" s="234">
        <f t="shared" si="130"/>
        <v>2</v>
      </c>
      <c r="AY44" s="345">
        <v>4.4000000000000004</v>
      </c>
      <c r="AZ44" s="234">
        <f t="shared" si="131"/>
        <v>4</v>
      </c>
      <c r="BA44" s="234">
        <f t="shared" si="132"/>
        <v>1</v>
      </c>
      <c r="BB44" s="234">
        <f t="shared" si="133"/>
        <v>3</v>
      </c>
      <c r="BC44" s="234">
        <f t="shared" si="134"/>
        <v>3</v>
      </c>
      <c r="BD44" s="234">
        <f t="shared" si="135"/>
        <v>0</v>
      </c>
      <c r="BE44" s="234">
        <f t="shared" si="91"/>
        <v>3</v>
      </c>
      <c r="BF44" s="234">
        <f t="shared" si="136"/>
        <v>6</v>
      </c>
      <c r="BG44" s="234">
        <f t="shared" si="137"/>
        <v>3</v>
      </c>
      <c r="BH44" s="234">
        <f t="shared" si="138"/>
        <v>3</v>
      </c>
      <c r="BI44" s="234">
        <f t="shared" si="139"/>
        <v>2</v>
      </c>
      <c r="BJ44" s="234">
        <f t="shared" si="140"/>
        <v>2</v>
      </c>
      <c r="BK44" s="234">
        <f t="shared" si="92"/>
        <v>3</v>
      </c>
      <c r="BL44" s="234">
        <f t="shared" si="141"/>
        <v>3</v>
      </c>
      <c r="BM44" s="234">
        <f t="shared" si="142"/>
        <v>3</v>
      </c>
      <c r="BN44" s="154" t="s">
        <v>483</v>
      </c>
      <c r="BO44" s="154" t="str">
        <f t="shared" si="143"/>
        <v>low</v>
      </c>
      <c r="BP44" s="154" t="str">
        <f t="shared" si="144"/>
        <v>low</v>
      </c>
      <c r="BQ44" s="154" t="str">
        <f t="shared" si="145"/>
        <v>low</v>
      </c>
      <c r="BR44" s="154" t="s">
        <v>18</v>
      </c>
      <c r="BS44" s="154" t="s">
        <v>18</v>
      </c>
      <c r="BT44" s="154" t="s">
        <v>18</v>
      </c>
      <c r="BU44" s="154">
        <f t="shared" si="146"/>
        <v>150</v>
      </c>
      <c r="BV44" s="154">
        <f t="shared" si="147"/>
        <v>138</v>
      </c>
      <c r="BW44" s="154">
        <f t="shared" si="148"/>
        <v>335</v>
      </c>
      <c r="BX44" s="154">
        <f t="shared" si="149"/>
        <v>150</v>
      </c>
      <c r="BY44" s="154">
        <f t="shared" si="150"/>
        <v>185</v>
      </c>
      <c r="BZ44" s="154">
        <f t="shared" si="151"/>
        <v>150</v>
      </c>
      <c r="CA44" s="356">
        <f t="array" ref="CA44">IF(yieldsetting1="estimate",0,INDEX(cropdata, MATCH(yieldsource,outputs,0), MATCH($F44,cropdatacrops,0)))</f>
        <v>0</v>
      </c>
      <c r="CB44" s="356">
        <f t="array" ref="CB44">IF(yieldsetting1="estimate",0,INDEX(cropdata, MATCH(yieldsource,outputs,0), MATCH($G44,cropdatacrops,0)))</f>
        <v>0</v>
      </c>
      <c r="CC44" s="356">
        <f t="array" ref="CC44">IF(yieldsetting1="estimate",0,INDEX(cropdata, MATCH(yieldsource,outputs,0), MATCH($H44,cropdatacrops,0)))</f>
        <v>0</v>
      </c>
      <c r="CD44" s="356">
        <f t="array" ref="CD44">IF(yieldsetting1="estimate",0,INDEX(cropdata, MATCH(yieldsource,outputs,0), MATCH($I44,cropdatacrops,0)))</f>
        <v>0</v>
      </c>
      <c r="CE44" s="356">
        <f t="array" ref="CE44">IF(yieldsetting1="estimate",0,INDEX(cropdata, MATCH(yieldsource,outputs,0), MATCH($J44,cropdatacrops,0)))</f>
        <v>0</v>
      </c>
      <c r="CF44" s="356">
        <f t="array" ref="CF44">IF(yieldsetting1="estimate",0,INDEX(cropdata, MATCH(yieldsource,outputs,0), MATCH($K44,cropdatacrops,0)))</f>
        <v>0</v>
      </c>
      <c r="CG44" s="154" t="str">
        <f t="shared" si="152"/>
        <v>estimate</v>
      </c>
      <c r="CH44" s="235">
        <f t="shared" si="153"/>
        <v>0.8</v>
      </c>
      <c r="CI44" s="235">
        <f t="shared" si="154"/>
        <v>0.72</v>
      </c>
      <c r="CJ44" s="154">
        <f t="shared" si="155"/>
        <v>0.46</v>
      </c>
      <c r="CK44" s="154">
        <f t="shared" si="156"/>
        <v>0.36</v>
      </c>
      <c r="CL44" s="154">
        <f t="shared" si="157"/>
        <v>0.36</v>
      </c>
      <c r="CM44" s="154">
        <f t="shared" si="158"/>
        <v>7.34</v>
      </c>
      <c r="CN44" s="154">
        <f t="shared" si="159"/>
        <v>0.36</v>
      </c>
      <c r="CO44" s="154">
        <f t="shared" si="160"/>
        <v>0.38</v>
      </c>
      <c r="CP44" s="154">
        <f t="shared" si="161"/>
        <v>0.36</v>
      </c>
      <c r="CQ44" s="154">
        <f t="shared" si="166"/>
        <v>19.5</v>
      </c>
      <c r="CR44" s="154">
        <f t="shared" si="166"/>
        <v>19.5</v>
      </c>
      <c r="CS44" s="154">
        <f t="shared" si="166"/>
        <v>19.5</v>
      </c>
      <c r="CT44" s="154">
        <f t="shared" si="166"/>
        <v>19.5</v>
      </c>
      <c r="CU44" s="154">
        <f t="shared" si="166"/>
        <v>19.5</v>
      </c>
      <c r="CV44" s="154">
        <f t="shared" si="166"/>
        <v>19.5</v>
      </c>
      <c r="CW44" s="154">
        <f t="shared" si="167"/>
        <v>2.4300000000000002</v>
      </c>
      <c r="CX44" s="154">
        <f t="shared" si="167"/>
        <v>2.4300000000000002</v>
      </c>
      <c r="CY44" s="154">
        <f t="shared" si="167"/>
        <v>2.4300000000000002</v>
      </c>
      <c r="CZ44" s="154">
        <f t="shared" si="167"/>
        <v>2.4300000000000002</v>
      </c>
      <c r="DA44" s="154">
        <f t="shared" si="167"/>
        <v>2.4300000000000002</v>
      </c>
      <c r="DB44" s="154">
        <f t="shared" si="167"/>
        <v>2.4300000000000002</v>
      </c>
      <c r="DC44" s="154">
        <v>102</v>
      </c>
      <c r="DD44" s="154">
        <v>6</v>
      </c>
      <c r="DE44" s="154">
        <v>4</v>
      </c>
      <c r="DF44" s="154">
        <v>1400</v>
      </c>
      <c r="DG44" s="154">
        <v>125</v>
      </c>
      <c r="DH44" s="154">
        <f t="shared" si="162"/>
        <v>0.625</v>
      </c>
      <c r="DI44" s="154">
        <f t="shared" si="163"/>
        <v>10.08</v>
      </c>
    </row>
    <row r="45" spans="1:113" x14ac:dyDescent="0.2">
      <c r="A45" s="335" t="s">
        <v>1623</v>
      </c>
      <c r="B45" s="334" t="s">
        <v>486</v>
      </c>
      <c r="C45" s="334" t="s">
        <v>1642</v>
      </c>
      <c r="D45" s="233" t="str">
        <f>IF(ISNUMBER(SEARCH("heavy",B45))=TRUE,"2.25",
IF(ISNUMBER(SEARCH("medium",B45))=TRUE,"1.5",
IF(ISNUMBER(SEARCH("light",B45))=TRUE,"0.75")))</f>
        <v>2.25</v>
      </c>
      <c r="E45" s="154">
        <v>6</v>
      </c>
      <c r="F45" s="234" t="str" cm="1">
        <f t="array" ref="F45">IF(AND(ISNUMBER(SEARCH("H-Dsty.H-Res",$B45))=TRUE,ISNUMBER(SEARCH("E.",$B45))=TRUE,OR(ISNUMBER(SEARCH("heavy",$B45)),ISNUMBER(SEARCH("MEDIUM",$B45)))=TRUE),INDEX(croprotn_HDHR_E_h,MATCH(RIGHT($F$1,1),rotation_heavy,0)),
IF(AND(ISNUMBER(SEARCH("H-Dsty.H-Res",$B45))=TRUE,ISNUMBER(SEARCH("N.",$B45))=TRUE,OR(ISNUMBER(SEARCH("heavy",$B45)),ISNUMBER(SEARCH("MEDIUM",$B45)))=TRUE),INDEX(croprotn_HDHR_N_h,MATCH(RIGHT($F$1,1),rotation_heavy,0)),
IF(AND(ISNUMBER(SEARCH("H-Dsty.H-Res",$B45))=TRUE,ISNUMBER(SEARCH("C.",$B45))=TRUE,OR(ISNUMBER(SEARCH("heavy",$B45)),ISNUMBER(SEARCH("MEDIUM",$B45)))=TRUE),INDEX(croprotn_HDHR_C_h,MATCH(RIGHT($F$1,1),rotation_heavy,0)),
IF(AND(ISNUMBER(SEARCH("L-Dsty.H-Res",$B45))=TRUE,ISNUMBER(SEARCH("E.",$B45))=TRUE,OR(ISNUMBER(SEARCH("heavy",$B45)),ISNUMBER(SEARCH("MEDIUM",$B45)))=TRUE),INDEX(croprotn_LDHR_E_h,MATCH(RIGHT($F$1,1),rotation_heavy,0)),
IF(AND(ISNUMBER(SEARCH("L-Dsty.H-Res",$B45))=TRUE,ISNUMBER(SEARCH("N.",$B45))=TRUE,OR(ISNUMBER(SEARCH("heavy",$B45)),ISNUMBER(SEARCH("MEDIUM",$B45)))=TRUE),INDEX(croprotn_LDHR_N_h,MATCH(RIGHT($F$1,1),rotation_heavy,0)),
IF(AND(ISNUMBER(SEARCH("L-Dsty.H-Res",$B45))=TRUE,ISNUMBER(SEARCH("C.",$B45))=TRUE,OR(ISNUMBER(SEARCH("heavy",$B45)),ISNUMBER(SEARCH("MEDIUM",$B45)))=TRUE),INDEX(croprotn_LDHR_C_h,MATCH(RIGHT($F$1,1),rotation_heavy,0)),
IF(AND(ISNUMBER(SEARCH("L-Dsty.L-Res",$B45))=TRUE,ISNUMBER(SEARCH("E.",$B45))=TRUE,OR(ISNUMBER(SEARCH("heavy",$B45)),ISNUMBER(SEARCH("MEDIUM",$B45)))=TRUE),INDEX(croprotn_LDLR_E_h,MATCH(RIGHT($F$1,1),rotation_heavy,0)),
IF(AND(ISNUMBER(SEARCH("L-Dsty.L-Res",$B45))=TRUE,ISNUMBER(SEARCH("N.",$B45))=TRUE,OR(ISNUMBER(SEARCH("heavy",$B45)),ISNUMBER(SEARCH("MEDIUM",$B45)))=TRUE),INDEX(croprotn_LDLR_N_h,MATCH(RIGHT($F$1,1),rotation_heavy,0)),
IF(AND(ISNUMBER(SEARCH("L-Dsty.L-Res",$B45))=TRUE,ISNUMBER(SEARCH("C.",$B45))=TRUE,OR(ISNUMBER(SEARCH("heavy",$B45)),ISNUMBER(SEARCH("MEDIUM",$B45)))=TRUE),INDEX(croprotn_LDLR_C_h,MATCH(RIGHT($F$1,1),rotation_heavy,0)),
IF(AND(ISNUMBER(SEARCH("H-Dsty.H-Res",$B45))=TRUE,ISNUMBER(SEARCH("E.",$B45))=TRUE,ISNUMBER(SEARCH("light",$B45))=TRUE),INDEX(croprotn_HDHR_E_l,MATCH(RIGHT($F$1,1),rotation_light,0)),
IF(AND(ISNUMBER(SEARCH("H-Dsty.H-Res",$B45))=TRUE,ISNUMBER(SEARCH("N.",$B45))=TRUE,ISNUMBER(SEARCH("light",$B45))=TRUE),INDEX(croprotn_HDHR_N_l,MATCH(RIGHT($F$1,1),rotation_light,0)),
IF(AND(ISNUMBER(SEARCH("H-Dsty.H-Res",$B45))=TRUE,ISNUMBER(SEARCH("C.",$B45))=TRUE,ISNUMBER(SEARCH("light",$B45))=TRUE),INDEX(croprotn_HDHR_C_l,MATCH(RIGHT($F$1,1),rotation_light,0)),
IF(AND(ISNUMBER(SEARCH("L-Dsty.H-Res",$B45))=TRUE,ISNUMBER(SEARCH("E.",$B45))=TRUE,ISNUMBER(SEARCH("light",$B45))=TRUE),INDEX(croprotn_LDHR_E_l,MATCH(RIGHT($F$1,1),rotation_light,0)),
IF(AND(ISNUMBER(SEARCH("L-Dsty.H-Res",$B45))=TRUE,ISNUMBER(SEARCH("N.",$B45))=TRUE,ISNUMBER(SEARCH("light",$B45))=TRUE),INDEX(croprotn_LDHR_N_l,MATCH(RIGHT($F$1,1),rotation_light,0)),
IF(AND(ISNUMBER(SEARCH("L-Dsty.H-Res",$B45))=TRUE,ISNUMBER(SEARCH("C.",$B45))=TRUE,ISNUMBER(SEARCH("light",$B45))=TRUE),INDEX(croprotn_LDHR_C_l,MATCH(RIGHT($F$1,1),rotation_light,0)),
IF(AND(ISNUMBER(SEARCH("L-Dsty.L-Res",$B45))=TRUE,ISNUMBER(SEARCH("E.",$B45))=TRUE,ISNUMBER(SEARCH("light",$B45))=TRUE),INDEX(croprotn_LDLR_E_l,MATCH(RIGHT($F$1,1),rotation_light,0)),
IF(AND(ISNUMBER(SEARCH("L-Dsty.L-Res",$B45))=TRUE,ISNUMBER(SEARCH("N.",$B45))=TRUE,ISNUMBER(SEARCH("light",$B45))=TRUE),INDEX(croprotn_LDLR_N_l,MATCH(RIGHT($F$1,1),rotation_light,0)),
IF(AND(ISNUMBER(SEARCH("L-Dsty.L-Res",$B45))=TRUE,ISNUMBER(SEARCH("C.",$B45))=TRUE,ISNUMBER(SEARCH("light",$B45))=TRUE),INDEX(croprotn_LDLR_C_l,MATCH(RIGHT($F$1,1),rotation_light,0))
))))))))))))))))))</f>
        <v>winterwheat</v>
      </c>
      <c r="G45" s="234" t="str">
        <f t="shared" si="84"/>
        <v>winterbarley</v>
      </c>
      <c r="H45" s="234" t="str">
        <f t="shared" si="100"/>
        <v>wosr</v>
      </c>
      <c r="I45" s="234" t="str">
        <f t="shared" si="101"/>
        <v>winterwheat</v>
      </c>
      <c r="J45" s="234" t="str">
        <f t="shared" si="102"/>
        <v>springbeans</v>
      </c>
      <c r="K45" s="234" t="str">
        <f t="shared" si="103"/>
        <v>winterwheat</v>
      </c>
      <c r="L45" s="154" t="str">
        <f t="shared" si="104"/>
        <v>lightcultivation</v>
      </c>
      <c r="M45" s="154" t="str">
        <f t="shared" si="105"/>
        <v>lightcultivation</v>
      </c>
      <c r="N45" s="154" t="str">
        <f t="shared" si="106"/>
        <v>subsoiling</v>
      </c>
      <c r="O45" s="154" t="str">
        <f t="shared" si="164"/>
        <v>lightcultivation</v>
      </c>
      <c r="P45" s="154" t="str">
        <f t="shared" si="165"/>
        <v>lightcultivation</v>
      </c>
      <c r="Q45" s="154" t="str">
        <f t="shared" si="95"/>
        <v>lightcultivation</v>
      </c>
      <c r="R45" s="234">
        <f t="shared" si="86"/>
        <v>190</v>
      </c>
      <c r="S45" s="234">
        <f t="shared" si="107"/>
        <v>195</v>
      </c>
      <c r="T45" s="234">
        <f t="shared" si="108"/>
        <v>3.2</v>
      </c>
      <c r="U45" s="234">
        <f t="shared" si="87"/>
        <v>190</v>
      </c>
      <c r="V45" s="234">
        <f t="shared" si="109"/>
        <v>305</v>
      </c>
      <c r="W45" s="234">
        <f t="shared" si="110"/>
        <v>190</v>
      </c>
      <c r="X45" s="154" t="str">
        <f t="shared" si="111"/>
        <v>no</v>
      </c>
      <c r="Y45" s="154" t="str">
        <f t="shared" si="112"/>
        <v>no</v>
      </c>
      <c r="Z45" s="154" t="str">
        <f t="shared" si="113"/>
        <v>no</v>
      </c>
      <c r="AA45" s="154" t="str">
        <f t="shared" si="114"/>
        <v>no</v>
      </c>
      <c r="AB45" s="154" t="str">
        <f t="shared" si="115"/>
        <v>no</v>
      </c>
      <c r="AC45" s="154" t="str">
        <f t="shared" si="116"/>
        <v>no</v>
      </c>
      <c r="AD45" s="234">
        <f>IF(AND(ISNUMBER(SEARCH("H-Dsty.H-Res",$B45))=TRUE,ISNUMBER(SEARCH("E.",$B45))=TRUE),INDEX(fertrate_HDHR_E,MATCH($F45,fertrate_CROPS,0)),
IF(AND(ISNUMBER(SEARCH("H-Dsty.H-Res",$B45))=TRUE,ISNUMBER(SEARCH("N.",$B45))=TRUE),INDEX(fertrate_HDHR_N,MATCH($F45,fertrate_CROPS,0)),
IF(AND(ISNUMBER(SEARCH("H-Dsty.H-Res",$B45))=TRUE,ISNUMBER(SEARCH("C.",$B45))=TRUE),INDEX(fertrate_HDHR_C,MATCH($F45,fertrate_CROPS,0)),
IF(AND(ISNUMBER(SEARCH("L-Dsty.H-Res",$B45))=TRUE,ISNUMBER(SEARCH("E.",$B45))=TRUE),INDEX(fertrate_LDHR_E,MATCH($F45,fertrate_CROPS,0)),
IF(AND(ISNUMBER(SEARCH("L-Dsty.H-Res",$B45))=TRUE,ISNUMBER(SEARCH("N.",$B45))=TRUE),INDEX(fertrate_LDHR_N,MATCH($F45,fertrate_CROPS,0)),
IF(AND(ISNUMBER(SEARCH("L-Dsty.H-Res",$B45))=TRUE,ISNUMBER(SEARCH("C.",$B45))=TRUE),INDEX(fertrate_LDHR_C,MATCH($F45,fertrate_CROPS,0)),
IF(AND(ISNUMBER(SEARCH("L-Dsty.L-Res",$B45))=TRUE,ISNUMBER(SEARCH("E.",$B45))=TRUE),INDEX(fertrate_LDLR_E,MATCH($F45,fertrate_CROPS,0)),
IF(AND(ISNUMBER(SEARCH("L-Dsty.L-Res",$B45))=TRUE,ISNUMBER(SEARCH("N.",$B45))=TRUE),INDEX(fertrate_LDLR_N,MATCH($F45,fertrate_CROPS,0)),
IF(AND(ISNUMBER(SEARCH("L-Dsty.L-Res",$B45))=TRUE,ISNUMBER(SEARCH("C.",$B45))=TRUE),INDEX(fertrate_LDLR_C,MATCH($F45,fertrate_CROPS,0))
)))))))))</f>
        <v>220</v>
      </c>
      <c r="AE45" s="234">
        <f t="shared" si="85"/>
        <v>190</v>
      </c>
      <c r="AF45" s="234">
        <f t="shared" si="168"/>
        <v>180</v>
      </c>
      <c r="AG45" s="234">
        <f>IF(AND(ISNUMBER(SEARCH("H-Dsty.",$B45))=TRUE,ISNUMBER(SEARCH("H-Res",$B45))=TRUE,ISNUMBER(SEARCH("E.",$B45))=TRUE),INDEX(fertrate_HDHR_E,MATCH($I45,fertrate_CROPS,0)),
IF(AND(ISNUMBER(SEARCH("H-Dsty.",$B45))=TRUE,ISNUMBER(SEARCH("H-Res",$B45))=TRUE,ISNUMBER(SEARCH("N.",$B45))=TRUE),INDEX(fertrate_HDHR_N,MATCH($I45,fertrate_CROPS,0)),
IF(AND(ISNUMBER(SEARCH("H-Dsty.",$B45))=TRUE,ISNUMBER(SEARCH("H-Res",$B45))=TRUE,ISNUMBER(SEARCH("C.",$B45))=TRUE),INDEX(fertrate_HDHR_C,MATCH($I45,fertrate_CROPS,0)),
IF(AND(ISNUMBER(SEARCH("L-Dsty.",$B45))=TRUE,ISNUMBER(SEARCH("H-Res",$B45))=TRUE,ISNUMBER(SEARCH("E.",$B45))=TRUE),INDEX(fertrate_LDHR_E,MATCH($I45,fertrate_CROPS,0)),
IF(AND(ISNUMBER(SEARCH("L-Dsty.",$B45))=TRUE,ISNUMBER(SEARCH("H-Res",$B45))=TRUE,ISNUMBER(SEARCH("N.",$B45))=TRUE),INDEX(fertrate_LDHR_N,MATCH($I45,fertrate_CROPS,0)),
IF(AND(ISNUMBER(SEARCH("L-Dsty.",$B45))=TRUE,ISNUMBER(SEARCH("H-Res",$B45))=TRUE,ISNUMBER(SEARCH("C.",$B45))=TRUE),INDEX(fertrate_LDHR_C,MATCH($I45,fertrate_CROPS,0)),
IF(AND(ISNUMBER(SEARCH("L-Dsty.",$B45))=TRUE,ISNUMBER(SEARCH("L-Res",$B45))=TRUE,ISNUMBER(SEARCH("E.",$B45))=TRUE),INDEX(fertrate_LDLR_E,MATCH($I45,fertrate_CROPS,0)),
IF(AND(ISNUMBER(SEARCH("L-Dsty.",$B45))=TRUE,ISNUMBER(SEARCH("L-Res",$B45))=TRUE,ISNUMBER(SEARCH("N.",$B45))=TRUE),INDEX(fertrate_LDLR_N,MATCH($I45,fertrate_CROPS,0)),
IF(AND(ISNUMBER(SEARCH("L-Dsty.",$B45))=TRUE,ISNUMBER(SEARCH("L-Res",$B45))=TRUE,ISNUMBER(SEARCH("C.",$B45))=TRUE),INDEX(fertrate_LDLR_C,MATCH($I45,fertrate_CROPS,0))
)))))))))</f>
        <v>220</v>
      </c>
      <c r="AH45" s="234">
        <f t="shared" si="80"/>
        <v>0</v>
      </c>
      <c r="AI45" s="234">
        <f>IF(AND(ISNUMBER(SEARCH("H-Dsty.",$B45))=TRUE,ISNUMBER(SEARCH("H-Res",$B45))=TRUE,ISNUMBER(SEARCH("E.",$B45))=TRUE),INDEX(fertrate_HDHR_E,MATCH($K45,fertrate_CROPS,0)),
IF(AND(ISNUMBER(SEARCH("H-Dsty.",$B45))=TRUE,ISNUMBER(SEARCH("H-Res",$B45))=TRUE,ISNUMBER(SEARCH("N.",$B45))=TRUE),INDEX(fertrate_HDHR_N,MATCH($K45,fertrate_CROPS,0)),
IF(AND(ISNUMBER(SEARCH("H-Dsty.",$B45))=TRUE,ISNUMBER(SEARCH("H-Res",$B45))=TRUE,ISNUMBER(SEARCH("C.",$B45))=TRUE),INDEX(fertrate_HDHR_C,MATCH($K45,fertrate_CROPS,0)),
IF(AND(ISNUMBER(SEARCH("L-Dsty.",$B45))=TRUE,ISNUMBER(SEARCH("H-Res",$B45))=TRUE,ISNUMBER(SEARCH("E.",$B45))=TRUE),INDEX(fertrate_LDHR_E,MATCH($K45,fertrate_CROPS,0)),
IF(AND(ISNUMBER(SEARCH("L-Dsty.",$B45))=TRUE,ISNUMBER(SEARCH("H-Res",$B45))=TRUE,ISNUMBER(SEARCH("N.",$B45))=TRUE),INDEX(fertrate_LDHR_N,MATCH($K45,fertrate_CROPS,0)),
IF(AND(ISNUMBER(SEARCH("L-Dsty.",$B45))=TRUE,ISNUMBER(SEARCH("H-Res",$B45))=TRUE,ISNUMBER(SEARCH("C.",$B45))=TRUE),INDEX(fertrate_LDHR_C,MATCH($K45,fertrate_CROPS,0)),
IF(AND(ISNUMBER(SEARCH("L-Dsty.",$B45))=TRUE,ISNUMBER(SEARCH("L-Res",$B45))=TRUE,ISNUMBER(SEARCH("E.",$B45))=TRUE),INDEX(fertrate_LDLR_E,MATCH($K45,fertrate_CROPS,0)),
IF(AND(ISNUMBER(SEARCH("L-Dsty.",$B45))=TRUE,ISNUMBER(SEARCH("L-Res",$B45))=TRUE,ISNUMBER(SEARCH("N.",$B45))=TRUE),INDEX(fertrate_LDLR_N,MATCH($K45,fertrate_CROPS,0)),
IF(AND(ISNUMBER(SEARCH("L-Dsty.",$B45))=TRUE,ISNUMBER(SEARCH("L-Res",$B45))=TRUE,ISNUMBER(SEARCH("C.",$B45))=TRUE),INDEX(fertrate_LDLR_C,MATCH($K45,fertrate_CROPS,0))
)))))))))</f>
        <v>220</v>
      </c>
      <c r="AJ45" s="154">
        <f t="shared" si="117"/>
        <v>67</v>
      </c>
      <c r="AK45" s="154">
        <f t="shared" si="118"/>
        <v>58</v>
      </c>
      <c r="AL45" s="154">
        <f t="shared" si="119"/>
        <v>49</v>
      </c>
      <c r="AM45" s="154">
        <f t="shared" si="120"/>
        <v>67</v>
      </c>
      <c r="AN45" s="154">
        <f t="shared" si="121"/>
        <v>43</v>
      </c>
      <c r="AO45" s="154">
        <f t="shared" si="122"/>
        <v>67</v>
      </c>
      <c r="AP45" s="154">
        <f t="shared" si="123"/>
        <v>48</v>
      </c>
      <c r="AQ45" s="154">
        <f t="shared" si="124"/>
        <v>41</v>
      </c>
      <c r="AR45" s="154">
        <f t="shared" si="125"/>
        <v>39</v>
      </c>
      <c r="AS45" s="154">
        <f t="shared" si="126"/>
        <v>48</v>
      </c>
      <c r="AT45" s="154">
        <f t="shared" si="127"/>
        <v>47</v>
      </c>
      <c r="AU45" s="154">
        <f t="shared" si="128"/>
        <v>48</v>
      </c>
      <c r="AV45" s="234">
        <f t="shared" si="89"/>
        <v>1</v>
      </c>
      <c r="AW45" s="234">
        <f t="shared" si="129"/>
        <v>0.4</v>
      </c>
      <c r="AX45" s="234">
        <f t="shared" si="130"/>
        <v>2</v>
      </c>
      <c r="AY45" s="345">
        <v>4.4000000000000004</v>
      </c>
      <c r="AZ45" s="234">
        <f t="shared" si="131"/>
        <v>4</v>
      </c>
      <c r="BA45" s="234">
        <f t="shared" si="132"/>
        <v>1</v>
      </c>
      <c r="BB45" s="234">
        <f t="shared" si="133"/>
        <v>3</v>
      </c>
      <c r="BC45" s="234">
        <f t="shared" si="134"/>
        <v>3</v>
      </c>
      <c r="BD45" s="234">
        <f t="shared" si="135"/>
        <v>0</v>
      </c>
      <c r="BE45" s="234">
        <f t="shared" si="91"/>
        <v>3</v>
      </c>
      <c r="BF45" s="234">
        <f t="shared" si="136"/>
        <v>6</v>
      </c>
      <c r="BG45" s="234">
        <f t="shared" si="137"/>
        <v>3</v>
      </c>
      <c r="BH45" s="234">
        <f t="shared" si="138"/>
        <v>3</v>
      </c>
      <c r="BI45" s="234">
        <f t="shared" si="139"/>
        <v>2</v>
      </c>
      <c r="BJ45" s="234">
        <f t="shared" si="140"/>
        <v>2</v>
      </c>
      <c r="BK45" s="234">
        <f t="shared" si="92"/>
        <v>3</v>
      </c>
      <c r="BL45" s="234">
        <f t="shared" si="141"/>
        <v>3</v>
      </c>
      <c r="BM45" s="234">
        <f t="shared" si="142"/>
        <v>3</v>
      </c>
      <c r="BN45" s="154" t="s">
        <v>483</v>
      </c>
      <c r="BO45" s="154" t="str">
        <f t="shared" si="143"/>
        <v>medium</v>
      </c>
      <c r="BP45" s="154" t="str">
        <f t="shared" si="144"/>
        <v>low</v>
      </c>
      <c r="BQ45" s="154" t="str">
        <f t="shared" si="145"/>
        <v>low</v>
      </c>
      <c r="BR45" s="154" t="s">
        <v>182</v>
      </c>
      <c r="BS45" s="154" t="s">
        <v>182</v>
      </c>
      <c r="BT45" s="154" t="s">
        <v>182</v>
      </c>
      <c r="BU45" s="154">
        <f t="shared" si="146"/>
        <v>150</v>
      </c>
      <c r="BV45" s="154">
        <f t="shared" si="147"/>
        <v>138</v>
      </c>
      <c r="BW45" s="154">
        <f t="shared" si="148"/>
        <v>335</v>
      </c>
      <c r="BX45" s="154">
        <f t="shared" si="149"/>
        <v>150</v>
      </c>
      <c r="BY45" s="154">
        <f t="shared" si="150"/>
        <v>185</v>
      </c>
      <c r="BZ45" s="154">
        <f t="shared" si="151"/>
        <v>150</v>
      </c>
      <c r="CA45" s="356">
        <f t="array" ref="CA45">IF(yieldsetting1="estimate",0,INDEX(cropdata, MATCH(yieldsource,outputs,0), MATCH($F45,cropdatacrops,0)))</f>
        <v>0</v>
      </c>
      <c r="CB45" s="356">
        <f t="array" ref="CB45">IF(yieldsetting1="estimate",0,INDEX(cropdata, MATCH(yieldsource,outputs,0), MATCH($G45,cropdatacrops,0)))</f>
        <v>0</v>
      </c>
      <c r="CC45" s="356">
        <f t="array" ref="CC45">IF(yieldsetting1="estimate",0,INDEX(cropdata, MATCH(yieldsource,outputs,0), MATCH($H45,cropdatacrops,0)))</f>
        <v>0</v>
      </c>
      <c r="CD45" s="356">
        <f t="array" ref="CD45">IF(yieldsetting1="estimate",0,INDEX(cropdata, MATCH(yieldsource,outputs,0), MATCH($I45,cropdatacrops,0)))</f>
        <v>0</v>
      </c>
      <c r="CE45" s="356">
        <f t="array" ref="CE45">IF(yieldsetting1="estimate",0,INDEX(cropdata, MATCH(yieldsource,outputs,0), MATCH($J45,cropdatacrops,0)))</f>
        <v>0</v>
      </c>
      <c r="CF45" s="356">
        <f t="array" ref="CF45">IF(yieldsetting1="estimate",0,INDEX(cropdata, MATCH(yieldsource,outputs,0), MATCH($K45,cropdatacrops,0)))</f>
        <v>0</v>
      </c>
      <c r="CG45" s="154" t="str">
        <f t="shared" si="152"/>
        <v>estimate</v>
      </c>
      <c r="CH45" s="235">
        <f t="shared" si="153"/>
        <v>0.8</v>
      </c>
      <c r="CI45" s="235">
        <f t="shared" si="154"/>
        <v>0.72</v>
      </c>
      <c r="CJ45" s="154">
        <f t="shared" si="155"/>
        <v>0.46</v>
      </c>
      <c r="CK45" s="154">
        <f t="shared" si="156"/>
        <v>0.36</v>
      </c>
      <c r="CL45" s="154">
        <f t="shared" si="157"/>
        <v>0.36</v>
      </c>
      <c r="CM45" s="154">
        <f t="shared" si="158"/>
        <v>7.34</v>
      </c>
      <c r="CN45" s="154">
        <f t="shared" si="159"/>
        <v>0.36</v>
      </c>
      <c r="CO45" s="154">
        <f t="shared" si="160"/>
        <v>0.38</v>
      </c>
      <c r="CP45" s="154">
        <f t="shared" si="161"/>
        <v>0.36</v>
      </c>
      <c r="CQ45" s="154">
        <f t="shared" si="166"/>
        <v>19.5</v>
      </c>
      <c r="CR45" s="154">
        <f t="shared" si="166"/>
        <v>19.5</v>
      </c>
      <c r="CS45" s="154">
        <f t="shared" si="166"/>
        <v>19.5</v>
      </c>
      <c r="CT45" s="154">
        <f t="shared" si="166"/>
        <v>19.5</v>
      </c>
      <c r="CU45" s="154">
        <f t="shared" si="166"/>
        <v>19.5</v>
      </c>
      <c r="CV45" s="154">
        <f t="shared" si="166"/>
        <v>19.5</v>
      </c>
      <c r="CW45" s="154">
        <f t="shared" si="167"/>
        <v>2.4300000000000002</v>
      </c>
      <c r="CX45" s="154">
        <f t="shared" si="167"/>
        <v>2.4300000000000002</v>
      </c>
      <c r="CY45" s="154">
        <f t="shared" si="167"/>
        <v>2.4300000000000002</v>
      </c>
      <c r="CZ45" s="154">
        <f t="shared" si="167"/>
        <v>2.4300000000000002</v>
      </c>
      <c r="DA45" s="154">
        <f t="shared" si="167"/>
        <v>2.4300000000000002</v>
      </c>
      <c r="DB45" s="154">
        <f t="shared" si="167"/>
        <v>2.4300000000000002</v>
      </c>
      <c r="DC45" s="154">
        <v>102</v>
      </c>
      <c r="DD45" s="154">
        <v>6</v>
      </c>
      <c r="DE45" s="154">
        <v>4</v>
      </c>
      <c r="DF45" s="154">
        <v>1400</v>
      </c>
      <c r="DG45" s="154">
        <v>125</v>
      </c>
      <c r="DH45" s="154">
        <f t="shared" si="162"/>
        <v>0.625</v>
      </c>
      <c r="DI45" s="154">
        <f t="shared" si="163"/>
        <v>10.08</v>
      </c>
    </row>
    <row r="46" spans="1:113" x14ac:dyDescent="0.2">
      <c r="A46" s="335" t="s">
        <v>1624</v>
      </c>
      <c r="B46" s="334" t="s">
        <v>489</v>
      </c>
      <c r="C46" s="334" t="s">
        <v>1649</v>
      </c>
      <c r="D46" s="233" t="str">
        <f>IF(ISNUMBER(SEARCH("heavy",B46))=TRUE,"2.25",
IF(ISNUMBER(SEARCH("medium",B46))=TRUE,"1.50",
IF(ISNUMBER(SEARCH("light",B46))=TRUE,"0.75")))</f>
        <v>1.50</v>
      </c>
      <c r="E46" s="154">
        <v>6</v>
      </c>
      <c r="F46" s="234" t="str" cm="1">
        <f t="array" ref="F46">IF(AND(ISNUMBER(SEARCH("H-Dsty.H-Res",$B46))=TRUE,ISNUMBER(SEARCH("E.",$B46))=TRUE,OR(ISNUMBER(SEARCH("heavy",$B46)),ISNUMBER(SEARCH("MEDIUM",$B46)))=TRUE),INDEX(croprotn_HDHR_E_h,MATCH(RIGHT($F$1,1),rotation_heavy,0)),
IF(AND(ISNUMBER(SEARCH("H-Dsty.H-Res",$B46))=TRUE,ISNUMBER(SEARCH("N.",$B46))=TRUE,OR(ISNUMBER(SEARCH("heavy",$B46)),ISNUMBER(SEARCH("MEDIUM",$B46)))=TRUE),INDEX(croprotn_HDHR_N_h,MATCH(RIGHT($F$1,1),rotation_heavy,0)),
IF(AND(ISNUMBER(SEARCH("H-Dsty.H-Res",$B46))=TRUE,ISNUMBER(SEARCH("C.",$B46))=TRUE,OR(ISNUMBER(SEARCH("heavy",$B46)),ISNUMBER(SEARCH("MEDIUM",$B46)))=TRUE),INDEX(croprotn_HDHR_C_h,MATCH(RIGHT($F$1,1),rotation_heavy,0)),
IF(AND(ISNUMBER(SEARCH("L-Dsty.H-Res",$B46))=TRUE,ISNUMBER(SEARCH("E.",$B46))=TRUE,OR(ISNUMBER(SEARCH("heavy",$B46)),ISNUMBER(SEARCH("MEDIUM",$B46)))=TRUE),INDEX(croprotn_LDHR_E_h,MATCH(RIGHT($F$1,1),rotation_heavy,0)),
IF(AND(ISNUMBER(SEARCH("L-Dsty.H-Res",$B46))=TRUE,ISNUMBER(SEARCH("N.",$B46))=TRUE,OR(ISNUMBER(SEARCH("heavy",$B46)),ISNUMBER(SEARCH("MEDIUM",$B46)))=TRUE),INDEX(croprotn_LDHR_N_h,MATCH(RIGHT($F$1,1),rotation_heavy,0)),
IF(AND(ISNUMBER(SEARCH("L-Dsty.H-Res",$B46))=TRUE,ISNUMBER(SEARCH("C.",$B46))=TRUE,OR(ISNUMBER(SEARCH("heavy",$B46)),ISNUMBER(SEARCH("MEDIUM",$B46)))=TRUE),INDEX(croprotn_LDHR_C_h,MATCH(RIGHT($F$1,1),rotation_heavy,0)),
IF(AND(ISNUMBER(SEARCH("L-Dsty.L-Res",$B46))=TRUE,ISNUMBER(SEARCH("E.",$B46))=TRUE,OR(ISNUMBER(SEARCH("heavy",$B46)),ISNUMBER(SEARCH("MEDIUM",$B46)))=TRUE),INDEX(croprotn_LDLR_E_h,MATCH(RIGHT($F$1,1),rotation_heavy,0)),
IF(AND(ISNUMBER(SEARCH("L-Dsty.L-Res",$B46))=TRUE,ISNUMBER(SEARCH("N.",$B46))=TRUE,OR(ISNUMBER(SEARCH("heavy",$B46)),ISNUMBER(SEARCH("MEDIUM",$B46)))=TRUE),INDEX(croprotn_LDLR_N_h,MATCH(RIGHT($F$1,1),rotation_heavy,0)),
IF(AND(ISNUMBER(SEARCH("L-Dsty.L-Res",$B46))=TRUE,ISNUMBER(SEARCH("C.",$B46))=TRUE,OR(ISNUMBER(SEARCH("heavy",$B46)),ISNUMBER(SEARCH("MEDIUM",$B46)))=TRUE),INDEX(croprotn_LDLR_C_h,MATCH(RIGHT($F$1,1),rotation_heavy,0)),
IF(AND(ISNUMBER(SEARCH("H-Dsty.H-Res",$B46))=TRUE,ISNUMBER(SEARCH("E.",$B46))=TRUE,ISNUMBER(SEARCH("light",$B46))=TRUE),INDEX(croprotn_HDHR_E_l,MATCH(RIGHT($F$1,1),rotation_light,0)),
IF(AND(ISNUMBER(SEARCH("H-Dsty.H-Res",$B46))=TRUE,ISNUMBER(SEARCH("N.",$B46))=TRUE,ISNUMBER(SEARCH("light",$B46))=TRUE),INDEX(croprotn_HDHR_N_l,MATCH(RIGHT($F$1,1),rotation_light,0)),
IF(AND(ISNUMBER(SEARCH("H-Dsty.H-Res",$B46))=TRUE,ISNUMBER(SEARCH("C.",$B46))=TRUE,ISNUMBER(SEARCH("light",$B46))=TRUE),INDEX(croprotn_HDHR_C_l,MATCH(RIGHT($F$1,1),rotation_light,0)),
IF(AND(ISNUMBER(SEARCH("L-Dsty.H-Res",$B46))=TRUE,ISNUMBER(SEARCH("E.",$B46))=TRUE,ISNUMBER(SEARCH("light",$B46))=TRUE),INDEX(croprotn_LDHR_E_l,MATCH(RIGHT($F$1,1),rotation_light,0)),
IF(AND(ISNUMBER(SEARCH("L-Dsty.H-Res",$B46))=TRUE,ISNUMBER(SEARCH("N.",$B46))=TRUE,ISNUMBER(SEARCH("light",$B46))=TRUE),INDEX(croprotn_LDHR_N_l,MATCH(RIGHT($F$1,1),rotation_light,0)),
IF(AND(ISNUMBER(SEARCH("L-Dsty.H-Res",$B46))=TRUE,ISNUMBER(SEARCH("C.",$B46))=TRUE,ISNUMBER(SEARCH("light",$B46))=TRUE),INDEX(croprotn_LDHR_C_l,MATCH(RIGHT($F$1,1),rotation_light,0)),
IF(AND(ISNUMBER(SEARCH("L-Dsty.L-Res",$B46))=TRUE,ISNUMBER(SEARCH("E.",$B46))=TRUE,ISNUMBER(SEARCH("light",$B46))=TRUE),INDEX(croprotn_LDLR_E_l,MATCH(RIGHT($F$1,1),rotation_light,0)),
IF(AND(ISNUMBER(SEARCH("L-Dsty.L-Res",$B46))=TRUE,ISNUMBER(SEARCH("N.",$B46))=TRUE,ISNUMBER(SEARCH("light",$B46))=TRUE),INDEX(croprotn_LDLR_N_l,MATCH(RIGHT($F$1,1),rotation_light,0)),
IF(AND(ISNUMBER(SEARCH("L-Dsty.L-Res",$B46))=TRUE,ISNUMBER(SEARCH("C.",$B46))=TRUE,ISNUMBER(SEARCH("light",$B46))=TRUE),INDEX(croprotn_LDLR_C_l,MATCH(RIGHT($F$1,1),rotation_light,0))
))))))))))))))))))</f>
        <v>winterwheat</v>
      </c>
      <c r="G46" s="234" t="str">
        <f t="shared" si="84"/>
        <v>winterbarley</v>
      </c>
      <c r="H46" s="234" t="str">
        <f t="shared" si="100"/>
        <v>wosr</v>
      </c>
      <c r="I46" s="234" t="str">
        <f t="shared" si="101"/>
        <v>winterwheat</v>
      </c>
      <c r="J46" s="234" t="str">
        <f t="shared" si="102"/>
        <v>springbeans</v>
      </c>
      <c r="K46" s="234" t="str">
        <f t="shared" si="103"/>
        <v>winterwheat</v>
      </c>
      <c r="L46" s="154" t="str">
        <f t="shared" si="104"/>
        <v>lightcultivation</v>
      </c>
      <c r="M46" s="154" t="str">
        <f t="shared" si="105"/>
        <v>lightcultivation</v>
      </c>
      <c r="N46" s="154" t="str">
        <f t="shared" si="106"/>
        <v>subsoiling</v>
      </c>
      <c r="O46" s="154" t="str">
        <f t="shared" si="164"/>
        <v>lightcultivation</v>
      </c>
      <c r="P46" s="154" t="str">
        <f t="shared" si="165"/>
        <v>lightcultivation</v>
      </c>
      <c r="Q46" s="154" t="str">
        <f t="shared" si="95"/>
        <v>lightcultivation</v>
      </c>
      <c r="R46" s="234">
        <f t="shared" si="86"/>
        <v>190</v>
      </c>
      <c r="S46" s="234">
        <f t="shared" si="107"/>
        <v>195</v>
      </c>
      <c r="T46" s="234">
        <f t="shared" si="108"/>
        <v>3.2</v>
      </c>
      <c r="U46" s="234">
        <f t="shared" si="87"/>
        <v>190</v>
      </c>
      <c r="V46" s="234">
        <f t="shared" si="109"/>
        <v>305</v>
      </c>
      <c r="W46" s="234">
        <f t="shared" si="110"/>
        <v>190</v>
      </c>
      <c r="X46" s="154" t="str">
        <f t="shared" si="111"/>
        <v>no</v>
      </c>
      <c r="Y46" s="154" t="str">
        <f t="shared" si="112"/>
        <v>no</v>
      </c>
      <c r="Z46" s="154" t="str">
        <f t="shared" si="113"/>
        <v>no</v>
      </c>
      <c r="AA46" s="154" t="str">
        <f t="shared" si="114"/>
        <v>no</v>
      </c>
      <c r="AB46" s="154" t="str">
        <f t="shared" si="115"/>
        <v>no</v>
      </c>
      <c r="AC46" s="154" t="str">
        <f t="shared" si="116"/>
        <v>no</v>
      </c>
      <c r="AD46" s="234">
        <f>IF(AND(ISNUMBER(SEARCH("H-Dsty.H-Res",$B46))=TRUE,ISNUMBER(SEARCH("E.",$B46))=TRUE),INDEX(fertrate_HDHR_E,MATCH($F46,fertrate_CROPS,0)),
IF(AND(ISNUMBER(SEARCH("H-Dsty.H-Res",$B46))=TRUE,ISNUMBER(SEARCH("N.",$B46))=TRUE),INDEX(fertrate_HDHR_N,MATCH($F46,fertrate_CROPS,0)),
IF(AND(ISNUMBER(SEARCH("H-Dsty.H-Res",$B46))=TRUE,ISNUMBER(SEARCH("C.",$B46))=TRUE),INDEX(fertrate_HDHR_C,MATCH($F46,fertrate_CROPS,0)),
IF(AND(ISNUMBER(SEARCH("L-Dsty.H-Res",$B46))=TRUE,ISNUMBER(SEARCH("E.",$B46))=TRUE),INDEX(fertrate_LDHR_E,MATCH($F46,fertrate_CROPS,0)),
IF(AND(ISNUMBER(SEARCH("L-Dsty.H-Res",$B46))=TRUE,ISNUMBER(SEARCH("N.",$B46))=TRUE),INDEX(fertrate_LDHR_N,MATCH($F46,fertrate_CROPS,0)),
IF(AND(ISNUMBER(SEARCH("L-Dsty.H-Res",$B46))=TRUE,ISNUMBER(SEARCH("C.",$B46))=TRUE),INDEX(fertrate_LDHR_C,MATCH($F46,fertrate_CROPS,0)),
IF(AND(ISNUMBER(SEARCH("L-Dsty.L-Res",$B46))=TRUE,ISNUMBER(SEARCH("E.",$B46))=TRUE),INDEX(fertrate_LDLR_E,MATCH($F46,fertrate_CROPS,0)),
IF(AND(ISNUMBER(SEARCH("L-Dsty.L-Res",$B46))=TRUE,ISNUMBER(SEARCH("N.",$B46))=TRUE),INDEX(fertrate_LDLR_N,MATCH($F46,fertrate_CROPS,0)),
IF(AND(ISNUMBER(SEARCH("L-Dsty.L-Res",$B46))=TRUE,ISNUMBER(SEARCH("C.",$B46))=TRUE),INDEX(fertrate_LDLR_C,MATCH($F46,fertrate_CROPS,0))
)))))))))</f>
        <v>220</v>
      </c>
      <c r="AE46" s="234">
        <f t="shared" si="85"/>
        <v>190</v>
      </c>
      <c r="AF46" s="234">
        <f t="shared" si="168"/>
        <v>180</v>
      </c>
      <c r="AG46" s="234">
        <f>IF(AND(ISNUMBER(SEARCH("H-Dsty.",$B46))=TRUE,ISNUMBER(SEARCH("H-Res",$B46))=TRUE,ISNUMBER(SEARCH("E.",$B46))=TRUE),INDEX(fertrate_HDHR_E,MATCH($I46,fertrate_CROPS,0)),
IF(AND(ISNUMBER(SEARCH("H-Dsty.",$B46))=TRUE,ISNUMBER(SEARCH("H-Res",$B46))=TRUE,ISNUMBER(SEARCH("N.",$B46))=TRUE),INDEX(fertrate_HDHR_N,MATCH($I46,fertrate_CROPS,0)),
IF(AND(ISNUMBER(SEARCH("H-Dsty.",$B46))=TRUE,ISNUMBER(SEARCH("H-Res",$B46))=TRUE,ISNUMBER(SEARCH("C.",$B46))=TRUE),INDEX(fertrate_HDHR_C,MATCH($I46,fertrate_CROPS,0)),
IF(AND(ISNUMBER(SEARCH("L-Dsty.",$B46))=TRUE,ISNUMBER(SEARCH("H-Res",$B46))=TRUE,ISNUMBER(SEARCH("E.",$B46))=TRUE),INDEX(fertrate_LDHR_E,MATCH($I46,fertrate_CROPS,0)),
IF(AND(ISNUMBER(SEARCH("L-Dsty.",$B46))=TRUE,ISNUMBER(SEARCH("H-Res",$B46))=TRUE,ISNUMBER(SEARCH("N.",$B46))=TRUE),INDEX(fertrate_LDHR_N,MATCH($I46,fertrate_CROPS,0)),
IF(AND(ISNUMBER(SEARCH("L-Dsty.",$B46))=TRUE,ISNUMBER(SEARCH("H-Res",$B46))=TRUE,ISNUMBER(SEARCH("C.",$B46))=TRUE),INDEX(fertrate_LDHR_C,MATCH($I46,fertrate_CROPS,0)),
IF(AND(ISNUMBER(SEARCH("L-Dsty.",$B46))=TRUE,ISNUMBER(SEARCH("L-Res",$B46))=TRUE,ISNUMBER(SEARCH("E.",$B46))=TRUE),INDEX(fertrate_LDLR_E,MATCH($I46,fertrate_CROPS,0)),
IF(AND(ISNUMBER(SEARCH("L-Dsty.",$B46))=TRUE,ISNUMBER(SEARCH("L-Res",$B46))=TRUE,ISNUMBER(SEARCH("N.",$B46))=TRUE),INDEX(fertrate_LDLR_N,MATCH($I46,fertrate_CROPS,0)),
IF(AND(ISNUMBER(SEARCH("L-Dsty.",$B46))=TRUE,ISNUMBER(SEARCH("L-Res",$B46))=TRUE,ISNUMBER(SEARCH("C.",$B46))=TRUE),INDEX(fertrate_LDLR_C,MATCH($I46,fertrate_CROPS,0))
)))))))))</f>
        <v>220</v>
      </c>
      <c r="AH46" s="234">
        <f t="shared" si="80"/>
        <v>0</v>
      </c>
      <c r="AI46" s="234">
        <f>IF(AND(ISNUMBER(SEARCH("H-Dsty.",$B46))=TRUE,ISNUMBER(SEARCH("H-Res",$B46))=TRUE,ISNUMBER(SEARCH("E.",$B46))=TRUE),INDEX(fertrate_HDHR_E,MATCH($K46,fertrate_CROPS,0)),
IF(AND(ISNUMBER(SEARCH("H-Dsty.",$B46))=TRUE,ISNUMBER(SEARCH("H-Res",$B46))=TRUE,ISNUMBER(SEARCH("N.",$B46))=TRUE),INDEX(fertrate_HDHR_N,MATCH($K46,fertrate_CROPS,0)),
IF(AND(ISNUMBER(SEARCH("H-Dsty.",$B46))=TRUE,ISNUMBER(SEARCH("H-Res",$B46))=TRUE,ISNUMBER(SEARCH("C.",$B46))=TRUE),INDEX(fertrate_HDHR_C,MATCH($K46,fertrate_CROPS,0)),
IF(AND(ISNUMBER(SEARCH("L-Dsty.",$B46))=TRUE,ISNUMBER(SEARCH("H-Res",$B46))=TRUE,ISNUMBER(SEARCH("E.",$B46))=TRUE),INDEX(fertrate_LDHR_E,MATCH($K46,fertrate_CROPS,0)),
IF(AND(ISNUMBER(SEARCH("L-Dsty.",$B46))=TRUE,ISNUMBER(SEARCH("H-Res",$B46))=TRUE,ISNUMBER(SEARCH("N.",$B46))=TRUE),INDEX(fertrate_LDHR_N,MATCH($K46,fertrate_CROPS,0)),
IF(AND(ISNUMBER(SEARCH("L-Dsty.",$B46))=TRUE,ISNUMBER(SEARCH("H-Res",$B46))=TRUE,ISNUMBER(SEARCH("C.",$B46))=TRUE),INDEX(fertrate_LDHR_C,MATCH($K46,fertrate_CROPS,0)),
IF(AND(ISNUMBER(SEARCH("L-Dsty.",$B46))=TRUE,ISNUMBER(SEARCH("L-Res",$B46))=TRUE,ISNUMBER(SEARCH("E.",$B46))=TRUE),INDEX(fertrate_LDLR_E,MATCH($K46,fertrate_CROPS,0)),
IF(AND(ISNUMBER(SEARCH("L-Dsty.",$B46))=TRUE,ISNUMBER(SEARCH("L-Res",$B46))=TRUE,ISNUMBER(SEARCH("N.",$B46))=TRUE),INDEX(fertrate_LDLR_N,MATCH($K46,fertrate_CROPS,0)),
IF(AND(ISNUMBER(SEARCH("L-Dsty.",$B46))=TRUE,ISNUMBER(SEARCH("L-Res",$B46))=TRUE,ISNUMBER(SEARCH("C.",$B46))=TRUE),INDEX(fertrate_LDLR_C,MATCH($K46,fertrate_CROPS,0))
)))))))))</f>
        <v>220</v>
      </c>
      <c r="AJ46" s="154">
        <f t="shared" si="117"/>
        <v>67</v>
      </c>
      <c r="AK46" s="154">
        <f t="shared" si="118"/>
        <v>58</v>
      </c>
      <c r="AL46" s="154">
        <f t="shared" si="119"/>
        <v>49</v>
      </c>
      <c r="AM46" s="154">
        <f t="shared" si="120"/>
        <v>67</v>
      </c>
      <c r="AN46" s="154">
        <f t="shared" si="121"/>
        <v>43</v>
      </c>
      <c r="AO46" s="154">
        <f t="shared" si="122"/>
        <v>67</v>
      </c>
      <c r="AP46" s="154">
        <f t="shared" si="123"/>
        <v>48</v>
      </c>
      <c r="AQ46" s="154">
        <f t="shared" si="124"/>
        <v>41</v>
      </c>
      <c r="AR46" s="154">
        <f t="shared" si="125"/>
        <v>39</v>
      </c>
      <c r="AS46" s="154">
        <f t="shared" si="126"/>
        <v>48</v>
      </c>
      <c r="AT46" s="154">
        <f t="shared" si="127"/>
        <v>47</v>
      </c>
      <c r="AU46" s="154">
        <f t="shared" si="128"/>
        <v>48</v>
      </c>
      <c r="AV46" s="234">
        <f t="shared" si="89"/>
        <v>1</v>
      </c>
      <c r="AW46" s="234">
        <f t="shared" si="129"/>
        <v>0.4</v>
      </c>
      <c r="AX46" s="234">
        <f t="shared" si="130"/>
        <v>2</v>
      </c>
      <c r="AY46" s="345">
        <v>4.4000000000000004</v>
      </c>
      <c r="AZ46" s="234">
        <f t="shared" si="131"/>
        <v>4</v>
      </c>
      <c r="BA46" s="234">
        <f t="shared" si="132"/>
        <v>1</v>
      </c>
      <c r="BB46" s="234">
        <f t="shared" si="133"/>
        <v>3</v>
      </c>
      <c r="BC46" s="234">
        <f t="shared" si="134"/>
        <v>3</v>
      </c>
      <c r="BD46" s="234">
        <f t="shared" si="135"/>
        <v>0</v>
      </c>
      <c r="BE46" s="234">
        <f t="shared" si="91"/>
        <v>3</v>
      </c>
      <c r="BF46" s="234">
        <f t="shared" si="136"/>
        <v>6</v>
      </c>
      <c r="BG46" s="234">
        <f t="shared" si="137"/>
        <v>3</v>
      </c>
      <c r="BH46" s="234">
        <f t="shared" si="138"/>
        <v>3</v>
      </c>
      <c r="BI46" s="234">
        <f t="shared" si="139"/>
        <v>2</v>
      </c>
      <c r="BJ46" s="234">
        <f t="shared" si="140"/>
        <v>2</v>
      </c>
      <c r="BK46" s="234">
        <f t="shared" si="92"/>
        <v>3</v>
      </c>
      <c r="BL46" s="234">
        <f t="shared" si="141"/>
        <v>3</v>
      </c>
      <c r="BM46" s="234">
        <f t="shared" si="142"/>
        <v>3</v>
      </c>
      <c r="BN46" s="154" t="s">
        <v>483</v>
      </c>
      <c r="BO46" s="154" t="str">
        <f t="shared" si="143"/>
        <v>low</v>
      </c>
      <c r="BP46" s="154" t="str">
        <f t="shared" si="144"/>
        <v>low</v>
      </c>
      <c r="BQ46" s="154" t="str">
        <f t="shared" si="145"/>
        <v>low</v>
      </c>
      <c r="BR46" s="154" t="s">
        <v>183</v>
      </c>
      <c r="BS46" s="154" t="s">
        <v>183</v>
      </c>
      <c r="BT46" s="154" t="s">
        <v>183</v>
      </c>
      <c r="BU46" s="154">
        <f t="shared" si="146"/>
        <v>150</v>
      </c>
      <c r="BV46" s="154">
        <f t="shared" si="147"/>
        <v>138</v>
      </c>
      <c r="BW46" s="154">
        <f t="shared" si="148"/>
        <v>335</v>
      </c>
      <c r="BX46" s="154">
        <f t="shared" si="149"/>
        <v>150</v>
      </c>
      <c r="BY46" s="154">
        <f t="shared" si="150"/>
        <v>185</v>
      </c>
      <c r="BZ46" s="154">
        <f t="shared" si="151"/>
        <v>150</v>
      </c>
      <c r="CA46" s="356">
        <f t="array" ref="CA46">IF(yieldsetting1="estimate",0,INDEX(cropdata, MATCH(yieldsource,outputs,0), MATCH($F46,cropdatacrops,0)))</f>
        <v>0</v>
      </c>
      <c r="CB46" s="356">
        <f t="array" ref="CB46">IF(yieldsetting1="estimate",0,INDEX(cropdata, MATCH(yieldsource,outputs,0), MATCH($G46,cropdatacrops,0)))</f>
        <v>0</v>
      </c>
      <c r="CC46" s="356">
        <f t="array" ref="CC46">IF(yieldsetting1="estimate",0,INDEX(cropdata, MATCH(yieldsource,outputs,0), MATCH($H46,cropdatacrops,0)))</f>
        <v>0</v>
      </c>
      <c r="CD46" s="356">
        <f t="array" ref="CD46">IF(yieldsetting1="estimate",0,INDEX(cropdata, MATCH(yieldsource,outputs,0), MATCH($I46,cropdatacrops,0)))</f>
        <v>0</v>
      </c>
      <c r="CE46" s="356">
        <f t="array" ref="CE46">IF(yieldsetting1="estimate",0,INDEX(cropdata, MATCH(yieldsource,outputs,0), MATCH($J46,cropdatacrops,0)))</f>
        <v>0</v>
      </c>
      <c r="CF46" s="356">
        <f t="array" ref="CF46">IF(yieldsetting1="estimate",0,INDEX(cropdata, MATCH(yieldsource,outputs,0), MATCH($K46,cropdatacrops,0)))</f>
        <v>0</v>
      </c>
      <c r="CG46" s="154" t="str">
        <f t="shared" si="152"/>
        <v>estimate</v>
      </c>
      <c r="CH46" s="235">
        <f t="shared" si="153"/>
        <v>0.8</v>
      </c>
      <c r="CI46" s="235">
        <f t="shared" si="154"/>
        <v>0.72</v>
      </c>
      <c r="CJ46" s="154">
        <f t="shared" si="155"/>
        <v>0.46</v>
      </c>
      <c r="CK46" s="154">
        <f t="shared" si="156"/>
        <v>0.36</v>
      </c>
      <c r="CL46" s="154">
        <f t="shared" si="157"/>
        <v>0.36</v>
      </c>
      <c r="CM46" s="154">
        <f t="shared" si="158"/>
        <v>7.34</v>
      </c>
      <c r="CN46" s="154">
        <f t="shared" si="159"/>
        <v>0.36</v>
      </c>
      <c r="CO46" s="154">
        <f t="shared" si="160"/>
        <v>0.38</v>
      </c>
      <c r="CP46" s="154">
        <f t="shared" si="161"/>
        <v>0.36</v>
      </c>
      <c r="CQ46" s="154">
        <f t="shared" si="166"/>
        <v>19.5</v>
      </c>
      <c r="CR46" s="154">
        <f t="shared" si="166"/>
        <v>19.5</v>
      </c>
      <c r="CS46" s="154">
        <f t="shared" si="166"/>
        <v>19.5</v>
      </c>
      <c r="CT46" s="154">
        <f t="shared" si="166"/>
        <v>19.5</v>
      </c>
      <c r="CU46" s="154">
        <f t="shared" si="166"/>
        <v>19.5</v>
      </c>
      <c r="CV46" s="154">
        <f t="shared" si="166"/>
        <v>19.5</v>
      </c>
      <c r="CW46" s="154">
        <f t="shared" si="167"/>
        <v>2.4300000000000002</v>
      </c>
      <c r="CX46" s="154">
        <f t="shared" si="167"/>
        <v>2.4300000000000002</v>
      </c>
      <c r="CY46" s="154">
        <f t="shared" si="167"/>
        <v>2.4300000000000002</v>
      </c>
      <c r="CZ46" s="154">
        <f t="shared" si="167"/>
        <v>2.4300000000000002</v>
      </c>
      <c r="DA46" s="154">
        <f t="shared" si="167"/>
        <v>2.4300000000000002</v>
      </c>
      <c r="DB46" s="154">
        <f t="shared" si="167"/>
        <v>2.4300000000000002</v>
      </c>
      <c r="DC46" s="154">
        <v>102</v>
      </c>
      <c r="DD46" s="154">
        <v>6</v>
      </c>
      <c r="DE46" s="154">
        <v>4</v>
      </c>
      <c r="DF46" s="154">
        <v>1400</v>
      </c>
      <c r="DG46" s="154">
        <v>125</v>
      </c>
      <c r="DH46" s="154">
        <f t="shared" si="162"/>
        <v>0.625</v>
      </c>
      <c r="DI46" s="154">
        <f t="shared" si="163"/>
        <v>10.08</v>
      </c>
    </row>
    <row r="47" spans="1:113" x14ac:dyDescent="0.2">
      <c r="A47" s="335" t="s">
        <v>1625</v>
      </c>
      <c r="B47" s="334" t="s">
        <v>489</v>
      </c>
      <c r="C47" s="334" t="s">
        <v>1650</v>
      </c>
      <c r="D47" s="233" t="str">
        <f>IF(ISNUMBER(SEARCH("heavy",B47))=TRUE,"2.25",
IF(ISNUMBER(SEARCH("medium",B47))=TRUE,"1.50",
IF(ISNUMBER(SEARCH("light",B47))=TRUE,"0.75")))</f>
        <v>1.50</v>
      </c>
      <c r="E47" s="154">
        <v>6</v>
      </c>
      <c r="F47" s="234" t="str" cm="1">
        <f t="array" ref="F47">IF(AND(ISNUMBER(SEARCH("H-Dsty.H-Res",$B47))=TRUE,ISNUMBER(SEARCH("E.",$B47))=TRUE,OR(ISNUMBER(SEARCH("heavy",$B47)),ISNUMBER(SEARCH("MEDIUM",$B47)))=TRUE),INDEX(croprotn_HDHR_E_h,MATCH(RIGHT($F$1,1),rotation_heavy,0)),
IF(AND(ISNUMBER(SEARCH("H-Dsty.H-Res",$B47))=TRUE,ISNUMBER(SEARCH("N.",$B47))=TRUE,OR(ISNUMBER(SEARCH("heavy",$B47)),ISNUMBER(SEARCH("MEDIUM",$B47)))=TRUE),INDEX(croprotn_HDHR_N_h,MATCH(RIGHT($F$1,1),rotation_heavy,0)),
IF(AND(ISNUMBER(SEARCH("H-Dsty.H-Res",$B47))=TRUE,ISNUMBER(SEARCH("C.",$B47))=TRUE,OR(ISNUMBER(SEARCH("heavy",$B47)),ISNUMBER(SEARCH("MEDIUM",$B47)))=TRUE),INDEX(croprotn_HDHR_C_h,MATCH(RIGHT($F$1,1),rotation_heavy,0)),
IF(AND(ISNUMBER(SEARCH("L-Dsty.H-Res",$B47))=TRUE,ISNUMBER(SEARCH("E.",$B47))=TRUE,OR(ISNUMBER(SEARCH("heavy",$B47)),ISNUMBER(SEARCH("MEDIUM",$B47)))=TRUE),INDEX(croprotn_LDHR_E_h,MATCH(RIGHT($F$1,1),rotation_heavy,0)),
IF(AND(ISNUMBER(SEARCH("L-Dsty.H-Res",$B47))=TRUE,ISNUMBER(SEARCH("N.",$B47))=TRUE,OR(ISNUMBER(SEARCH("heavy",$B47)),ISNUMBER(SEARCH("MEDIUM",$B47)))=TRUE),INDEX(croprotn_LDHR_N_h,MATCH(RIGHT($F$1,1),rotation_heavy,0)),
IF(AND(ISNUMBER(SEARCH("L-Dsty.H-Res",$B47))=TRUE,ISNUMBER(SEARCH("C.",$B47))=TRUE,OR(ISNUMBER(SEARCH("heavy",$B47)),ISNUMBER(SEARCH("MEDIUM",$B47)))=TRUE),INDEX(croprotn_LDHR_C_h,MATCH(RIGHT($F$1,1),rotation_heavy,0)),
IF(AND(ISNUMBER(SEARCH("L-Dsty.L-Res",$B47))=TRUE,ISNUMBER(SEARCH("E.",$B47))=TRUE,OR(ISNUMBER(SEARCH("heavy",$B47)),ISNUMBER(SEARCH("MEDIUM",$B47)))=TRUE),INDEX(croprotn_LDLR_E_h,MATCH(RIGHT($F$1,1),rotation_heavy,0)),
IF(AND(ISNUMBER(SEARCH("L-Dsty.L-Res",$B47))=TRUE,ISNUMBER(SEARCH("N.",$B47))=TRUE,OR(ISNUMBER(SEARCH("heavy",$B47)),ISNUMBER(SEARCH("MEDIUM",$B47)))=TRUE),INDEX(croprotn_LDLR_N_h,MATCH(RIGHT($F$1,1),rotation_heavy,0)),
IF(AND(ISNUMBER(SEARCH("L-Dsty.L-Res",$B47))=TRUE,ISNUMBER(SEARCH("C.",$B47))=TRUE,OR(ISNUMBER(SEARCH("heavy",$B47)),ISNUMBER(SEARCH("MEDIUM",$B47)))=TRUE),INDEX(croprotn_LDLR_C_h,MATCH(RIGHT($F$1,1),rotation_heavy,0)),
IF(AND(ISNUMBER(SEARCH("H-Dsty.H-Res",$B47))=TRUE,ISNUMBER(SEARCH("E.",$B47))=TRUE,ISNUMBER(SEARCH("light",$B47))=TRUE),INDEX(croprotn_HDHR_E_l,MATCH(RIGHT($F$1,1),rotation_light,0)),
IF(AND(ISNUMBER(SEARCH("H-Dsty.H-Res",$B47))=TRUE,ISNUMBER(SEARCH("N.",$B47))=TRUE,ISNUMBER(SEARCH("light",$B47))=TRUE),INDEX(croprotn_HDHR_N_l,MATCH(RIGHT($F$1,1),rotation_light,0)),
IF(AND(ISNUMBER(SEARCH("H-Dsty.H-Res",$B47))=TRUE,ISNUMBER(SEARCH("C.",$B47))=TRUE,ISNUMBER(SEARCH("light",$B47))=TRUE),INDEX(croprotn_HDHR_C_l,MATCH(RIGHT($F$1,1),rotation_light,0)),
IF(AND(ISNUMBER(SEARCH("L-Dsty.H-Res",$B47))=TRUE,ISNUMBER(SEARCH("E.",$B47))=TRUE,ISNUMBER(SEARCH("light",$B47))=TRUE),INDEX(croprotn_LDHR_E_l,MATCH(RIGHT($F$1,1),rotation_light,0)),
IF(AND(ISNUMBER(SEARCH("L-Dsty.H-Res",$B47))=TRUE,ISNUMBER(SEARCH("N.",$B47))=TRUE,ISNUMBER(SEARCH("light",$B47))=TRUE),INDEX(croprotn_LDHR_N_l,MATCH(RIGHT($F$1,1),rotation_light,0)),
IF(AND(ISNUMBER(SEARCH("L-Dsty.H-Res",$B47))=TRUE,ISNUMBER(SEARCH("C.",$B47))=TRUE,ISNUMBER(SEARCH("light",$B47))=TRUE),INDEX(croprotn_LDHR_C_l,MATCH(RIGHT($F$1,1),rotation_light,0)),
IF(AND(ISNUMBER(SEARCH("L-Dsty.L-Res",$B47))=TRUE,ISNUMBER(SEARCH("E.",$B47))=TRUE,ISNUMBER(SEARCH("light",$B47))=TRUE),INDEX(croprotn_LDLR_E_l,MATCH(RIGHT($F$1,1),rotation_light,0)),
IF(AND(ISNUMBER(SEARCH("L-Dsty.L-Res",$B47))=TRUE,ISNUMBER(SEARCH("N.",$B47))=TRUE,ISNUMBER(SEARCH("light",$B47))=TRUE),INDEX(croprotn_LDLR_N_l,MATCH(RIGHT($F$1,1),rotation_light,0)),
IF(AND(ISNUMBER(SEARCH("L-Dsty.L-Res",$B47))=TRUE,ISNUMBER(SEARCH("C.",$B47))=TRUE,ISNUMBER(SEARCH("light",$B47))=TRUE),INDEX(croprotn_LDLR_C_l,MATCH(RIGHT($F$1,1),rotation_light,0))
))))))))))))))))))</f>
        <v>winterwheat</v>
      </c>
      <c r="G47" s="234" t="str">
        <f t="shared" si="84"/>
        <v>winterbarley</v>
      </c>
      <c r="H47" s="234" t="str">
        <f t="shared" si="100"/>
        <v>wosr</v>
      </c>
      <c r="I47" s="234" t="str">
        <f t="shared" si="101"/>
        <v>winterwheat</v>
      </c>
      <c r="J47" s="234" t="str">
        <f t="shared" si="102"/>
        <v>springbeans</v>
      </c>
      <c r="K47" s="234" t="str">
        <f t="shared" si="103"/>
        <v>winterwheat</v>
      </c>
      <c r="L47" s="154" t="str">
        <f t="shared" si="104"/>
        <v>lightcultivation</v>
      </c>
      <c r="M47" s="154" t="str">
        <f t="shared" si="105"/>
        <v>lightcultivation</v>
      </c>
      <c r="N47" s="154" t="str">
        <f t="shared" si="106"/>
        <v>subsoiling</v>
      </c>
      <c r="O47" s="154" t="str">
        <f t="shared" si="164"/>
        <v>lightcultivation</v>
      </c>
      <c r="P47" s="154" t="str">
        <f t="shared" si="165"/>
        <v>lightcultivation</v>
      </c>
      <c r="Q47" s="154" t="str">
        <f t="shared" si="95"/>
        <v>lightcultivation</v>
      </c>
      <c r="R47" s="234">
        <f t="shared" si="86"/>
        <v>190</v>
      </c>
      <c r="S47" s="234">
        <f t="shared" si="107"/>
        <v>195</v>
      </c>
      <c r="T47" s="234">
        <f t="shared" si="108"/>
        <v>3.2</v>
      </c>
      <c r="U47" s="234">
        <f t="shared" si="87"/>
        <v>190</v>
      </c>
      <c r="V47" s="234">
        <f t="shared" si="109"/>
        <v>305</v>
      </c>
      <c r="W47" s="234">
        <f t="shared" si="110"/>
        <v>190</v>
      </c>
      <c r="X47" s="154" t="str">
        <f t="shared" si="111"/>
        <v>no</v>
      </c>
      <c r="Y47" s="154" t="str">
        <f t="shared" si="112"/>
        <v>no</v>
      </c>
      <c r="Z47" s="154" t="str">
        <f t="shared" si="113"/>
        <v>no</v>
      </c>
      <c r="AA47" s="154" t="str">
        <f t="shared" si="114"/>
        <v>no</v>
      </c>
      <c r="AB47" s="154" t="str">
        <f t="shared" si="115"/>
        <v>no</v>
      </c>
      <c r="AC47" s="154" t="str">
        <f t="shared" si="116"/>
        <v>no</v>
      </c>
      <c r="AD47" s="234">
        <f>IF(AND(ISNUMBER(SEARCH("H-Dsty.H-Res",$B47))=TRUE,ISNUMBER(SEARCH("E.",$B47))=TRUE),INDEX(fertrate_HDHR_E,MATCH($F47,fertrate_CROPS,0)),
IF(AND(ISNUMBER(SEARCH("H-Dsty.H-Res",$B47))=TRUE,ISNUMBER(SEARCH("N.",$B47))=TRUE),INDEX(fertrate_HDHR_N,MATCH($F47,fertrate_CROPS,0)),
IF(AND(ISNUMBER(SEARCH("H-Dsty.H-Res",$B47))=TRUE,ISNUMBER(SEARCH("C.",$B47))=TRUE),INDEX(fertrate_HDHR_C,MATCH($F47,fertrate_CROPS,0)),
IF(AND(ISNUMBER(SEARCH("L-Dsty.H-Res",$B47))=TRUE,ISNUMBER(SEARCH("E.",$B47))=TRUE),INDEX(fertrate_LDHR_E,MATCH($F47,fertrate_CROPS,0)),
IF(AND(ISNUMBER(SEARCH("L-Dsty.H-Res",$B47))=TRUE,ISNUMBER(SEARCH("N.",$B47))=TRUE),INDEX(fertrate_LDHR_N,MATCH($F47,fertrate_CROPS,0)),
IF(AND(ISNUMBER(SEARCH("L-Dsty.H-Res",$B47))=TRUE,ISNUMBER(SEARCH("C.",$B47))=TRUE),INDEX(fertrate_LDHR_C,MATCH($F47,fertrate_CROPS,0)),
IF(AND(ISNUMBER(SEARCH("L-Dsty.L-Res",$B47))=TRUE,ISNUMBER(SEARCH("E.",$B47))=TRUE),INDEX(fertrate_LDLR_E,MATCH($F47,fertrate_CROPS,0)),
IF(AND(ISNUMBER(SEARCH("L-Dsty.L-Res",$B47))=TRUE,ISNUMBER(SEARCH("N.",$B47))=TRUE),INDEX(fertrate_LDLR_N,MATCH($F47,fertrate_CROPS,0)),
IF(AND(ISNUMBER(SEARCH("L-Dsty.L-Res",$B47))=TRUE,ISNUMBER(SEARCH("C.",$B47))=TRUE),INDEX(fertrate_LDLR_C,MATCH($F47,fertrate_CROPS,0))
)))))))))</f>
        <v>220</v>
      </c>
      <c r="AE47" s="234">
        <f t="shared" si="85"/>
        <v>190</v>
      </c>
      <c r="AF47" s="234">
        <f t="shared" si="168"/>
        <v>180</v>
      </c>
      <c r="AG47" s="234">
        <f>IF(AND(ISNUMBER(SEARCH("H-Dsty.",$B47))=TRUE,ISNUMBER(SEARCH("H-Res",$B47))=TRUE,ISNUMBER(SEARCH("E.",$B47))=TRUE),INDEX(fertrate_HDHR_E,MATCH($I47,fertrate_CROPS,0)),
IF(AND(ISNUMBER(SEARCH("H-Dsty.",$B47))=TRUE,ISNUMBER(SEARCH("H-Res",$B47))=TRUE,ISNUMBER(SEARCH("N.",$B47))=TRUE),INDEX(fertrate_HDHR_N,MATCH($I47,fertrate_CROPS,0)),
IF(AND(ISNUMBER(SEARCH("H-Dsty.",$B47))=TRUE,ISNUMBER(SEARCH("H-Res",$B47))=TRUE,ISNUMBER(SEARCH("C.",$B47))=TRUE),INDEX(fertrate_HDHR_C,MATCH($I47,fertrate_CROPS,0)),
IF(AND(ISNUMBER(SEARCH("L-Dsty.",$B47))=TRUE,ISNUMBER(SEARCH("H-Res",$B47))=TRUE,ISNUMBER(SEARCH("E.",$B47))=TRUE),INDEX(fertrate_LDHR_E,MATCH($I47,fertrate_CROPS,0)),
IF(AND(ISNUMBER(SEARCH("L-Dsty.",$B47))=TRUE,ISNUMBER(SEARCH("H-Res",$B47))=TRUE,ISNUMBER(SEARCH("N.",$B47))=TRUE),INDEX(fertrate_LDHR_N,MATCH($I47,fertrate_CROPS,0)),
IF(AND(ISNUMBER(SEARCH("L-Dsty.",$B47))=TRUE,ISNUMBER(SEARCH("H-Res",$B47))=TRUE,ISNUMBER(SEARCH("C.",$B47))=TRUE),INDEX(fertrate_LDHR_C,MATCH($I47,fertrate_CROPS,0)),
IF(AND(ISNUMBER(SEARCH("L-Dsty.",$B47))=TRUE,ISNUMBER(SEARCH("L-Res",$B47))=TRUE,ISNUMBER(SEARCH("E.",$B47))=TRUE),INDEX(fertrate_LDLR_E,MATCH($I47,fertrate_CROPS,0)),
IF(AND(ISNUMBER(SEARCH("L-Dsty.",$B47))=TRUE,ISNUMBER(SEARCH("L-Res",$B47))=TRUE,ISNUMBER(SEARCH("N.",$B47))=TRUE),INDEX(fertrate_LDLR_N,MATCH($I47,fertrate_CROPS,0)),
IF(AND(ISNUMBER(SEARCH("L-Dsty.",$B47))=TRUE,ISNUMBER(SEARCH("L-Res",$B47))=TRUE,ISNUMBER(SEARCH("C.",$B47))=TRUE),INDEX(fertrate_LDLR_C,MATCH($I47,fertrate_CROPS,0))
)))))))))</f>
        <v>220</v>
      </c>
      <c r="AH47" s="234">
        <f t="shared" si="80"/>
        <v>0</v>
      </c>
      <c r="AI47" s="234">
        <f>IF(AND(ISNUMBER(SEARCH("H-Dsty.",$B47))=TRUE,ISNUMBER(SEARCH("H-Res",$B47))=TRUE,ISNUMBER(SEARCH("E.",$B47))=TRUE),INDEX(fertrate_HDHR_E,MATCH($K47,fertrate_CROPS,0)),
IF(AND(ISNUMBER(SEARCH("H-Dsty.",$B47))=TRUE,ISNUMBER(SEARCH("H-Res",$B47))=TRUE,ISNUMBER(SEARCH("N.",$B47))=TRUE),INDEX(fertrate_HDHR_N,MATCH($K47,fertrate_CROPS,0)),
IF(AND(ISNUMBER(SEARCH("H-Dsty.",$B47))=TRUE,ISNUMBER(SEARCH("H-Res",$B47))=TRUE,ISNUMBER(SEARCH("C.",$B47))=TRUE),INDEX(fertrate_HDHR_C,MATCH($K47,fertrate_CROPS,0)),
IF(AND(ISNUMBER(SEARCH("L-Dsty.",$B47))=TRUE,ISNUMBER(SEARCH("H-Res",$B47))=TRUE,ISNUMBER(SEARCH("E.",$B47))=TRUE),INDEX(fertrate_LDHR_E,MATCH($K47,fertrate_CROPS,0)),
IF(AND(ISNUMBER(SEARCH("L-Dsty.",$B47))=TRUE,ISNUMBER(SEARCH("H-Res",$B47))=TRUE,ISNUMBER(SEARCH("N.",$B47))=TRUE),INDEX(fertrate_LDHR_N,MATCH($K47,fertrate_CROPS,0)),
IF(AND(ISNUMBER(SEARCH("L-Dsty.",$B47))=TRUE,ISNUMBER(SEARCH("H-Res",$B47))=TRUE,ISNUMBER(SEARCH("C.",$B47))=TRUE),INDEX(fertrate_LDHR_C,MATCH($K47,fertrate_CROPS,0)),
IF(AND(ISNUMBER(SEARCH("L-Dsty.",$B47))=TRUE,ISNUMBER(SEARCH("L-Res",$B47))=TRUE,ISNUMBER(SEARCH("E.",$B47))=TRUE),INDEX(fertrate_LDLR_E,MATCH($K47,fertrate_CROPS,0)),
IF(AND(ISNUMBER(SEARCH("L-Dsty.",$B47))=TRUE,ISNUMBER(SEARCH("L-Res",$B47))=TRUE,ISNUMBER(SEARCH("N.",$B47))=TRUE),INDEX(fertrate_LDLR_N,MATCH($K47,fertrate_CROPS,0)),
IF(AND(ISNUMBER(SEARCH("L-Dsty.",$B47))=TRUE,ISNUMBER(SEARCH("L-Res",$B47))=TRUE,ISNUMBER(SEARCH("C.",$B47))=TRUE),INDEX(fertrate_LDLR_C,MATCH($K47,fertrate_CROPS,0))
)))))))))</f>
        <v>220</v>
      </c>
      <c r="AJ47" s="154">
        <f t="shared" si="117"/>
        <v>67</v>
      </c>
      <c r="AK47" s="154">
        <f t="shared" si="118"/>
        <v>58</v>
      </c>
      <c r="AL47" s="154">
        <f t="shared" si="119"/>
        <v>49</v>
      </c>
      <c r="AM47" s="154">
        <f t="shared" si="120"/>
        <v>67</v>
      </c>
      <c r="AN47" s="154">
        <f t="shared" si="121"/>
        <v>43</v>
      </c>
      <c r="AO47" s="154">
        <f t="shared" si="122"/>
        <v>67</v>
      </c>
      <c r="AP47" s="154">
        <f t="shared" si="123"/>
        <v>48</v>
      </c>
      <c r="AQ47" s="154">
        <f t="shared" si="124"/>
        <v>41</v>
      </c>
      <c r="AR47" s="154">
        <f t="shared" si="125"/>
        <v>39</v>
      </c>
      <c r="AS47" s="154">
        <f t="shared" si="126"/>
        <v>48</v>
      </c>
      <c r="AT47" s="154">
        <f t="shared" si="127"/>
        <v>47</v>
      </c>
      <c r="AU47" s="154">
        <f t="shared" si="128"/>
        <v>48</v>
      </c>
      <c r="AV47" s="234">
        <f t="shared" si="89"/>
        <v>1</v>
      </c>
      <c r="AW47" s="234">
        <f t="shared" si="129"/>
        <v>0.4</v>
      </c>
      <c r="AX47" s="234">
        <f t="shared" si="130"/>
        <v>2</v>
      </c>
      <c r="AY47" s="345">
        <v>4.4000000000000004</v>
      </c>
      <c r="AZ47" s="234">
        <f t="shared" si="131"/>
        <v>4</v>
      </c>
      <c r="BA47" s="234">
        <f t="shared" si="132"/>
        <v>1</v>
      </c>
      <c r="BB47" s="234">
        <f t="shared" si="133"/>
        <v>3</v>
      </c>
      <c r="BC47" s="234">
        <f t="shared" si="134"/>
        <v>3</v>
      </c>
      <c r="BD47" s="234">
        <f t="shared" si="135"/>
        <v>0</v>
      </c>
      <c r="BE47" s="234">
        <f t="shared" si="91"/>
        <v>3</v>
      </c>
      <c r="BF47" s="234">
        <f t="shared" si="136"/>
        <v>6</v>
      </c>
      <c r="BG47" s="234">
        <f t="shared" si="137"/>
        <v>3</v>
      </c>
      <c r="BH47" s="234">
        <f t="shared" si="138"/>
        <v>3</v>
      </c>
      <c r="BI47" s="234">
        <f t="shared" si="139"/>
        <v>2</v>
      </c>
      <c r="BJ47" s="234">
        <f t="shared" si="140"/>
        <v>2</v>
      </c>
      <c r="BK47" s="234">
        <f t="shared" si="92"/>
        <v>3</v>
      </c>
      <c r="BL47" s="234">
        <f t="shared" si="141"/>
        <v>3</v>
      </c>
      <c r="BM47" s="234">
        <f t="shared" si="142"/>
        <v>3</v>
      </c>
      <c r="BN47" s="154" t="s">
        <v>483</v>
      </c>
      <c r="BO47" s="154" t="str">
        <f t="shared" si="143"/>
        <v>medium</v>
      </c>
      <c r="BP47" s="154" t="str">
        <f t="shared" si="144"/>
        <v>low</v>
      </c>
      <c r="BQ47" s="154" t="str">
        <f t="shared" si="145"/>
        <v>low</v>
      </c>
      <c r="BR47" s="154" t="s">
        <v>18</v>
      </c>
      <c r="BS47" s="154" t="s">
        <v>18</v>
      </c>
      <c r="BT47" s="154" t="s">
        <v>18</v>
      </c>
      <c r="BU47" s="154">
        <f t="shared" si="146"/>
        <v>150</v>
      </c>
      <c r="BV47" s="154">
        <f t="shared" si="147"/>
        <v>138</v>
      </c>
      <c r="BW47" s="154">
        <f t="shared" si="148"/>
        <v>335</v>
      </c>
      <c r="BX47" s="154">
        <f t="shared" si="149"/>
        <v>150</v>
      </c>
      <c r="BY47" s="154">
        <f t="shared" si="150"/>
        <v>185</v>
      </c>
      <c r="BZ47" s="154">
        <f t="shared" si="151"/>
        <v>150</v>
      </c>
      <c r="CA47" s="356">
        <f t="array" ref="CA47">IF(yieldsetting1="estimate",0,INDEX(cropdata, MATCH(yieldsource,outputs,0), MATCH($F47,cropdatacrops,0)))</f>
        <v>0</v>
      </c>
      <c r="CB47" s="356">
        <f t="array" ref="CB47">IF(yieldsetting1="estimate",0,INDEX(cropdata, MATCH(yieldsource,outputs,0), MATCH($G47,cropdatacrops,0)))</f>
        <v>0</v>
      </c>
      <c r="CC47" s="356">
        <f t="array" ref="CC47">IF(yieldsetting1="estimate",0,INDEX(cropdata, MATCH(yieldsource,outputs,0), MATCH($H47,cropdatacrops,0)))</f>
        <v>0</v>
      </c>
      <c r="CD47" s="356">
        <f t="array" ref="CD47">IF(yieldsetting1="estimate",0,INDEX(cropdata, MATCH(yieldsource,outputs,0), MATCH($I47,cropdatacrops,0)))</f>
        <v>0</v>
      </c>
      <c r="CE47" s="356">
        <f t="array" ref="CE47">IF(yieldsetting1="estimate",0,INDEX(cropdata, MATCH(yieldsource,outputs,0), MATCH($J47,cropdatacrops,0)))</f>
        <v>0</v>
      </c>
      <c r="CF47" s="356">
        <f t="array" ref="CF47">IF(yieldsetting1="estimate",0,INDEX(cropdata, MATCH(yieldsource,outputs,0), MATCH($K47,cropdatacrops,0)))</f>
        <v>0</v>
      </c>
      <c r="CG47" s="154" t="str">
        <f t="shared" si="152"/>
        <v>estimate</v>
      </c>
      <c r="CH47" s="235">
        <f t="shared" si="153"/>
        <v>0.8</v>
      </c>
      <c r="CI47" s="235">
        <f t="shared" si="154"/>
        <v>0.72</v>
      </c>
      <c r="CJ47" s="154">
        <f t="shared" si="155"/>
        <v>0.46</v>
      </c>
      <c r="CK47" s="154">
        <f t="shared" si="156"/>
        <v>0.36</v>
      </c>
      <c r="CL47" s="154">
        <f t="shared" si="157"/>
        <v>0.36</v>
      </c>
      <c r="CM47" s="154">
        <f t="shared" si="158"/>
        <v>7.34</v>
      </c>
      <c r="CN47" s="154">
        <f t="shared" si="159"/>
        <v>0.36</v>
      </c>
      <c r="CO47" s="154">
        <f t="shared" si="160"/>
        <v>0.38</v>
      </c>
      <c r="CP47" s="154">
        <f t="shared" si="161"/>
        <v>0.36</v>
      </c>
      <c r="CQ47" s="154">
        <f t="shared" si="166"/>
        <v>19.5</v>
      </c>
      <c r="CR47" s="154">
        <f t="shared" si="166"/>
        <v>19.5</v>
      </c>
      <c r="CS47" s="154">
        <f t="shared" si="166"/>
        <v>19.5</v>
      </c>
      <c r="CT47" s="154">
        <f t="shared" si="166"/>
        <v>19.5</v>
      </c>
      <c r="CU47" s="154">
        <f t="shared" si="166"/>
        <v>19.5</v>
      </c>
      <c r="CV47" s="154">
        <f t="shared" si="166"/>
        <v>19.5</v>
      </c>
      <c r="CW47" s="154">
        <f t="shared" si="167"/>
        <v>2.4300000000000002</v>
      </c>
      <c r="CX47" s="154">
        <f t="shared" si="167"/>
        <v>2.4300000000000002</v>
      </c>
      <c r="CY47" s="154">
        <f t="shared" si="167"/>
        <v>2.4300000000000002</v>
      </c>
      <c r="CZ47" s="154">
        <f t="shared" si="167"/>
        <v>2.4300000000000002</v>
      </c>
      <c r="DA47" s="154">
        <f t="shared" si="167"/>
        <v>2.4300000000000002</v>
      </c>
      <c r="DB47" s="154">
        <f t="shared" si="167"/>
        <v>2.4300000000000002</v>
      </c>
      <c r="DC47" s="154">
        <v>102</v>
      </c>
      <c r="DD47" s="154">
        <v>6</v>
      </c>
      <c r="DE47" s="154">
        <v>4</v>
      </c>
      <c r="DF47" s="154">
        <v>1400</v>
      </c>
      <c r="DG47" s="154">
        <v>125</v>
      </c>
      <c r="DH47" s="154">
        <f t="shared" si="162"/>
        <v>0.625</v>
      </c>
      <c r="DI47" s="154">
        <f t="shared" si="163"/>
        <v>10.08</v>
      </c>
    </row>
    <row r="48" spans="1:113" x14ac:dyDescent="0.2">
      <c r="A48" s="335" t="s">
        <v>1631</v>
      </c>
      <c r="B48" s="334" t="s">
        <v>492</v>
      </c>
      <c r="C48" s="334" t="s">
        <v>1659</v>
      </c>
      <c r="D48" s="233" t="str">
        <f>IF(ISNUMBER(SEARCH("heavy",B48))=TRUE,"2.25",
IF(ISNUMBER(SEARCH("medium",B48))=TRUE,"1.5",
IF(ISNUMBER(SEARCH("light",B48))=TRUE,"0.75")))</f>
        <v>0.75</v>
      </c>
      <c r="E48" s="154">
        <v>6</v>
      </c>
      <c r="F48" s="234" t="str" cm="1">
        <f t="array" ref="F48">IF(AND(ISNUMBER(SEARCH("H-Dsty.H-Res",$B48))=TRUE,ISNUMBER(SEARCH("E.",$B48))=TRUE,OR(ISNUMBER(SEARCH("heavy",$B48)),ISNUMBER(SEARCH("MEDIUM",$B48)))=TRUE),INDEX(croprotn_HDHR_E_h,MATCH(RIGHT($F$1,1),rotation_heavy,0)),
IF(AND(ISNUMBER(SEARCH("H-Dsty.H-Res",$B48))=TRUE,ISNUMBER(SEARCH("N.",$B48))=TRUE,OR(ISNUMBER(SEARCH("heavy",$B48)),ISNUMBER(SEARCH("MEDIUM",$B48)))=TRUE),INDEX(croprotn_HDHR_N_h,MATCH(RIGHT($F$1,1),rotation_heavy,0)),
IF(AND(ISNUMBER(SEARCH("H-Dsty.H-Res",$B48))=TRUE,ISNUMBER(SEARCH("C.",$B48))=TRUE,OR(ISNUMBER(SEARCH("heavy",$B48)),ISNUMBER(SEARCH("MEDIUM",$B48)))=TRUE),INDEX(croprotn_HDHR_C_h,MATCH(RIGHT($F$1,1),rotation_heavy,0)),
IF(AND(ISNUMBER(SEARCH("L-Dsty.H-Res",$B48))=TRUE,ISNUMBER(SEARCH("E.",$B48))=TRUE,OR(ISNUMBER(SEARCH("heavy",$B48)),ISNUMBER(SEARCH("MEDIUM",$B48)))=TRUE),INDEX(croprotn_LDHR_E_h,MATCH(RIGHT($F$1,1),rotation_heavy,0)),
IF(AND(ISNUMBER(SEARCH("L-Dsty.H-Res",$B48))=TRUE,ISNUMBER(SEARCH("N.",$B48))=TRUE,OR(ISNUMBER(SEARCH("heavy",$B48)),ISNUMBER(SEARCH("MEDIUM",$B48)))=TRUE),INDEX(croprotn_LDHR_N_h,MATCH(RIGHT($F$1,1),rotation_heavy,0)),
IF(AND(ISNUMBER(SEARCH("L-Dsty.H-Res",$B48))=TRUE,ISNUMBER(SEARCH("C.",$B48))=TRUE,OR(ISNUMBER(SEARCH("heavy",$B48)),ISNUMBER(SEARCH("MEDIUM",$B48)))=TRUE),INDEX(croprotn_LDHR_C_h,MATCH(RIGHT($F$1,1),rotation_heavy,0)),
IF(AND(ISNUMBER(SEARCH("L-Dsty.L-Res",$B48))=TRUE,ISNUMBER(SEARCH("E.",$B48))=TRUE,OR(ISNUMBER(SEARCH("heavy",$B48)),ISNUMBER(SEARCH("MEDIUM",$B48)))=TRUE),INDEX(croprotn_LDLR_E_h,MATCH(RIGHT($F$1,1),rotation_heavy,0)),
IF(AND(ISNUMBER(SEARCH("L-Dsty.L-Res",$B48))=TRUE,ISNUMBER(SEARCH("N.",$B48))=TRUE,OR(ISNUMBER(SEARCH("heavy",$B48)),ISNUMBER(SEARCH("MEDIUM",$B48)))=TRUE),INDEX(croprotn_LDLR_N_h,MATCH(RIGHT($F$1,1),rotation_heavy,0)),
IF(AND(ISNUMBER(SEARCH("L-Dsty.L-Res",$B48))=TRUE,ISNUMBER(SEARCH("C.",$B48))=TRUE,OR(ISNUMBER(SEARCH("heavy",$B48)),ISNUMBER(SEARCH("MEDIUM",$B48)))=TRUE),INDEX(croprotn_LDLR_C_h,MATCH(RIGHT($F$1,1),rotation_heavy,0)),
IF(AND(ISNUMBER(SEARCH("H-Dsty.H-Res",$B48))=TRUE,ISNUMBER(SEARCH("E.",$B48))=TRUE,ISNUMBER(SEARCH("light",$B48))=TRUE),INDEX(croprotn_HDHR_E_l,MATCH(RIGHT($F$1,1),rotation_light,0)),
IF(AND(ISNUMBER(SEARCH("H-Dsty.H-Res",$B48))=TRUE,ISNUMBER(SEARCH("N.",$B48))=TRUE,ISNUMBER(SEARCH("light",$B48))=TRUE),INDEX(croprotn_HDHR_N_l,MATCH(RIGHT($F$1,1),rotation_light,0)),
IF(AND(ISNUMBER(SEARCH("H-Dsty.H-Res",$B48))=TRUE,ISNUMBER(SEARCH("C.",$B48))=TRUE,ISNUMBER(SEARCH("light",$B48))=TRUE),INDEX(croprotn_HDHR_C_l,MATCH(RIGHT($F$1,1),rotation_light,0)),
IF(AND(ISNUMBER(SEARCH("L-Dsty.H-Res",$B48))=TRUE,ISNUMBER(SEARCH("E.",$B48))=TRUE,ISNUMBER(SEARCH("light",$B48))=TRUE),INDEX(croprotn_LDHR_E_l,MATCH(RIGHT($F$1,1),rotation_light,0)),
IF(AND(ISNUMBER(SEARCH("L-Dsty.H-Res",$B48))=TRUE,ISNUMBER(SEARCH("N.",$B48))=TRUE,ISNUMBER(SEARCH("light",$B48))=TRUE),INDEX(croprotn_LDHR_N_l,MATCH(RIGHT($F$1,1),rotation_light,0)),
IF(AND(ISNUMBER(SEARCH("L-Dsty.H-Res",$B48))=TRUE,ISNUMBER(SEARCH("C.",$B48))=TRUE,ISNUMBER(SEARCH("light",$B48))=TRUE),INDEX(croprotn_LDHR_C_l,MATCH(RIGHT($F$1,1),rotation_light,0)),
IF(AND(ISNUMBER(SEARCH("L-Dsty.L-Res",$B48))=TRUE,ISNUMBER(SEARCH("E.",$B48))=TRUE,ISNUMBER(SEARCH("light",$B48))=TRUE),INDEX(croprotn_LDLR_E_l,MATCH(RIGHT($F$1,1),rotation_light,0)),
IF(AND(ISNUMBER(SEARCH("L-Dsty.L-Res",$B48))=TRUE,ISNUMBER(SEARCH("N.",$B48))=TRUE,ISNUMBER(SEARCH("light",$B48))=TRUE),INDEX(croprotn_LDLR_N_l,MATCH(RIGHT($F$1,1),rotation_light,0)),
IF(AND(ISNUMBER(SEARCH("L-Dsty.L-Res",$B48))=TRUE,ISNUMBER(SEARCH("C.",$B48))=TRUE,ISNUMBER(SEARCH("light",$B48))=TRUE),INDEX(croprotn_LDLR_C_l,MATCH(RIGHT($F$1,1),rotation_light,0))
))))))))))))))))))</f>
        <v>winterwheat</v>
      </c>
      <c r="G48" s="234" t="str">
        <f t="shared" si="84"/>
        <v>winterbarley</v>
      </c>
      <c r="H48" s="234" t="str">
        <f t="shared" si="100"/>
        <v>wosr</v>
      </c>
      <c r="I48" s="234" t="str">
        <f t="shared" si="101"/>
        <v>winterwheat</v>
      </c>
      <c r="J48" s="234" t="str">
        <f t="shared" si="102"/>
        <v>driedpeas</v>
      </c>
      <c r="K48" s="234" t="str">
        <f t="shared" si="103"/>
        <v>winterwheat</v>
      </c>
      <c r="L48" s="154" t="str">
        <f t="shared" si="104"/>
        <v>lightcultivation</v>
      </c>
      <c r="M48" s="154" t="str">
        <f t="shared" si="105"/>
        <v>lightcultivation</v>
      </c>
      <c r="N48" s="154" t="str">
        <f t="shared" si="106"/>
        <v>subsoiling</v>
      </c>
      <c r="O48" s="154" t="str">
        <f t="shared" si="164"/>
        <v>lightcultivation</v>
      </c>
      <c r="P48" s="154" t="str">
        <f t="shared" si="165"/>
        <v>lightcultivation</v>
      </c>
      <c r="Q48" s="154" t="str">
        <f t="shared" si="95"/>
        <v>lightcultivation</v>
      </c>
      <c r="R48" s="234">
        <f t="shared" si="86"/>
        <v>190</v>
      </c>
      <c r="S48" s="234">
        <f t="shared" si="107"/>
        <v>195</v>
      </c>
      <c r="T48" s="234">
        <f t="shared" si="108"/>
        <v>3.2</v>
      </c>
      <c r="U48" s="234">
        <f t="shared" si="87"/>
        <v>190</v>
      </c>
      <c r="V48" s="234">
        <f t="shared" si="109"/>
        <v>300</v>
      </c>
      <c r="W48" s="234">
        <f t="shared" si="110"/>
        <v>190</v>
      </c>
      <c r="X48" s="154" t="str">
        <f t="shared" si="111"/>
        <v>no</v>
      </c>
      <c r="Y48" s="154" t="str">
        <f t="shared" si="112"/>
        <v>no</v>
      </c>
      <c r="Z48" s="154" t="str">
        <f t="shared" si="113"/>
        <v>no</v>
      </c>
      <c r="AA48" s="154" t="str">
        <f t="shared" si="114"/>
        <v>no</v>
      </c>
      <c r="AB48" s="154" t="str">
        <f t="shared" si="115"/>
        <v>no</v>
      </c>
      <c r="AC48" s="154" t="str">
        <f t="shared" si="116"/>
        <v>no</v>
      </c>
      <c r="AD48" s="345">
        <v>150</v>
      </c>
      <c r="AE48" s="234">
        <f t="shared" si="85"/>
        <v>190</v>
      </c>
      <c r="AF48" s="234">
        <f t="shared" si="168"/>
        <v>180</v>
      </c>
      <c r="AG48" s="345">
        <v>150</v>
      </c>
      <c r="AH48" s="234">
        <f t="shared" si="80"/>
        <v>0</v>
      </c>
      <c r="AI48" s="345">
        <v>150</v>
      </c>
      <c r="AJ48" s="154">
        <f t="shared" si="117"/>
        <v>67</v>
      </c>
      <c r="AK48" s="154">
        <f t="shared" si="118"/>
        <v>58</v>
      </c>
      <c r="AL48" s="154">
        <f t="shared" si="119"/>
        <v>49</v>
      </c>
      <c r="AM48" s="154">
        <f t="shared" si="120"/>
        <v>67</v>
      </c>
      <c r="AN48" s="154">
        <f t="shared" si="121"/>
        <v>35</v>
      </c>
      <c r="AO48" s="154">
        <f t="shared" si="122"/>
        <v>67</v>
      </c>
      <c r="AP48" s="154">
        <f t="shared" si="123"/>
        <v>48</v>
      </c>
      <c r="AQ48" s="154">
        <f t="shared" si="124"/>
        <v>41</v>
      </c>
      <c r="AR48" s="154">
        <f t="shared" si="125"/>
        <v>39</v>
      </c>
      <c r="AS48" s="154">
        <f t="shared" si="126"/>
        <v>48</v>
      </c>
      <c r="AT48" s="154">
        <f t="shared" si="127"/>
        <v>40</v>
      </c>
      <c r="AU48" s="154">
        <f t="shared" si="128"/>
        <v>48</v>
      </c>
      <c r="AV48" s="234">
        <f t="shared" si="89"/>
        <v>1</v>
      </c>
      <c r="AW48" s="234">
        <f t="shared" si="129"/>
        <v>0.4</v>
      </c>
      <c r="AX48" s="234">
        <f t="shared" si="130"/>
        <v>2</v>
      </c>
      <c r="AY48" s="345">
        <v>4.4000000000000004</v>
      </c>
      <c r="AZ48" s="234">
        <f t="shared" si="131"/>
        <v>4</v>
      </c>
      <c r="BA48" s="234">
        <f t="shared" si="132"/>
        <v>1</v>
      </c>
      <c r="BB48" s="234">
        <f t="shared" si="133"/>
        <v>3</v>
      </c>
      <c r="BC48" s="234">
        <f t="shared" si="134"/>
        <v>3</v>
      </c>
      <c r="BD48" s="234">
        <f t="shared" si="135"/>
        <v>0</v>
      </c>
      <c r="BE48" s="234">
        <f t="shared" si="91"/>
        <v>3</v>
      </c>
      <c r="BF48" s="234">
        <f t="shared" si="136"/>
        <v>6</v>
      </c>
      <c r="BG48" s="234">
        <f t="shared" si="137"/>
        <v>3</v>
      </c>
      <c r="BH48" s="234">
        <f t="shared" si="138"/>
        <v>3</v>
      </c>
      <c r="BI48" s="234">
        <f t="shared" si="139"/>
        <v>2</v>
      </c>
      <c r="BJ48" s="234">
        <f t="shared" si="140"/>
        <v>2</v>
      </c>
      <c r="BK48" s="234">
        <f t="shared" si="92"/>
        <v>3</v>
      </c>
      <c r="BL48" s="234">
        <f t="shared" si="141"/>
        <v>3</v>
      </c>
      <c r="BM48" s="234">
        <f t="shared" si="142"/>
        <v>3</v>
      </c>
      <c r="BN48" s="154" t="s">
        <v>483</v>
      </c>
      <c r="BO48" s="154" t="str">
        <f t="shared" si="143"/>
        <v>low</v>
      </c>
      <c r="BP48" s="154" t="str">
        <f t="shared" si="144"/>
        <v>low</v>
      </c>
      <c r="BQ48" s="154" t="str">
        <f t="shared" si="145"/>
        <v>low</v>
      </c>
      <c r="BR48" s="154" t="s">
        <v>182</v>
      </c>
      <c r="BS48" s="154" t="s">
        <v>182</v>
      </c>
      <c r="BT48" s="154" t="s">
        <v>182</v>
      </c>
      <c r="BU48" s="154">
        <f t="shared" si="146"/>
        <v>150</v>
      </c>
      <c r="BV48" s="154">
        <f t="shared" si="147"/>
        <v>138</v>
      </c>
      <c r="BW48" s="154">
        <f t="shared" si="148"/>
        <v>335</v>
      </c>
      <c r="BX48" s="154">
        <f t="shared" si="149"/>
        <v>150</v>
      </c>
      <c r="BY48" s="154">
        <f t="shared" si="150"/>
        <v>225</v>
      </c>
      <c r="BZ48" s="154">
        <f t="shared" si="151"/>
        <v>150</v>
      </c>
      <c r="CA48" s="356">
        <f t="array" ref="CA48">IF(yieldsetting1="estimate",0,INDEX(cropdata, MATCH(yieldsource,outputs,0), MATCH($F48,cropdatacrops,0)))</f>
        <v>0</v>
      </c>
      <c r="CB48" s="356">
        <f t="array" ref="CB48">IF(yieldsetting1="estimate",0,INDEX(cropdata, MATCH(yieldsource,outputs,0), MATCH($G48,cropdatacrops,0)))</f>
        <v>0</v>
      </c>
      <c r="CC48" s="356">
        <f t="array" ref="CC48">IF(yieldsetting1="estimate",0,INDEX(cropdata, MATCH(yieldsource,outputs,0), MATCH($H48,cropdatacrops,0)))</f>
        <v>0</v>
      </c>
      <c r="CD48" s="356">
        <f t="array" ref="CD48">IF(yieldsetting1="estimate",0,INDEX(cropdata, MATCH(yieldsource,outputs,0), MATCH($I48,cropdatacrops,0)))</f>
        <v>0</v>
      </c>
      <c r="CE48" s="356">
        <f t="array" ref="CE48">IF(yieldsetting1="estimate",0,INDEX(cropdata, MATCH(yieldsource,outputs,0), MATCH($J48,cropdatacrops,0)))</f>
        <v>0</v>
      </c>
      <c r="CF48" s="356">
        <f t="array" ref="CF48">IF(yieldsetting1="estimate",0,INDEX(cropdata, MATCH(yieldsource,outputs,0), MATCH($K48,cropdatacrops,0)))</f>
        <v>0</v>
      </c>
      <c r="CG48" s="154" t="str">
        <f t="shared" si="152"/>
        <v>estimate</v>
      </c>
      <c r="CH48" s="235">
        <f t="shared" si="153"/>
        <v>0.8</v>
      </c>
      <c r="CI48" s="235">
        <f t="shared" si="154"/>
        <v>0.72</v>
      </c>
      <c r="CJ48" s="154">
        <f t="shared" si="155"/>
        <v>0.46</v>
      </c>
      <c r="CK48" s="154">
        <f t="shared" si="156"/>
        <v>0.36</v>
      </c>
      <c r="CL48" s="154">
        <f t="shared" si="157"/>
        <v>0.36</v>
      </c>
      <c r="CM48" s="154">
        <f t="shared" si="158"/>
        <v>7.34</v>
      </c>
      <c r="CN48" s="154">
        <f t="shared" si="159"/>
        <v>0.36</v>
      </c>
      <c r="CO48" s="154">
        <f t="shared" si="160"/>
        <v>0.47</v>
      </c>
      <c r="CP48" s="154">
        <f t="shared" si="161"/>
        <v>0.36</v>
      </c>
      <c r="CQ48" s="154">
        <f t="shared" si="166"/>
        <v>19.5</v>
      </c>
      <c r="CR48" s="154">
        <f t="shared" si="166"/>
        <v>19.5</v>
      </c>
      <c r="CS48" s="154">
        <f t="shared" si="166"/>
        <v>19.5</v>
      </c>
      <c r="CT48" s="154">
        <f t="shared" si="166"/>
        <v>19.5</v>
      </c>
      <c r="CU48" s="154">
        <f t="shared" si="166"/>
        <v>19.5</v>
      </c>
      <c r="CV48" s="154">
        <f t="shared" si="166"/>
        <v>19.5</v>
      </c>
      <c r="CW48" s="154">
        <f t="shared" si="167"/>
        <v>2.4300000000000002</v>
      </c>
      <c r="CX48" s="154">
        <f t="shared" si="167"/>
        <v>2.4300000000000002</v>
      </c>
      <c r="CY48" s="154">
        <f t="shared" si="167"/>
        <v>2.4300000000000002</v>
      </c>
      <c r="CZ48" s="154">
        <f t="shared" si="167"/>
        <v>2.4300000000000002</v>
      </c>
      <c r="DA48" s="154">
        <f t="shared" si="167"/>
        <v>2.4300000000000002</v>
      </c>
      <c r="DB48" s="154">
        <f t="shared" si="167"/>
        <v>2.4300000000000002</v>
      </c>
      <c r="DC48" s="154">
        <v>102</v>
      </c>
      <c r="DD48" s="154">
        <v>6</v>
      </c>
      <c r="DE48" s="154">
        <v>4</v>
      </c>
      <c r="DF48" s="154">
        <v>1400</v>
      </c>
      <c r="DG48" s="154">
        <v>125</v>
      </c>
      <c r="DH48" s="154">
        <f t="shared" si="162"/>
        <v>0.625</v>
      </c>
      <c r="DI48" s="154">
        <f t="shared" si="163"/>
        <v>10.08</v>
      </c>
    </row>
    <row r="49" spans="1:113" x14ac:dyDescent="0.2">
      <c r="A49" s="335" t="s">
        <v>1633</v>
      </c>
      <c r="B49" s="334" t="s">
        <v>492</v>
      </c>
      <c r="C49" s="334" t="s">
        <v>1638</v>
      </c>
      <c r="D49" s="233" t="str">
        <f>IF(ISNUMBER(SEARCH("heavy",B49))=TRUE,"2.25",
IF(ISNUMBER(SEARCH("medium",B49))=TRUE,"1.5",
IF(ISNUMBER(SEARCH("light",B49))=TRUE,"0.75")))</f>
        <v>0.75</v>
      </c>
      <c r="E49" s="154">
        <v>6</v>
      </c>
      <c r="F49" s="234" t="str" cm="1">
        <f t="array" ref="F49">IF(AND(ISNUMBER(SEARCH("H-Dsty.H-Res",$B49))=TRUE,ISNUMBER(SEARCH("E.",$B49))=TRUE,OR(ISNUMBER(SEARCH("heavy",$B49)),ISNUMBER(SEARCH("MEDIUM",$B49)))=TRUE),INDEX(croprotn_HDHR_E_h,MATCH(RIGHT($F$1,1),rotation_heavy,0)),
IF(AND(ISNUMBER(SEARCH("H-Dsty.H-Res",$B49))=TRUE,ISNUMBER(SEARCH("N.",$B49))=TRUE,OR(ISNUMBER(SEARCH("heavy",$B49)),ISNUMBER(SEARCH("MEDIUM",$B49)))=TRUE),INDEX(croprotn_HDHR_N_h,MATCH(RIGHT($F$1,1),rotation_heavy,0)),
IF(AND(ISNUMBER(SEARCH("H-Dsty.H-Res",$B49))=TRUE,ISNUMBER(SEARCH("C.",$B49))=TRUE,OR(ISNUMBER(SEARCH("heavy",$B49)),ISNUMBER(SEARCH("MEDIUM",$B49)))=TRUE),INDEX(croprotn_HDHR_C_h,MATCH(RIGHT($F$1,1),rotation_heavy,0)),
IF(AND(ISNUMBER(SEARCH("L-Dsty.H-Res",$B49))=TRUE,ISNUMBER(SEARCH("E.",$B49))=TRUE,OR(ISNUMBER(SEARCH("heavy",$B49)),ISNUMBER(SEARCH("MEDIUM",$B49)))=TRUE),INDEX(croprotn_LDHR_E_h,MATCH(RIGHT($F$1,1),rotation_heavy,0)),
IF(AND(ISNUMBER(SEARCH("L-Dsty.H-Res",$B49))=TRUE,ISNUMBER(SEARCH("N.",$B49))=TRUE,OR(ISNUMBER(SEARCH("heavy",$B49)),ISNUMBER(SEARCH("MEDIUM",$B49)))=TRUE),INDEX(croprotn_LDHR_N_h,MATCH(RIGHT($F$1,1),rotation_heavy,0)),
IF(AND(ISNUMBER(SEARCH("L-Dsty.H-Res",$B49))=TRUE,ISNUMBER(SEARCH("C.",$B49))=TRUE,OR(ISNUMBER(SEARCH("heavy",$B49)),ISNUMBER(SEARCH("MEDIUM",$B49)))=TRUE),INDEX(croprotn_LDHR_C_h,MATCH(RIGHT($F$1,1),rotation_heavy,0)),
IF(AND(ISNUMBER(SEARCH("L-Dsty.L-Res",$B49))=TRUE,ISNUMBER(SEARCH("E.",$B49))=TRUE,OR(ISNUMBER(SEARCH("heavy",$B49)),ISNUMBER(SEARCH("MEDIUM",$B49)))=TRUE),INDEX(croprotn_LDLR_E_h,MATCH(RIGHT($F$1,1),rotation_heavy,0)),
IF(AND(ISNUMBER(SEARCH("L-Dsty.L-Res",$B49))=TRUE,ISNUMBER(SEARCH("N.",$B49))=TRUE,OR(ISNUMBER(SEARCH("heavy",$B49)),ISNUMBER(SEARCH("MEDIUM",$B49)))=TRUE),INDEX(croprotn_LDLR_N_h,MATCH(RIGHT($F$1,1),rotation_heavy,0)),
IF(AND(ISNUMBER(SEARCH("L-Dsty.L-Res",$B49))=TRUE,ISNUMBER(SEARCH("C.",$B49))=TRUE,OR(ISNUMBER(SEARCH("heavy",$B49)),ISNUMBER(SEARCH("MEDIUM",$B49)))=TRUE),INDEX(croprotn_LDLR_C_h,MATCH(RIGHT($F$1,1),rotation_heavy,0)),
IF(AND(ISNUMBER(SEARCH("H-Dsty.H-Res",$B49))=TRUE,ISNUMBER(SEARCH("E.",$B49))=TRUE,ISNUMBER(SEARCH("light",$B49))=TRUE),INDEX(croprotn_HDHR_E_l,MATCH(RIGHT($F$1,1),rotation_light,0)),
IF(AND(ISNUMBER(SEARCH("H-Dsty.H-Res",$B49))=TRUE,ISNUMBER(SEARCH("N.",$B49))=TRUE,ISNUMBER(SEARCH("light",$B49))=TRUE),INDEX(croprotn_HDHR_N_l,MATCH(RIGHT($F$1,1),rotation_light,0)),
IF(AND(ISNUMBER(SEARCH("H-Dsty.H-Res",$B49))=TRUE,ISNUMBER(SEARCH("C.",$B49))=TRUE,ISNUMBER(SEARCH("light",$B49))=TRUE),INDEX(croprotn_HDHR_C_l,MATCH(RIGHT($F$1,1),rotation_light,0)),
IF(AND(ISNUMBER(SEARCH("L-Dsty.H-Res",$B49))=TRUE,ISNUMBER(SEARCH("E.",$B49))=TRUE,ISNUMBER(SEARCH("light",$B49))=TRUE),INDEX(croprotn_LDHR_E_l,MATCH(RIGHT($F$1,1),rotation_light,0)),
IF(AND(ISNUMBER(SEARCH("L-Dsty.H-Res",$B49))=TRUE,ISNUMBER(SEARCH("N.",$B49))=TRUE,ISNUMBER(SEARCH("light",$B49))=TRUE),INDEX(croprotn_LDHR_N_l,MATCH(RIGHT($F$1,1),rotation_light,0)),
IF(AND(ISNUMBER(SEARCH("L-Dsty.H-Res",$B49))=TRUE,ISNUMBER(SEARCH("C.",$B49))=TRUE,ISNUMBER(SEARCH("light",$B49))=TRUE),INDEX(croprotn_LDHR_C_l,MATCH(RIGHT($F$1,1),rotation_light,0)),
IF(AND(ISNUMBER(SEARCH("L-Dsty.L-Res",$B49))=TRUE,ISNUMBER(SEARCH("E.",$B49))=TRUE,ISNUMBER(SEARCH("light",$B49))=TRUE),INDEX(croprotn_LDLR_E_l,MATCH(RIGHT($F$1,1),rotation_light,0)),
IF(AND(ISNUMBER(SEARCH("L-Dsty.L-Res",$B49))=TRUE,ISNUMBER(SEARCH("N.",$B49))=TRUE,ISNUMBER(SEARCH("light",$B49))=TRUE),INDEX(croprotn_LDLR_N_l,MATCH(RIGHT($F$1,1),rotation_light,0)),
IF(AND(ISNUMBER(SEARCH("L-Dsty.L-Res",$B49))=TRUE,ISNUMBER(SEARCH("C.",$B49))=TRUE,ISNUMBER(SEARCH("light",$B49))=TRUE),INDEX(croprotn_LDLR_C_l,MATCH(RIGHT($F$1,1),rotation_light,0))
))))))))))))))))))</f>
        <v>winterwheat</v>
      </c>
      <c r="G49" s="234" t="str">
        <f t="shared" si="84"/>
        <v>winterbarley</v>
      </c>
      <c r="H49" s="234" t="str">
        <f t="shared" si="100"/>
        <v>wosr</v>
      </c>
      <c r="I49" s="234" t="str">
        <f t="shared" si="101"/>
        <v>winterwheat</v>
      </c>
      <c r="J49" s="234" t="str">
        <f t="shared" si="102"/>
        <v>driedpeas</v>
      </c>
      <c r="K49" s="234" t="str">
        <f t="shared" si="103"/>
        <v>winterwheat</v>
      </c>
      <c r="L49" s="154" t="str">
        <f t="shared" si="104"/>
        <v>lightcultivation</v>
      </c>
      <c r="M49" s="154" t="str">
        <f t="shared" si="105"/>
        <v>lightcultivation</v>
      </c>
      <c r="N49" s="154" t="str">
        <f t="shared" si="106"/>
        <v>subsoiling</v>
      </c>
      <c r="O49" s="154" t="str">
        <f t="shared" si="164"/>
        <v>lightcultivation</v>
      </c>
      <c r="P49" s="154" t="str">
        <f t="shared" si="165"/>
        <v>lightcultivation</v>
      </c>
      <c r="Q49" s="154" t="str">
        <f t="shared" si="95"/>
        <v>lightcultivation</v>
      </c>
      <c r="R49" s="234">
        <f t="shared" si="86"/>
        <v>190</v>
      </c>
      <c r="S49" s="234">
        <f t="shared" si="107"/>
        <v>195</v>
      </c>
      <c r="T49" s="234">
        <f t="shared" si="108"/>
        <v>3.2</v>
      </c>
      <c r="U49" s="234">
        <f t="shared" si="87"/>
        <v>190</v>
      </c>
      <c r="V49" s="234">
        <f t="shared" si="109"/>
        <v>300</v>
      </c>
      <c r="W49" s="234">
        <f t="shared" si="110"/>
        <v>190</v>
      </c>
      <c r="X49" s="154" t="str">
        <f t="shared" si="111"/>
        <v>no</v>
      </c>
      <c r="Y49" s="154" t="str">
        <f t="shared" si="112"/>
        <v>no</v>
      </c>
      <c r="Z49" s="154" t="str">
        <f t="shared" si="113"/>
        <v>no</v>
      </c>
      <c r="AA49" s="154" t="str">
        <f t="shared" si="114"/>
        <v>no</v>
      </c>
      <c r="AB49" s="154" t="str">
        <f t="shared" si="115"/>
        <v>no</v>
      </c>
      <c r="AC49" s="154" t="str">
        <f t="shared" si="116"/>
        <v>no</v>
      </c>
      <c r="AD49" s="345">
        <v>150</v>
      </c>
      <c r="AE49" s="234">
        <f t="shared" si="85"/>
        <v>190</v>
      </c>
      <c r="AF49" s="234">
        <f t="shared" si="168"/>
        <v>180</v>
      </c>
      <c r="AG49" s="345">
        <v>150</v>
      </c>
      <c r="AH49" s="234">
        <f t="shared" si="80"/>
        <v>0</v>
      </c>
      <c r="AI49" s="345">
        <v>150</v>
      </c>
      <c r="AJ49" s="154">
        <f t="shared" si="117"/>
        <v>67</v>
      </c>
      <c r="AK49" s="154">
        <f t="shared" si="118"/>
        <v>58</v>
      </c>
      <c r="AL49" s="154">
        <f t="shared" si="119"/>
        <v>49</v>
      </c>
      <c r="AM49" s="154">
        <f t="shared" si="120"/>
        <v>67</v>
      </c>
      <c r="AN49" s="154">
        <f t="shared" si="121"/>
        <v>35</v>
      </c>
      <c r="AO49" s="154">
        <f t="shared" si="122"/>
        <v>67</v>
      </c>
      <c r="AP49" s="154">
        <f t="shared" si="123"/>
        <v>48</v>
      </c>
      <c r="AQ49" s="154">
        <f t="shared" si="124"/>
        <v>41</v>
      </c>
      <c r="AR49" s="154">
        <f t="shared" si="125"/>
        <v>39</v>
      </c>
      <c r="AS49" s="154">
        <f t="shared" si="126"/>
        <v>48</v>
      </c>
      <c r="AT49" s="154">
        <f t="shared" si="127"/>
        <v>40</v>
      </c>
      <c r="AU49" s="154">
        <f t="shared" si="128"/>
        <v>48</v>
      </c>
      <c r="AV49" s="234">
        <f t="shared" si="89"/>
        <v>1</v>
      </c>
      <c r="AW49" s="234">
        <f t="shared" si="129"/>
        <v>0.4</v>
      </c>
      <c r="AX49" s="234">
        <f t="shared" si="130"/>
        <v>2</v>
      </c>
      <c r="AY49" s="345">
        <v>4.4000000000000004</v>
      </c>
      <c r="AZ49" s="234">
        <f t="shared" si="131"/>
        <v>4</v>
      </c>
      <c r="BA49" s="234">
        <f t="shared" si="132"/>
        <v>1</v>
      </c>
      <c r="BB49" s="234">
        <f t="shared" si="133"/>
        <v>3</v>
      </c>
      <c r="BC49" s="234">
        <f t="shared" si="134"/>
        <v>3</v>
      </c>
      <c r="BD49" s="234">
        <f t="shared" si="135"/>
        <v>0</v>
      </c>
      <c r="BE49" s="234">
        <f t="shared" si="91"/>
        <v>3</v>
      </c>
      <c r="BF49" s="234">
        <f t="shared" si="136"/>
        <v>6</v>
      </c>
      <c r="BG49" s="234">
        <f t="shared" si="137"/>
        <v>3</v>
      </c>
      <c r="BH49" s="234">
        <f t="shared" si="138"/>
        <v>3</v>
      </c>
      <c r="BI49" s="234">
        <f t="shared" si="139"/>
        <v>2</v>
      </c>
      <c r="BJ49" s="234">
        <f t="shared" si="140"/>
        <v>2</v>
      </c>
      <c r="BK49" s="234">
        <f t="shared" si="92"/>
        <v>3</v>
      </c>
      <c r="BL49" s="234">
        <f t="shared" si="141"/>
        <v>3</v>
      </c>
      <c r="BM49" s="234">
        <f t="shared" si="142"/>
        <v>3</v>
      </c>
      <c r="BN49" s="154" t="s">
        <v>483</v>
      </c>
      <c r="BO49" s="154" t="str">
        <f t="shared" si="143"/>
        <v>medium</v>
      </c>
      <c r="BP49" s="154" t="str">
        <f t="shared" si="144"/>
        <v>low</v>
      </c>
      <c r="BQ49" s="154" t="str">
        <f t="shared" si="145"/>
        <v>low</v>
      </c>
      <c r="BR49" s="154" t="s">
        <v>183</v>
      </c>
      <c r="BS49" s="154" t="s">
        <v>183</v>
      </c>
      <c r="BT49" s="154" t="s">
        <v>183</v>
      </c>
      <c r="BU49" s="154">
        <f t="shared" si="146"/>
        <v>150</v>
      </c>
      <c r="BV49" s="154">
        <f t="shared" si="147"/>
        <v>138</v>
      </c>
      <c r="BW49" s="154">
        <f t="shared" si="148"/>
        <v>335</v>
      </c>
      <c r="BX49" s="154">
        <f t="shared" si="149"/>
        <v>150</v>
      </c>
      <c r="BY49" s="154">
        <f t="shared" si="150"/>
        <v>225</v>
      </c>
      <c r="BZ49" s="154">
        <f t="shared" si="151"/>
        <v>150</v>
      </c>
      <c r="CA49" s="356">
        <f t="array" ref="CA49">IF(yieldsetting1="estimate",0,INDEX(cropdata, MATCH(yieldsource,outputs,0), MATCH($F49,cropdatacrops,0)))</f>
        <v>0</v>
      </c>
      <c r="CB49" s="356">
        <f t="array" ref="CB49">IF(yieldsetting1="estimate",0,INDEX(cropdata, MATCH(yieldsource,outputs,0), MATCH($G49,cropdatacrops,0)))</f>
        <v>0</v>
      </c>
      <c r="CC49" s="356">
        <f t="array" ref="CC49">IF(yieldsetting1="estimate",0,INDEX(cropdata, MATCH(yieldsource,outputs,0), MATCH($H49,cropdatacrops,0)))</f>
        <v>0</v>
      </c>
      <c r="CD49" s="356">
        <f t="array" ref="CD49">IF(yieldsetting1="estimate",0,INDEX(cropdata, MATCH(yieldsource,outputs,0), MATCH($I49,cropdatacrops,0)))</f>
        <v>0</v>
      </c>
      <c r="CE49" s="356">
        <f t="array" ref="CE49">IF(yieldsetting1="estimate",0,INDEX(cropdata, MATCH(yieldsource,outputs,0), MATCH($J49,cropdatacrops,0)))</f>
        <v>0</v>
      </c>
      <c r="CF49" s="356">
        <f t="array" ref="CF49">IF(yieldsetting1="estimate",0,INDEX(cropdata, MATCH(yieldsource,outputs,0), MATCH($K49,cropdatacrops,0)))</f>
        <v>0</v>
      </c>
      <c r="CG49" s="154" t="str">
        <f t="shared" si="152"/>
        <v>estimate</v>
      </c>
      <c r="CH49" s="235">
        <f t="shared" si="153"/>
        <v>0.8</v>
      </c>
      <c r="CI49" s="235">
        <f t="shared" si="154"/>
        <v>0.72</v>
      </c>
      <c r="CJ49" s="154">
        <f t="shared" si="155"/>
        <v>0.46</v>
      </c>
      <c r="CK49" s="154">
        <f t="shared" si="156"/>
        <v>0.36</v>
      </c>
      <c r="CL49" s="154">
        <f t="shared" si="157"/>
        <v>0.36</v>
      </c>
      <c r="CM49" s="154">
        <f t="shared" si="158"/>
        <v>7.34</v>
      </c>
      <c r="CN49" s="154">
        <f t="shared" si="159"/>
        <v>0.36</v>
      </c>
      <c r="CO49" s="154">
        <f t="shared" si="160"/>
        <v>0.47</v>
      </c>
      <c r="CP49" s="154">
        <f t="shared" si="161"/>
        <v>0.36</v>
      </c>
      <c r="CQ49" s="154">
        <f t="shared" si="166"/>
        <v>19.5</v>
      </c>
      <c r="CR49" s="154">
        <f t="shared" si="166"/>
        <v>19.5</v>
      </c>
      <c r="CS49" s="154">
        <f t="shared" si="166"/>
        <v>19.5</v>
      </c>
      <c r="CT49" s="154">
        <f t="shared" si="166"/>
        <v>19.5</v>
      </c>
      <c r="CU49" s="154">
        <f t="shared" si="166"/>
        <v>19.5</v>
      </c>
      <c r="CV49" s="154">
        <f t="shared" si="166"/>
        <v>19.5</v>
      </c>
      <c r="CW49" s="154">
        <f t="shared" si="167"/>
        <v>2.4300000000000002</v>
      </c>
      <c r="CX49" s="154">
        <f t="shared" si="167"/>
        <v>2.4300000000000002</v>
      </c>
      <c r="CY49" s="154">
        <f t="shared" si="167"/>
        <v>2.4300000000000002</v>
      </c>
      <c r="CZ49" s="154">
        <f t="shared" si="167"/>
        <v>2.4300000000000002</v>
      </c>
      <c r="DA49" s="154">
        <f t="shared" si="167"/>
        <v>2.4300000000000002</v>
      </c>
      <c r="DB49" s="154">
        <f t="shared" si="167"/>
        <v>2.4300000000000002</v>
      </c>
      <c r="DC49" s="154">
        <v>102</v>
      </c>
      <c r="DD49" s="154">
        <v>6</v>
      </c>
      <c r="DE49" s="154">
        <v>4</v>
      </c>
      <c r="DF49" s="154">
        <v>1400</v>
      </c>
      <c r="DG49" s="154">
        <v>125</v>
      </c>
      <c r="DH49" s="154">
        <f t="shared" si="162"/>
        <v>0.625</v>
      </c>
      <c r="DI49" s="154">
        <f t="shared" si="163"/>
        <v>10.08</v>
      </c>
    </row>
    <row r="50" spans="1:113" x14ac:dyDescent="0.2">
      <c r="A50" s="335" t="s">
        <v>1643</v>
      </c>
      <c r="B50" s="334" t="s">
        <v>495</v>
      </c>
      <c r="C50" s="334" t="s">
        <v>1667</v>
      </c>
      <c r="D50" s="233" t="str">
        <f>IF(ISNUMBER(SEARCH("heavy",B50))=TRUE,"2.25",
IF(ISNUMBER(SEARCH("medium",B50))=TRUE,"1.5",
IF(ISNUMBER(SEARCH("light",B50))=TRUE,"0.75")))</f>
        <v>2.25</v>
      </c>
      <c r="E50" s="154">
        <v>6</v>
      </c>
      <c r="F50" s="234" t="str" cm="1">
        <f t="array" ref="F50">IF(AND(ISNUMBER(SEARCH("H-Dsty.H-Res",$B50))=TRUE,ISNUMBER(SEARCH("E.",$B50))=TRUE,OR(ISNUMBER(SEARCH("heavy",$B50)),ISNUMBER(SEARCH("MEDIUM",$B50)))=TRUE),INDEX(croprotn_HDHR_E_h,MATCH(RIGHT($F$1,1),rotation_heavy,0)),
IF(AND(ISNUMBER(SEARCH("H-Dsty.H-Res",$B50))=TRUE,ISNUMBER(SEARCH("N.",$B50))=TRUE,OR(ISNUMBER(SEARCH("heavy",$B50)),ISNUMBER(SEARCH("MEDIUM",$B50)))=TRUE),INDEX(croprotn_HDHR_N_h,MATCH(RIGHT($F$1,1),rotation_heavy,0)),
IF(AND(ISNUMBER(SEARCH("H-Dsty.H-Res",$B50))=TRUE,ISNUMBER(SEARCH("C.",$B50))=TRUE,OR(ISNUMBER(SEARCH("heavy",$B50)),ISNUMBER(SEARCH("MEDIUM",$B50)))=TRUE),INDEX(croprotn_HDHR_C_h,MATCH(RIGHT($F$1,1),rotation_heavy,0)),
IF(AND(ISNUMBER(SEARCH("L-Dsty.H-Res",$B50))=TRUE,ISNUMBER(SEARCH("E.",$B50))=TRUE,OR(ISNUMBER(SEARCH("heavy",$B50)),ISNUMBER(SEARCH("MEDIUM",$B50)))=TRUE),INDEX(croprotn_LDHR_E_h,MATCH(RIGHT($F$1,1),rotation_heavy,0)),
IF(AND(ISNUMBER(SEARCH("L-Dsty.H-Res",$B50))=TRUE,ISNUMBER(SEARCH("N.",$B50))=TRUE,OR(ISNUMBER(SEARCH("heavy",$B50)),ISNUMBER(SEARCH("MEDIUM",$B50)))=TRUE),INDEX(croprotn_LDHR_N_h,MATCH(RIGHT($F$1,1),rotation_heavy,0)),
IF(AND(ISNUMBER(SEARCH("L-Dsty.H-Res",$B50))=TRUE,ISNUMBER(SEARCH("C.",$B50))=TRUE,OR(ISNUMBER(SEARCH("heavy",$B50)),ISNUMBER(SEARCH("MEDIUM",$B50)))=TRUE),INDEX(croprotn_LDHR_C_h,MATCH(RIGHT($F$1,1),rotation_heavy,0)),
IF(AND(ISNUMBER(SEARCH("L-Dsty.L-Res",$B50))=TRUE,ISNUMBER(SEARCH("E.",$B50))=TRUE,OR(ISNUMBER(SEARCH("heavy",$B50)),ISNUMBER(SEARCH("MEDIUM",$B50)))=TRUE),INDEX(croprotn_LDLR_E_h,MATCH(RIGHT($F$1,1),rotation_heavy,0)),
IF(AND(ISNUMBER(SEARCH("L-Dsty.L-Res",$B50))=TRUE,ISNUMBER(SEARCH("N.",$B50))=TRUE,OR(ISNUMBER(SEARCH("heavy",$B50)),ISNUMBER(SEARCH("MEDIUM",$B50)))=TRUE),INDEX(croprotn_LDLR_N_h,MATCH(RIGHT($F$1,1),rotation_heavy,0)),
IF(AND(ISNUMBER(SEARCH("L-Dsty.L-Res",$B50))=TRUE,ISNUMBER(SEARCH("C.",$B50))=TRUE,OR(ISNUMBER(SEARCH("heavy",$B50)),ISNUMBER(SEARCH("MEDIUM",$B50)))=TRUE),INDEX(croprotn_LDLR_C_h,MATCH(RIGHT($F$1,1),rotation_heavy,0)),
IF(AND(ISNUMBER(SEARCH("H-Dsty.H-Res",$B50))=TRUE,ISNUMBER(SEARCH("E.",$B50))=TRUE,ISNUMBER(SEARCH("light",$B50))=TRUE),INDEX(croprotn_HDHR_E_l,MATCH(RIGHT($F$1,1),rotation_light,0)),
IF(AND(ISNUMBER(SEARCH("H-Dsty.H-Res",$B50))=TRUE,ISNUMBER(SEARCH("N.",$B50))=TRUE,ISNUMBER(SEARCH("light",$B50))=TRUE),INDEX(croprotn_HDHR_N_l,MATCH(RIGHT($F$1,1),rotation_light,0)),
IF(AND(ISNUMBER(SEARCH("H-Dsty.H-Res",$B50))=TRUE,ISNUMBER(SEARCH("C.",$B50))=TRUE,ISNUMBER(SEARCH("light",$B50))=TRUE),INDEX(croprotn_HDHR_C_l,MATCH(RIGHT($F$1,1),rotation_light,0)),
IF(AND(ISNUMBER(SEARCH("L-Dsty.H-Res",$B50))=TRUE,ISNUMBER(SEARCH("E.",$B50))=TRUE,ISNUMBER(SEARCH("light",$B50))=TRUE),INDEX(croprotn_LDHR_E_l,MATCH(RIGHT($F$1,1),rotation_light,0)),
IF(AND(ISNUMBER(SEARCH("L-Dsty.H-Res",$B50))=TRUE,ISNUMBER(SEARCH("N.",$B50))=TRUE,ISNUMBER(SEARCH("light",$B50))=TRUE),INDEX(croprotn_LDHR_N_l,MATCH(RIGHT($F$1,1),rotation_light,0)),
IF(AND(ISNUMBER(SEARCH("L-Dsty.H-Res",$B50))=TRUE,ISNUMBER(SEARCH("C.",$B50))=TRUE,ISNUMBER(SEARCH("light",$B50))=TRUE),INDEX(croprotn_LDHR_C_l,MATCH(RIGHT($F$1,1),rotation_light,0)),
IF(AND(ISNUMBER(SEARCH("L-Dsty.L-Res",$B50))=TRUE,ISNUMBER(SEARCH("E.",$B50))=TRUE,ISNUMBER(SEARCH("light",$B50))=TRUE),INDEX(croprotn_LDLR_E_l,MATCH(RIGHT($F$1,1),rotation_light,0)),
IF(AND(ISNUMBER(SEARCH("L-Dsty.L-Res",$B50))=TRUE,ISNUMBER(SEARCH("N.",$B50))=TRUE,ISNUMBER(SEARCH("light",$B50))=TRUE),INDEX(croprotn_LDLR_N_l,MATCH(RIGHT($F$1,1),rotation_light,0)),
IF(AND(ISNUMBER(SEARCH("L-Dsty.L-Res",$B50))=TRUE,ISNUMBER(SEARCH("C.",$B50))=TRUE,ISNUMBER(SEARCH("light",$B50))=TRUE),INDEX(croprotn_LDLR_C_l,MATCH(RIGHT($F$1,1),rotation_light,0))
))))))))))))))))))</f>
        <v>winterwheat</v>
      </c>
      <c r="G50" s="234" t="str">
        <f t="shared" si="84"/>
        <v>winterbarley</v>
      </c>
      <c r="H50" s="234" t="str">
        <f t="shared" si="100"/>
        <v>wosr</v>
      </c>
      <c r="I50" s="234" t="str">
        <f t="shared" si="101"/>
        <v>winterwheat</v>
      </c>
      <c r="J50" s="234" t="str">
        <f t="shared" si="102"/>
        <v>springbeans</v>
      </c>
      <c r="K50" s="234" t="str">
        <f t="shared" si="103"/>
        <v>winterwheat</v>
      </c>
      <c r="L50" s="154" t="str">
        <f t="shared" si="104"/>
        <v>lightcultivation</v>
      </c>
      <c r="M50" s="154" t="str">
        <f t="shared" si="105"/>
        <v>lightcultivation</v>
      </c>
      <c r="N50" s="154" t="str">
        <f t="shared" si="106"/>
        <v>subsoiling</v>
      </c>
      <c r="O50" s="154" t="str">
        <f t="shared" si="164"/>
        <v>lightcultivation</v>
      </c>
      <c r="P50" s="154" t="str">
        <f t="shared" si="165"/>
        <v>lightcultivation</v>
      </c>
      <c r="Q50" s="154" t="str">
        <f t="shared" si="95"/>
        <v>lightcultivation</v>
      </c>
      <c r="R50" s="234">
        <f t="shared" si="86"/>
        <v>190</v>
      </c>
      <c r="S50" s="234">
        <f t="shared" si="107"/>
        <v>195</v>
      </c>
      <c r="T50" s="234">
        <f t="shared" si="108"/>
        <v>3.2</v>
      </c>
      <c r="U50" s="234">
        <f t="shared" si="87"/>
        <v>190</v>
      </c>
      <c r="V50" s="234">
        <f t="shared" si="109"/>
        <v>305</v>
      </c>
      <c r="W50" s="234">
        <f t="shared" si="110"/>
        <v>190</v>
      </c>
      <c r="X50" s="154" t="str">
        <f t="shared" si="111"/>
        <v>no</v>
      </c>
      <c r="Y50" s="154" t="str">
        <f t="shared" si="112"/>
        <v>no</v>
      </c>
      <c r="Z50" s="154" t="str">
        <f t="shared" si="113"/>
        <v>no</v>
      </c>
      <c r="AA50" s="154" t="str">
        <f t="shared" si="114"/>
        <v>no</v>
      </c>
      <c r="AB50" s="154" t="str">
        <f t="shared" si="115"/>
        <v>no</v>
      </c>
      <c r="AC50" s="154" t="str">
        <f t="shared" si="116"/>
        <v>no</v>
      </c>
      <c r="AD50" s="234">
        <f>IF(AND(ISNUMBER(SEARCH("H-Dsty.H-Res",$B50))=TRUE,ISNUMBER(SEARCH("E.",$B50))=TRUE),INDEX(fertrate_HDHR_E,MATCH($F50,fertrate_CROPS,0)),
IF(AND(ISNUMBER(SEARCH("H-Dsty.H-Res",$B50))=TRUE,ISNUMBER(SEARCH("N.",$B50))=TRUE),INDEX(fertrate_HDHR_N,MATCH($F50,fertrate_CROPS,0)),
IF(AND(ISNUMBER(SEARCH("H-Dsty.H-Res",$B50))=TRUE,ISNUMBER(SEARCH("C.",$B50))=TRUE),INDEX(fertrate_HDHR_C,MATCH($F50,fertrate_CROPS,0)),
IF(AND(ISNUMBER(SEARCH("L-Dsty.H-Res",$B50))=TRUE,ISNUMBER(SEARCH("E.",$B50))=TRUE),INDEX(fertrate_LDHR_E,MATCH($F50,fertrate_CROPS,0)),
IF(AND(ISNUMBER(SEARCH("L-Dsty.H-Res",$B50))=TRUE,ISNUMBER(SEARCH("N.",$B50))=TRUE),INDEX(fertrate_LDHR_N,MATCH($F50,fertrate_CROPS,0)),
IF(AND(ISNUMBER(SEARCH("L-Dsty.H-Res",$B50))=TRUE,ISNUMBER(SEARCH("C.",$B50))=TRUE),INDEX(fertrate_LDHR_C,MATCH($F50,fertrate_CROPS,0)),
IF(AND(ISNUMBER(SEARCH("L-Dsty.L-Res",$B50))=TRUE,ISNUMBER(SEARCH("E.",$B50))=TRUE),INDEX(fertrate_LDLR_E,MATCH($F50,fertrate_CROPS,0)),
IF(AND(ISNUMBER(SEARCH("L-Dsty.L-Res",$B50))=TRUE,ISNUMBER(SEARCH("N.",$B50))=TRUE),INDEX(fertrate_LDLR_N,MATCH($F50,fertrate_CROPS,0)),
IF(AND(ISNUMBER(SEARCH("L-Dsty.L-Res",$B50))=TRUE,ISNUMBER(SEARCH("C.",$B50))=TRUE),INDEX(fertrate_LDLR_C,MATCH($F50,fertrate_CROPS,0))
)))))))))</f>
        <v>220</v>
      </c>
      <c r="AE50" s="234">
        <f t="shared" si="85"/>
        <v>190</v>
      </c>
      <c r="AF50" s="234">
        <f t="shared" si="168"/>
        <v>180</v>
      </c>
      <c r="AG50" s="234">
        <f>IF(AND(ISNUMBER(SEARCH("H-Dsty.",$B50))=TRUE,ISNUMBER(SEARCH("H-Res",$B50))=TRUE,ISNUMBER(SEARCH("E.",$B50))=TRUE),INDEX(fertrate_HDHR_E,MATCH($I50,fertrate_CROPS,0)),
IF(AND(ISNUMBER(SEARCH("H-Dsty.",$B50))=TRUE,ISNUMBER(SEARCH("H-Res",$B50))=TRUE,ISNUMBER(SEARCH("N.",$B50))=TRUE),INDEX(fertrate_HDHR_N,MATCH($I50,fertrate_CROPS,0)),
IF(AND(ISNUMBER(SEARCH("H-Dsty.",$B50))=TRUE,ISNUMBER(SEARCH("H-Res",$B50))=TRUE,ISNUMBER(SEARCH("C.",$B50))=TRUE),INDEX(fertrate_HDHR_C,MATCH($I50,fertrate_CROPS,0)),
IF(AND(ISNUMBER(SEARCH("L-Dsty.",$B50))=TRUE,ISNUMBER(SEARCH("H-Res",$B50))=TRUE,ISNUMBER(SEARCH("E.",$B50))=TRUE),INDEX(fertrate_LDHR_E,MATCH($I50,fertrate_CROPS,0)),
IF(AND(ISNUMBER(SEARCH("L-Dsty.",$B50))=TRUE,ISNUMBER(SEARCH("H-Res",$B50))=TRUE,ISNUMBER(SEARCH("N.",$B50))=TRUE),INDEX(fertrate_LDHR_N,MATCH($I50,fertrate_CROPS,0)),
IF(AND(ISNUMBER(SEARCH("L-Dsty.",$B50))=TRUE,ISNUMBER(SEARCH("H-Res",$B50))=TRUE,ISNUMBER(SEARCH("C.",$B50))=TRUE),INDEX(fertrate_LDHR_C,MATCH($I50,fertrate_CROPS,0)),
IF(AND(ISNUMBER(SEARCH("L-Dsty.",$B50))=TRUE,ISNUMBER(SEARCH("L-Res",$B50))=TRUE,ISNUMBER(SEARCH("E.",$B50))=TRUE),INDEX(fertrate_LDLR_E,MATCH($I50,fertrate_CROPS,0)),
IF(AND(ISNUMBER(SEARCH("L-Dsty.",$B50))=TRUE,ISNUMBER(SEARCH("L-Res",$B50))=TRUE,ISNUMBER(SEARCH("N.",$B50))=TRUE),INDEX(fertrate_LDLR_N,MATCH($I50,fertrate_CROPS,0)),
IF(AND(ISNUMBER(SEARCH("L-Dsty.",$B50))=TRUE,ISNUMBER(SEARCH("L-Res",$B50))=TRUE,ISNUMBER(SEARCH("C.",$B50))=TRUE),INDEX(fertrate_LDLR_C,MATCH($I50,fertrate_CROPS,0))
)))))))))</f>
        <v>220</v>
      </c>
      <c r="AH50" s="234">
        <f t="shared" si="80"/>
        <v>0</v>
      </c>
      <c r="AI50" s="234">
        <f>IF(AND(ISNUMBER(SEARCH("H-Dsty.",$B50))=TRUE,ISNUMBER(SEARCH("H-Res",$B50))=TRUE,ISNUMBER(SEARCH("E.",$B50))=TRUE),INDEX(fertrate_HDHR_E,MATCH($K50,fertrate_CROPS,0)),
IF(AND(ISNUMBER(SEARCH("H-Dsty.",$B50))=TRUE,ISNUMBER(SEARCH("H-Res",$B50))=TRUE,ISNUMBER(SEARCH("N.",$B50))=TRUE),INDEX(fertrate_HDHR_N,MATCH($K50,fertrate_CROPS,0)),
IF(AND(ISNUMBER(SEARCH("H-Dsty.",$B50))=TRUE,ISNUMBER(SEARCH("H-Res",$B50))=TRUE,ISNUMBER(SEARCH("C.",$B50))=TRUE),INDEX(fertrate_HDHR_C,MATCH($K50,fertrate_CROPS,0)),
IF(AND(ISNUMBER(SEARCH("L-Dsty.",$B50))=TRUE,ISNUMBER(SEARCH("H-Res",$B50))=TRUE,ISNUMBER(SEARCH("E.",$B50))=TRUE),INDEX(fertrate_LDHR_E,MATCH($K50,fertrate_CROPS,0)),
IF(AND(ISNUMBER(SEARCH("L-Dsty.",$B50))=TRUE,ISNUMBER(SEARCH("H-Res",$B50))=TRUE,ISNUMBER(SEARCH("N.",$B50))=TRUE),INDEX(fertrate_LDHR_N,MATCH($K50,fertrate_CROPS,0)),
IF(AND(ISNUMBER(SEARCH("L-Dsty.",$B50))=TRUE,ISNUMBER(SEARCH("H-Res",$B50))=TRUE,ISNUMBER(SEARCH("C.",$B50))=TRUE),INDEX(fertrate_LDHR_C,MATCH($K50,fertrate_CROPS,0)),
IF(AND(ISNUMBER(SEARCH("L-Dsty.",$B50))=TRUE,ISNUMBER(SEARCH("L-Res",$B50))=TRUE,ISNUMBER(SEARCH("E.",$B50))=TRUE),INDEX(fertrate_LDLR_E,MATCH($K50,fertrate_CROPS,0)),
IF(AND(ISNUMBER(SEARCH("L-Dsty.",$B50))=TRUE,ISNUMBER(SEARCH("L-Res",$B50))=TRUE,ISNUMBER(SEARCH("N.",$B50))=TRUE),INDEX(fertrate_LDLR_N,MATCH($K50,fertrate_CROPS,0)),
IF(AND(ISNUMBER(SEARCH("L-Dsty.",$B50))=TRUE,ISNUMBER(SEARCH("L-Res",$B50))=TRUE,ISNUMBER(SEARCH("C.",$B50))=TRUE),INDEX(fertrate_LDLR_C,MATCH($K50,fertrate_CROPS,0))
)))))))))</f>
        <v>220</v>
      </c>
      <c r="AJ50" s="154">
        <f t="shared" si="117"/>
        <v>67</v>
      </c>
      <c r="AK50" s="154">
        <f t="shared" si="118"/>
        <v>58</v>
      </c>
      <c r="AL50" s="154">
        <f t="shared" si="119"/>
        <v>49</v>
      </c>
      <c r="AM50" s="154">
        <f t="shared" si="120"/>
        <v>67</v>
      </c>
      <c r="AN50" s="154">
        <f t="shared" si="121"/>
        <v>43</v>
      </c>
      <c r="AO50" s="154">
        <f t="shared" si="122"/>
        <v>67</v>
      </c>
      <c r="AP50" s="154">
        <f t="shared" si="123"/>
        <v>48</v>
      </c>
      <c r="AQ50" s="154">
        <f t="shared" si="124"/>
        <v>41</v>
      </c>
      <c r="AR50" s="154">
        <f t="shared" si="125"/>
        <v>39</v>
      </c>
      <c r="AS50" s="154">
        <f t="shared" si="126"/>
        <v>48</v>
      </c>
      <c r="AT50" s="154">
        <f t="shared" si="127"/>
        <v>47</v>
      </c>
      <c r="AU50" s="154">
        <f t="shared" si="128"/>
        <v>48</v>
      </c>
      <c r="AV50" s="234">
        <f t="shared" si="89"/>
        <v>1</v>
      </c>
      <c r="AW50" s="234">
        <f t="shared" si="129"/>
        <v>0.4</v>
      </c>
      <c r="AX50" s="234">
        <f t="shared" si="130"/>
        <v>2</v>
      </c>
      <c r="AY50" s="345">
        <v>4.4000000000000004</v>
      </c>
      <c r="AZ50" s="234">
        <f t="shared" si="131"/>
        <v>4</v>
      </c>
      <c r="BA50" s="234">
        <f t="shared" si="132"/>
        <v>1</v>
      </c>
      <c r="BB50" s="234">
        <f t="shared" si="133"/>
        <v>3</v>
      </c>
      <c r="BC50" s="234">
        <f t="shared" si="134"/>
        <v>3</v>
      </c>
      <c r="BD50" s="234">
        <f t="shared" si="135"/>
        <v>0</v>
      </c>
      <c r="BE50" s="234">
        <f t="shared" si="91"/>
        <v>3</v>
      </c>
      <c r="BF50" s="234">
        <f t="shared" si="136"/>
        <v>6</v>
      </c>
      <c r="BG50" s="234">
        <f t="shared" si="137"/>
        <v>3</v>
      </c>
      <c r="BH50" s="234">
        <f t="shared" si="138"/>
        <v>3</v>
      </c>
      <c r="BI50" s="234">
        <f t="shared" si="139"/>
        <v>2</v>
      </c>
      <c r="BJ50" s="234">
        <f t="shared" si="140"/>
        <v>2</v>
      </c>
      <c r="BK50" s="234">
        <f t="shared" si="92"/>
        <v>3</v>
      </c>
      <c r="BL50" s="234">
        <f t="shared" si="141"/>
        <v>3</v>
      </c>
      <c r="BM50" s="234">
        <f t="shared" si="142"/>
        <v>3</v>
      </c>
      <c r="BN50" s="154" t="s">
        <v>483</v>
      </c>
      <c r="BO50" s="154" t="str">
        <f t="shared" si="143"/>
        <v>low</v>
      </c>
      <c r="BP50" s="154" t="str">
        <f t="shared" si="144"/>
        <v>low</v>
      </c>
      <c r="BQ50" s="154" t="str">
        <f t="shared" si="145"/>
        <v>low</v>
      </c>
      <c r="BR50" s="154" t="s">
        <v>18</v>
      </c>
      <c r="BS50" s="154" t="s">
        <v>18</v>
      </c>
      <c r="BT50" s="154" t="s">
        <v>18</v>
      </c>
      <c r="BU50" s="154">
        <f t="shared" si="146"/>
        <v>150</v>
      </c>
      <c r="BV50" s="154">
        <f t="shared" si="147"/>
        <v>138</v>
      </c>
      <c r="BW50" s="154">
        <f t="shared" si="148"/>
        <v>335</v>
      </c>
      <c r="BX50" s="154">
        <f t="shared" si="149"/>
        <v>150</v>
      </c>
      <c r="BY50" s="154">
        <f t="shared" si="150"/>
        <v>185</v>
      </c>
      <c r="BZ50" s="154">
        <f t="shared" si="151"/>
        <v>150</v>
      </c>
      <c r="CA50" s="356">
        <f t="array" ref="CA50">IF(yieldsetting1="estimate",0,INDEX(cropdata, MATCH(yieldsource,outputs,0), MATCH($F50,cropdatacrops,0)))</f>
        <v>0</v>
      </c>
      <c r="CB50" s="356">
        <f t="array" ref="CB50">IF(yieldsetting1="estimate",0,INDEX(cropdata, MATCH(yieldsource,outputs,0), MATCH($G50,cropdatacrops,0)))</f>
        <v>0</v>
      </c>
      <c r="CC50" s="356">
        <f t="array" ref="CC50">IF(yieldsetting1="estimate",0,INDEX(cropdata, MATCH(yieldsource,outputs,0), MATCH($H50,cropdatacrops,0)))</f>
        <v>0</v>
      </c>
      <c r="CD50" s="356">
        <f t="array" ref="CD50">IF(yieldsetting1="estimate",0,INDEX(cropdata, MATCH(yieldsource,outputs,0), MATCH($I50,cropdatacrops,0)))</f>
        <v>0</v>
      </c>
      <c r="CE50" s="356">
        <f t="array" ref="CE50">IF(yieldsetting1="estimate",0,INDEX(cropdata, MATCH(yieldsource,outputs,0), MATCH($J50,cropdatacrops,0)))</f>
        <v>0</v>
      </c>
      <c r="CF50" s="356">
        <f t="array" ref="CF50">IF(yieldsetting1="estimate",0,INDEX(cropdata, MATCH(yieldsource,outputs,0), MATCH($K50,cropdatacrops,0)))</f>
        <v>0</v>
      </c>
      <c r="CG50" s="154" t="str">
        <f t="shared" si="152"/>
        <v>estimate</v>
      </c>
      <c r="CH50" s="235">
        <f t="shared" si="153"/>
        <v>0.8</v>
      </c>
      <c r="CI50" s="235">
        <f t="shared" si="154"/>
        <v>0.72</v>
      </c>
      <c r="CJ50" s="154">
        <f t="shared" si="155"/>
        <v>0.46</v>
      </c>
      <c r="CK50" s="154">
        <f t="shared" si="156"/>
        <v>0.36</v>
      </c>
      <c r="CL50" s="154">
        <f t="shared" si="157"/>
        <v>0.36</v>
      </c>
      <c r="CM50" s="154">
        <f t="shared" si="158"/>
        <v>7.34</v>
      </c>
      <c r="CN50" s="154">
        <f t="shared" si="159"/>
        <v>0.36</v>
      </c>
      <c r="CO50" s="154">
        <f t="shared" si="160"/>
        <v>0.38</v>
      </c>
      <c r="CP50" s="154">
        <f t="shared" si="161"/>
        <v>0.36</v>
      </c>
      <c r="CQ50" s="154">
        <f t="shared" si="166"/>
        <v>19.5</v>
      </c>
      <c r="CR50" s="154">
        <f t="shared" si="166"/>
        <v>19.5</v>
      </c>
      <c r="CS50" s="154">
        <f t="shared" si="166"/>
        <v>19.5</v>
      </c>
      <c r="CT50" s="154">
        <f t="shared" si="166"/>
        <v>19.5</v>
      </c>
      <c r="CU50" s="154">
        <f t="shared" si="166"/>
        <v>19.5</v>
      </c>
      <c r="CV50" s="154">
        <f t="shared" si="166"/>
        <v>19.5</v>
      </c>
      <c r="CW50" s="154">
        <f t="shared" si="167"/>
        <v>2.4300000000000002</v>
      </c>
      <c r="CX50" s="154">
        <f t="shared" si="167"/>
        <v>2.4300000000000002</v>
      </c>
      <c r="CY50" s="154">
        <f t="shared" si="167"/>
        <v>2.4300000000000002</v>
      </c>
      <c r="CZ50" s="154">
        <f t="shared" si="167"/>
        <v>2.4300000000000002</v>
      </c>
      <c r="DA50" s="154">
        <f t="shared" si="167"/>
        <v>2.4300000000000002</v>
      </c>
      <c r="DB50" s="154">
        <f t="shared" si="167"/>
        <v>2.4300000000000002</v>
      </c>
      <c r="DC50" s="154">
        <v>102</v>
      </c>
      <c r="DD50" s="154">
        <v>6</v>
      </c>
      <c r="DE50" s="154">
        <v>4</v>
      </c>
      <c r="DF50" s="154">
        <v>1400</v>
      </c>
      <c r="DG50" s="154">
        <v>125</v>
      </c>
      <c r="DH50" s="154">
        <f t="shared" si="162"/>
        <v>0.625</v>
      </c>
      <c r="DI50" s="154">
        <f t="shared" si="163"/>
        <v>10.08</v>
      </c>
    </row>
    <row r="51" spans="1:113" x14ac:dyDescent="0.2">
      <c r="A51" s="335" t="s">
        <v>1644</v>
      </c>
      <c r="B51" s="334" t="s">
        <v>495</v>
      </c>
      <c r="C51" s="334" t="s">
        <v>1668</v>
      </c>
      <c r="D51" s="233" t="str">
        <f>IF(ISNUMBER(SEARCH("heavy",B51))=TRUE,"2.25",
IF(ISNUMBER(SEARCH("medium",B51))=TRUE,"1.5",
IF(ISNUMBER(SEARCH("light",B51))=TRUE,"0.75")))</f>
        <v>2.25</v>
      </c>
      <c r="E51" s="154">
        <v>6</v>
      </c>
      <c r="F51" s="234" t="str" cm="1">
        <f t="array" ref="F51">IF(AND(ISNUMBER(SEARCH("H-Dsty.H-Res",$B51))=TRUE,ISNUMBER(SEARCH("E.",$B51))=TRUE,OR(ISNUMBER(SEARCH("heavy",$B51)),ISNUMBER(SEARCH("MEDIUM",$B51)))=TRUE),INDEX(croprotn_HDHR_E_h,MATCH(RIGHT($F$1,1),rotation_heavy,0)),
IF(AND(ISNUMBER(SEARCH("H-Dsty.H-Res",$B51))=TRUE,ISNUMBER(SEARCH("N.",$B51))=TRUE,OR(ISNUMBER(SEARCH("heavy",$B51)),ISNUMBER(SEARCH("MEDIUM",$B51)))=TRUE),INDEX(croprotn_HDHR_N_h,MATCH(RIGHT($F$1,1),rotation_heavy,0)),
IF(AND(ISNUMBER(SEARCH("H-Dsty.H-Res",$B51))=TRUE,ISNUMBER(SEARCH("C.",$B51))=TRUE,OR(ISNUMBER(SEARCH("heavy",$B51)),ISNUMBER(SEARCH("MEDIUM",$B51)))=TRUE),INDEX(croprotn_HDHR_C_h,MATCH(RIGHT($F$1,1),rotation_heavy,0)),
IF(AND(ISNUMBER(SEARCH("L-Dsty.H-Res",$B51))=TRUE,ISNUMBER(SEARCH("E.",$B51))=TRUE,OR(ISNUMBER(SEARCH("heavy",$B51)),ISNUMBER(SEARCH("MEDIUM",$B51)))=TRUE),INDEX(croprotn_LDHR_E_h,MATCH(RIGHT($F$1,1),rotation_heavy,0)),
IF(AND(ISNUMBER(SEARCH("L-Dsty.H-Res",$B51))=TRUE,ISNUMBER(SEARCH("N.",$B51))=TRUE,OR(ISNUMBER(SEARCH("heavy",$B51)),ISNUMBER(SEARCH("MEDIUM",$B51)))=TRUE),INDEX(croprotn_LDHR_N_h,MATCH(RIGHT($F$1,1),rotation_heavy,0)),
IF(AND(ISNUMBER(SEARCH("L-Dsty.H-Res",$B51))=TRUE,ISNUMBER(SEARCH("C.",$B51))=TRUE,OR(ISNUMBER(SEARCH("heavy",$B51)),ISNUMBER(SEARCH("MEDIUM",$B51)))=TRUE),INDEX(croprotn_LDHR_C_h,MATCH(RIGHT($F$1,1),rotation_heavy,0)),
IF(AND(ISNUMBER(SEARCH("L-Dsty.L-Res",$B51))=TRUE,ISNUMBER(SEARCH("E.",$B51))=TRUE,OR(ISNUMBER(SEARCH("heavy",$B51)),ISNUMBER(SEARCH("MEDIUM",$B51)))=TRUE),INDEX(croprotn_LDLR_E_h,MATCH(RIGHT($F$1,1),rotation_heavy,0)),
IF(AND(ISNUMBER(SEARCH("L-Dsty.L-Res",$B51))=TRUE,ISNUMBER(SEARCH("N.",$B51))=TRUE,OR(ISNUMBER(SEARCH("heavy",$B51)),ISNUMBER(SEARCH("MEDIUM",$B51)))=TRUE),INDEX(croprotn_LDLR_N_h,MATCH(RIGHT($F$1,1),rotation_heavy,0)),
IF(AND(ISNUMBER(SEARCH("L-Dsty.L-Res",$B51))=TRUE,ISNUMBER(SEARCH("C.",$B51))=TRUE,OR(ISNUMBER(SEARCH("heavy",$B51)),ISNUMBER(SEARCH("MEDIUM",$B51)))=TRUE),INDEX(croprotn_LDLR_C_h,MATCH(RIGHT($F$1,1),rotation_heavy,0)),
IF(AND(ISNUMBER(SEARCH("H-Dsty.H-Res",$B51))=TRUE,ISNUMBER(SEARCH("E.",$B51))=TRUE,ISNUMBER(SEARCH("light",$B51))=TRUE),INDEX(croprotn_HDHR_E_l,MATCH(RIGHT($F$1,1),rotation_light,0)),
IF(AND(ISNUMBER(SEARCH("H-Dsty.H-Res",$B51))=TRUE,ISNUMBER(SEARCH("N.",$B51))=TRUE,ISNUMBER(SEARCH("light",$B51))=TRUE),INDEX(croprotn_HDHR_N_l,MATCH(RIGHT($F$1,1),rotation_light,0)),
IF(AND(ISNUMBER(SEARCH("H-Dsty.H-Res",$B51))=TRUE,ISNUMBER(SEARCH("C.",$B51))=TRUE,ISNUMBER(SEARCH("light",$B51))=TRUE),INDEX(croprotn_HDHR_C_l,MATCH(RIGHT($F$1,1),rotation_light,0)),
IF(AND(ISNUMBER(SEARCH("L-Dsty.H-Res",$B51))=TRUE,ISNUMBER(SEARCH("E.",$B51))=TRUE,ISNUMBER(SEARCH("light",$B51))=TRUE),INDEX(croprotn_LDHR_E_l,MATCH(RIGHT($F$1,1),rotation_light,0)),
IF(AND(ISNUMBER(SEARCH("L-Dsty.H-Res",$B51))=TRUE,ISNUMBER(SEARCH("N.",$B51))=TRUE,ISNUMBER(SEARCH("light",$B51))=TRUE),INDEX(croprotn_LDHR_N_l,MATCH(RIGHT($F$1,1),rotation_light,0)),
IF(AND(ISNUMBER(SEARCH("L-Dsty.H-Res",$B51))=TRUE,ISNUMBER(SEARCH("C.",$B51))=TRUE,ISNUMBER(SEARCH("light",$B51))=TRUE),INDEX(croprotn_LDHR_C_l,MATCH(RIGHT($F$1,1),rotation_light,0)),
IF(AND(ISNUMBER(SEARCH("L-Dsty.L-Res",$B51))=TRUE,ISNUMBER(SEARCH("E.",$B51))=TRUE,ISNUMBER(SEARCH("light",$B51))=TRUE),INDEX(croprotn_LDLR_E_l,MATCH(RIGHT($F$1,1),rotation_light,0)),
IF(AND(ISNUMBER(SEARCH("L-Dsty.L-Res",$B51))=TRUE,ISNUMBER(SEARCH("N.",$B51))=TRUE,ISNUMBER(SEARCH("light",$B51))=TRUE),INDEX(croprotn_LDLR_N_l,MATCH(RIGHT($F$1,1),rotation_light,0)),
IF(AND(ISNUMBER(SEARCH("L-Dsty.L-Res",$B51))=TRUE,ISNUMBER(SEARCH("C.",$B51))=TRUE,ISNUMBER(SEARCH("light",$B51))=TRUE),INDEX(croprotn_LDLR_C_l,MATCH(RIGHT($F$1,1),rotation_light,0))
))))))))))))))))))</f>
        <v>winterwheat</v>
      </c>
      <c r="G51" s="234" t="str">
        <f t="shared" si="84"/>
        <v>winterbarley</v>
      </c>
      <c r="H51" s="234" t="str">
        <f t="shared" si="100"/>
        <v>wosr</v>
      </c>
      <c r="I51" s="234" t="str">
        <f t="shared" si="101"/>
        <v>winterwheat</v>
      </c>
      <c r="J51" s="234" t="str">
        <f t="shared" si="102"/>
        <v>springbeans</v>
      </c>
      <c r="K51" s="234" t="str">
        <f t="shared" si="103"/>
        <v>winterwheat</v>
      </c>
      <c r="L51" s="154" t="str">
        <f t="shared" si="104"/>
        <v>lightcultivation</v>
      </c>
      <c r="M51" s="154" t="str">
        <f t="shared" si="105"/>
        <v>lightcultivation</v>
      </c>
      <c r="N51" s="154" t="str">
        <f t="shared" si="106"/>
        <v>subsoiling</v>
      </c>
      <c r="O51" s="154" t="str">
        <f t="shared" si="164"/>
        <v>lightcultivation</v>
      </c>
      <c r="P51" s="154" t="str">
        <f t="shared" si="165"/>
        <v>lightcultivation</v>
      </c>
      <c r="Q51" s="154" t="str">
        <f t="shared" si="95"/>
        <v>lightcultivation</v>
      </c>
      <c r="R51" s="234">
        <f t="shared" si="86"/>
        <v>190</v>
      </c>
      <c r="S51" s="234">
        <f t="shared" si="107"/>
        <v>195</v>
      </c>
      <c r="T51" s="234">
        <f t="shared" si="108"/>
        <v>3.2</v>
      </c>
      <c r="U51" s="234">
        <f t="shared" si="87"/>
        <v>190</v>
      </c>
      <c r="V51" s="234">
        <f t="shared" si="109"/>
        <v>305</v>
      </c>
      <c r="W51" s="234">
        <f t="shared" si="110"/>
        <v>190</v>
      </c>
      <c r="X51" s="154" t="str">
        <f t="shared" si="111"/>
        <v>no</v>
      </c>
      <c r="Y51" s="154" t="str">
        <f t="shared" si="112"/>
        <v>no</v>
      </c>
      <c r="Z51" s="154" t="str">
        <f t="shared" si="113"/>
        <v>no</v>
      </c>
      <c r="AA51" s="154" t="str">
        <f t="shared" si="114"/>
        <v>no</v>
      </c>
      <c r="AB51" s="154" t="str">
        <f t="shared" si="115"/>
        <v>no</v>
      </c>
      <c r="AC51" s="154" t="str">
        <f t="shared" si="116"/>
        <v>no</v>
      </c>
      <c r="AD51" s="234">
        <f>IF(AND(ISNUMBER(SEARCH("H-Dsty.H-Res",$B51))=TRUE,ISNUMBER(SEARCH("E.",$B51))=TRUE),INDEX(fertrate_HDHR_E,MATCH($F51,fertrate_CROPS,0)),
IF(AND(ISNUMBER(SEARCH("H-Dsty.H-Res",$B51))=TRUE,ISNUMBER(SEARCH("N.",$B51))=TRUE),INDEX(fertrate_HDHR_N,MATCH($F51,fertrate_CROPS,0)),
IF(AND(ISNUMBER(SEARCH("H-Dsty.H-Res",$B51))=TRUE,ISNUMBER(SEARCH("C.",$B51))=TRUE),INDEX(fertrate_HDHR_C,MATCH($F51,fertrate_CROPS,0)),
IF(AND(ISNUMBER(SEARCH("L-Dsty.H-Res",$B51))=TRUE,ISNUMBER(SEARCH("E.",$B51))=TRUE),INDEX(fertrate_LDHR_E,MATCH($F51,fertrate_CROPS,0)),
IF(AND(ISNUMBER(SEARCH("L-Dsty.H-Res",$B51))=TRUE,ISNUMBER(SEARCH("N.",$B51))=TRUE),INDEX(fertrate_LDHR_N,MATCH($F51,fertrate_CROPS,0)),
IF(AND(ISNUMBER(SEARCH("L-Dsty.H-Res",$B51))=TRUE,ISNUMBER(SEARCH("C.",$B51))=TRUE),INDEX(fertrate_LDHR_C,MATCH($F51,fertrate_CROPS,0)),
IF(AND(ISNUMBER(SEARCH("L-Dsty.L-Res",$B51))=TRUE,ISNUMBER(SEARCH("E.",$B51))=TRUE),INDEX(fertrate_LDLR_E,MATCH($F51,fertrate_CROPS,0)),
IF(AND(ISNUMBER(SEARCH("L-Dsty.L-Res",$B51))=TRUE,ISNUMBER(SEARCH("N.",$B51))=TRUE),INDEX(fertrate_LDLR_N,MATCH($F51,fertrate_CROPS,0)),
IF(AND(ISNUMBER(SEARCH("L-Dsty.L-Res",$B51))=TRUE,ISNUMBER(SEARCH("C.",$B51))=TRUE),INDEX(fertrate_LDLR_C,MATCH($F51,fertrate_CROPS,0))
)))))))))</f>
        <v>220</v>
      </c>
      <c r="AE51" s="234">
        <f t="shared" si="85"/>
        <v>190</v>
      </c>
      <c r="AF51" s="234">
        <f t="shared" si="168"/>
        <v>180</v>
      </c>
      <c r="AG51" s="234">
        <f>IF(AND(ISNUMBER(SEARCH("H-Dsty.",$B51))=TRUE,ISNUMBER(SEARCH("H-Res",$B51))=TRUE,ISNUMBER(SEARCH("E.",$B51))=TRUE),INDEX(fertrate_HDHR_E,MATCH($I51,fertrate_CROPS,0)),
IF(AND(ISNUMBER(SEARCH("H-Dsty.",$B51))=TRUE,ISNUMBER(SEARCH("H-Res",$B51))=TRUE,ISNUMBER(SEARCH("N.",$B51))=TRUE),INDEX(fertrate_HDHR_N,MATCH($I51,fertrate_CROPS,0)),
IF(AND(ISNUMBER(SEARCH("H-Dsty.",$B51))=TRUE,ISNUMBER(SEARCH("H-Res",$B51))=TRUE,ISNUMBER(SEARCH("C.",$B51))=TRUE),INDEX(fertrate_HDHR_C,MATCH($I51,fertrate_CROPS,0)),
IF(AND(ISNUMBER(SEARCH("L-Dsty.",$B51))=TRUE,ISNUMBER(SEARCH("H-Res",$B51))=TRUE,ISNUMBER(SEARCH("E.",$B51))=TRUE),INDEX(fertrate_LDHR_E,MATCH($I51,fertrate_CROPS,0)),
IF(AND(ISNUMBER(SEARCH("L-Dsty.",$B51))=TRUE,ISNUMBER(SEARCH("H-Res",$B51))=TRUE,ISNUMBER(SEARCH("N.",$B51))=TRUE),INDEX(fertrate_LDHR_N,MATCH($I51,fertrate_CROPS,0)),
IF(AND(ISNUMBER(SEARCH("L-Dsty.",$B51))=TRUE,ISNUMBER(SEARCH("H-Res",$B51))=TRUE,ISNUMBER(SEARCH("C.",$B51))=TRUE),INDEX(fertrate_LDHR_C,MATCH($I51,fertrate_CROPS,0)),
IF(AND(ISNUMBER(SEARCH("L-Dsty.",$B51))=TRUE,ISNUMBER(SEARCH("L-Res",$B51))=TRUE,ISNUMBER(SEARCH("E.",$B51))=TRUE),INDEX(fertrate_LDLR_E,MATCH($I51,fertrate_CROPS,0)),
IF(AND(ISNUMBER(SEARCH("L-Dsty.",$B51))=TRUE,ISNUMBER(SEARCH("L-Res",$B51))=TRUE,ISNUMBER(SEARCH("N.",$B51))=TRUE),INDEX(fertrate_LDLR_N,MATCH($I51,fertrate_CROPS,0)),
IF(AND(ISNUMBER(SEARCH("L-Dsty.",$B51))=TRUE,ISNUMBER(SEARCH("L-Res",$B51))=TRUE,ISNUMBER(SEARCH("C.",$B51))=TRUE),INDEX(fertrate_LDLR_C,MATCH($I51,fertrate_CROPS,0))
)))))))))</f>
        <v>220</v>
      </c>
      <c r="AH51" s="234">
        <f t="shared" si="80"/>
        <v>0</v>
      </c>
      <c r="AI51" s="234">
        <f>IF(AND(ISNUMBER(SEARCH("H-Dsty.",$B51))=TRUE,ISNUMBER(SEARCH("H-Res",$B51))=TRUE,ISNUMBER(SEARCH("E.",$B51))=TRUE),INDEX(fertrate_HDHR_E,MATCH($K51,fertrate_CROPS,0)),
IF(AND(ISNUMBER(SEARCH("H-Dsty.",$B51))=TRUE,ISNUMBER(SEARCH("H-Res",$B51))=TRUE,ISNUMBER(SEARCH("N.",$B51))=TRUE),INDEX(fertrate_HDHR_N,MATCH($K51,fertrate_CROPS,0)),
IF(AND(ISNUMBER(SEARCH("H-Dsty.",$B51))=TRUE,ISNUMBER(SEARCH("H-Res",$B51))=TRUE,ISNUMBER(SEARCH("C.",$B51))=TRUE),INDEX(fertrate_HDHR_C,MATCH($K51,fertrate_CROPS,0)),
IF(AND(ISNUMBER(SEARCH("L-Dsty.",$B51))=TRUE,ISNUMBER(SEARCH("H-Res",$B51))=TRUE,ISNUMBER(SEARCH("E.",$B51))=TRUE),INDEX(fertrate_LDHR_E,MATCH($K51,fertrate_CROPS,0)),
IF(AND(ISNUMBER(SEARCH("L-Dsty.",$B51))=TRUE,ISNUMBER(SEARCH("H-Res",$B51))=TRUE,ISNUMBER(SEARCH("N.",$B51))=TRUE),INDEX(fertrate_LDHR_N,MATCH($K51,fertrate_CROPS,0)),
IF(AND(ISNUMBER(SEARCH("L-Dsty.",$B51))=TRUE,ISNUMBER(SEARCH("H-Res",$B51))=TRUE,ISNUMBER(SEARCH("C.",$B51))=TRUE),INDEX(fertrate_LDHR_C,MATCH($K51,fertrate_CROPS,0)),
IF(AND(ISNUMBER(SEARCH("L-Dsty.",$B51))=TRUE,ISNUMBER(SEARCH("L-Res",$B51))=TRUE,ISNUMBER(SEARCH("E.",$B51))=TRUE),INDEX(fertrate_LDLR_E,MATCH($K51,fertrate_CROPS,0)),
IF(AND(ISNUMBER(SEARCH("L-Dsty.",$B51))=TRUE,ISNUMBER(SEARCH("L-Res",$B51))=TRUE,ISNUMBER(SEARCH("N.",$B51))=TRUE),INDEX(fertrate_LDLR_N,MATCH($K51,fertrate_CROPS,0)),
IF(AND(ISNUMBER(SEARCH("L-Dsty.",$B51))=TRUE,ISNUMBER(SEARCH("L-Res",$B51))=TRUE,ISNUMBER(SEARCH("C.",$B51))=TRUE),INDEX(fertrate_LDLR_C,MATCH($K51,fertrate_CROPS,0))
)))))))))</f>
        <v>220</v>
      </c>
      <c r="AJ51" s="154">
        <f t="shared" si="117"/>
        <v>67</v>
      </c>
      <c r="AK51" s="154">
        <f t="shared" si="118"/>
        <v>58</v>
      </c>
      <c r="AL51" s="154">
        <f t="shared" si="119"/>
        <v>49</v>
      </c>
      <c r="AM51" s="154">
        <f t="shared" si="120"/>
        <v>67</v>
      </c>
      <c r="AN51" s="154">
        <f t="shared" si="121"/>
        <v>43</v>
      </c>
      <c r="AO51" s="154">
        <f t="shared" si="122"/>
        <v>67</v>
      </c>
      <c r="AP51" s="154">
        <f t="shared" si="123"/>
        <v>48</v>
      </c>
      <c r="AQ51" s="154">
        <f t="shared" si="124"/>
        <v>41</v>
      </c>
      <c r="AR51" s="154">
        <f t="shared" si="125"/>
        <v>39</v>
      </c>
      <c r="AS51" s="154">
        <f t="shared" si="126"/>
        <v>48</v>
      </c>
      <c r="AT51" s="154">
        <f t="shared" si="127"/>
        <v>47</v>
      </c>
      <c r="AU51" s="154">
        <f t="shared" si="128"/>
        <v>48</v>
      </c>
      <c r="AV51" s="234">
        <f t="shared" si="89"/>
        <v>1</v>
      </c>
      <c r="AW51" s="234">
        <f t="shared" si="129"/>
        <v>0.4</v>
      </c>
      <c r="AX51" s="234">
        <f t="shared" si="130"/>
        <v>2</v>
      </c>
      <c r="AY51" s="345">
        <v>4.4000000000000004</v>
      </c>
      <c r="AZ51" s="234">
        <f t="shared" si="131"/>
        <v>4</v>
      </c>
      <c r="BA51" s="234">
        <f t="shared" si="132"/>
        <v>1</v>
      </c>
      <c r="BB51" s="234">
        <f t="shared" si="133"/>
        <v>3</v>
      </c>
      <c r="BC51" s="234">
        <f t="shared" si="134"/>
        <v>3</v>
      </c>
      <c r="BD51" s="234">
        <f t="shared" si="135"/>
        <v>0</v>
      </c>
      <c r="BE51" s="234">
        <f t="shared" si="91"/>
        <v>3</v>
      </c>
      <c r="BF51" s="234">
        <f t="shared" si="136"/>
        <v>6</v>
      </c>
      <c r="BG51" s="234">
        <f t="shared" si="137"/>
        <v>3</v>
      </c>
      <c r="BH51" s="234">
        <f t="shared" si="138"/>
        <v>3</v>
      </c>
      <c r="BI51" s="234">
        <f t="shared" si="139"/>
        <v>2</v>
      </c>
      <c r="BJ51" s="234">
        <f t="shared" si="140"/>
        <v>2</v>
      </c>
      <c r="BK51" s="234">
        <f t="shared" si="92"/>
        <v>3</v>
      </c>
      <c r="BL51" s="234">
        <f t="shared" si="141"/>
        <v>3</v>
      </c>
      <c r="BM51" s="234">
        <f t="shared" si="142"/>
        <v>3</v>
      </c>
      <c r="BN51" s="154" t="s">
        <v>483</v>
      </c>
      <c r="BO51" s="154" t="str">
        <f t="shared" si="143"/>
        <v>medium</v>
      </c>
      <c r="BP51" s="154" t="str">
        <f t="shared" si="144"/>
        <v>low</v>
      </c>
      <c r="BQ51" s="154" t="str">
        <f t="shared" si="145"/>
        <v>low</v>
      </c>
      <c r="BR51" s="154" t="s">
        <v>182</v>
      </c>
      <c r="BS51" s="154" t="s">
        <v>182</v>
      </c>
      <c r="BT51" s="154" t="s">
        <v>182</v>
      </c>
      <c r="BU51" s="154">
        <f t="shared" si="146"/>
        <v>150</v>
      </c>
      <c r="BV51" s="154">
        <f t="shared" si="147"/>
        <v>138</v>
      </c>
      <c r="BW51" s="154">
        <f t="shared" si="148"/>
        <v>335</v>
      </c>
      <c r="BX51" s="154">
        <f t="shared" si="149"/>
        <v>150</v>
      </c>
      <c r="BY51" s="154">
        <f t="shared" si="150"/>
        <v>185</v>
      </c>
      <c r="BZ51" s="154">
        <f t="shared" si="151"/>
        <v>150</v>
      </c>
      <c r="CA51" s="356">
        <f t="array" ref="CA51">IF(yieldsetting1="estimate",0,INDEX(cropdata, MATCH(yieldsource,outputs,0), MATCH($F51,cropdatacrops,0)))</f>
        <v>0</v>
      </c>
      <c r="CB51" s="356">
        <f t="array" ref="CB51">IF(yieldsetting1="estimate",0,INDEX(cropdata, MATCH(yieldsource,outputs,0), MATCH($G51,cropdatacrops,0)))</f>
        <v>0</v>
      </c>
      <c r="CC51" s="356">
        <f t="array" ref="CC51">IF(yieldsetting1="estimate",0,INDEX(cropdata, MATCH(yieldsource,outputs,0), MATCH($H51,cropdatacrops,0)))</f>
        <v>0</v>
      </c>
      <c r="CD51" s="356">
        <f t="array" ref="CD51">IF(yieldsetting1="estimate",0,INDEX(cropdata, MATCH(yieldsource,outputs,0), MATCH($I51,cropdatacrops,0)))</f>
        <v>0</v>
      </c>
      <c r="CE51" s="356">
        <f t="array" ref="CE51">IF(yieldsetting1="estimate",0,INDEX(cropdata, MATCH(yieldsource,outputs,0), MATCH($J51,cropdatacrops,0)))</f>
        <v>0</v>
      </c>
      <c r="CF51" s="356">
        <f t="array" ref="CF51">IF(yieldsetting1="estimate",0,INDEX(cropdata, MATCH(yieldsource,outputs,0), MATCH($K51,cropdatacrops,0)))</f>
        <v>0</v>
      </c>
      <c r="CG51" s="154" t="str">
        <f t="shared" si="152"/>
        <v>estimate</v>
      </c>
      <c r="CH51" s="235">
        <f t="shared" si="153"/>
        <v>0.8</v>
      </c>
      <c r="CI51" s="235">
        <f t="shared" si="154"/>
        <v>0.72</v>
      </c>
      <c r="CJ51" s="154">
        <f t="shared" si="155"/>
        <v>0.46</v>
      </c>
      <c r="CK51" s="154">
        <f t="shared" si="156"/>
        <v>0.36</v>
      </c>
      <c r="CL51" s="154">
        <f t="shared" si="157"/>
        <v>0.36</v>
      </c>
      <c r="CM51" s="154">
        <f t="shared" si="158"/>
        <v>7.34</v>
      </c>
      <c r="CN51" s="154">
        <f t="shared" si="159"/>
        <v>0.36</v>
      </c>
      <c r="CO51" s="154">
        <f t="shared" si="160"/>
        <v>0.38</v>
      </c>
      <c r="CP51" s="154">
        <f t="shared" si="161"/>
        <v>0.36</v>
      </c>
      <c r="CQ51" s="154">
        <f t="shared" si="166"/>
        <v>19.5</v>
      </c>
      <c r="CR51" s="154">
        <f t="shared" si="166"/>
        <v>19.5</v>
      </c>
      <c r="CS51" s="154">
        <f t="shared" si="166"/>
        <v>19.5</v>
      </c>
      <c r="CT51" s="154">
        <f t="shared" si="166"/>
        <v>19.5</v>
      </c>
      <c r="CU51" s="154">
        <f t="shared" si="166"/>
        <v>19.5</v>
      </c>
      <c r="CV51" s="154">
        <f t="shared" si="166"/>
        <v>19.5</v>
      </c>
      <c r="CW51" s="154">
        <f t="shared" si="167"/>
        <v>2.4300000000000002</v>
      </c>
      <c r="CX51" s="154">
        <f t="shared" si="167"/>
        <v>2.4300000000000002</v>
      </c>
      <c r="CY51" s="154">
        <f t="shared" si="167"/>
        <v>2.4300000000000002</v>
      </c>
      <c r="CZ51" s="154">
        <f t="shared" si="167"/>
        <v>2.4300000000000002</v>
      </c>
      <c r="DA51" s="154">
        <f t="shared" si="167"/>
        <v>2.4300000000000002</v>
      </c>
      <c r="DB51" s="154">
        <f t="shared" si="167"/>
        <v>2.4300000000000002</v>
      </c>
      <c r="DC51" s="154">
        <v>102</v>
      </c>
      <c r="DD51" s="154">
        <v>6</v>
      </c>
      <c r="DE51" s="154">
        <v>4</v>
      </c>
      <c r="DF51" s="154">
        <v>1400</v>
      </c>
      <c r="DG51" s="154">
        <v>125</v>
      </c>
      <c r="DH51" s="154">
        <f t="shared" si="162"/>
        <v>0.625</v>
      </c>
      <c r="DI51" s="154">
        <f t="shared" si="163"/>
        <v>10.08</v>
      </c>
    </row>
    <row r="52" spans="1:113" x14ac:dyDescent="0.2">
      <c r="A52" s="335" t="s">
        <v>1651</v>
      </c>
      <c r="B52" s="334" t="s">
        <v>498</v>
      </c>
      <c r="C52" s="334" t="s">
        <v>1677</v>
      </c>
      <c r="D52" s="233" t="str">
        <f>IF(ISNUMBER(SEARCH("heavy",B52))=TRUE,"2.25",
IF(ISNUMBER(SEARCH("medium",B52))=TRUE,"1.50",
IF(ISNUMBER(SEARCH("light",B52))=TRUE,"0.75")))</f>
        <v>1.50</v>
      </c>
      <c r="E52" s="154">
        <v>6</v>
      </c>
      <c r="F52" s="234" t="str" cm="1">
        <f t="array" ref="F52">IF(AND(ISNUMBER(SEARCH("H-Dsty.H-Res",$B52))=TRUE,ISNUMBER(SEARCH("E.",$B52))=TRUE,OR(ISNUMBER(SEARCH("heavy",$B52)),ISNUMBER(SEARCH("MEDIUM",$B52)))=TRUE),INDEX(croprotn_HDHR_E_h,MATCH(RIGHT($F$1,1),rotation_heavy,0)),
IF(AND(ISNUMBER(SEARCH("H-Dsty.H-Res",$B52))=TRUE,ISNUMBER(SEARCH("N.",$B52))=TRUE,OR(ISNUMBER(SEARCH("heavy",$B52)),ISNUMBER(SEARCH("MEDIUM",$B52)))=TRUE),INDEX(croprotn_HDHR_N_h,MATCH(RIGHT($F$1,1),rotation_heavy,0)),
IF(AND(ISNUMBER(SEARCH("H-Dsty.H-Res",$B52))=TRUE,ISNUMBER(SEARCH("C.",$B52))=TRUE,OR(ISNUMBER(SEARCH("heavy",$B52)),ISNUMBER(SEARCH("MEDIUM",$B52)))=TRUE),INDEX(croprotn_HDHR_C_h,MATCH(RIGHT($F$1,1),rotation_heavy,0)),
IF(AND(ISNUMBER(SEARCH("L-Dsty.H-Res",$B52))=TRUE,ISNUMBER(SEARCH("E.",$B52))=TRUE,OR(ISNUMBER(SEARCH("heavy",$B52)),ISNUMBER(SEARCH("MEDIUM",$B52)))=TRUE),INDEX(croprotn_LDHR_E_h,MATCH(RIGHT($F$1,1),rotation_heavy,0)),
IF(AND(ISNUMBER(SEARCH("L-Dsty.H-Res",$B52))=TRUE,ISNUMBER(SEARCH("N.",$B52))=TRUE,OR(ISNUMBER(SEARCH("heavy",$B52)),ISNUMBER(SEARCH("MEDIUM",$B52)))=TRUE),INDEX(croprotn_LDHR_N_h,MATCH(RIGHT($F$1,1),rotation_heavy,0)),
IF(AND(ISNUMBER(SEARCH("L-Dsty.H-Res",$B52))=TRUE,ISNUMBER(SEARCH("C.",$B52))=TRUE,OR(ISNUMBER(SEARCH("heavy",$B52)),ISNUMBER(SEARCH("MEDIUM",$B52)))=TRUE),INDEX(croprotn_LDHR_C_h,MATCH(RIGHT($F$1,1),rotation_heavy,0)),
IF(AND(ISNUMBER(SEARCH("L-Dsty.L-Res",$B52))=TRUE,ISNUMBER(SEARCH("E.",$B52))=TRUE,OR(ISNUMBER(SEARCH("heavy",$B52)),ISNUMBER(SEARCH("MEDIUM",$B52)))=TRUE),INDEX(croprotn_LDLR_E_h,MATCH(RIGHT($F$1,1),rotation_heavy,0)),
IF(AND(ISNUMBER(SEARCH("L-Dsty.L-Res",$B52))=TRUE,ISNUMBER(SEARCH("N.",$B52))=TRUE,OR(ISNUMBER(SEARCH("heavy",$B52)),ISNUMBER(SEARCH("MEDIUM",$B52)))=TRUE),INDEX(croprotn_LDLR_N_h,MATCH(RIGHT($F$1,1),rotation_heavy,0)),
IF(AND(ISNUMBER(SEARCH("L-Dsty.L-Res",$B52))=TRUE,ISNUMBER(SEARCH("C.",$B52))=TRUE,OR(ISNUMBER(SEARCH("heavy",$B52)),ISNUMBER(SEARCH("MEDIUM",$B52)))=TRUE),INDEX(croprotn_LDLR_C_h,MATCH(RIGHT($F$1,1),rotation_heavy,0)),
IF(AND(ISNUMBER(SEARCH("H-Dsty.H-Res",$B52))=TRUE,ISNUMBER(SEARCH("E.",$B52))=TRUE,ISNUMBER(SEARCH("light",$B52))=TRUE),INDEX(croprotn_HDHR_E_l,MATCH(RIGHT($F$1,1),rotation_light,0)),
IF(AND(ISNUMBER(SEARCH("H-Dsty.H-Res",$B52))=TRUE,ISNUMBER(SEARCH("N.",$B52))=TRUE,ISNUMBER(SEARCH("light",$B52))=TRUE),INDEX(croprotn_HDHR_N_l,MATCH(RIGHT($F$1,1),rotation_light,0)),
IF(AND(ISNUMBER(SEARCH("H-Dsty.H-Res",$B52))=TRUE,ISNUMBER(SEARCH("C.",$B52))=TRUE,ISNUMBER(SEARCH("light",$B52))=TRUE),INDEX(croprotn_HDHR_C_l,MATCH(RIGHT($F$1,1),rotation_light,0)),
IF(AND(ISNUMBER(SEARCH("L-Dsty.H-Res",$B52))=TRUE,ISNUMBER(SEARCH("E.",$B52))=TRUE,ISNUMBER(SEARCH("light",$B52))=TRUE),INDEX(croprotn_LDHR_E_l,MATCH(RIGHT($F$1,1),rotation_light,0)),
IF(AND(ISNUMBER(SEARCH("L-Dsty.H-Res",$B52))=TRUE,ISNUMBER(SEARCH("N.",$B52))=TRUE,ISNUMBER(SEARCH("light",$B52))=TRUE),INDEX(croprotn_LDHR_N_l,MATCH(RIGHT($F$1,1),rotation_light,0)),
IF(AND(ISNUMBER(SEARCH("L-Dsty.H-Res",$B52))=TRUE,ISNUMBER(SEARCH("C.",$B52))=TRUE,ISNUMBER(SEARCH("light",$B52))=TRUE),INDEX(croprotn_LDHR_C_l,MATCH(RIGHT($F$1,1),rotation_light,0)),
IF(AND(ISNUMBER(SEARCH("L-Dsty.L-Res",$B52))=TRUE,ISNUMBER(SEARCH("E.",$B52))=TRUE,ISNUMBER(SEARCH("light",$B52))=TRUE),INDEX(croprotn_LDLR_E_l,MATCH(RIGHT($F$1,1),rotation_light,0)),
IF(AND(ISNUMBER(SEARCH("L-Dsty.L-Res",$B52))=TRUE,ISNUMBER(SEARCH("N.",$B52))=TRUE,ISNUMBER(SEARCH("light",$B52))=TRUE),INDEX(croprotn_LDLR_N_l,MATCH(RIGHT($F$1,1),rotation_light,0)),
IF(AND(ISNUMBER(SEARCH("L-Dsty.L-Res",$B52))=TRUE,ISNUMBER(SEARCH("C.",$B52))=TRUE,ISNUMBER(SEARCH("light",$B52))=TRUE),INDEX(croprotn_LDLR_C_l,MATCH(RIGHT($F$1,1),rotation_light,0))
))))))))))))))))))</f>
        <v>winterwheat</v>
      </c>
      <c r="G52" s="234" t="str">
        <f t="shared" si="84"/>
        <v>winterbarley</v>
      </c>
      <c r="H52" s="234" t="str">
        <f t="shared" si="100"/>
        <v>wosr</v>
      </c>
      <c r="I52" s="234" t="str">
        <f t="shared" si="101"/>
        <v>winterwheat</v>
      </c>
      <c r="J52" s="234" t="str">
        <f t="shared" si="102"/>
        <v>springbeans</v>
      </c>
      <c r="K52" s="234" t="str">
        <f t="shared" si="103"/>
        <v>winterwheat</v>
      </c>
      <c r="L52" s="154" t="str">
        <f t="shared" si="104"/>
        <v>lightcultivation</v>
      </c>
      <c r="M52" s="154" t="str">
        <f t="shared" si="105"/>
        <v>lightcultivation</v>
      </c>
      <c r="N52" s="154" t="str">
        <f t="shared" si="106"/>
        <v>subsoiling</v>
      </c>
      <c r="O52" s="154" t="str">
        <f t="shared" si="164"/>
        <v>lightcultivation</v>
      </c>
      <c r="P52" s="154" t="str">
        <f t="shared" si="165"/>
        <v>lightcultivation</v>
      </c>
      <c r="Q52" s="154" t="str">
        <f t="shared" si="95"/>
        <v>lightcultivation</v>
      </c>
      <c r="R52" s="234">
        <f t="shared" si="86"/>
        <v>190</v>
      </c>
      <c r="S52" s="234">
        <f t="shared" si="107"/>
        <v>195</v>
      </c>
      <c r="T52" s="234">
        <f t="shared" si="108"/>
        <v>3.2</v>
      </c>
      <c r="U52" s="234">
        <f t="shared" si="87"/>
        <v>190</v>
      </c>
      <c r="V52" s="234">
        <f t="shared" si="109"/>
        <v>305</v>
      </c>
      <c r="W52" s="234">
        <f t="shared" si="110"/>
        <v>190</v>
      </c>
      <c r="X52" s="154" t="str">
        <f t="shared" si="111"/>
        <v>no</v>
      </c>
      <c r="Y52" s="154" t="str">
        <f t="shared" si="112"/>
        <v>no</v>
      </c>
      <c r="Z52" s="154" t="str">
        <f t="shared" si="113"/>
        <v>no</v>
      </c>
      <c r="AA52" s="154" t="str">
        <f t="shared" si="114"/>
        <v>no</v>
      </c>
      <c r="AB52" s="154" t="str">
        <f t="shared" si="115"/>
        <v>no</v>
      </c>
      <c r="AC52" s="154" t="str">
        <f t="shared" si="116"/>
        <v>no</v>
      </c>
      <c r="AD52" s="234">
        <f>IF(AND(ISNUMBER(SEARCH("H-Dsty.H-Res",$B52))=TRUE,ISNUMBER(SEARCH("E.",$B52))=TRUE),INDEX(fertrate_HDHR_E,MATCH($F52,fertrate_CROPS,0)),
IF(AND(ISNUMBER(SEARCH("H-Dsty.H-Res",$B52))=TRUE,ISNUMBER(SEARCH("N.",$B52))=TRUE),INDEX(fertrate_HDHR_N,MATCH($F52,fertrate_CROPS,0)),
IF(AND(ISNUMBER(SEARCH("H-Dsty.H-Res",$B52))=TRUE,ISNUMBER(SEARCH("C.",$B52))=TRUE),INDEX(fertrate_HDHR_C,MATCH($F52,fertrate_CROPS,0)),
IF(AND(ISNUMBER(SEARCH("L-Dsty.H-Res",$B52))=TRUE,ISNUMBER(SEARCH("E.",$B52))=TRUE),INDEX(fertrate_LDHR_E,MATCH($F52,fertrate_CROPS,0)),
IF(AND(ISNUMBER(SEARCH("L-Dsty.H-Res",$B52))=TRUE,ISNUMBER(SEARCH("N.",$B52))=TRUE),INDEX(fertrate_LDHR_N,MATCH($F52,fertrate_CROPS,0)),
IF(AND(ISNUMBER(SEARCH("L-Dsty.H-Res",$B52))=TRUE,ISNUMBER(SEARCH("C.",$B52))=TRUE),INDEX(fertrate_LDHR_C,MATCH($F52,fertrate_CROPS,0)),
IF(AND(ISNUMBER(SEARCH("L-Dsty.L-Res",$B52))=TRUE,ISNUMBER(SEARCH("E.",$B52))=TRUE),INDEX(fertrate_LDLR_E,MATCH($F52,fertrate_CROPS,0)),
IF(AND(ISNUMBER(SEARCH("L-Dsty.L-Res",$B52))=TRUE,ISNUMBER(SEARCH("N.",$B52))=TRUE),INDEX(fertrate_LDLR_N,MATCH($F52,fertrate_CROPS,0)),
IF(AND(ISNUMBER(SEARCH("L-Dsty.L-Res",$B52))=TRUE,ISNUMBER(SEARCH("C.",$B52))=TRUE),INDEX(fertrate_LDLR_C,MATCH($F52,fertrate_CROPS,0))
)))))))))</f>
        <v>220</v>
      </c>
      <c r="AE52" s="234">
        <f t="shared" si="85"/>
        <v>190</v>
      </c>
      <c r="AF52" s="234">
        <f t="shared" si="168"/>
        <v>180</v>
      </c>
      <c r="AG52" s="234">
        <f>IF(AND(ISNUMBER(SEARCH("H-Dsty.",$B52))=TRUE,ISNUMBER(SEARCH("H-Res",$B52))=TRUE,ISNUMBER(SEARCH("E.",$B52))=TRUE),INDEX(fertrate_HDHR_E,MATCH($I52,fertrate_CROPS,0)),
IF(AND(ISNUMBER(SEARCH("H-Dsty.",$B52))=TRUE,ISNUMBER(SEARCH("H-Res",$B52))=TRUE,ISNUMBER(SEARCH("N.",$B52))=TRUE),INDEX(fertrate_HDHR_N,MATCH($I52,fertrate_CROPS,0)),
IF(AND(ISNUMBER(SEARCH("H-Dsty.",$B52))=TRUE,ISNUMBER(SEARCH("H-Res",$B52))=TRUE,ISNUMBER(SEARCH("C.",$B52))=TRUE),INDEX(fertrate_HDHR_C,MATCH($I52,fertrate_CROPS,0)),
IF(AND(ISNUMBER(SEARCH("L-Dsty.",$B52))=TRUE,ISNUMBER(SEARCH("H-Res",$B52))=TRUE,ISNUMBER(SEARCH("E.",$B52))=TRUE),INDEX(fertrate_LDHR_E,MATCH($I52,fertrate_CROPS,0)),
IF(AND(ISNUMBER(SEARCH("L-Dsty.",$B52))=TRUE,ISNUMBER(SEARCH("H-Res",$B52))=TRUE,ISNUMBER(SEARCH("N.",$B52))=TRUE),INDEX(fertrate_LDHR_N,MATCH($I52,fertrate_CROPS,0)),
IF(AND(ISNUMBER(SEARCH("L-Dsty.",$B52))=TRUE,ISNUMBER(SEARCH("H-Res",$B52))=TRUE,ISNUMBER(SEARCH("C.",$B52))=TRUE),INDEX(fertrate_LDHR_C,MATCH($I52,fertrate_CROPS,0)),
IF(AND(ISNUMBER(SEARCH("L-Dsty.",$B52))=TRUE,ISNUMBER(SEARCH("L-Res",$B52))=TRUE,ISNUMBER(SEARCH("E.",$B52))=TRUE),INDEX(fertrate_LDLR_E,MATCH($I52,fertrate_CROPS,0)),
IF(AND(ISNUMBER(SEARCH("L-Dsty.",$B52))=TRUE,ISNUMBER(SEARCH("L-Res",$B52))=TRUE,ISNUMBER(SEARCH("N.",$B52))=TRUE),INDEX(fertrate_LDLR_N,MATCH($I52,fertrate_CROPS,0)),
IF(AND(ISNUMBER(SEARCH("L-Dsty.",$B52))=TRUE,ISNUMBER(SEARCH("L-Res",$B52))=TRUE,ISNUMBER(SEARCH("C.",$B52))=TRUE),INDEX(fertrate_LDLR_C,MATCH($I52,fertrate_CROPS,0))
)))))))))</f>
        <v>220</v>
      </c>
      <c r="AH52" s="234">
        <f t="shared" si="80"/>
        <v>0</v>
      </c>
      <c r="AI52" s="234">
        <f>IF(AND(ISNUMBER(SEARCH("H-Dsty.",$B52))=TRUE,ISNUMBER(SEARCH("H-Res",$B52))=TRUE,ISNUMBER(SEARCH("E.",$B52))=TRUE),INDEX(fertrate_HDHR_E,MATCH($K52,fertrate_CROPS,0)),
IF(AND(ISNUMBER(SEARCH("H-Dsty.",$B52))=TRUE,ISNUMBER(SEARCH("H-Res",$B52))=TRUE,ISNUMBER(SEARCH("N.",$B52))=TRUE),INDEX(fertrate_HDHR_N,MATCH($K52,fertrate_CROPS,0)),
IF(AND(ISNUMBER(SEARCH("H-Dsty.",$B52))=TRUE,ISNUMBER(SEARCH("H-Res",$B52))=TRUE,ISNUMBER(SEARCH("C.",$B52))=TRUE),INDEX(fertrate_HDHR_C,MATCH($K52,fertrate_CROPS,0)),
IF(AND(ISNUMBER(SEARCH("L-Dsty.",$B52))=TRUE,ISNUMBER(SEARCH("H-Res",$B52))=TRUE,ISNUMBER(SEARCH("E.",$B52))=TRUE),INDEX(fertrate_LDHR_E,MATCH($K52,fertrate_CROPS,0)),
IF(AND(ISNUMBER(SEARCH("L-Dsty.",$B52))=TRUE,ISNUMBER(SEARCH("H-Res",$B52))=TRUE,ISNUMBER(SEARCH("N.",$B52))=TRUE),INDEX(fertrate_LDHR_N,MATCH($K52,fertrate_CROPS,0)),
IF(AND(ISNUMBER(SEARCH("L-Dsty.",$B52))=TRUE,ISNUMBER(SEARCH("H-Res",$B52))=TRUE,ISNUMBER(SEARCH("C.",$B52))=TRUE),INDEX(fertrate_LDHR_C,MATCH($K52,fertrate_CROPS,0)),
IF(AND(ISNUMBER(SEARCH("L-Dsty.",$B52))=TRUE,ISNUMBER(SEARCH("L-Res",$B52))=TRUE,ISNUMBER(SEARCH("E.",$B52))=TRUE),INDEX(fertrate_LDLR_E,MATCH($K52,fertrate_CROPS,0)),
IF(AND(ISNUMBER(SEARCH("L-Dsty.",$B52))=TRUE,ISNUMBER(SEARCH("L-Res",$B52))=TRUE,ISNUMBER(SEARCH("N.",$B52))=TRUE),INDEX(fertrate_LDLR_N,MATCH($K52,fertrate_CROPS,0)),
IF(AND(ISNUMBER(SEARCH("L-Dsty.",$B52))=TRUE,ISNUMBER(SEARCH("L-Res",$B52))=TRUE,ISNUMBER(SEARCH("C.",$B52))=TRUE),INDEX(fertrate_LDLR_C,MATCH($K52,fertrate_CROPS,0))
)))))))))</f>
        <v>220</v>
      </c>
      <c r="AJ52" s="154">
        <f t="shared" si="117"/>
        <v>67</v>
      </c>
      <c r="AK52" s="154">
        <f t="shared" si="118"/>
        <v>58</v>
      </c>
      <c r="AL52" s="154">
        <f t="shared" si="119"/>
        <v>49</v>
      </c>
      <c r="AM52" s="154">
        <f t="shared" si="120"/>
        <v>67</v>
      </c>
      <c r="AN52" s="154">
        <f t="shared" si="121"/>
        <v>43</v>
      </c>
      <c r="AO52" s="154">
        <f t="shared" si="122"/>
        <v>67</v>
      </c>
      <c r="AP52" s="154">
        <f t="shared" si="123"/>
        <v>48</v>
      </c>
      <c r="AQ52" s="154">
        <f t="shared" si="124"/>
        <v>41</v>
      </c>
      <c r="AR52" s="154">
        <f t="shared" si="125"/>
        <v>39</v>
      </c>
      <c r="AS52" s="154">
        <f t="shared" si="126"/>
        <v>48</v>
      </c>
      <c r="AT52" s="154">
        <f t="shared" si="127"/>
        <v>47</v>
      </c>
      <c r="AU52" s="154">
        <f t="shared" si="128"/>
        <v>48</v>
      </c>
      <c r="AV52" s="234">
        <f t="shared" si="89"/>
        <v>1</v>
      </c>
      <c r="AW52" s="234">
        <f t="shared" si="129"/>
        <v>0.4</v>
      </c>
      <c r="AX52" s="234">
        <f t="shared" si="130"/>
        <v>2</v>
      </c>
      <c r="AY52" s="345">
        <v>4.4000000000000004</v>
      </c>
      <c r="AZ52" s="234">
        <f t="shared" si="131"/>
        <v>4</v>
      </c>
      <c r="BA52" s="234">
        <f t="shared" si="132"/>
        <v>1</v>
      </c>
      <c r="BB52" s="234">
        <f t="shared" si="133"/>
        <v>3</v>
      </c>
      <c r="BC52" s="234">
        <f t="shared" si="134"/>
        <v>3</v>
      </c>
      <c r="BD52" s="234">
        <f t="shared" si="135"/>
        <v>0</v>
      </c>
      <c r="BE52" s="234">
        <f t="shared" si="91"/>
        <v>3</v>
      </c>
      <c r="BF52" s="234">
        <f t="shared" si="136"/>
        <v>6</v>
      </c>
      <c r="BG52" s="234">
        <f t="shared" si="137"/>
        <v>3</v>
      </c>
      <c r="BH52" s="234">
        <f t="shared" si="138"/>
        <v>3</v>
      </c>
      <c r="BI52" s="234">
        <f t="shared" si="139"/>
        <v>2</v>
      </c>
      <c r="BJ52" s="234">
        <f t="shared" si="140"/>
        <v>2</v>
      </c>
      <c r="BK52" s="234">
        <f t="shared" si="92"/>
        <v>3</v>
      </c>
      <c r="BL52" s="234">
        <f t="shared" si="141"/>
        <v>3</v>
      </c>
      <c r="BM52" s="234">
        <f t="shared" si="142"/>
        <v>3</v>
      </c>
      <c r="BN52" s="154" t="s">
        <v>483</v>
      </c>
      <c r="BO52" s="154" t="str">
        <f t="shared" si="143"/>
        <v>low</v>
      </c>
      <c r="BP52" s="154" t="str">
        <f t="shared" si="144"/>
        <v>low</v>
      </c>
      <c r="BQ52" s="154" t="str">
        <f t="shared" si="145"/>
        <v>low</v>
      </c>
      <c r="BR52" s="154" t="s">
        <v>183</v>
      </c>
      <c r="BS52" s="154" t="s">
        <v>183</v>
      </c>
      <c r="BT52" s="154" t="s">
        <v>183</v>
      </c>
      <c r="BU52" s="154">
        <f t="shared" si="146"/>
        <v>150</v>
      </c>
      <c r="BV52" s="154">
        <f t="shared" si="147"/>
        <v>138</v>
      </c>
      <c r="BW52" s="154">
        <f t="shared" si="148"/>
        <v>335</v>
      </c>
      <c r="BX52" s="154">
        <f t="shared" si="149"/>
        <v>150</v>
      </c>
      <c r="BY52" s="154">
        <f t="shared" si="150"/>
        <v>185</v>
      </c>
      <c r="BZ52" s="154">
        <f t="shared" si="151"/>
        <v>150</v>
      </c>
      <c r="CA52" s="356">
        <f t="array" ref="CA52">IF(yieldsetting1="estimate",0,INDEX(cropdata, MATCH(yieldsource,outputs,0), MATCH($F52,cropdatacrops,0)))</f>
        <v>0</v>
      </c>
      <c r="CB52" s="356">
        <f t="array" ref="CB52">IF(yieldsetting1="estimate",0,INDEX(cropdata, MATCH(yieldsource,outputs,0), MATCH($G52,cropdatacrops,0)))</f>
        <v>0</v>
      </c>
      <c r="CC52" s="356">
        <f t="array" ref="CC52">IF(yieldsetting1="estimate",0,INDEX(cropdata, MATCH(yieldsource,outputs,0), MATCH($H52,cropdatacrops,0)))</f>
        <v>0</v>
      </c>
      <c r="CD52" s="356">
        <f t="array" ref="CD52">IF(yieldsetting1="estimate",0,INDEX(cropdata, MATCH(yieldsource,outputs,0), MATCH($I52,cropdatacrops,0)))</f>
        <v>0</v>
      </c>
      <c r="CE52" s="356">
        <f t="array" ref="CE52">IF(yieldsetting1="estimate",0,INDEX(cropdata, MATCH(yieldsource,outputs,0), MATCH($J52,cropdatacrops,0)))</f>
        <v>0</v>
      </c>
      <c r="CF52" s="356">
        <f t="array" ref="CF52">IF(yieldsetting1="estimate",0,INDEX(cropdata, MATCH(yieldsource,outputs,0), MATCH($K52,cropdatacrops,0)))</f>
        <v>0</v>
      </c>
      <c r="CG52" s="154" t="str">
        <f t="shared" si="152"/>
        <v>estimate</v>
      </c>
      <c r="CH52" s="235">
        <f t="shared" si="153"/>
        <v>0.8</v>
      </c>
      <c r="CI52" s="235">
        <f t="shared" si="154"/>
        <v>0.72</v>
      </c>
      <c r="CJ52" s="154">
        <f t="shared" si="155"/>
        <v>0.46</v>
      </c>
      <c r="CK52" s="154">
        <f t="shared" si="156"/>
        <v>0.36</v>
      </c>
      <c r="CL52" s="154">
        <f t="shared" si="157"/>
        <v>0.36</v>
      </c>
      <c r="CM52" s="154">
        <f t="shared" si="158"/>
        <v>7.34</v>
      </c>
      <c r="CN52" s="154">
        <f t="shared" si="159"/>
        <v>0.36</v>
      </c>
      <c r="CO52" s="154">
        <f t="shared" si="160"/>
        <v>0.38</v>
      </c>
      <c r="CP52" s="154">
        <f t="shared" si="161"/>
        <v>0.36</v>
      </c>
      <c r="CQ52" s="154">
        <f t="shared" si="166"/>
        <v>19.5</v>
      </c>
      <c r="CR52" s="154">
        <f t="shared" si="166"/>
        <v>19.5</v>
      </c>
      <c r="CS52" s="154">
        <f t="shared" si="166"/>
        <v>19.5</v>
      </c>
      <c r="CT52" s="154">
        <f t="shared" si="166"/>
        <v>19.5</v>
      </c>
      <c r="CU52" s="154">
        <f t="shared" si="166"/>
        <v>19.5</v>
      </c>
      <c r="CV52" s="154">
        <f t="shared" si="166"/>
        <v>19.5</v>
      </c>
      <c r="CW52" s="154">
        <f t="shared" si="167"/>
        <v>2.4300000000000002</v>
      </c>
      <c r="CX52" s="154">
        <f t="shared" si="167"/>
        <v>2.4300000000000002</v>
      </c>
      <c r="CY52" s="154">
        <f t="shared" si="167"/>
        <v>2.4300000000000002</v>
      </c>
      <c r="CZ52" s="154">
        <f t="shared" si="167"/>
        <v>2.4300000000000002</v>
      </c>
      <c r="DA52" s="154">
        <f t="shared" si="167"/>
        <v>2.4300000000000002</v>
      </c>
      <c r="DB52" s="154">
        <f t="shared" si="167"/>
        <v>2.4300000000000002</v>
      </c>
      <c r="DC52" s="154">
        <v>102</v>
      </c>
      <c r="DD52" s="154">
        <v>6</v>
      </c>
      <c r="DE52" s="154">
        <v>4</v>
      </c>
      <c r="DF52" s="154">
        <v>1400</v>
      </c>
      <c r="DG52" s="154">
        <v>125</v>
      </c>
      <c r="DH52" s="154">
        <f t="shared" si="162"/>
        <v>0.625</v>
      </c>
      <c r="DI52" s="154">
        <f t="shared" si="163"/>
        <v>10.08</v>
      </c>
    </row>
    <row r="53" spans="1:113" x14ac:dyDescent="0.2">
      <c r="A53" s="335" t="s">
        <v>1652</v>
      </c>
      <c r="B53" s="334" t="s">
        <v>498</v>
      </c>
      <c r="C53" s="334" t="s">
        <v>1678</v>
      </c>
      <c r="D53" s="233" t="str">
        <f>IF(ISNUMBER(SEARCH("heavy",B53))=TRUE,"2.25",
IF(ISNUMBER(SEARCH("medium",B53))=TRUE,"1.50",
IF(ISNUMBER(SEARCH("light",B53))=TRUE,"0.75")))</f>
        <v>1.50</v>
      </c>
      <c r="E53" s="154">
        <v>6</v>
      </c>
      <c r="F53" s="234" t="str" cm="1">
        <f t="array" ref="F53">IF(AND(ISNUMBER(SEARCH("H-Dsty.H-Res",$B53))=TRUE,ISNUMBER(SEARCH("E.",$B53))=TRUE,OR(ISNUMBER(SEARCH("heavy",$B53)),ISNUMBER(SEARCH("MEDIUM",$B53)))=TRUE),INDEX(croprotn_HDHR_E_h,MATCH(RIGHT($F$1,1),rotation_heavy,0)),
IF(AND(ISNUMBER(SEARCH("H-Dsty.H-Res",$B53))=TRUE,ISNUMBER(SEARCH("N.",$B53))=TRUE,OR(ISNUMBER(SEARCH("heavy",$B53)),ISNUMBER(SEARCH("MEDIUM",$B53)))=TRUE),INDEX(croprotn_HDHR_N_h,MATCH(RIGHT($F$1,1),rotation_heavy,0)),
IF(AND(ISNUMBER(SEARCH("H-Dsty.H-Res",$B53))=TRUE,ISNUMBER(SEARCH("C.",$B53))=TRUE,OR(ISNUMBER(SEARCH("heavy",$B53)),ISNUMBER(SEARCH("MEDIUM",$B53)))=TRUE),INDEX(croprotn_HDHR_C_h,MATCH(RIGHT($F$1,1),rotation_heavy,0)),
IF(AND(ISNUMBER(SEARCH("L-Dsty.H-Res",$B53))=TRUE,ISNUMBER(SEARCH("E.",$B53))=TRUE,OR(ISNUMBER(SEARCH("heavy",$B53)),ISNUMBER(SEARCH("MEDIUM",$B53)))=TRUE),INDEX(croprotn_LDHR_E_h,MATCH(RIGHT($F$1,1),rotation_heavy,0)),
IF(AND(ISNUMBER(SEARCH("L-Dsty.H-Res",$B53))=TRUE,ISNUMBER(SEARCH("N.",$B53))=TRUE,OR(ISNUMBER(SEARCH("heavy",$B53)),ISNUMBER(SEARCH("MEDIUM",$B53)))=TRUE),INDEX(croprotn_LDHR_N_h,MATCH(RIGHT($F$1,1),rotation_heavy,0)),
IF(AND(ISNUMBER(SEARCH("L-Dsty.H-Res",$B53))=TRUE,ISNUMBER(SEARCH("C.",$B53))=TRUE,OR(ISNUMBER(SEARCH("heavy",$B53)),ISNUMBER(SEARCH("MEDIUM",$B53)))=TRUE),INDEX(croprotn_LDHR_C_h,MATCH(RIGHT($F$1,1),rotation_heavy,0)),
IF(AND(ISNUMBER(SEARCH("L-Dsty.L-Res",$B53))=TRUE,ISNUMBER(SEARCH("E.",$B53))=TRUE,OR(ISNUMBER(SEARCH("heavy",$B53)),ISNUMBER(SEARCH("MEDIUM",$B53)))=TRUE),INDEX(croprotn_LDLR_E_h,MATCH(RIGHT($F$1,1),rotation_heavy,0)),
IF(AND(ISNUMBER(SEARCH("L-Dsty.L-Res",$B53))=TRUE,ISNUMBER(SEARCH("N.",$B53))=TRUE,OR(ISNUMBER(SEARCH("heavy",$B53)),ISNUMBER(SEARCH("MEDIUM",$B53)))=TRUE),INDEX(croprotn_LDLR_N_h,MATCH(RIGHT($F$1,1),rotation_heavy,0)),
IF(AND(ISNUMBER(SEARCH("L-Dsty.L-Res",$B53))=TRUE,ISNUMBER(SEARCH("C.",$B53))=TRUE,OR(ISNUMBER(SEARCH("heavy",$B53)),ISNUMBER(SEARCH("MEDIUM",$B53)))=TRUE),INDEX(croprotn_LDLR_C_h,MATCH(RIGHT($F$1,1),rotation_heavy,0)),
IF(AND(ISNUMBER(SEARCH("H-Dsty.H-Res",$B53))=TRUE,ISNUMBER(SEARCH("E.",$B53))=TRUE,ISNUMBER(SEARCH("light",$B53))=TRUE),INDEX(croprotn_HDHR_E_l,MATCH(RIGHT($F$1,1),rotation_light,0)),
IF(AND(ISNUMBER(SEARCH("H-Dsty.H-Res",$B53))=TRUE,ISNUMBER(SEARCH("N.",$B53))=TRUE,ISNUMBER(SEARCH("light",$B53))=TRUE),INDEX(croprotn_HDHR_N_l,MATCH(RIGHT($F$1,1),rotation_light,0)),
IF(AND(ISNUMBER(SEARCH("H-Dsty.H-Res",$B53))=TRUE,ISNUMBER(SEARCH("C.",$B53))=TRUE,ISNUMBER(SEARCH("light",$B53))=TRUE),INDEX(croprotn_HDHR_C_l,MATCH(RIGHT($F$1,1),rotation_light,0)),
IF(AND(ISNUMBER(SEARCH("L-Dsty.H-Res",$B53))=TRUE,ISNUMBER(SEARCH("E.",$B53))=TRUE,ISNUMBER(SEARCH("light",$B53))=TRUE),INDEX(croprotn_LDHR_E_l,MATCH(RIGHT($F$1,1),rotation_light,0)),
IF(AND(ISNUMBER(SEARCH("L-Dsty.H-Res",$B53))=TRUE,ISNUMBER(SEARCH("N.",$B53))=TRUE,ISNUMBER(SEARCH("light",$B53))=TRUE),INDEX(croprotn_LDHR_N_l,MATCH(RIGHT($F$1,1),rotation_light,0)),
IF(AND(ISNUMBER(SEARCH("L-Dsty.H-Res",$B53))=TRUE,ISNUMBER(SEARCH("C.",$B53))=TRUE,ISNUMBER(SEARCH("light",$B53))=TRUE),INDEX(croprotn_LDHR_C_l,MATCH(RIGHT($F$1,1),rotation_light,0)),
IF(AND(ISNUMBER(SEARCH("L-Dsty.L-Res",$B53))=TRUE,ISNUMBER(SEARCH("E.",$B53))=TRUE,ISNUMBER(SEARCH("light",$B53))=TRUE),INDEX(croprotn_LDLR_E_l,MATCH(RIGHT($F$1,1),rotation_light,0)),
IF(AND(ISNUMBER(SEARCH("L-Dsty.L-Res",$B53))=TRUE,ISNUMBER(SEARCH("N.",$B53))=TRUE,ISNUMBER(SEARCH("light",$B53))=TRUE),INDEX(croprotn_LDLR_N_l,MATCH(RIGHT($F$1,1),rotation_light,0)),
IF(AND(ISNUMBER(SEARCH("L-Dsty.L-Res",$B53))=TRUE,ISNUMBER(SEARCH("C.",$B53))=TRUE,ISNUMBER(SEARCH("light",$B53))=TRUE),INDEX(croprotn_LDLR_C_l,MATCH(RIGHT($F$1,1),rotation_light,0))
))))))))))))))))))</f>
        <v>winterwheat</v>
      </c>
      <c r="G53" s="234" t="str">
        <f t="shared" si="84"/>
        <v>winterbarley</v>
      </c>
      <c r="H53" s="234" t="str">
        <f t="shared" si="100"/>
        <v>wosr</v>
      </c>
      <c r="I53" s="234" t="str">
        <f t="shared" si="101"/>
        <v>winterwheat</v>
      </c>
      <c r="J53" s="234" t="str">
        <f t="shared" si="102"/>
        <v>springbeans</v>
      </c>
      <c r="K53" s="234" t="str">
        <f t="shared" si="103"/>
        <v>winterwheat</v>
      </c>
      <c r="L53" s="154" t="str">
        <f t="shared" si="104"/>
        <v>lightcultivation</v>
      </c>
      <c r="M53" s="154" t="str">
        <f t="shared" si="105"/>
        <v>lightcultivation</v>
      </c>
      <c r="N53" s="154" t="str">
        <f t="shared" si="106"/>
        <v>subsoiling</v>
      </c>
      <c r="O53" s="154" t="str">
        <f t="shared" si="164"/>
        <v>lightcultivation</v>
      </c>
      <c r="P53" s="154" t="str">
        <f t="shared" si="165"/>
        <v>lightcultivation</v>
      </c>
      <c r="Q53" s="154" t="str">
        <f t="shared" si="95"/>
        <v>lightcultivation</v>
      </c>
      <c r="R53" s="234">
        <f t="shared" si="86"/>
        <v>190</v>
      </c>
      <c r="S53" s="234">
        <f t="shared" si="107"/>
        <v>195</v>
      </c>
      <c r="T53" s="234">
        <f t="shared" si="108"/>
        <v>3.2</v>
      </c>
      <c r="U53" s="234">
        <f t="shared" si="87"/>
        <v>190</v>
      </c>
      <c r="V53" s="234">
        <f t="shared" si="109"/>
        <v>305</v>
      </c>
      <c r="W53" s="234">
        <f t="shared" si="110"/>
        <v>190</v>
      </c>
      <c r="X53" s="154" t="str">
        <f t="shared" si="111"/>
        <v>no</v>
      </c>
      <c r="Y53" s="154" t="str">
        <f t="shared" si="112"/>
        <v>no</v>
      </c>
      <c r="Z53" s="154" t="str">
        <f t="shared" si="113"/>
        <v>no</v>
      </c>
      <c r="AA53" s="154" t="str">
        <f t="shared" si="114"/>
        <v>no</v>
      </c>
      <c r="AB53" s="154" t="str">
        <f t="shared" si="115"/>
        <v>no</v>
      </c>
      <c r="AC53" s="154" t="str">
        <f t="shared" si="116"/>
        <v>no</v>
      </c>
      <c r="AD53" s="234">
        <f>IF(AND(ISNUMBER(SEARCH("H-Dsty.H-Res",$B53))=TRUE,ISNUMBER(SEARCH("E.",$B53))=TRUE),INDEX(fertrate_HDHR_E,MATCH($F53,fertrate_CROPS,0)),
IF(AND(ISNUMBER(SEARCH("H-Dsty.H-Res",$B53))=TRUE,ISNUMBER(SEARCH("N.",$B53))=TRUE),INDEX(fertrate_HDHR_N,MATCH($F53,fertrate_CROPS,0)),
IF(AND(ISNUMBER(SEARCH("H-Dsty.H-Res",$B53))=TRUE,ISNUMBER(SEARCH("C.",$B53))=TRUE),INDEX(fertrate_HDHR_C,MATCH($F53,fertrate_CROPS,0)),
IF(AND(ISNUMBER(SEARCH("L-Dsty.H-Res",$B53))=TRUE,ISNUMBER(SEARCH("E.",$B53))=TRUE),INDEX(fertrate_LDHR_E,MATCH($F53,fertrate_CROPS,0)),
IF(AND(ISNUMBER(SEARCH("L-Dsty.H-Res",$B53))=TRUE,ISNUMBER(SEARCH("N.",$B53))=TRUE),INDEX(fertrate_LDHR_N,MATCH($F53,fertrate_CROPS,0)),
IF(AND(ISNUMBER(SEARCH("L-Dsty.H-Res",$B53))=TRUE,ISNUMBER(SEARCH("C.",$B53))=TRUE),INDEX(fertrate_LDHR_C,MATCH($F53,fertrate_CROPS,0)),
IF(AND(ISNUMBER(SEARCH("L-Dsty.L-Res",$B53))=TRUE,ISNUMBER(SEARCH("E.",$B53))=TRUE),INDEX(fertrate_LDLR_E,MATCH($F53,fertrate_CROPS,0)),
IF(AND(ISNUMBER(SEARCH("L-Dsty.L-Res",$B53))=TRUE,ISNUMBER(SEARCH("N.",$B53))=TRUE),INDEX(fertrate_LDLR_N,MATCH($F53,fertrate_CROPS,0)),
IF(AND(ISNUMBER(SEARCH("L-Dsty.L-Res",$B53))=TRUE,ISNUMBER(SEARCH("C.",$B53))=TRUE),INDEX(fertrate_LDLR_C,MATCH($F53,fertrate_CROPS,0))
)))))))))</f>
        <v>220</v>
      </c>
      <c r="AE53" s="234">
        <f t="shared" si="85"/>
        <v>190</v>
      </c>
      <c r="AF53" s="234">
        <f t="shared" si="168"/>
        <v>180</v>
      </c>
      <c r="AG53" s="234">
        <f>IF(AND(ISNUMBER(SEARCH("H-Dsty.",$B53))=TRUE,ISNUMBER(SEARCH("H-Res",$B53))=TRUE,ISNUMBER(SEARCH("E.",$B53))=TRUE),INDEX(fertrate_HDHR_E,MATCH($I53,fertrate_CROPS,0)),
IF(AND(ISNUMBER(SEARCH("H-Dsty.",$B53))=TRUE,ISNUMBER(SEARCH("H-Res",$B53))=TRUE,ISNUMBER(SEARCH("N.",$B53))=TRUE),INDEX(fertrate_HDHR_N,MATCH($I53,fertrate_CROPS,0)),
IF(AND(ISNUMBER(SEARCH("H-Dsty.",$B53))=TRUE,ISNUMBER(SEARCH("H-Res",$B53))=TRUE,ISNUMBER(SEARCH("C.",$B53))=TRUE),INDEX(fertrate_HDHR_C,MATCH($I53,fertrate_CROPS,0)),
IF(AND(ISNUMBER(SEARCH("L-Dsty.",$B53))=TRUE,ISNUMBER(SEARCH("H-Res",$B53))=TRUE,ISNUMBER(SEARCH("E.",$B53))=TRUE),INDEX(fertrate_LDHR_E,MATCH($I53,fertrate_CROPS,0)),
IF(AND(ISNUMBER(SEARCH("L-Dsty.",$B53))=TRUE,ISNUMBER(SEARCH("H-Res",$B53))=TRUE,ISNUMBER(SEARCH("N.",$B53))=TRUE),INDEX(fertrate_LDHR_N,MATCH($I53,fertrate_CROPS,0)),
IF(AND(ISNUMBER(SEARCH("L-Dsty.",$B53))=TRUE,ISNUMBER(SEARCH("H-Res",$B53))=TRUE,ISNUMBER(SEARCH("C.",$B53))=TRUE),INDEX(fertrate_LDHR_C,MATCH($I53,fertrate_CROPS,0)),
IF(AND(ISNUMBER(SEARCH("L-Dsty.",$B53))=TRUE,ISNUMBER(SEARCH("L-Res",$B53))=TRUE,ISNUMBER(SEARCH("E.",$B53))=TRUE),INDEX(fertrate_LDLR_E,MATCH($I53,fertrate_CROPS,0)),
IF(AND(ISNUMBER(SEARCH("L-Dsty.",$B53))=TRUE,ISNUMBER(SEARCH("L-Res",$B53))=TRUE,ISNUMBER(SEARCH("N.",$B53))=TRUE),INDEX(fertrate_LDLR_N,MATCH($I53,fertrate_CROPS,0)),
IF(AND(ISNUMBER(SEARCH("L-Dsty.",$B53))=TRUE,ISNUMBER(SEARCH("L-Res",$B53))=TRUE,ISNUMBER(SEARCH("C.",$B53))=TRUE),INDEX(fertrate_LDLR_C,MATCH($I53,fertrate_CROPS,0))
)))))))))</f>
        <v>220</v>
      </c>
      <c r="AH53" s="234">
        <f t="shared" si="80"/>
        <v>0</v>
      </c>
      <c r="AI53" s="234">
        <f>IF(AND(ISNUMBER(SEARCH("H-Dsty.",$B53))=TRUE,ISNUMBER(SEARCH("H-Res",$B53))=TRUE,ISNUMBER(SEARCH("E.",$B53))=TRUE),INDEX(fertrate_HDHR_E,MATCH($K53,fertrate_CROPS,0)),
IF(AND(ISNUMBER(SEARCH("H-Dsty.",$B53))=TRUE,ISNUMBER(SEARCH("H-Res",$B53))=TRUE,ISNUMBER(SEARCH("N.",$B53))=TRUE),INDEX(fertrate_HDHR_N,MATCH($K53,fertrate_CROPS,0)),
IF(AND(ISNUMBER(SEARCH("H-Dsty.",$B53))=TRUE,ISNUMBER(SEARCH("H-Res",$B53))=TRUE,ISNUMBER(SEARCH("C.",$B53))=TRUE),INDEX(fertrate_HDHR_C,MATCH($K53,fertrate_CROPS,0)),
IF(AND(ISNUMBER(SEARCH("L-Dsty.",$B53))=TRUE,ISNUMBER(SEARCH("H-Res",$B53))=TRUE,ISNUMBER(SEARCH("E.",$B53))=TRUE),INDEX(fertrate_LDHR_E,MATCH($K53,fertrate_CROPS,0)),
IF(AND(ISNUMBER(SEARCH("L-Dsty.",$B53))=TRUE,ISNUMBER(SEARCH("H-Res",$B53))=TRUE,ISNUMBER(SEARCH("N.",$B53))=TRUE),INDEX(fertrate_LDHR_N,MATCH($K53,fertrate_CROPS,0)),
IF(AND(ISNUMBER(SEARCH("L-Dsty.",$B53))=TRUE,ISNUMBER(SEARCH("H-Res",$B53))=TRUE,ISNUMBER(SEARCH("C.",$B53))=TRUE),INDEX(fertrate_LDHR_C,MATCH($K53,fertrate_CROPS,0)),
IF(AND(ISNUMBER(SEARCH("L-Dsty.",$B53))=TRUE,ISNUMBER(SEARCH("L-Res",$B53))=TRUE,ISNUMBER(SEARCH("E.",$B53))=TRUE),INDEX(fertrate_LDLR_E,MATCH($K53,fertrate_CROPS,0)),
IF(AND(ISNUMBER(SEARCH("L-Dsty.",$B53))=TRUE,ISNUMBER(SEARCH("L-Res",$B53))=TRUE,ISNUMBER(SEARCH("N.",$B53))=TRUE),INDEX(fertrate_LDLR_N,MATCH($K53,fertrate_CROPS,0)),
IF(AND(ISNUMBER(SEARCH("L-Dsty.",$B53))=TRUE,ISNUMBER(SEARCH("L-Res",$B53))=TRUE,ISNUMBER(SEARCH("C.",$B53))=TRUE),INDEX(fertrate_LDLR_C,MATCH($K53,fertrate_CROPS,0))
)))))))))</f>
        <v>220</v>
      </c>
      <c r="AJ53" s="154">
        <f t="shared" si="117"/>
        <v>67</v>
      </c>
      <c r="AK53" s="154">
        <f t="shared" si="118"/>
        <v>58</v>
      </c>
      <c r="AL53" s="154">
        <f t="shared" si="119"/>
        <v>49</v>
      </c>
      <c r="AM53" s="154">
        <f t="shared" si="120"/>
        <v>67</v>
      </c>
      <c r="AN53" s="154">
        <f t="shared" si="121"/>
        <v>43</v>
      </c>
      <c r="AO53" s="154">
        <f t="shared" si="122"/>
        <v>67</v>
      </c>
      <c r="AP53" s="154">
        <f t="shared" si="123"/>
        <v>48</v>
      </c>
      <c r="AQ53" s="154">
        <f t="shared" si="124"/>
        <v>41</v>
      </c>
      <c r="AR53" s="154">
        <f t="shared" si="125"/>
        <v>39</v>
      </c>
      <c r="AS53" s="154">
        <f t="shared" si="126"/>
        <v>48</v>
      </c>
      <c r="AT53" s="154">
        <f t="shared" si="127"/>
        <v>47</v>
      </c>
      <c r="AU53" s="154">
        <f t="shared" si="128"/>
        <v>48</v>
      </c>
      <c r="AV53" s="234">
        <f t="shared" si="89"/>
        <v>1</v>
      </c>
      <c r="AW53" s="234">
        <f t="shared" si="129"/>
        <v>0.4</v>
      </c>
      <c r="AX53" s="234">
        <f t="shared" si="130"/>
        <v>2</v>
      </c>
      <c r="AY53" s="345">
        <v>4.4000000000000004</v>
      </c>
      <c r="AZ53" s="234">
        <f t="shared" si="131"/>
        <v>4</v>
      </c>
      <c r="BA53" s="234">
        <f t="shared" si="132"/>
        <v>1</v>
      </c>
      <c r="BB53" s="234">
        <f t="shared" si="133"/>
        <v>3</v>
      </c>
      <c r="BC53" s="234">
        <f t="shared" si="134"/>
        <v>3</v>
      </c>
      <c r="BD53" s="234">
        <f t="shared" si="135"/>
        <v>0</v>
      </c>
      <c r="BE53" s="234">
        <f t="shared" si="91"/>
        <v>3</v>
      </c>
      <c r="BF53" s="234">
        <f t="shared" si="136"/>
        <v>6</v>
      </c>
      <c r="BG53" s="234">
        <f t="shared" si="137"/>
        <v>3</v>
      </c>
      <c r="BH53" s="234">
        <f t="shared" si="138"/>
        <v>3</v>
      </c>
      <c r="BI53" s="234">
        <f t="shared" si="139"/>
        <v>2</v>
      </c>
      <c r="BJ53" s="234">
        <f t="shared" si="140"/>
        <v>2</v>
      </c>
      <c r="BK53" s="234">
        <f t="shared" si="92"/>
        <v>3</v>
      </c>
      <c r="BL53" s="234">
        <f t="shared" si="141"/>
        <v>3</v>
      </c>
      <c r="BM53" s="234">
        <f t="shared" si="142"/>
        <v>3</v>
      </c>
      <c r="BN53" s="154" t="s">
        <v>483</v>
      </c>
      <c r="BO53" s="154" t="str">
        <f t="shared" si="143"/>
        <v>medium</v>
      </c>
      <c r="BP53" s="154" t="str">
        <f t="shared" si="144"/>
        <v>low</v>
      </c>
      <c r="BQ53" s="154" t="str">
        <f t="shared" si="145"/>
        <v>low</v>
      </c>
      <c r="BR53" s="154" t="s">
        <v>18</v>
      </c>
      <c r="BS53" s="154" t="s">
        <v>18</v>
      </c>
      <c r="BT53" s="154" t="s">
        <v>18</v>
      </c>
      <c r="BU53" s="154">
        <f t="shared" si="146"/>
        <v>150</v>
      </c>
      <c r="BV53" s="154">
        <f t="shared" si="147"/>
        <v>138</v>
      </c>
      <c r="BW53" s="154">
        <f t="shared" si="148"/>
        <v>335</v>
      </c>
      <c r="BX53" s="154">
        <f t="shared" si="149"/>
        <v>150</v>
      </c>
      <c r="BY53" s="154">
        <f t="shared" si="150"/>
        <v>185</v>
      </c>
      <c r="BZ53" s="154">
        <f t="shared" si="151"/>
        <v>150</v>
      </c>
      <c r="CA53" s="356">
        <f t="array" ref="CA53">IF(yieldsetting1="estimate",0,INDEX(cropdata, MATCH(yieldsource,outputs,0), MATCH($F53,cropdatacrops,0)))</f>
        <v>0</v>
      </c>
      <c r="CB53" s="356">
        <f t="array" ref="CB53">IF(yieldsetting1="estimate",0,INDEX(cropdata, MATCH(yieldsource,outputs,0), MATCH($G53,cropdatacrops,0)))</f>
        <v>0</v>
      </c>
      <c r="CC53" s="356">
        <f t="array" ref="CC53">IF(yieldsetting1="estimate",0,INDEX(cropdata, MATCH(yieldsource,outputs,0), MATCH($H53,cropdatacrops,0)))</f>
        <v>0</v>
      </c>
      <c r="CD53" s="356">
        <f t="array" ref="CD53">IF(yieldsetting1="estimate",0,INDEX(cropdata, MATCH(yieldsource,outputs,0), MATCH($I53,cropdatacrops,0)))</f>
        <v>0</v>
      </c>
      <c r="CE53" s="356">
        <f t="array" ref="CE53">IF(yieldsetting1="estimate",0,INDEX(cropdata, MATCH(yieldsource,outputs,0), MATCH($J53,cropdatacrops,0)))</f>
        <v>0</v>
      </c>
      <c r="CF53" s="356">
        <f t="array" ref="CF53">IF(yieldsetting1="estimate",0,INDEX(cropdata, MATCH(yieldsource,outputs,0), MATCH($K53,cropdatacrops,0)))</f>
        <v>0</v>
      </c>
      <c r="CG53" s="154" t="str">
        <f t="shared" si="152"/>
        <v>estimate</v>
      </c>
      <c r="CH53" s="235">
        <f t="shared" si="153"/>
        <v>0.8</v>
      </c>
      <c r="CI53" s="235">
        <f t="shared" si="154"/>
        <v>0.72</v>
      </c>
      <c r="CJ53" s="154">
        <f t="shared" si="155"/>
        <v>0.46</v>
      </c>
      <c r="CK53" s="154">
        <f t="shared" si="156"/>
        <v>0.36</v>
      </c>
      <c r="CL53" s="154">
        <f t="shared" si="157"/>
        <v>0.36</v>
      </c>
      <c r="CM53" s="154">
        <f t="shared" si="158"/>
        <v>7.34</v>
      </c>
      <c r="CN53" s="154">
        <f t="shared" si="159"/>
        <v>0.36</v>
      </c>
      <c r="CO53" s="154">
        <f t="shared" si="160"/>
        <v>0.38</v>
      </c>
      <c r="CP53" s="154">
        <f t="shared" si="161"/>
        <v>0.36</v>
      </c>
      <c r="CQ53" s="154">
        <f t="shared" si="166"/>
        <v>19.5</v>
      </c>
      <c r="CR53" s="154">
        <f t="shared" si="166"/>
        <v>19.5</v>
      </c>
      <c r="CS53" s="154">
        <f t="shared" si="166"/>
        <v>19.5</v>
      </c>
      <c r="CT53" s="154">
        <f t="shared" si="166"/>
        <v>19.5</v>
      </c>
      <c r="CU53" s="154">
        <f t="shared" si="166"/>
        <v>19.5</v>
      </c>
      <c r="CV53" s="154">
        <f t="shared" si="166"/>
        <v>19.5</v>
      </c>
      <c r="CW53" s="154">
        <f t="shared" si="167"/>
        <v>2.4300000000000002</v>
      </c>
      <c r="CX53" s="154">
        <f t="shared" si="167"/>
        <v>2.4300000000000002</v>
      </c>
      <c r="CY53" s="154">
        <f t="shared" si="167"/>
        <v>2.4300000000000002</v>
      </c>
      <c r="CZ53" s="154">
        <f t="shared" si="167"/>
        <v>2.4300000000000002</v>
      </c>
      <c r="DA53" s="154">
        <f t="shared" si="167"/>
        <v>2.4300000000000002</v>
      </c>
      <c r="DB53" s="154">
        <f t="shared" si="167"/>
        <v>2.4300000000000002</v>
      </c>
      <c r="DC53" s="154">
        <v>102</v>
      </c>
      <c r="DD53" s="154">
        <v>6</v>
      </c>
      <c r="DE53" s="154">
        <v>4</v>
      </c>
      <c r="DF53" s="154">
        <v>1400</v>
      </c>
      <c r="DG53" s="154">
        <v>125</v>
      </c>
      <c r="DH53" s="154">
        <f t="shared" si="162"/>
        <v>0.625</v>
      </c>
      <c r="DI53" s="154">
        <f t="shared" si="163"/>
        <v>10.08</v>
      </c>
    </row>
    <row r="54" spans="1:113" x14ac:dyDescent="0.2">
      <c r="A54" s="335" t="s">
        <v>1660</v>
      </c>
      <c r="B54" s="334" t="s">
        <v>501</v>
      </c>
      <c r="C54" s="334" t="s">
        <v>1687</v>
      </c>
      <c r="D54" s="233" t="str">
        <f>IF(ISNUMBER(SEARCH("heavy",B54))=TRUE,"2.25",
IF(ISNUMBER(SEARCH("medium",B54))=TRUE,"1.5",
IF(ISNUMBER(SEARCH("light",B54))=TRUE,"0.75")))</f>
        <v>0.75</v>
      </c>
      <c r="E54" s="154">
        <v>6</v>
      </c>
      <c r="F54" s="234" t="str" cm="1">
        <f t="array" ref="F54">IF(AND(ISNUMBER(SEARCH("H-Dsty.H-Res",$B54))=TRUE,ISNUMBER(SEARCH("E.",$B54))=TRUE,OR(ISNUMBER(SEARCH("heavy",$B54)),ISNUMBER(SEARCH("MEDIUM",$B54)))=TRUE),INDEX(croprotn_HDHR_E_h,MATCH(RIGHT($F$1,1),rotation_heavy,0)),
IF(AND(ISNUMBER(SEARCH("H-Dsty.H-Res",$B54))=TRUE,ISNUMBER(SEARCH("N.",$B54))=TRUE,OR(ISNUMBER(SEARCH("heavy",$B54)),ISNUMBER(SEARCH("MEDIUM",$B54)))=TRUE),INDEX(croprotn_HDHR_N_h,MATCH(RIGHT($F$1,1),rotation_heavy,0)),
IF(AND(ISNUMBER(SEARCH("H-Dsty.H-Res",$B54))=TRUE,ISNUMBER(SEARCH("C.",$B54))=TRUE,OR(ISNUMBER(SEARCH("heavy",$B54)),ISNUMBER(SEARCH("MEDIUM",$B54)))=TRUE),INDEX(croprotn_HDHR_C_h,MATCH(RIGHT($F$1,1),rotation_heavy,0)),
IF(AND(ISNUMBER(SEARCH("L-Dsty.H-Res",$B54))=TRUE,ISNUMBER(SEARCH("E.",$B54))=TRUE,OR(ISNUMBER(SEARCH("heavy",$B54)),ISNUMBER(SEARCH("MEDIUM",$B54)))=TRUE),INDEX(croprotn_LDHR_E_h,MATCH(RIGHT($F$1,1),rotation_heavy,0)),
IF(AND(ISNUMBER(SEARCH("L-Dsty.H-Res",$B54))=TRUE,ISNUMBER(SEARCH("N.",$B54))=TRUE,OR(ISNUMBER(SEARCH("heavy",$B54)),ISNUMBER(SEARCH("MEDIUM",$B54)))=TRUE),INDEX(croprotn_LDHR_N_h,MATCH(RIGHT($F$1,1),rotation_heavy,0)),
IF(AND(ISNUMBER(SEARCH("L-Dsty.H-Res",$B54))=TRUE,ISNUMBER(SEARCH("C.",$B54))=TRUE,OR(ISNUMBER(SEARCH("heavy",$B54)),ISNUMBER(SEARCH("MEDIUM",$B54)))=TRUE),INDEX(croprotn_LDHR_C_h,MATCH(RIGHT($F$1,1),rotation_heavy,0)),
IF(AND(ISNUMBER(SEARCH("L-Dsty.L-Res",$B54))=TRUE,ISNUMBER(SEARCH("E.",$B54))=TRUE,OR(ISNUMBER(SEARCH("heavy",$B54)),ISNUMBER(SEARCH("MEDIUM",$B54)))=TRUE),INDEX(croprotn_LDLR_E_h,MATCH(RIGHT($F$1,1),rotation_heavy,0)),
IF(AND(ISNUMBER(SEARCH("L-Dsty.L-Res",$B54))=TRUE,ISNUMBER(SEARCH("N.",$B54))=TRUE,OR(ISNUMBER(SEARCH("heavy",$B54)),ISNUMBER(SEARCH("MEDIUM",$B54)))=TRUE),INDEX(croprotn_LDLR_N_h,MATCH(RIGHT($F$1,1),rotation_heavy,0)),
IF(AND(ISNUMBER(SEARCH("L-Dsty.L-Res",$B54))=TRUE,ISNUMBER(SEARCH("C.",$B54))=TRUE,OR(ISNUMBER(SEARCH("heavy",$B54)),ISNUMBER(SEARCH("MEDIUM",$B54)))=TRUE),INDEX(croprotn_LDLR_C_h,MATCH(RIGHT($F$1,1),rotation_heavy,0)),
IF(AND(ISNUMBER(SEARCH("H-Dsty.H-Res",$B54))=TRUE,ISNUMBER(SEARCH("E.",$B54))=TRUE,ISNUMBER(SEARCH("light",$B54))=TRUE),INDEX(croprotn_HDHR_E_l,MATCH(RIGHT($F$1,1),rotation_light,0)),
IF(AND(ISNUMBER(SEARCH("H-Dsty.H-Res",$B54))=TRUE,ISNUMBER(SEARCH("N.",$B54))=TRUE,ISNUMBER(SEARCH("light",$B54))=TRUE),INDEX(croprotn_HDHR_N_l,MATCH(RIGHT($F$1,1),rotation_light,0)),
IF(AND(ISNUMBER(SEARCH("H-Dsty.H-Res",$B54))=TRUE,ISNUMBER(SEARCH("C.",$B54))=TRUE,ISNUMBER(SEARCH("light",$B54))=TRUE),INDEX(croprotn_HDHR_C_l,MATCH(RIGHT($F$1,1),rotation_light,0)),
IF(AND(ISNUMBER(SEARCH("L-Dsty.H-Res",$B54))=TRUE,ISNUMBER(SEARCH("E.",$B54))=TRUE,ISNUMBER(SEARCH("light",$B54))=TRUE),INDEX(croprotn_LDHR_E_l,MATCH(RIGHT($F$1,1),rotation_light,0)),
IF(AND(ISNUMBER(SEARCH("L-Dsty.H-Res",$B54))=TRUE,ISNUMBER(SEARCH("N.",$B54))=TRUE,ISNUMBER(SEARCH("light",$B54))=TRUE),INDEX(croprotn_LDHR_N_l,MATCH(RIGHT($F$1,1),rotation_light,0)),
IF(AND(ISNUMBER(SEARCH("L-Dsty.H-Res",$B54))=TRUE,ISNUMBER(SEARCH("C.",$B54))=TRUE,ISNUMBER(SEARCH("light",$B54))=TRUE),INDEX(croprotn_LDHR_C_l,MATCH(RIGHT($F$1,1),rotation_light,0)),
IF(AND(ISNUMBER(SEARCH("L-Dsty.L-Res",$B54))=TRUE,ISNUMBER(SEARCH("E.",$B54))=TRUE,ISNUMBER(SEARCH("light",$B54))=TRUE),INDEX(croprotn_LDLR_E_l,MATCH(RIGHT($F$1,1),rotation_light,0)),
IF(AND(ISNUMBER(SEARCH("L-Dsty.L-Res",$B54))=TRUE,ISNUMBER(SEARCH("N.",$B54))=TRUE,ISNUMBER(SEARCH("light",$B54))=TRUE),INDEX(croprotn_LDLR_N_l,MATCH(RIGHT($F$1,1),rotation_light,0)),
IF(AND(ISNUMBER(SEARCH("L-Dsty.L-Res",$B54))=TRUE,ISNUMBER(SEARCH("C.",$B54))=TRUE,ISNUMBER(SEARCH("light",$B54))=TRUE),INDEX(croprotn_LDLR_C_l,MATCH(RIGHT($F$1,1),rotation_light,0))
))))))))))))))))))</f>
        <v>winterwheat</v>
      </c>
      <c r="G54" s="234" t="str">
        <f t="shared" si="84"/>
        <v>winterbarley</v>
      </c>
      <c r="H54" s="234" t="str">
        <f t="shared" si="100"/>
        <v>wosr</v>
      </c>
      <c r="I54" s="234" t="str">
        <f t="shared" si="101"/>
        <v>winterwheat</v>
      </c>
      <c r="J54" s="234" t="str">
        <f t="shared" si="102"/>
        <v>driedpeas</v>
      </c>
      <c r="K54" s="234" t="str">
        <f t="shared" si="103"/>
        <v>winterwheat</v>
      </c>
      <c r="L54" s="154" t="str">
        <f t="shared" si="104"/>
        <v>lightcultivation</v>
      </c>
      <c r="M54" s="154" t="str">
        <f t="shared" si="105"/>
        <v>lightcultivation</v>
      </c>
      <c r="N54" s="154" t="str">
        <f t="shared" si="106"/>
        <v>subsoiling</v>
      </c>
      <c r="O54" s="154" t="str">
        <f t="shared" si="164"/>
        <v>lightcultivation</v>
      </c>
      <c r="P54" s="154" t="str">
        <f t="shared" si="165"/>
        <v>lightcultivation</v>
      </c>
      <c r="Q54" s="154" t="str">
        <f t="shared" si="95"/>
        <v>lightcultivation</v>
      </c>
      <c r="R54" s="234">
        <f t="shared" si="86"/>
        <v>190</v>
      </c>
      <c r="S54" s="234">
        <f t="shared" si="107"/>
        <v>195</v>
      </c>
      <c r="T54" s="234">
        <f t="shared" si="108"/>
        <v>3.2</v>
      </c>
      <c r="U54" s="234">
        <f t="shared" si="87"/>
        <v>190</v>
      </c>
      <c r="V54" s="234">
        <f t="shared" si="109"/>
        <v>300</v>
      </c>
      <c r="W54" s="234">
        <f t="shared" si="110"/>
        <v>190</v>
      </c>
      <c r="X54" s="154" t="str">
        <f t="shared" si="111"/>
        <v>no</v>
      </c>
      <c r="Y54" s="154" t="str">
        <f t="shared" si="112"/>
        <v>no</v>
      </c>
      <c r="Z54" s="154" t="str">
        <f t="shared" si="113"/>
        <v>no</v>
      </c>
      <c r="AA54" s="154" t="str">
        <f t="shared" si="114"/>
        <v>no</v>
      </c>
      <c r="AB54" s="154" t="str">
        <f t="shared" si="115"/>
        <v>no</v>
      </c>
      <c r="AC54" s="154" t="str">
        <f t="shared" si="116"/>
        <v>no</v>
      </c>
      <c r="AD54" s="345">
        <v>150</v>
      </c>
      <c r="AE54" s="234">
        <f t="shared" si="85"/>
        <v>190</v>
      </c>
      <c r="AF54" s="234">
        <f t="shared" si="168"/>
        <v>180</v>
      </c>
      <c r="AG54" s="345">
        <v>150</v>
      </c>
      <c r="AH54" s="234">
        <f t="shared" si="80"/>
        <v>0</v>
      </c>
      <c r="AI54" s="345">
        <v>150</v>
      </c>
      <c r="AJ54" s="154">
        <f t="shared" si="117"/>
        <v>67</v>
      </c>
      <c r="AK54" s="154">
        <f t="shared" si="118"/>
        <v>58</v>
      </c>
      <c r="AL54" s="154">
        <f t="shared" si="119"/>
        <v>49</v>
      </c>
      <c r="AM54" s="154">
        <f t="shared" si="120"/>
        <v>67</v>
      </c>
      <c r="AN54" s="154">
        <f t="shared" si="121"/>
        <v>35</v>
      </c>
      <c r="AO54" s="154">
        <f t="shared" si="122"/>
        <v>67</v>
      </c>
      <c r="AP54" s="154">
        <f t="shared" si="123"/>
        <v>48</v>
      </c>
      <c r="AQ54" s="154">
        <f t="shared" si="124"/>
        <v>41</v>
      </c>
      <c r="AR54" s="154">
        <f t="shared" si="125"/>
        <v>39</v>
      </c>
      <c r="AS54" s="154">
        <f t="shared" si="126"/>
        <v>48</v>
      </c>
      <c r="AT54" s="154">
        <f t="shared" si="127"/>
        <v>40</v>
      </c>
      <c r="AU54" s="154">
        <f t="shared" si="128"/>
        <v>48</v>
      </c>
      <c r="AV54" s="234">
        <f t="shared" si="89"/>
        <v>1</v>
      </c>
      <c r="AW54" s="234">
        <f t="shared" si="129"/>
        <v>0.4</v>
      </c>
      <c r="AX54" s="234">
        <f t="shared" si="130"/>
        <v>2</v>
      </c>
      <c r="AY54" s="345">
        <v>4.4000000000000004</v>
      </c>
      <c r="AZ54" s="234">
        <f t="shared" si="131"/>
        <v>4</v>
      </c>
      <c r="BA54" s="234">
        <f t="shared" si="132"/>
        <v>1</v>
      </c>
      <c r="BB54" s="234">
        <f t="shared" si="133"/>
        <v>3</v>
      </c>
      <c r="BC54" s="234">
        <f t="shared" si="134"/>
        <v>3</v>
      </c>
      <c r="BD54" s="234">
        <f t="shared" si="135"/>
        <v>0</v>
      </c>
      <c r="BE54" s="234">
        <f t="shared" si="91"/>
        <v>3</v>
      </c>
      <c r="BF54" s="234">
        <f t="shared" si="136"/>
        <v>6</v>
      </c>
      <c r="BG54" s="234">
        <f t="shared" si="137"/>
        <v>3</v>
      </c>
      <c r="BH54" s="234">
        <f t="shared" si="138"/>
        <v>3</v>
      </c>
      <c r="BI54" s="234">
        <f t="shared" si="139"/>
        <v>2</v>
      </c>
      <c r="BJ54" s="234">
        <f t="shared" si="140"/>
        <v>2</v>
      </c>
      <c r="BK54" s="234">
        <f t="shared" si="92"/>
        <v>3</v>
      </c>
      <c r="BL54" s="234">
        <f t="shared" si="141"/>
        <v>3</v>
      </c>
      <c r="BM54" s="234">
        <f t="shared" si="142"/>
        <v>3</v>
      </c>
      <c r="BN54" s="154" t="s">
        <v>483</v>
      </c>
      <c r="BO54" s="154" t="str">
        <f t="shared" si="143"/>
        <v>low</v>
      </c>
      <c r="BP54" s="154" t="str">
        <f t="shared" si="144"/>
        <v>low</v>
      </c>
      <c r="BQ54" s="154" t="str">
        <f t="shared" si="145"/>
        <v>low</v>
      </c>
      <c r="BR54" s="154" t="s">
        <v>182</v>
      </c>
      <c r="BS54" s="154" t="s">
        <v>182</v>
      </c>
      <c r="BT54" s="154" t="s">
        <v>182</v>
      </c>
      <c r="BU54" s="154">
        <f t="shared" si="146"/>
        <v>150</v>
      </c>
      <c r="BV54" s="154">
        <f t="shared" si="147"/>
        <v>138</v>
      </c>
      <c r="BW54" s="154">
        <f t="shared" si="148"/>
        <v>335</v>
      </c>
      <c r="BX54" s="154">
        <f t="shared" si="149"/>
        <v>150</v>
      </c>
      <c r="BY54" s="154">
        <f t="shared" si="150"/>
        <v>225</v>
      </c>
      <c r="BZ54" s="154">
        <f t="shared" si="151"/>
        <v>150</v>
      </c>
      <c r="CA54" s="356">
        <f t="array" ref="CA54">IF(yieldsetting1="estimate",0,INDEX(cropdata, MATCH(yieldsource,outputs,0), MATCH($F54,cropdatacrops,0)))</f>
        <v>0</v>
      </c>
      <c r="CB54" s="356">
        <f t="array" ref="CB54">IF(yieldsetting1="estimate",0,INDEX(cropdata, MATCH(yieldsource,outputs,0), MATCH($G54,cropdatacrops,0)))</f>
        <v>0</v>
      </c>
      <c r="CC54" s="356">
        <f t="array" ref="CC54">IF(yieldsetting1="estimate",0,INDEX(cropdata, MATCH(yieldsource,outputs,0), MATCH($H54,cropdatacrops,0)))</f>
        <v>0</v>
      </c>
      <c r="CD54" s="356">
        <f t="array" ref="CD54">IF(yieldsetting1="estimate",0,INDEX(cropdata, MATCH(yieldsource,outputs,0), MATCH($I54,cropdatacrops,0)))</f>
        <v>0</v>
      </c>
      <c r="CE54" s="356">
        <f t="array" ref="CE54">IF(yieldsetting1="estimate",0,INDEX(cropdata, MATCH(yieldsource,outputs,0), MATCH($J54,cropdatacrops,0)))</f>
        <v>0</v>
      </c>
      <c r="CF54" s="356">
        <f t="array" ref="CF54">IF(yieldsetting1="estimate",0,INDEX(cropdata, MATCH(yieldsource,outputs,0), MATCH($K54,cropdatacrops,0)))</f>
        <v>0</v>
      </c>
      <c r="CG54" s="154" t="str">
        <f t="shared" si="152"/>
        <v>estimate</v>
      </c>
      <c r="CH54" s="235">
        <f t="shared" si="153"/>
        <v>0.8</v>
      </c>
      <c r="CI54" s="235">
        <f t="shared" si="154"/>
        <v>0.72</v>
      </c>
      <c r="CJ54" s="154">
        <f t="shared" si="155"/>
        <v>0.46</v>
      </c>
      <c r="CK54" s="154">
        <f t="shared" si="156"/>
        <v>0.36</v>
      </c>
      <c r="CL54" s="154">
        <f t="shared" si="157"/>
        <v>0.36</v>
      </c>
      <c r="CM54" s="154">
        <f t="shared" si="158"/>
        <v>7.34</v>
      </c>
      <c r="CN54" s="154">
        <f t="shared" si="159"/>
        <v>0.36</v>
      </c>
      <c r="CO54" s="154">
        <f t="shared" si="160"/>
        <v>0.47</v>
      </c>
      <c r="CP54" s="154">
        <f t="shared" si="161"/>
        <v>0.36</v>
      </c>
      <c r="CQ54" s="154">
        <f t="shared" si="166"/>
        <v>19.5</v>
      </c>
      <c r="CR54" s="154">
        <f t="shared" si="166"/>
        <v>19.5</v>
      </c>
      <c r="CS54" s="154">
        <f t="shared" si="166"/>
        <v>19.5</v>
      </c>
      <c r="CT54" s="154">
        <f t="shared" si="166"/>
        <v>19.5</v>
      </c>
      <c r="CU54" s="154">
        <f t="shared" si="166"/>
        <v>19.5</v>
      </c>
      <c r="CV54" s="154">
        <f t="shared" si="166"/>
        <v>19.5</v>
      </c>
      <c r="CW54" s="154">
        <f t="shared" si="167"/>
        <v>2.4300000000000002</v>
      </c>
      <c r="CX54" s="154">
        <f t="shared" si="167"/>
        <v>2.4300000000000002</v>
      </c>
      <c r="CY54" s="154">
        <f t="shared" si="167"/>
        <v>2.4300000000000002</v>
      </c>
      <c r="CZ54" s="154">
        <f t="shared" si="167"/>
        <v>2.4300000000000002</v>
      </c>
      <c r="DA54" s="154">
        <f t="shared" si="167"/>
        <v>2.4300000000000002</v>
      </c>
      <c r="DB54" s="154">
        <f t="shared" si="167"/>
        <v>2.4300000000000002</v>
      </c>
      <c r="DC54" s="154">
        <v>102</v>
      </c>
      <c r="DD54" s="154">
        <v>6</v>
      </c>
      <c r="DE54" s="154">
        <v>4</v>
      </c>
      <c r="DF54" s="154">
        <v>1400</v>
      </c>
      <c r="DG54" s="154">
        <v>125</v>
      </c>
      <c r="DH54" s="154">
        <f t="shared" si="162"/>
        <v>0.625</v>
      </c>
      <c r="DI54" s="154">
        <f t="shared" si="163"/>
        <v>10.08</v>
      </c>
    </row>
    <row r="55" spans="1:113" x14ac:dyDescent="0.2">
      <c r="A55" s="335" t="s">
        <v>1661</v>
      </c>
      <c r="B55" s="334" t="s">
        <v>501</v>
      </c>
      <c r="C55" s="334" t="s">
        <v>1640</v>
      </c>
      <c r="D55" s="233" t="str">
        <f>IF(ISNUMBER(SEARCH("heavy",B55))=TRUE,"2.25",
IF(ISNUMBER(SEARCH("medium",B55))=TRUE,"1.5",
IF(ISNUMBER(SEARCH("light",B55))=TRUE,"0.75")))</f>
        <v>0.75</v>
      </c>
      <c r="E55" s="154">
        <v>6</v>
      </c>
      <c r="F55" s="234" t="str" cm="1">
        <f t="array" ref="F55">IF(AND(ISNUMBER(SEARCH("H-Dsty.H-Res",$B55))=TRUE,ISNUMBER(SEARCH("E.",$B55))=TRUE,OR(ISNUMBER(SEARCH("heavy",$B55)),ISNUMBER(SEARCH("MEDIUM",$B55)))=TRUE),INDEX(croprotn_HDHR_E_h,MATCH(RIGHT($F$1,1),rotation_heavy,0)),
IF(AND(ISNUMBER(SEARCH("H-Dsty.H-Res",$B55))=TRUE,ISNUMBER(SEARCH("N.",$B55))=TRUE,OR(ISNUMBER(SEARCH("heavy",$B55)),ISNUMBER(SEARCH("MEDIUM",$B55)))=TRUE),INDEX(croprotn_HDHR_N_h,MATCH(RIGHT($F$1,1),rotation_heavy,0)),
IF(AND(ISNUMBER(SEARCH("H-Dsty.H-Res",$B55))=TRUE,ISNUMBER(SEARCH("C.",$B55))=TRUE,OR(ISNUMBER(SEARCH("heavy",$B55)),ISNUMBER(SEARCH("MEDIUM",$B55)))=TRUE),INDEX(croprotn_HDHR_C_h,MATCH(RIGHT($F$1,1),rotation_heavy,0)),
IF(AND(ISNUMBER(SEARCH("L-Dsty.H-Res",$B55))=TRUE,ISNUMBER(SEARCH("E.",$B55))=TRUE,OR(ISNUMBER(SEARCH("heavy",$B55)),ISNUMBER(SEARCH("MEDIUM",$B55)))=TRUE),INDEX(croprotn_LDHR_E_h,MATCH(RIGHT($F$1,1),rotation_heavy,0)),
IF(AND(ISNUMBER(SEARCH("L-Dsty.H-Res",$B55))=TRUE,ISNUMBER(SEARCH("N.",$B55))=TRUE,OR(ISNUMBER(SEARCH("heavy",$B55)),ISNUMBER(SEARCH("MEDIUM",$B55)))=TRUE),INDEX(croprotn_LDHR_N_h,MATCH(RIGHT($F$1,1),rotation_heavy,0)),
IF(AND(ISNUMBER(SEARCH("L-Dsty.H-Res",$B55))=TRUE,ISNUMBER(SEARCH("C.",$B55))=TRUE,OR(ISNUMBER(SEARCH("heavy",$B55)),ISNUMBER(SEARCH("MEDIUM",$B55)))=TRUE),INDEX(croprotn_LDHR_C_h,MATCH(RIGHT($F$1,1),rotation_heavy,0)),
IF(AND(ISNUMBER(SEARCH("L-Dsty.L-Res",$B55))=TRUE,ISNUMBER(SEARCH("E.",$B55))=TRUE,OR(ISNUMBER(SEARCH("heavy",$B55)),ISNUMBER(SEARCH("MEDIUM",$B55)))=TRUE),INDEX(croprotn_LDLR_E_h,MATCH(RIGHT($F$1,1),rotation_heavy,0)),
IF(AND(ISNUMBER(SEARCH("L-Dsty.L-Res",$B55))=TRUE,ISNUMBER(SEARCH("N.",$B55))=TRUE,OR(ISNUMBER(SEARCH("heavy",$B55)),ISNUMBER(SEARCH("MEDIUM",$B55)))=TRUE),INDEX(croprotn_LDLR_N_h,MATCH(RIGHT($F$1,1),rotation_heavy,0)),
IF(AND(ISNUMBER(SEARCH("L-Dsty.L-Res",$B55))=TRUE,ISNUMBER(SEARCH("C.",$B55))=TRUE,OR(ISNUMBER(SEARCH("heavy",$B55)),ISNUMBER(SEARCH("MEDIUM",$B55)))=TRUE),INDEX(croprotn_LDLR_C_h,MATCH(RIGHT($F$1,1),rotation_heavy,0)),
IF(AND(ISNUMBER(SEARCH("H-Dsty.H-Res",$B55))=TRUE,ISNUMBER(SEARCH("E.",$B55))=TRUE,ISNUMBER(SEARCH("light",$B55))=TRUE),INDEX(croprotn_HDHR_E_l,MATCH(RIGHT($F$1,1),rotation_light,0)),
IF(AND(ISNUMBER(SEARCH("H-Dsty.H-Res",$B55))=TRUE,ISNUMBER(SEARCH("N.",$B55))=TRUE,ISNUMBER(SEARCH("light",$B55))=TRUE),INDEX(croprotn_HDHR_N_l,MATCH(RIGHT($F$1,1),rotation_light,0)),
IF(AND(ISNUMBER(SEARCH("H-Dsty.H-Res",$B55))=TRUE,ISNUMBER(SEARCH("C.",$B55))=TRUE,ISNUMBER(SEARCH("light",$B55))=TRUE),INDEX(croprotn_HDHR_C_l,MATCH(RIGHT($F$1,1),rotation_light,0)),
IF(AND(ISNUMBER(SEARCH("L-Dsty.H-Res",$B55))=TRUE,ISNUMBER(SEARCH("E.",$B55))=TRUE,ISNUMBER(SEARCH("light",$B55))=TRUE),INDEX(croprotn_LDHR_E_l,MATCH(RIGHT($F$1,1),rotation_light,0)),
IF(AND(ISNUMBER(SEARCH("L-Dsty.H-Res",$B55))=TRUE,ISNUMBER(SEARCH("N.",$B55))=TRUE,ISNUMBER(SEARCH("light",$B55))=TRUE),INDEX(croprotn_LDHR_N_l,MATCH(RIGHT($F$1,1),rotation_light,0)),
IF(AND(ISNUMBER(SEARCH("L-Dsty.H-Res",$B55))=TRUE,ISNUMBER(SEARCH("C.",$B55))=TRUE,ISNUMBER(SEARCH("light",$B55))=TRUE),INDEX(croprotn_LDHR_C_l,MATCH(RIGHT($F$1,1),rotation_light,0)),
IF(AND(ISNUMBER(SEARCH("L-Dsty.L-Res",$B55))=TRUE,ISNUMBER(SEARCH("E.",$B55))=TRUE,ISNUMBER(SEARCH("light",$B55))=TRUE),INDEX(croprotn_LDLR_E_l,MATCH(RIGHT($F$1,1),rotation_light,0)),
IF(AND(ISNUMBER(SEARCH("L-Dsty.L-Res",$B55))=TRUE,ISNUMBER(SEARCH("N.",$B55))=TRUE,ISNUMBER(SEARCH("light",$B55))=TRUE),INDEX(croprotn_LDLR_N_l,MATCH(RIGHT($F$1,1),rotation_light,0)),
IF(AND(ISNUMBER(SEARCH("L-Dsty.L-Res",$B55))=TRUE,ISNUMBER(SEARCH("C.",$B55))=TRUE,ISNUMBER(SEARCH("light",$B55))=TRUE),INDEX(croprotn_LDLR_C_l,MATCH(RIGHT($F$1,1),rotation_light,0))
))))))))))))))))))</f>
        <v>winterwheat</v>
      </c>
      <c r="G55" s="234" t="str">
        <f t="shared" si="84"/>
        <v>winterbarley</v>
      </c>
      <c r="H55" s="234" t="str">
        <f t="shared" si="100"/>
        <v>wosr</v>
      </c>
      <c r="I55" s="234" t="str">
        <f t="shared" si="101"/>
        <v>winterwheat</v>
      </c>
      <c r="J55" s="234" t="str">
        <f t="shared" si="102"/>
        <v>driedpeas</v>
      </c>
      <c r="K55" s="234" t="str">
        <f t="shared" si="103"/>
        <v>winterwheat</v>
      </c>
      <c r="L55" s="154" t="str">
        <f t="shared" si="104"/>
        <v>lightcultivation</v>
      </c>
      <c r="M55" s="154" t="str">
        <f t="shared" si="105"/>
        <v>lightcultivation</v>
      </c>
      <c r="N55" s="154" t="str">
        <f t="shared" si="106"/>
        <v>subsoiling</v>
      </c>
      <c r="O55" s="154" t="str">
        <f t="shared" si="164"/>
        <v>lightcultivation</v>
      </c>
      <c r="P55" s="154" t="str">
        <f t="shared" si="165"/>
        <v>lightcultivation</v>
      </c>
      <c r="Q55" s="154" t="str">
        <f t="shared" si="95"/>
        <v>lightcultivation</v>
      </c>
      <c r="R55" s="234">
        <f t="shared" si="86"/>
        <v>190</v>
      </c>
      <c r="S55" s="234">
        <f t="shared" si="107"/>
        <v>195</v>
      </c>
      <c r="T55" s="234">
        <f t="shared" si="108"/>
        <v>3.2</v>
      </c>
      <c r="U55" s="234">
        <f t="shared" si="87"/>
        <v>190</v>
      </c>
      <c r="V55" s="234">
        <f t="shared" si="109"/>
        <v>300</v>
      </c>
      <c r="W55" s="234">
        <f t="shared" si="110"/>
        <v>190</v>
      </c>
      <c r="X55" s="154" t="str">
        <f t="shared" si="111"/>
        <v>no</v>
      </c>
      <c r="Y55" s="154" t="str">
        <f t="shared" si="112"/>
        <v>no</v>
      </c>
      <c r="Z55" s="154" t="str">
        <f t="shared" si="113"/>
        <v>no</v>
      </c>
      <c r="AA55" s="154" t="str">
        <f t="shared" si="114"/>
        <v>no</v>
      </c>
      <c r="AB55" s="154" t="str">
        <f t="shared" si="115"/>
        <v>no</v>
      </c>
      <c r="AC55" s="154" t="str">
        <f t="shared" si="116"/>
        <v>no</v>
      </c>
      <c r="AD55" s="345">
        <v>150</v>
      </c>
      <c r="AE55" s="234">
        <f t="shared" si="85"/>
        <v>190</v>
      </c>
      <c r="AF55" s="234">
        <f t="shared" si="168"/>
        <v>180</v>
      </c>
      <c r="AG55" s="345">
        <v>150</v>
      </c>
      <c r="AH55" s="234">
        <f t="shared" si="80"/>
        <v>0</v>
      </c>
      <c r="AI55" s="345">
        <v>150</v>
      </c>
      <c r="AJ55" s="154">
        <f t="shared" si="117"/>
        <v>67</v>
      </c>
      <c r="AK55" s="154">
        <f t="shared" si="118"/>
        <v>58</v>
      </c>
      <c r="AL55" s="154">
        <f t="shared" si="119"/>
        <v>49</v>
      </c>
      <c r="AM55" s="154">
        <f t="shared" si="120"/>
        <v>67</v>
      </c>
      <c r="AN55" s="154">
        <f t="shared" si="121"/>
        <v>35</v>
      </c>
      <c r="AO55" s="154">
        <f t="shared" si="122"/>
        <v>67</v>
      </c>
      <c r="AP55" s="154">
        <f t="shared" si="123"/>
        <v>48</v>
      </c>
      <c r="AQ55" s="154">
        <f t="shared" si="124"/>
        <v>41</v>
      </c>
      <c r="AR55" s="154">
        <f t="shared" si="125"/>
        <v>39</v>
      </c>
      <c r="AS55" s="154">
        <f t="shared" si="126"/>
        <v>48</v>
      </c>
      <c r="AT55" s="154">
        <f t="shared" si="127"/>
        <v>40</v>
      </c>
      <c r="AU55" s="154">
        <f t="shared" si="128"/>
        <v>48</v>
      </c>
      <c r="AV55" s="234">
        <f t="shared" si="89"/>
        <v>1</v>
      </c>
      <c r="AW55" s="234">
        <f t="shared" si="129"/>
        <v>0.4</v>
      </c>
      <c r="AX55" s="234">
        <f t="shared" si="130"/>
        <v>2</v>
      </c>
      <c r="AY55" s="345">
        <v>4.4000000000000004</v>
      </c>
      <c r="AZ55" s="234">
        <f t="shared" si="131"/>
        <v>4</v>
      </c>
      <c r="BA55" s="234">
        <f t="shared" si="132"/>
        <v>1</v>
      </c>
      <c r="BB55" s="234">
        <f t="shared" si="133"/>
        <v>3</v>
      </c>
      <c r="BC55" s="234">
        <f t="shared" si="134"/>
        <v>3</v>
      </c>
      <c r="BD55" s="234">
        <f t="shared" si="135"/>
        <v>0</v>
      </c>
      <c r="BE55" s="234">
        <f t="shared" si="91"/>
        <v>3</v>
      </c>
      <c r="BF55" s="234">
        <f t="shared" si="136"/>
        <v>6</v>
      </c>
      <c r="BG55" s="234">
        <f t="shared" si="137"/>
        <v>3</v>
      </c>
      <c r="BH55" s="234">
        <f t="shared" si="138"/>
        <v>3</v>
      </c>
      <c r="BI55" s="234">
        <f t="shared" si="139"/>
        <v>2</v>
      </c>
      <c r="BJ55" s="234">
        <f t="shared" si="140"/>
        <v>2</v>
      </c>
      <c r="BK55" s="234">
        <f t="shared" si="92"/>
        <v>3</v>
      </c>
      <c r="BL55" s="234">
        <f t="shared" si="141"/>
        <v>3</v>
      </c>
      <c r="BM55" s="234">
        <f t="shared" si="142"/>
        <v>3</v>
      </c>
      <c r="BN55" s="154" t="s">
        <v>483</v>
      </c>
      <c r="BO55" s="154" t="str">
        <f t="shared" si="143"/>
        <v>medium</v>
      </c>
      <c r="BP55" s="154" t="str">
        <f t="shared" si="144"/>
        <v>low</v>
      </c>
      <c r="BQ55" s="154" t="str">
        <f t="shared" si="145"/>
        <v>low</v>
      </c>
      <c r="BR55" s="154" t="s">
        <v>183</v>
      </c>
      <c r="BS55" s="154" t="s">
        <v>183</v>
      </c>
      <c r="BT55" s="154" t="s">
        <v>183</v>
      </c>
      <c r="BU55" s="154">
        <f t="shared" si="146"/>
        <v>150</v>
      </c>
      <c r="BV55" s="154">
        <f t="shared" si="147"/>
        <v>138</v>
      </c>
      <c r="BW55" s="154">
        <f t="shared" si="148"/>
        <v>335</v>
      </c>
      <c r="BX55" s="154">
        <f t="shared" si="149"/>
        <v>150</v>
      </c>
      <c r="BY55" s="154">
        <f t="shared" si="150"/>
        <v>225</v>
      </c>
      <c r="BZ55" s="154">
        <f t="shared" si="151"/>
        <v>150</v>
      </c>
      <c r="CA55" s="356">
        <f t="array" ref="CA55">IF(yieldsetting1="estimate",0,INDEX(cropdata, MATCH(yieldsource,outputs,0), MATCH($F55,cropdatacrops,0)))</f>
        <v>0</v>
      </c>
      <c r="CB55" s="356">
        <f t="array" ref="CB55">IF(yieldsetting1="estimate",0,INDEX(cropdata, MATCH(yieldsource,outputs,0), MATCH($G55,cropdatacrops,0)))</f>
        <v>0</v>
      </c>
      <c r="CC55" s="356">
        <f t="array" ref="CC55">IF(yieldsetting1="estimate",0,INDEX(cropdata, MATCH(yieldsource,outputs,0), MATCH($H55,cropdatacrops,0)))</f>
        <v>0</v>
      </c>
      <c r="CD55" s="356">
        <f t="array" ref="CD55">IF(yieldsetting1="estimate",0,INDEX(cropdata, MATCH(yieldsource,outputs,0), MATCH($I55,cropdatacrops,0)))</f>
        <v>0</v>
      </c>
      <c r="CE55" s="356">
        <f t="array" ref="CE55">IF(yieldsetting1="estimate",0,INDEX(cropdata, MATCH(yieldsource,outputs,0), MATCH($J55,cropdatacrops,0)))</f>
        <v>0</v>
      </c>
      <c r="CF55" s="356">
        <f t="array" ref="CF55">IF(yieldsetting1="estimate",0,INDEX(cropdata, MATCH(yieldsource,outputs,0), MATCH($K55,cropdatacrops,0)))</f>
        <v>0</v>
      </c>
      <c r="CG55" s="154" t="str">
        <f t="shared" si="152"/>
        <v>estimate</v>
      </c>
      <c r="CH55" s="235">
        <f t="shared" si="153"/>
        <v>0.8</v>
      </c>
      <c r="CI55" s="235">
        <f t="shared" si="154"/>
        <v>0.72</v>
      </c>
      <c r="CJ55" s="154">
        <f t="shared" si="155"/>
        <v>0.46</v>
      </c>
      <c r="CK55" s="154">
        <f t="shared" si="156"/>
        <v>0.36</v>
      </c>
      <c r="CL55" s="154">
        <f t="shared" si="157"/>
        <v>0.36</v>
      </c>
      <c r="CM55" s="154">
        <f t="shared" si="158"/>
        <v>7.34</v>
      </c>
      <c r="CN55" s="154">
        <f t="shared" si="159"/>
        <v>0.36</v>
      </c>
      <c r="CO55" s="154">
        <f t="shared" si="160"/>
        <v>0.47</v>
      </c>
      <c r="CP55" s="154">
        <f t="shared" si="161"/>
        <v>0.36</v>
      </c>
      <c r="CQ55" s="154">
        <f t="shared" si="166"/>
        <v>19.5</v>
      </c>
      <c r="CR55" s="154">
        <f t="shared" si="166"/>
        <v>19.5</v>
      </c>
      <c r="CS55" s="154">
        <f t="shared" si="166"/>
        <v>19.5</v>
      </c>
      <c r="CT55" s="154">
        <f t="shared" si="166"/>
        <v>19.5</v>
      </c>
      <c r="CU55" s="154">
        <f t="shared" si="166"/>
        <v>19.5</v>
      </c>
      <c r="CV55" s="154">
        <f t="shared" si="166"/>
        <v>19.5</v>
      </c>
      <c r="CW55" s="154">
        <f t="shared" si="167"/>
        <v>2.4300000000000002</v>
      </c>
      <c r="CX55" s="154">
        <f t="shared" si="167"/>
        <v>2.4300000000000002</v>
      </c>
      <c r="CY55" s="154">
        <f t="shared" si="167"/>
        <v>2.4300000000000002</v>
      </c>
      <c r="CZ55" s="154">
        <f t="shared" si="167"/>
        <v>2.4300000000000002</v>
      </c>
      <c r="DA55" s="154">
        <f t="shared" si="167"/>
        <v>2.4300000000000002</v>
      </c>
      <c r="DB55" s="154">
        <f t="shared" si="167"/>
        <v>2.4300000000000002</v>
      </c>
      <c r="DC55" s="154">
        <v>102</v>
      </c>
      <c r="DD55" s="154">
        <v>6</v>
      </c>
      <c r="DE55" s="154">
        <v>4</v>
      </c>
      <c r="DF55" s="154">
        <v>1400</v>
      </c>
      <c r="DG55" s="154">
        <v>125</v>
      </c>
      <c r="DH55" s="154">
        <f t="shared" si="162"/>
        <v>0.625</v>
      </c>
      <c r="DI55" s="154">
        <f t="shared" si="163"/>
        <v>10.08</v>
      </c>
    </row>
    <row r="57" spans="1:113" x14ac:dyDescent="0.2">
      <c r="X57" s="237"/>
    </row>
  </sheetData>
  <autoFilter ref="A1:DI55" xr:uid="{D837EA11-C0F9-41B3-BC6F-845A37D61991}"/>
  <sortState xmlns:xlrd2="http://schemas.microsoft.com/office/spreadsheetml/2017/richdata2" ref="A2:DI57">
    <sortCondition ref="A2:A57"/>
  </sortState>
  <phoneticPr fontId="8" type="noConversion"/>
  <pageMargins left="0.7" right="0.7" top="0.75" bottom="0.75" header="0.3" footer="0.3"/>
  <pageSetup paperSize="9" orientation="portrait" horizontalDpi="4294967293" verticalDpi="0" r:id="rId1"/>
  <legacy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A8FE8CE2-8114-4671-B899-2F51B0815A93}">
          <x14:formula1>
            <xm:f>Lists!$G$5:$G$11</xm:f>
          </x14:formula1>
          <xm:sqref>P2:P3 P9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F357C-DDCD-45EB-AB33-846E6368709C}">
  <dimension ref="A1:DI57"/>
  <sheetViews>
    <sheetView zoomScale="115" zoomScaleNormal="115" workbookViewId="0">
      <pane xSplit="3" ySplit="1" topLeftCell="D2" activePane="bottomRight" state="frozen"/>
      <selection pane="topRight" activeCell="D1" sqref="D1"/>
      <selection pane="bottomLeft" activeCell="A2" sqref="A2"/>
      <selection pane="bottomRight" activeCell="A14" sqref="A14:XFD14"/>
    </sheetView>
  </sheetViews>
  <sheetFormatPr baseColWidth="10" defaultColWidth="8.83203125" defaultRowHeight="15" x14ac:dyDescent="0.2"/>
  <cols>
    <col min="1" max="1" width="9.83203125" style="154" customWidth="1"/>
    <col min="2" max="2" width="22.83203125" style="154" customWidth="1"/>
    <col min="3" max="3" width="11.6640625" style="154" customWidth="1"/>
    <col min="4" max="4" width="4.5" style="154" bestFit="1" customWidth="1"/>
    <col min="5" max="5" width="9.33203125" style="154" bestFit="1" customWidth="1"/>
    <col min="6" max="6" width="13.1640625" style="282" bestFit="1" customWidth="1"/>
    <col min="7" max="8" width="12.5" style="282" bestFit="1" customWidth="1"/>
    <col min="9" max="10" width="12.5" style="154" bestFit="1" customWidth="1"/>
    <col min="11" max="11" width="13.1640625" style="154" bestFit="1" customWidth="1"/>
    <col min="12" max="14" width="15.33203125" style="154" bestFit="1" customWidth="1"/>
    <col min="15" max="15" width="16.5" style="154" customWidth="1"/>
    <col min="16" max="17" width="15.33203125" style="154" bestFit="1" customWidth="1"/>
    <col min="18" max="18" width="9.83203125" style="154" bestFit="1" customWidth="1"/>
    <col min="19" max="23" width="10.6640625" style="154" customWidth="1"/>
    <col min="24" max="28" width="9.83203125" style="154" customWidth="1"/>
    <col min="29" max="29" width="9.1640625" style="154" customWidth="1"/>
    <col min="30" max="35" width="7.6640625" style="154" customWidth="1"/>
    <col min="36" max="37" width="7.83203125" style="154" customWidth="1"/>
    <col min="38" max="38" width="7.5" style="154" customWidth="1"/>
    <col min="39" max="41" width="8.1640625" style="154" customWidth="1"/>
    <col min="42" max="47" width="7.83203125" style="154" customWidth="1"/>
    <col min="48" max="53" width="12.83203125" style="234" customWidth="1"/>
    <col min="54" max="59" width="10.33203125" style="154" customWidth="1"/>
    <col min="60" max="65" width="9" style="154" customWidth="1"/>
    <col min="66" max="66" width="6.83203125" style="154" bestFit="1" customWidth="1"/>
    <col min="67" max="68" width="10" style="154" bestFit="1" customWidth="1"/>
    <col min="69" max="69" width="10.6640625" style="154" customWidth="1"/>
    <col min="70" max="72" width="11.5" style="154" customWidth="1"/>
    <col min="73" max="78" width="11.83203125" style="154" customWidth="1"/>
    <col min="79" max="79" width="11.83203125" style="356" customWidth="1"/>
    <col min="80" max="84" width="10.33203125" style="356" bestFit="1" customWidth="1"/>
    <col min="85" max="85" width="9.5" style="154" bestFit="1" customWidth="1"/>
    <col min="86" max="86" width="5.83203125" style="154" bestFit="1" customWidth="1"/>
    <col min="87" max="88" width="5.6640625" style="154" bestFit="1" customWidth="1"/>
    <col min="89" max="94" width="10.6640625" style="154" bestFit="1" customWidth="1"/>
    <col min="95" max="100" width="10.5" style="154" bestFit="1" customWidth="1"/>
    <col min="101" max="106" width="9" style="154" bestFit="1" customWidth="1"/>
    <col min="107" max="111" width="10.1640625" style="154" bestFit="1" customWidth="1"/>
    <col min="112" max="112" width="9" style="154" bestFit="1" customWidth="1"/>
    <col min="113" max="113" width="10" style="154" bestFit="1" customWidth="1"/>
    <col min="114" max="16384" width="8.83203125" style="154"/>
  </cols>
  <sheetData>
    <row r="1" spans="1:113" s="329" customFormat="1" x14ac:dyDescent="0.2">
      <c r="A1" s="329" t="s">
        <v>370</v>
      </c>
      <c r="B1" s="329" t="s">
        <v>1690</v>
      </c>
      <c r="C1" s="329" t="s">
        <v>371</v>
      </c>
      <c r="D1" s="329" t="s">
        <v>372</v>
      </c>
      <c r="E1" s="329" t="s">
        <v>373</v>
      </c>
      <c r="F1" s="388" t="s">
        <v>374</v>
      </c>
      <c r="G1" s="388" t="s">
        <v>375</v>
      </c>
      <c r="H1" s="388" t="s">
        <v>376</v>
      </c>
      <c r="I1" s="329" t="s">
        <v>377</v>
      </c>
      <c r="J1" s="329" t="s">
        <v>378</v>
      </c>
      <c r="K1" s="329" t="s">
        <v>379</v>
      </c>
      <c r="L1" s="329" t="s">
        <v>380</v>
      </c>
      <c r="M1" s="329" t="s">
        <v>381</v>
      </c>
      <c r="N1" s="329" t="s">
        <v>382</v>
      </c>
      <c r="O1" s="329" t="s">
        <v>383</v>
      </c>
      <c r="P1" s="329" t="s">
        <v>384</v>
      </c>
      <c r="Q1" s="329" t="s">
        <v>385</v>
      </c>
      <c r="R1" s="329" t="s">
        <v>386</v>
      </c>
      <c r="S1" s="329" t="s">
        <v>387</v>
      </c>
      <c r="T1" s="329" t="s">
        <v>388</v>
      </c>
      <c r="U1" s="329" t="s">
        <v>389</v>
      </c>
      <c r="V1" s="329" t="s">
        <v>390</v>
      </c>
      <c r="W1" s="329" t="s">
        <v>391</v>
      </c>
      <c r="X1" s="329" t="s">
        <v>392</v>
      </c>
      <c r="Y1" s="329" t="s">
        <v>393</v>
      </c>
      <c r="Z1" s="329" t="s">
        <v>394</v>
      </c>
      <c r="AA1" s="329" t="s">
        <v>395</v>
      </c>
      <c r="AB1" s="329" t="s">
        <v>396</v>
      </c>
      <c r="AC1" s="329" t="s">
        <v>397</v>
      </c>
      <c r="AD1" s="329" t="s">
        <v>398</v>
      </c>
      <c r="AE1" s="329" t="s">
        <v>399</v>
      </c>
      <c r="AF1" s="329" t="s">
        <v>400</v>
      </c>
      <c r="AG1" s="329" t="s">
        <v>401</v>
      </c>
      <c r="AH1" s="329" t="s">
        <v>402</v>
      </c>
      <c r="AI1" s="329" t="s">
        <v>403</v>
      </c>
      <c r="AJ1" s="329" t="s">
        <v>404</v>
      </c>
      <c r="AK1" s="329" t="s">
        <v>405</v>
      </c>
      <c r="AL1" s="329" t="s">
        <v>406</v>
      </c>
      <c r="AM1" s="329" t="s">
        <v>407</v>
      </c>
      <c r="AN1" s="329" t="s">
        <v>408</v>
      </c>
      <c r="AO1" s="329" t="s">
        <v>409</v>
      </c>
      <c r="AP1" s="329" t="s">
        <v>410</v>
      </c>
      <c r="AQ1" s="329" t="s">
        <v>411</v>
      </c>
      <c r="AR1" s="329" t="s">
        <v>412</v>
      </c>
      <c r="AS1" s="329" t="s">
        <v>413</v>
      </c>
      <c r="AT1" s="329" t="s">
        <v>414</v>
      </c>
      <c r="AU1" s="329" t="s">
        <v>415</v>
      </c>
      <c r="AV1" s="343" t="s">
        <v>416</v>
      </c>
      <c r="AW1" s="343" t="s">
        <v>417</v>
      </c>
      <c r="AX1" s="343" t="s">
        <v>418</v>
      </c>
      <c r="AY1" s="343" t="s">
        <v>419</v>
      </c>
      <c r="AZ1" s="343" t="s">
        <v>420</v>
      </c>
      <c r="BA1" s="343" t="s">
        <v>421</v>
      </c>
      <c r="BB1" s="329" t="s">
        <v>422</v>
      </c>
      <c r="BC1" s="329" t="s">
        <v>423</v>
      </c>
      <c r="BD1" s="329" t="s">
        <v>424</v>
      </c>
      <c r="BE1" s="329" t="s">
        <v>425</v>
      </c>
      <c r="BF1" s="329" t="s">
        <v>426</v>
      </c>
      <c r="BG1" s="329" t="s">
        <v>427</v>
      </c>
      <c r="BH1" s="329" t="s">
        <v>428</v>
      </c>
      <c r="BI1" s="329" t="s">
        <v>429</v>
      </c>
      <c r="BJ1" s="329" t="s">
        <v>430</v>
      </c>
      <c r="BK1" s="329" t="s">
        <v>431</v>
      </c>
      <c r="BL1" s="329" t="s">
        <v>432</v>
      </c>
      <c r="BM1" s="329" t="s">
        <v>433</v>
      </c>
      <c r="BN1" s="329" t="s">
        <v>434</v>
      </c>
      <c r="BO1" s="329" t="s">
        <v>435</v>
      </c>
      <c r="BP1" s="329" t="s">
        <v>436</v>
      </c>
      <c r="BQ1" s="329" t="s">
        <v>437</v>
      </c>
      <c r="BR1" s="329" t="s">
        <v>438</v>
      </c>
      <c r="BS1" s="329" t="s">
        <v>439</v>
      </c>
      <c r="BT1" s="329" t="s">
        <v>440</v>
      </c>
      <c r="BU1" s="329" t="s">
        <v>441</v>
      </c>
      <c r="BV1" s="329" t="s">
        <v>442</v>
      </c>
      <c r="BW1" s="329" t="s">
        <v>443</v>
      </c>
      <c r="BX1" s="329" t="s">
        <v>444</v>
      </c>
      <c r="BY1" s="329" t="s">
        <v>445</v>
      </c>
      <c r="BZ1" s="329" t="s">
        <v>446</v>
      </c>
      <c r="CA1" s="355" t="s">
        <v>447</v>
      </c>
      <c r="CB1" s="355" t="s">
        <v>448</v>
      </c>
      <c r="CC1" s="355" t="s">
        <v>449</v>
      </c>
      <c r="CD1" s="355" t="s">
        <v>450</v>
      </c>
      <c r="CE1" s="355" t="s">
        <v>451</v>
      </c>
      <c r="CF1" s="355" t="s">
        <v>452</v>
      </c>
      <c r="CG1" s="329" t="s">
        <v>453</v>
      </c>
      <c r="CH1" s="329" t="s">
        <v>454</v>
      </c>
      <c r="CI1" s="329" t="s">
        <v>455</v>
      </c>
      <c r="CJ1" s="329" t="s">
        <v>456</v>
      </c>
      <c r="CK1" s="329" t="s">
        <v>457</v>
      </c>
      <c r="CL1" s="329" t="s">
        <v>458</v>
      </c>
      <c r="CM1" s="329" t="s">
        <v>459</v>
      </c>
      <c r="CN1" s="329" t="s">
        <v>460</v>
      </c>
      <c r="CO1" s="329" t="s">
        <v>461</v>
      </c>
      <c r="CP1" s="329" t="s">
        <v>462</v>
      </c>
      <c r="CQ1" s="329" t="s">
        <v>463</v>
      </c>
      <c r="CR1" s="329" t="s">
        <v>464</v>
      </c>
      <c r="CS1" s="329" t="s">
        <v>465</v>
      </c>
      <c r="CT1" s="329" t="s">
        <v>466</v>
      </c>
      <c r="CU1" s="329" t="s">
        <v>467</v>
      </c>
      <c r="CV1" s="329" t="s">
        <v>468</v>
      </c>
      <c r="CW1" s="329" t="s">
        <v>469</v>
      </c>
      <c r="CX1" s="329" t="s">
        <v>470</v>
      </c>
      <c r="CY1" s="329" t="s">
        <v>471</v>
      </c>
      <c r="CZ1" s="329" t="s">
        <v>472</v>
      </c>
      <c r="DA1" s="329" t="s">
        <v>473</v>
      </c>
      <c r="DB1" s="329" t="s">
        <v>474</v>
      </c>
      <c r="DC1" s="329" t="s">
        <v>475</v>
      </c>
      <c r="DD1" s="329" t="s">
        <v>476</v>
      </c>
      <c r="DE1" s="329" t="s">
        <v>477</v>
      </c>
      <c r="DF1" s="329" t="s">
        <v>478</v>
      </c>
      <c r="DG1" s="329" t="s">
        <v>479</v>
      </c>
      <c r="DH1" s="329" t="s">
        <v>480</v>
      </c>
      <c r="DI1" s="329" t="s">
        <v>481</v>
      </c>
    </row>
    <row r="2" spans="1:113" ht="15" customHeight="1" x14ac:dyDescent="0.2">
      <c r="A2" s="331" t="s">
        <v>1716</v>
      </c>
      <c r="B2" s="330" t="s">
        <v>502</v>
      </c>
      <c r="C2" s="330" t="s">
        <v>1610</v>
      </c>
      <c r="D2" s="233" t="str">
        <f>ECOMOD_input_estimate!$D2</f>
        <v>2.25</v>
      </c>
      <c r="E2" s="385">
        <f>ECOMOD_input_estimate!$E2</f>
        <v>6</v>
      </c>
      <c r="F2" s="386" t="str">
        <f>ECOMOD_input_estimate!$F2</f>
        <v>springlinseed</v>
      </c>
      <c r="G2" s="282" t="str">
        <f>ECOMOD_input_estimate!$G2</f>
        <v>springbeans</v>
      </c>
      <c r="H2" s="282" t="str">
        <f>ECOMOD_input_estimate!$H2</f>
        <v>winterwheat</v>
      </c>
      <c r="I2" s="387" t="str">
        <f>ECOMOD_input_estimate!I2</f>
        <v>springoats</v>
      </c>
      <c r="J2" s="282" t="str">
        <f>ECOMOD_input_estimate!$J2</f>
        <v>winterwheat</v>
      </c>
      <c r="K2" s="282" t="str">
        <f>ECOMOD_input_estimate!K2</f>
        <v>springlinseed</v>
      </c>
      <c r="L2" s="282" t="str">
        <f>ECOMOD_input_estimate!L2</f>
        <v>lightcultivation</v>
      </c>
      <c r="M2" s="282" t="str">
        <f>ECOMOD_input_estimate!M2</f>
        <v>subsoiling</v>
      </c>
      <c r="N2" s="282" t="str">
        <f>ECOMOD_input_estimate!N2</f>
        <v>lightcultivation</v>
      </c>
      <c r="O2" s="282" t="str">
        <f>ECOMOD_input_estimate!O2</f>
        <v>lightcultivation</v>
      </c>
      <c r="P2" s="387" t="str">
        <f>ECOMOD_input_estimate!P2</f>
        <v>inversion</v>
      </c>
      <c r="Q2" s="282" t="str">
        <f>ECOMOD_input_estimate!Q2</f>
        <v>lightcultivation</v>
      </c>
      <c r="R2" s="389">
        <f>ECOMOD_input_estimate!R2</f>
        <v>52</v>
      </c>
      <c r="S2" s="389">
        <f>ECOMOD_input_estimate!S2</f>
        <v>365</v>
      </c>
      <c r="T2" s="389">
        <f>ECOMOD_input_estimate!T2</f>
        <v>200</v>
      </c>
      <c r="U2" s="389">
        <f>ECOMOD_input_estimate!U2</f>
        <v>130</v>
      </c>
      <c r="V2" s="389">
        <f>ECOMOD_input_estimate!V2</f>
        <v>200</v>
      </c>
      <c r="W2" s="389">
        <f>ECOMOD_input_estimate!W2</f>
        <v>52</v>
      </c>
      <c r="X2" s="282" t="str">
        <f>ECOMOD_input_estimate!X2</f>
        <v>no</v>
      </c>
      <c r="Y2" s="282" t="str">
        <f>ECOMOD_input_estimate!Y2</f>
        <v>no</v>
      </c>
      <c r="Z2" s="282" t="str">
        <f>ECOMOD_input_estimate!Z2</f>
        <v>late</v>
      </c>
      <c r="AA2" s="387" t="str">
        <f>ECOMOD_input_estimate!AA2</f>
        <v>no</v>
      </c>
      <c r="AB2" s="282" t="str">
        <f>ECOMOD_input_estimate!AB2</f>
        <v>late</v>
      </c>
      <c r="AC2" s="282" t="str">
        <f>ECOMOD_input_estimate!AC2</f>
        <v>no</v>
      </c>
      <c r="AD2" s="389">
        <f>ECOMOD_input_estimate!AD2</f>
        <v>80</v>
      </c>
      <c r="AE2" s="389">
        <f>ECOMOD_input_estimate!AE2</f>
        <v>0</v>
      </c>
      <c r="AF2" s="389">
        <f>ECOMOD_input_estimate!AF2</f>
        <v>220</v>
      </c>
      <c r="AG2" s="390">
        <f>ECOMOD_input_estimate!AG2</f>
        <v>100</v>
      </c>
      <c r="AH2" s="389">
        <f>ECOMOD_input_estimate!AH2</f>
        <v>220</v>
      </c>
      <c r="AI2" s="389">
        <f>ECOMOD_input_estimate!AI2</f>
        <v>80</v>
      </c>
      <c r="AJ2" s="389">
        <f>ECOMOD_input_estimate!AJ2</f>
        <v>30</v>
      </c>
      <c r="AK2" s="389">
        <f>ECOMOD_input_estimate!AK2</f>
        <v>43</v>
      </c>
      <c r="AL2" s="389">
        <f>ECOMOD_input_estimate!AL2</f>
        <v>67</v>
      </c>
      <c r="AM2" s="390">
        <f>ECOMOD_input_estimate!AM2</f>
        <v>43</v>
      </c>
      <c r="AN2" s="389">
        <f>ECOMOD_input_estimate!AN2</f>
        <v>67</v>
      </c>
      <c r="AO2" s="389">
        <f>ECOMOD_input_estimate!AO2</f>
        <v>30</v>
      </c>
      <c r="AP2" s="389">
        <f>ECOMOD_input_estimate!AP2</f>
        <v>10</v>
      </c>
      <c r="AQ2" s="389">
        <f>ECOMOD_input_estimate!AQ2</f>
        <v>47</v>
      </c>
      <c r="AR2" s="389">
        <f>ECOMOD_input_estimate!AR2</f>
        <v>48</v>
      </c>
      <c r="AS2" s="390">
        <f>ECOMOD_input_estimate!AS2</f>
        <v>31</v>
      </c>
      <c r="AT2" s="389">
        <f>ECOMOD_input_estimate!AT2</f>
        <v>48</v>
      </c>
      <c r="AU2" s="389">
        <f>ECOMOD_input_estimate!AU2</f>
        <v>10</v>
      </c>
      <c r="AV2" s="389">
        <f>ECOMOD_input_estimate!AV2</f>
        <v>5</v>
      </c>
      <c r="AW2" s="234">
        <f t="shared" ref="AW2:AW55" si="0">IF(AND(ISNUMBER(SEARCH("H-Dsty.",$B2))=TRUE,ISNUMBER(SEARCH("H-Res",$B2))=TRUE,ISNUMBER(SEARCH("E.",$B2))=TRUE),INDEX(BGherb_HDHR_E,MATCH($G2,BGherb_CROPS,0)),
IF(AND(ISNUMBER(SEARCH("H-Dsty.",$B2))=TRUE,ISNUMBER(SEARCH("H-Res",$B2))=TRUE,ISNUMBER(SEARCH("N.",$B2))=TRUE),INDEX(BGherb_HDHR_N,MATCH($G2,BGherb_CROPS,0)),
IF(AND(ISNUMBER(SEARCH("H-Dsty.",$B2))=TRUE,ISNUMBER(SEARCH("H-Res",$B2))=TRUE,ISNUMBER(SEARCH("C.",$B2))=TRUE),INDEX(BGherb_HDHR_C,MATCH($G2,BGherb_CROPS,0)),
IF(AND(ISNUMBER(SEARCH("L-Dsty.",$B2))=TRUE,ISNUMBER(SEARCH("H-Res",$B2))=TRUE,ISNUMBER(SEARCH("E.",$B2))=TRUE),INDEX(BGherb_LDHR_E,MATCH($G2,BGherb_CROPS,0)),
IF(AND(ISNUMBER(SEARCH("L-Dsty.",$B2))=TRUE,ISNUMBER(SEARCH("H-Res",$B2))=TRUE,ISNUMBER(SEARCH("N.",$B2))=TRUE),INDEX(BGherb_LDHR_N,MATCH($G2,BGherb_CROPS,0)),
IF(AND(ISNUMBER(SEARCH("L-Dsty.",$B2))=TRUE,ISNUMBER(SEARCH("H-Res",$B2))=TRUE,ISNUMBER(SEARCH("C.",$B2))=TRUE),INDEX(BGherb_LDHR_C,MATCH($G2,BGherb_CROPS,0)),
IF(AND(ISNUMBER(SEARCH("L-Dsty.",$B2))=TRUE,ISNUMBER(SEARCH("L-Res",$B2))=TRUE,ISNUMBER(SEARCH("E.",$B2))=TRUE),INDEX(BGherb_LDLR_E,MATCH($G2,BGherb_CROPS,0)),
IF(AND(ISNUMBER(SEARCH("L-Dsty.",$B2))=TRUE,ISNUMBER(SEARCH("L-Res",$B2))=TRUE,ISNUMBER(SEARCH("N.",$B2))=TRUE),INDEX(BGherb_LDLR_N,MATCH($G2,BGherb_CROPS,0)),
IF(AND(ISNUMBER(SEARCH("L-Dsty.",$B2))=TRUE,ISNUMBER(SEARCH("L-Res",$B2))=TRUE,ISNUMBER(SEARCH("C.",$B2))=TRUE),INDEX(BGherb_LDLR_C,MATCH($G2,BGherb_CROPS,0))
)))))))))</f>
        <v>9</v>
      </c>
      <c r="AX2" s="234">
        <f t="shared" ref="AX2:AX55" si="1">IF(AND(ISNUMBER(SEARCH("H-Dsty.",$B2))=TRUE,ISNUMBER(SEARCH("H-Res",$B2))=TRUE,ISNUMBER(SEARCH("E.",$B2))=TRUE),INDEX(BGherb_HDHR_E,MATCH($H2,BGherb_CROPS,0)),
IF(AND(ISNUMBER(SEARCH("H-Dsty.",$B2))=TRUE,ISNUMBER(SEARCH("H-Res",$B2))=TRUE,ISNUMBER(SEARCH("N.",$B2))=TRUE),INDEX(BGherb_HDHR_N,MATCH($H2,BGherb_CROPS,0)),
IF(AND(ISNUMBER(SEARCH("H-Dsty.",$B2))=TRUE,ISNUMBER(SEARCH("H-Res",$B2))=TRUE,ISNUMBER(SEARCH("C.",$B2))=TRUE),INDEX(BGherb_HDHR_C,MATCH($H2,BGherb_CROPS,0)),
IF(AND(ISNUMBER(SEARCH("L-Dsty.",$B2))=TRUE,ISNUMBER(SEARCH("H-Res",$B2))=TRUE,ISNUMBER(SEARCH("E.",$B2))=TRUE),INDEX(BGherb_LDHR_E,MATCH($H2,BGherb_CROPS,0)),
IF(AND(ISNUMBER(SEARCH("L-Dsty.",$B2))=TRUE,ISNUMBER(SEARCH("H-Res",$B2))=TRUE,ISNUMBER(SEARCH("N.",$B2))=TRUE),INDEX(BGherb_LDHR_N,MATCH($H2,BGherb_CROPS,0)),
IF(AND(ISNUMBER(SEARCH("L-Dsty.",$B2))=TRUE,ISNUMBER(SEARCH("H-Res",$B2))=TRUE,ISNUMBER(SEARCH("C.",$B2))=TRUE),INDEX(BGherb_LDHR_C,MATCH($H2,BGherb_CROPS,0)),
IF(AND(ISNUMBER(SEARCH("L-Dsty.",$B2))=TRUE,ISNUMBER(SEARCH("L-Res",$B2))=TRUE,ISNUMBER(SEARCH("E.",$B2))=TRUE),INDEX(BGherb_LDLR_E,MATCH($H2,BGherb_CROPS,0)),
IF(AND(ISNUMBER(SEARCH("L-Dsty.",$B2))=TRUE,ISNUMBER(SEARCH("L-Res",$B2))=TRUE,ISNUMBER(SEARCH("N.",$B2))=TRUE),INDEX(BGherb_LDLR_N,MATCH($H2,BGherb_CROPS,0)),
IF(AND(ISNUMBER(SEARCH("L-Dsty.",$B2))=TRUE,ISNUMBER(SEARCH("L-Res",$B2))=TRUE,ISNUMBER(SEARCH("C.",$B2))=TRUE),INDEX(BGherb_LDLR_C,MATCH($H2,BGherb_CROPS,0))
)))))))))</f>
        <v>10.84</v>
      </c>
      <c r="AY2" s="234">
        <f t="shared" ref="AY2:AY19" si="2">IF(AND(ISNUMBER(SEARCH("H-Dsty.",$B2))=TRUE,ISNUMBER(SEARCH("H-Res",$B2))=TRUE,ISNUMBER(SEARCH("E.",$B2))=TRUE),INDEX(BGherb_HDHR_E,MATCH($I2,BGherb_CROPS,0)),
IF(AND(ISNUMBER(SEARCH("H-Dsty.",$B2))=TRUE,ISNUMBER(SEARCH("H-Res",$B2))=TRUE,ISNUMBER(SEARCH("N.",$B2))=TRUE),INDEX(BGherb_HDHR_N,MATCH($I2,BGherb_CROPS,0)),
IF(AND(ISNUMBER(SEARCH("H-Dsty.",$B2))=TRUE,ISNUMBER(SEARCH("H-Res",$B2))=TRUE,ISNUMBER(SEARCH("C.",$B2))=TRUE),INDEX(BGherb_HDHR_C,MATCH($I2,BGherb_CROPS,0)),
IF(AND(ISNUMBER(SEARCH("L-Dsty.",$B2))=TRUE,ISNUMBER(SEARCH("H-Res",$B2))=TRUE,ISNUMBER(SEARCH("E.",$B2))=TRUE),INDEX(BGherb_LDHR_E,MATCH($I2,BGherb_CROPS,0)),
IF(AND(ISNUMBER(SEARCH("L-Dsty.",$B2))=TRUE,ISNUMBER(SEARCH("H-Res",$B2))=TRUE,ISNUMBER(SEARCH("N.",$B2))=TRUE),INDEX(BGherb_LDHR_N,MATCH($I2,BGherb_CROPS,0)),
IF(AND(ISNUMBER(SEARCH("L-Dsty.",$B2))=TRUE,ISNUMBER(SEARCH("H-Res",$B2))=TRUE,ISNUMBER(SEARCH("C.",$B2))=TRUE),INDEX(BGherb_LDHR_C,MATCH($I2,BGherb_CROPS,0)),
IF(AND(ISNUMBER(SEARCH("L-Dsty.",$B2))=TRUE,ISNUMBER(SEARCH("L-Res",$B2))=TRUE,ISNUMBER(SEARCH("E.",$B2))=TRUE),INDEX(BGherb_LDLR_E,MATCH($I2,BGherb_CROPS,0)),
IF(AND(ISNUMBER(SEARCH("L-Dsty.",$B2))=TRUE,ISNUMBER(SEARCH("L-Res",$B2))=TRUE,ISNUMBER(SEARCH("N.",$B2))=TRUE),INDEX(BGherb_LDLR_N,MATCH($I2,BGherb_CROPS,0)),
IF(AND(ISNUMBER(SEARCH("L-Dsty.",$B2))=TRUE,ISNUMBER(SEARCH("L-Res",$B2))=TRUE,ISNUMBER(SEARCH("C.",$B2))=TRUE),INDEX(BGherb_LDLR_C,MATCH($I2,BGherb_CROPS,0))
)))))))))</f>
        <v>0.25</v>
      </c>
      <c r="AZ2" s="234">
        <f t="shared" ref="AZ2:AZ55" si="3">IF(AND(ISNUMBER(SEARCH("H-Dsty.",$B2))=TRUE,ISNUMBER(SEARCH("H-Res",$B2))=TRUE,ISNUMBER(SEARCH("E.",$B2))=TRUE),INDEX(BGherb_HDHR_E,MATCH($J2,BGherb_CROPS,0)),
IF(AND(ISNUMBER(SEARCH("H-Dsty.",$B2))=TRUE,ISNUMBER(SEARCH("H-Res",$B2))=TRUE,ISNUMBER(SEARCH("N.",$B2))=TRUE),INDEX(BGherb_HDHR_N,MATCH($J2,BGherb_CROPS,0)),
IF(AND(ISNUMBER(SEARCH("H-Dsty.",$B2))=TRUE,ISNUMBER(SEARCH("H-Res",$B2))=TRUE,ISNUMBER(SEARCH("C.",$B2))=TRUE),INDEX(BGherb_HDHR_C,MATCH($J2,BGherb_CROPS,0)),
IF(AND(ISNUMBER(SEARCH("L-Dsty.",$B2))=TRUE,ISNUMBER(SEARCH("H-Res",$B2))=TRUE,ISNUMBER(SEARCH("E.",$B2))=TRUE),INDEX(BGherb_LDHR_E,MATCH($J2,BGherb_CROPS,0)),
IF(AND(ISNUMBER(SEARCH("L-Dsty.",$B2))=TRUE,ISNUMBER(SEARCH("H-Res",$B2))=TRUE,ISNUMBER(SEARCH("N.",$B2))=TRUE),INDEX(BGherb_LDHR_N,MATCH($J2,BGherb_CROPS,0)),
IF(AND(ISNUMBER(SEARCH("L-Dsty.",$B2))=TRUE,ISNUMBER(SEARCH("H-Res",$B2))=TRUE,ISNUMBER(SEARCH("C.",$B2))=TRUE),INDEX(BGherb_LDHR_C,MATCH($J2,BGherb_CROPS,0)),
IF(AND(ISNUMBER(SEARCH("L-Dsty.",$B2))=TRUE,ISNUMBER(SEARCH("L-Res",$B2))=TRUE,ISNUMBER(SEARCH("E.",$B2))=TRUE),INDEX(BGherb_LDLR_E,MATCH($J2,BGherb_CROPS,0)),
IF(AND(ISNUMBER(SEARCH("L-Dsty.",$B2))=TRUE,ISNUMBER(SEARCH("L-Res",$B2))=TRUE,ISNUMBER(SEARCH("N.",$B2))=TRUE),INDEX(BGherb_LDLR_N,MATCH($J2,BGherb_CROPS,0)),
IF(AND(ISNUMBER(SEARCH("L-Dsty.",$B2))=TRUE,ISNUMBER(SEARCH("L-Res",$B2))=TRUE,ISNUMBER(SEARCH("C.",$B2))=TRUE),INDEX(BGherb_LDLR_C,MATCH($J2,BGherb_CROPS,0))
)))))))))</f>
        <v>10.84</v>
      </c>
      <c r="BA2" s="234">
        <f t="shared" ref="BA2:BA55" si="4">IF(AND(ISNUMBER(SEARCH("H-Dsty.",$B2))=TRUE,ISNUMBER(SEARCH("H-Res",$B2))=TRUE,ISNUMBER(SEARCH("E.",$B2))=TRUE),INDEX(BGherb_HDHR_E,MATCH($K2,BGherb_CROPS,0)),
IF(AND(ISNUMBER(SEARCH("H-Dsty.",$B2))=TRUE,ISNUMBER(SEARCH("H-Res",$B2))=TRUE,ISNUMBER(SEARCH("N.",$B2))=TRUE),INDEX(BGherb_HDHR_N,MATCH($K2,BGherb_CROPS,0)),
IF(AND(ISNUMBER(SEARCH("H-Dsty.",$B2))=TRUE,ISNUMBER(SEARCH("H-Res",$B2))=TRUE,ISNUMBER(SEARCH("C.",$B2))=TRUE),INDEX(BGherb_HDHR_C,MATCH($K2,BGherb_CROPS,0)),
IF(AND(ISNUMBER(SEARCH("L-Dsty.",$B2))=TRUE,ISNUMBER(SEARCH("H-Res",$B2))=TRUE,ISNUMBER(SEARCH("E.",$B2))=TRUE),INDEX(BGherb_LDHR_E,MATCH($K2,BGherb_CROPS,0)),
IF(AND(ISNUMBER(SEARCH("L-Dsty.",$B2))=TRUE,ISNUMBER(SEARCH("H-Res",$B2))=TRUE,ISNUMBER(SEARCH("N.",$B2))=TRUE),INDEX(BGherb_LDHR_N,MATCH($K2,BGherb_CROPS,0)),
IF(AND(ISNUMBER(SEARCH("L-Dsty.",$B2))=TRUE,ISNUMBER(SEARCH("H-Res",$B2))=TRUE,ISNUMBER(SEARCH("C.",$B2))=TRUE),INDEX(BGherb_LDHR_C,MATCH($K2,BGherb_CROPS,0)),
IF(AND(ISNUMBER(SEARCH("L-Dsty.",$B2))=TRUE,ISNUMBER(SEARCH("L-Res",$B2))=TRUE,ISNUMBER(SEARCH("E.",$B2))=TRUE),INDEX(BGherb_LDLR_E,MATCH($K2,BGherb_CROPS,0)),
IF(AND(ISNUMBER(SEARCH("L-Dsty.",$B2))=TRUE,ISNUMBER(SEARCH("L-Res",$B2))=TRUE,ISNUMBER(SEARCH("N.",$B2))=TRUE),INDEX(BGherb_LDLR_N,MATCH($K2,BGherb_CROPS,0)),
IF(AND(ISNUMBER(SEARCH("L-Dsty.",$B2))=TRUE,ISNUMBER(SEARCH("L-Res",$B2))=TRUE,ISNUMBER(SEARCH("C.",$B2))=TRUE),INDEX(BGherb_LDLR_C,MATCH($K2,BGherb_CROPS,0))
)))))))))</f>
        <v>5</v>
      </c>
      <c r="BB2" s="234">
        <f t="shared" ref="BB2:BB55" si="5">IF(AND(ISNUMBER(SEARCH("H-Dsty.",$B2))=TRUE,ISNUMBER(SEARCH("H-Res",$B2))=TRUE,ISNUMBER(SEARCH("E.",$B2))=TRUE),INDEX(glyph_HDHR_E,MATCH($F2,glyph_CROPS,0)),
IF(AND(ISNUMBER(SEARCH("H-Dsty.",$B2))=TRUE,ISNUMBER(SEARCH("H-Res",$B2))=TRUE,ISNUMBER(SEARCH("N.",$B2))=TRUE),INDEX(glyph_HDHR_N,MATCH($F2,glyph_CROPS,0)),
IF(AND(ISNUMBER(SEARCH("H-Dsty.",$B2))=TRUE,ISNUMBER(SEARCH("H-Res",$B2))=TRUE,ISNUMBER(SEARCH("C.",$B2))=TRUE),INDEX(glyph_HDHR_C,MATCH($F2,glyph_CROPS,0)),
IF(AND(ISNUMBER(SEARCH("L-Dsty.",$B2))=TRUE,ISNUMBER(SEARCH("H-Res",$B2))=TRUE,ISNUMBER(SEARCH("E.",$B2))=TRUE),INDEX(glyph_LDHR_E,MATCH($F2,glyph_CROPS,0)),
IF(AND(ISNUMBER(SEARCH("L-Dsty.",$B2))=TRUE,ISNUMBER(SEARCH("H-Res",$B2))=TRUE,ISNUMBER(SEARCH("N.",$B2))=TRUE),INDEX(glyph_LDHR_N,MATCH($F2,glyph_CROPS,0)),
IF(AND(ISNUMBER(SEARCH("L-Dsty.",$B2))=TRUE,ISNUMBER(SEARCH("H-Res",$B2))=TRUE,ISNUMBER(SEARCH("C.",$B2))=TRUE),INDEX(glyph_LDHR_C,MATCH($F2,glyph_CROPS,0)),
IF(AND(ISNUMBER(SEARCH("L-Dsty.",$B2))=TRUE,ISNUMBER(SEARCH("L-Res",$B2))=TRUE,ISNUMBER(SEARCH("E.",$B2))=TRUE),INDEX(glyph_LDLR_E,MATCH($F2,glyph_CROPS,0)),
IF(AND(ISNUMBER(SEARCH("L-Dsty.",$B2))=TRUE,ISNUMBER(SEARCH("L-Res",$B2))=TRUE,ISNUMBER(SEARCH("N.",$B2))=TRUE),INDEX(glyph_LDLR_N,MATCH($F2,glyph_CROPS,0)),
IF(AND(ISNUMBER(SEARCH("L-Dsty.",$B2))=TRUE,ISNUMBER(SEARCH("L-Res",$B2))=TRUE,ISNUMBER(SEARCH("C.",$B2))=TRUE),INDEX(glyph_LDLR_C,MATCH($F2,glyph_CROPS,0))
)))))))))</f>
        <v>9.3000000000000007</v>
      </c>
      <c r="BC2" s="234">
        <f t="shared" ref="BC2:BC55" si="6">IF(AND(ISNUMBER(SEARCH("H-Dsty.",$B2))=TRUE,ISNUMBER(SEARCH("H-Res",$B2))=TRUE,ISNUMBER(SEARCH("E.",$B2))=TRUE),INDEX(glyph_HDHR_E,MATCH($G2,glyph_CROPS,0)),
IF(AND(ISNUMBER(SEARCH("H-Dsty.",$B2))=TRUE,ISNUMBER(SEARCH("H-Res",$B2))=TRUE,ISNUMBER(SEARCH("N.",$B2))=TRUE),INDEX(glyph_HDHR_N,MATCH($G2,glyph_CROPS,0)),
IF(AND(ISNUMBER(SEARCH("H-Dsty.",$B2))=TRUE,ISNUMBER(SEARCH("H-Res",$B2))=TRUE,ISNUMBER(SEARCH("C.",$B2))=TRUE),INDEX(glyph_HDHR_C,MATCH($G2,glyph_CROPS,0)),
IF(AND(ISNUMBER(SEARCH("L-Dsty.",$B2))=TRUE,ISNUMBER(SEARCH("H-Res",$B2))=TRUE,ISNUMBER(SEARCH("E.",$B2))=TRUE),INDEX(glyph_LDHR_E,MATCH($G2,glyph_CROPS,0)),
IF(AND(ISNUMBER(SEARCH("L-Dsty.",$B2))=TRUE,ISNUMBER(SEARCH("H-Res",$B2))=TRUE,ISNUMBER(SEARCH("N.",$B2))=TRUE),INDEX(glyph_LDHR_N,MATCH($G2,glyph_CROPS,0)),
IF(AND(ISNUMBER(SEARCH("L-Dsty.",$B2))=TRUE,ISNUMBER(SEARCH("H-Res",$B2))=TRUE,ISNUMBER(SEARCH("C.",$B2))=TRUE),INDEX(glyph_LDHR_C,MATCH($G2,glyph_CROPS,0)),
IF(AND(ISNUMBER(SEARCH("L-Dsty.",$B2))=TRUE,ISNUMBER(SEARCH("L-Res",$B2))=TRUE,ISNUMBER(SEARCH("E.",$B2))=TRUE),INDEX(glyph_LDLR_E,MATCH($G2,glyph_CROPS,0)),
IF(AND(ISNUMBER(SEARCH("L-Dsty.",$B2))=TRUE,ISNUMBER(SEARCH("L-Res",$B2))=TRUE,ISNUMBER(SEARCH("N.",$B2))=TRUE),INDEX(glyph_LDLR_N,MATCH($G2,glyph_CROPS,0)),
IF(AND(ISNUMBER(SEARCH("L-Dsty.",$B2))=TRUE,ISNUMBER(SEARCH("L-Res",$B2))=TRUE,ISNUMBER(SEARCH("C.",$B2))=TRUE),INDEX(glyph_LDLR_C,MATCH($G2,glyph_CROPS,0))
)))))))))</f>
        <v>8.3000000000000007</v>
      </c>
      <c r="BD2" s="234">
        <f t="shared" ref="BD2:BD55" si="7">IF(AND(ISNUMBER(SEARCH("H-Dsty.",$B2))=TRUE,ISNUMBER(SEARCH("H-Res",$B2))=TRUE,ISNUMBER(SEARCH("E.",$B2))=TRUE),INDEX(glyph_HDHR_E,MATCH($H2,glyph_CROPS,0)),
IF(AND(ISNUMBER(SEARCH("H-Dsty.",$B2))=TRUE,ISNUMBER(SEARCH("H-Res",$B2))=TRUE,ISNUMBER(SEARCH("N.",$B2))=TRUE),INDEX(glyph_HDHR_N,MATCH($H2,glyph_CROPS,0)),
IF(AND(ISNUMBER(SEARCH("H-Dsty.",$B2))=TRUE,ISNUMBER(SEARCH("H-Res",$B2))=TRUE,ISNUMBER(SEARCH("C.",$B2))=TRUE),INDEX(glyph_HDHR_C,MATCH($H2,glyph_CROPS,0)),
IF(AND(ISNUMBER(SEARCH("L-Dsty.",$B2))=TRUE,ISNUMBER(SEARCH("H-Res",$B2))=TRUE,ISNUMBER(SEARCH("E.",$B2))=TRUE),INDEX(glyph_LDHR_E,MATCH($H2,glyph_CROPS,0)),
IF(AND(ISNUMBER(SEARCH("L-Dsty.",$B2))=TRUE,ISNUMBER(SEARCH("H-Res",$B2))=TRUE,ISNUMBER(SEARCH("N.",$B2))=TRUE),INDEX(glyph_LDHR_N,MATCH($H2,glyph_CROPS,0)),
IF(AND(ISNUMBER(SEARCH("L-Dsty.",$B2))=TRUE,ISNUMBER(SEARCH("H-Res",$B2))=TRUE,ISNUMBER(SEARCH("C.",$B2))=TRUE),INDEX(glyph_LDHR_C,MATCH($H2,glyph_CROPS,0)),
IF(AND(ISNUMBER(SEARCH("L-Dsty.",$B2))=TRUE,ISNUMBER(SEARCH("L-Res",$B2))=TRUE,ISNUMBER(SEARCH("E.",$B2))=TRUE),INDEX(glyph_LDLR_E,MATCH($H2,glyph_CROPS,0)),
IF(AND(ISNUMBER(SEARCH("L-Dsty.",$B2))=TRUE,ISNUMBER(SEARCH("L-Res",$B2))=TRUE,ISNUMBER(SEARCH("N.",$B2))=TRUE),INDEX(glyph_LDLR_N,MATCH($H2,glyph_CROPS,0)),
IF(AND(ISNUMBER(SEARCH("L-Dsty.",$B2))=TRUE,ISNUMBER(SEARCH("L-Res",$B2))=TRUE,ISNUMBER(SEARCH("C.",$B2))=TRUE),INDEX(glyph_LDLR_C,MATCH($H2,glyph_CROPS,0))
)))))))))</f>
        <v>6.3</v>
      </c>
      <c r="BE2" s="234">
        <f t="shared" ref="BE2:BE13" si="8">IF(AND(ISNUMBER(SEARCH("H-Dsty.",$B2))=TRUE,ISNUMBER(SEARCH("H-Res",$B2))=TRUE,ISNUMBER(SEARCH("E.",$B2))=TRUE),INDEX(glyph_HDHR_E,MATCH($I2,glyph_CROPS,0)),
IF(AND(ISNUMBER(SEARCH("H-Dsty.",$B2))=TRUE,ISNUMBER(SEARCH("H-Res",$B2))=TRUE,ISNUMBER(SEARCH("N.",$B2))=TRUE),INDEX(glyph_HDHR_N,MATCH($I2,glyph_CROPS,0)),
IF(AND(ISNUMBER(SEARCH("H-Dsty.",$B2))=TRUE,ISNUMBER(SEARCH("H-Res",$B2))=TRUE,ISNUMBER(SEARCH("C.",$B2))=TRUE),INDEX(glyph_HDHR_C,MATCH($I2,glyph_CROPS,0)),
IF(AND(ISNUMBER(SEARCH("L-Dsty.",$B2))=TRUE,ISNUMBER(SEARCH("H-Res",$B2))=TRUE,ISNUMBER(SEARCH("E.",$B2))=TRUE),INDEX(glyph_LDHR_E,MATCH($I2,glyph_CROPS,0)),
IF(AND(ISNUMBER(SEARCH("L-Dsty.",$B2))=TRUE,ISNUMBER(SEARCH("H-Res",$B2))=TRUE,ISNUMBER(SEARCH("N.",$B2))=TRUE),INDEX(glyph_LDHR_N,MATCH($I2,glyph_CROPS,0)),
IF(AND(ISNUMBER(SEARCH("L-Dsty.",$B2))=TRUE,ISNUMBER(SEARCH("H-Res",$B2))=TRUE,ISNUMBER(SEARCH("C.",$B2))=TRUE),INDEX(glyph_LDHR_C,MATCH($I2,glyph_CROPS,0)),
IF(AND(ISNUMBER(SEARCH("L-Dsty.",$B2))=TRUE,ISNUMBER(SEARCH("L-Res",$B2))=TRUE,ISNUMBER(SEARCH("E.",$B2))=TRUE),INDEX(glyph_LDLR_E,MATCH($I2,glyph_CROPS,0)),
IF(AND(ISNUMBER(SEARCH("L-Dsty.",$B2))=TRUE,ISNUMBER(SEARCH("L-Res",$B2))=TRUE,ISNUMBER(SEARCH("N.",$B2))=TRUE),INDEX(glyph_LDLR_N,MATCH($I2,glyph_CROPS,0)),
IF(AND(ISNUMBER(SEARCH("L-Dsty.",$B2))=TRUE,ISNUMBER(SEARCH("L-Res",$B2))=TRUE,ISNUMBER(SEARCH("C.",$B2))=TRUE),INDEX(glyph_LDLR_C,MATCH($I2,glyph_CROPS,0))
)))))))))</f>
        <v>6.3</v>
      </c>
      <c r="BF2" s="234">
        <f t="shared" ref="BF2:BF55" si="9">IF(AND(ISNUMBER(SEARCH("H-Dsty.",$B2))=TRUE,ISNUMBER(SEARCH("H-Res",$B2))=TRUE,ISNUMBER(SEARCH("E.",$B2))=TRUE),INDEX(glyph_HDHR_E,MATCH($J2,glyph_CROPS,0)),
IF(AND(ISNUMBER(SEARCH("H-Dsty.",$B2))=TRUE,ISNUMBER(SEARCH("H-Res",$B2))=TRUE,ISNUMBER(SEARCH("N.",$B2))=TRUE),INDEX(glyph_HDHR_N,MATCH($J2,glyph_CROPS,0)),
IF(AND(ISNUMBER(SEARCH("H-Dsty.",$B2))=TRUE,ISNUMBER(SEARCH("H-Res",$B2))=TRUE,ISNUMBER(SEARCH("C.",$B2))=TRUE),INDEX(glyph_HDHR_C,MATCH($J2,glyph_CROPS,0)),
IF(AND(ISNUMBER(SEARCH("L-Dsty.",$B2))=TRUE,ISNUMBER(SEARCH("H-Res",$B2))=TRUE,ISNUMBER(SEARCH("E.",$B2))=TRUE),INDEX(glyph_LDHR_E,MATCH($J2,glyph_CROPS,0)),
IF(AND(ISNUMBER(SEARCH("L-Dsty.",$B2))=TRUE,ISNUMBER(SEARCH("H-Res",$B2))=TRUE,ISNUMBER(SEARCH("N.",$B2))=TRUE),INDEX(glyph_LDHR_N,MATCH($J2,glyph_CROPS,0)),
IF(AND(ISNUMBER(SEARCH("L-Dsty.",$B2))=TRUE,ISNUMBER(SEARCH("H-Res",$B2))=TRUE,ISNUMBER(SEARCH("C.",$B2))=TRUE),INDEX(glyph_LDHR_C,MATCH($J2,glyph_CROPS,0)),
IF(AND(ISNUMBER(SEARCH("L-Dsty.",$B2))=TRUE,ISNUMBER(SEARCH("L-Res",$B2))=TRUE,ISNUMBER(SEARCH("E.",$B2))=TRUE),INDEX(glyph_LDLR_E,MATCH($J2,glyph_CROPS,0)),
IF(AND(ISNUMBER(SEARCH("L-Dsty.",$B2))=TRUE,ISNUMBER(SEARCH("L-Res",$B2))=TRUE,ISNUMBER(SEARCH("N.",$B2))=TRUE),INDEX(glyph_LDLR_N,MATCH($J2,glyph_CROPS,0)),
IF(AND(ISNUMBER(SEARCH("L-Dsty.",$B2))=TRUE,ISNUMBER(SEARCH("L-Res",$B2))=TRUE,ISNUMBER(SEARCH("C.",$B2))=TRUE),INDEX(glyph_LDLR_C,MATCH($J2,glyph_CROPS,0))
)))))))))</f>
        <v>6.3</v>
      </c>
      <c r="BG2" s="234">
        <f t="shared" ref="BG2:BG55" si="10">IF(AND(ISNUMBER(SEARCH("H-Dsty.",$B2))=TRUE,ISNUMBER(SEARCH("H-Res",$B2))=TRUE,ISNUMBER(SEARCH("E.",$B2))=TRUE),INDEX(glyph_HDHR_E,MATCH($K2,glyph_CROPS,0)),
IF(AND(ISNUMBER(SEARCH("H-Dsty.",$B2))=TRUE,ISNUMBER(SEARCH("H-Res",$B2))=TRUE,ISNUMBER(SEARCH("N.",$B2))=TRUE),INDEX(glyph_HDHR_N,MATCH($K2,glyph_CROPS,0)),
IF(AND(ISNUMBER(SEARCH("H-Dsty.",$B2))=TRUE,ISNUMBER(SEARCH("H-Res",$B2))=TRUE,ISNUMBER(SEARCH("C.",$B2))=TRUE),INDEX(glyph_HDHR_C,MATCH($K2,glyph_CROPS,0)),
IF(AND(ISNUMBER(SEARCH("L-Dsty.",$B2))=TRUE,ISNUMBER(SEARCH("H-Res",$B2))=TRUE,ISNUMBER(SEARCH("E.",$B2))=TRUE),INDEX(glyph_LDHR_E,MATCH($K2,glyph_CROPS,0)),
IF(AND(ISNUMBER(SEARCH("L-Dsty.",$B2))=TRUE,ISNUMBER(SEARCH("H-Res",$B2))=TRUE,ISNUMBER(SEARCH("N.",$B2))=TRUE),INDEX(glyph_LDHR_N,MATCH($K2,glyph_CROPS,0)),
IF(AND(ISNUMBER(SEARCH("L-Dsty.",$B2))=TRUE,ISNUMBER(SEARCH("H-Res",$B2))=TRUE,ISNUMBER(SEARCH("C.",$B2))=TRUE),INDEX(glyph_LDHR_C,MATCH($K2,glyph_CROPS,0)),
IF(AND(ISNUMBER(SEARCH("L-Dsty.",$B2))=TRUE,ISNUMBER(SEARCH("L-Res",$B2))=TRUE,ISNUMBER(SEARCH("E.",$B2))=TRUE),INDEX(glyph_LDLR_E,MATCH($K2,glyph_CROPS,0)),
IF(AND(ISNUMBER(SEARCH("L-Dsty.",$B2))=TRUE,ISNUMBER(SEARCH("L-Res",$B2))=TRUE,ISNUMBER(SEARCH("N.",$B2))=TRUE),INDEX(glyph_LDLR_N,MATCH($K2,glyph_CROPS,0)),
IF(AND(ISNUMBER(SEARCH("L-Dsty.",$B2))=TRUE,ISNUMBER(SEARCH("L-Res",$B2))=TRUE,ISNUMBER(SEARCH("C.",$B2))=TRUE),INDEX(glyph_LDLR_C,MATCH($K2,glyph_CROPS,0))
)))))))))</f>
        <v>9.3000000000000007</v>
      </c>
      <c r="BH2" s="234">
        <f t="shared" ref="BH2:BH55" si="11">IF(AND(ISNUMBER(SEARCH("H-Dsty.",$B2))=TRUE,ISNUMBER(SEARCH("H-Res",$B2))=TRUE,ISNUMBER(SEARCH("E.",$B2))=TRUE),INDEX(nspray_HDHR_E,MATCH($F2,nspray_CROPS,0)),
IF(AND(ISNUMBER(SEARCH("H-Dsty.",$B2))=TRUE,ISNUMBER(SEARCH("H-Res",$B2))=TRUE,ISNUMBER(SEARCH("N.",$B2))=TRUE),INDEX(nspray_HDHR_N,MATCH($F2,nspray_CROPS,0)),
IF(AND(ISNUMBER(SEARCH("H-Dsty.",$B2))=TRUE,ISNUMBER(SEARCH("H-Res",$B2))=TRUE,ISNUMBER(SEARCH("C.",$B2))=TRUE),INDEX(nspray_HDHR_C,MATCH($F2,nspray_CROPS,0)),
IF(AND(ISNUMBER(SEARCH("L-Dsty.",$B2))=TRUE,ISNUMBER(SEARCH("H-Res",$B2))=TRUE,ISNUMBER(SEARCH("E.",$B2))=TRUE),INDEX(nspray_LDHR_E,MATCH($F2,nspray_CROPS,0)),
IF(AND(ISNUMBER(SEARCH("L-Dsty.",$B2))=TRUE,ISNUMBER(SEARCH("H-Res",$B2))=TRUE,ISNUMBER(SEARCH("N.",$B2))=TRUE),INDEX(nspray_LDHR_N,MATCH($F2,nspray_CROPS,0)),
IF(AND(ISNUMBER(SEARCH("L-Dsty.",$B2))=TRUE,ISNUMBER(SEARCH("H-Res",$B2))=TRUE,ISNUMBER(SEARCH("C.",$B2))=TRUE),INDEX(nspray_LDHR_C,MATCH($F2,nspray_CROPS,0)),
IF(AND(ISNUMBER(SEARCH("L-Dsty.",$B2))=TRUE,ISNUMBER(SEARCH("L-Res",$B2))=TRUE,ISNUMBER(SEARCH("E.",$B2))=TRUE),INDEX(nspray_LDLR_E,MATCH($F2,nspray_CROPS,0)),
IF(AND(ISNUMBER(SEARCH("L-Dsty.",$B2))=TRUE,ISNUMBER(SEARCH("L-Res",$B2))=TRUE,ISNUMBER(SEARCH("N.",$B2))=TRUE),INDEX(nspray_LDLR_N,MATCH($F2,nspray_CROPS,0)),
IF(AND(ISNUMBER(SEARCH("L-Dsty.",$B2))=TRUE,ISNUMBER(SEARCH("L-Res",$B2))=TRUE,ISNUMBER(SEARCH("C.",$B2))=TRUE),INDEX(nspray_LDLR_C,MATCH($F2,nspray_CROPS,0))
)))))))))</f>
        <v>5</v>
      </c>
      <c r="BI2" s="234">
        <f t="shared" ref="BI2:BI55" si="12">IF(AND(ISNUMBER(SEARCH("H-Dsty.",$B2))=TRUE,ISNUMBER(SEARCH("H-Res",$B2))=TRUE,ISNUMBER(SEARCH("E.",$B2))=TRUE),INDEX(nspray_HDHR_E,MATCH($G2,nspray_CROPS,0)),
IF(AND(ISNUMBER(SEARCH("H-Dsty.",$B2))=TRUE,ISNUMBER(SEARCH("H-Res",$B2))=TRUE,ISNUMBER(SEARCH("N.",$B2))=TRUE),INDEX(nspray_HDHR_N,MATCH($G2,nspray_CROPS,0)),
IF(AND(ISNUMBER(SEARCH("H-Dsty.",$B2))=TRUE,ISNUMBER(SEARCH("H-Res",$B2))=TRUE,ISNUMBER(SEARCH("C.",$B2))=TRUE),INDEX(nspray_HDHR_C,MATCH($G2,nspray_CROPS,0)),
IF(AND(ISNUMBER(SEARCH("L-Dsty.",$B2))=TRUE,ISNUMBER(SEARCH("H-Res",$B2))=TRUE,ISNUMBER(SEARCH("E.",$B2))=TRUE),INDEX(nspray_LDHR_E,MATCH($G2,nspray_CROPS,0)),
IF(AND(ISNUMBER(SEARCH("L-Dsty.",$B2))=TRUE,ISNUMBER(SEARCH("H-Res",$B2))=TRUE,ISNUMBER(SEARCH("N.",$B2))=TRUE),INDEX(nspray_LDHR_N,MATCH($G2,nspray_CROPS,0)),
IF(AND(ISNUMBER(SEARCH("L-Dsty.",$B2))=TRUE,ISNUMBER(SEARCH("H-Res",$B2))=TRUE,ISNUMBER(SEARCH("C.",$B2))=TRUE),INDEX(nspray_LDHR_C,MATCH($G2,nspray_CROPS,0)),
IF(AND(ISNUMBER(SEARCH("L-Dsty.",$B2))=TRUE,ISNUMBER(SEARCH("L-Res",$B2))=TRUE,ISNUMBER(SEARCH("E.",$B2))=TRUE),INDEX(nspray_LDLR_E,MATCH($G2,nspray_CROPS,0)),
IF(AND(ISNUMBER(SEARCH("L-Dsty.",$B2))=TRUE,ISNUMBER(SEARCH("L-Res",$B2))=TRUE,ISNUMBER(SEARCH("N.",$B2))=TRUE),INDEX(nspray_LDLR_N,MATCH($G2,nspray_CROPS,0)),
IF(AND(ISNUMBER(SEARCH("L-Dsty.",$B2))=TRUE,ISNUMBER(SEARCH("L-Res",$B2))=TRUE,ISNUMBER(SEARCH("C.",$B2))=TRUE),INDEX(nspray_LDLR_C,MATCH($G2,nspray_CROPS,0))
)))))))))</f>
        <v>5</v>
      </c>
      <c r="BJ2" s="234">
        <f t="shared" ref="BJ2:BJ55" si="13">IF(AND(ISNUMBER(SEARCH("H-Dsty.",$B2))=TRUE,ISNUMBER(SEARCH("H-Res",$B2))=TRUE,ISNUMBER(SEARCH("E.",$B2))=TRUE),INDEX(nspray_HDHR_E,MATCH($H2,nspray_CROPS,0)),
IF(AND(ISNUMBER(SEARCH("H-Dsty.",$B2))=TRUE,ISNUMBER(SEARCH("H-Res",$B2))=TRUE,ISNUMBER(SEARCH("N.",$B2))=TRUE),INDEX(nspray_HDHR_N,MATCH($H2,nspray_CROPS,0)),
IF(AND(ISNUMBER(SEARCH("H-Dsty.",$B2))=TRUE,ISNUMBER(SEARCH("H-Res",$B2))=TRUE,ISNUMBER(SEARCH("C.",$B2))=TRUE),INDEX(nspray_HDHR_C,MATCH($H2,nspray_CROPS,0)),
IF(AND(ISNUMBER(SEARCH("L-Dsty.",$B2))=TRUE,ISNUMBER(SEARCH("H-Res",$B2))=TRUE,ISNUMBER(SEARCH("E.",$B2))=TRUE),INDEX(nspray_LDHR_E,MATCH($H2,nspray_CROPS,0)),
IF(AND(ISNUMBER(SEARCH("L-Dsty.",$B2))=TRUE,ISNUMBER(SEARCH("H-Res",$B2))=TRUE,ISNUMBER(SEARCH("N.",$B2))=TRUE),INDEX(nspray_LDHR_N,MATCH($H2,nspray_CROPS,0)),
IF(AND(ISNUMBER(SEARCH("L-Dsty.",$B2))=TRUE,ISNUMBER(SEARCH("H-Res",$B2))=TRUE,ISNUMBER(SEARCH("C.",$B2))=TRUE),INDEX(nspray_LDHR_C,MATCH($H2,nspray_CROPS,0)),
IF(AND(ISNUMBER(SEARCH("L-Dsty.",$B2))=TRUE,ISNUMBER(SEARCH("L-Res",$B2))=TRUE,ISNUMBER(SEARCH("E.",$B2))=TRUE),INDEX(nspray_LDLR_E,MATCH($H2,nspray_CROPS,0)),
IF(AND(ISNUMBER(SEARCH("L-Dsty.",$B2))=TRUE,ISNUMBER(SEARCH("L-Res",$B2))=TRUE,ISNUMBER(SEARCH("N.",$B2))=TRUE),INDEX(nspray_LDLR_N,MATCH($H2,nspray_CROPS,0)),
IF(AND(ISNUMBER(SEARCH("L-Dsty.",$B2))=TRUE,ISNUMBER(SEARCH("L-Res",$B2))=TRUE,ISNUMBER(SEARCH("C.",$B2))=TRUE),INDEX(nspray_LDLR_C,MATCH($H2,nspray_CROPS,0))
)))))))))</f>
        <v>6</v>
      </c>
      <c r="BK2" s="234">
        <f t="shared" ref="BK2:BK13" si="14">IF(AND(ISNUMBER(SEARCH("H-Dsty.",$B2))=TRUE,ISNUMBER(SEARCH("H-Res",$B2))=TRUE,ISNUMBER(SEARCH("E.",$B2))=TRUE),INDEX(nspray_HDHR_E,MATCH($I2,nspray_CROPS,0)),
IF(AND(ISNUMBER(SEARCH("H-Dsty.",$B2))=TRUE,ISNUMBER(SEARCH("H-Res",$B2))=TRUE,ISNUMBER(SEARCH("N.",$B2))=TRUE),INDEX(nspray_HDHR_N,MATCH($I2,nspray_CROPS,0)),
IF(AND(ISNUMBER(SEARCH("H-Dsty.",$B2))=TRUE,ISNUMBER(SEARCH("H-Res",$B2))=TRUE,ISNUMBER(SEARCH("C.",$B2))=TRUE),INDEX(nspray_HDHR_C,MATCH($I2,nspray_CROPS,0)),
IF(AND(ISNUMBER(SEARCH("L-Dsty.",$B2))=TRUE,ISNUMBER(SEARCH("H-Res",$B2))=TRUE,ISNUMBER(SEARCH("E.",$B2))=TRUE),INDEX(nspray_LDHR_E,MATCH($I2,nspray_CROPS,0)),
IF(AND(ISNUMBER(SEARCH("L-Dsty.",$B2))=TRUE,ISNUMBER(SEARCH("H-Res",$B2))=TRUE,ISNUMBER(SEARCH("N.",$B2))=TRUE),INDEX(nspray_LDHR_N,MATCH($I2,nspray_CROPS,0)),
IF(AND(ISNUMBER(SEARCH("L-Dsty.",$B2))=TRUE,ISNUMBER(SEARCH("H-Res",$B2))=TRUE,ISNUMBER(SEARCH("C.",$B2))=TRUE),INDEX(nspray_LDHR_C,MATCH($I2,nspray_CROPS,0)),
IF(AND(ISNUMBER(SEARCH("L-Dsty.",$B2))=TRUE,ISNUMBER(SEARCH("L-Res",$B2))=TRUE,ISNUMBER(SEARCH("E.",$B2))=TRUE),INDEX(nspray_LDLR_E,MATCH($I2,nspray_CROPS,0)),
IF(AND(ISNUMBER(SEARCH("L-Dsty.",$B2))=TRUE,ISNUMBER(SEARCH("L-Res",$B2))=TRUE,ISNUMBER(SEARCH("N.",$B2))=TRUE),INDEX(nspray_LDLR_N,MATCH($I2,nspray_CROPS,0)),
IF(AND(ISNUMBER(SEARCH("L-Dsty.",$B2))=TRUE,ISNUMBER(SEARCH("L-Res",$B2))=TRUE,ISNUMBER(SEARCH("C.",$B2))=TRUE),INDEX(nspray_LDLR_C,MATCH($I2,nspray_CROPS,0))
)))))))))</f>
        <v>4</v>
      </c>
      <c r="BL2" s="234">
        <f t="shared" ref="BL2:BL55" si="15">IF(AND(ISNUMBER(SEARCH("H-Dsty.",$B2))=TRUE,ISNUMBER(SEARCH("H-Res",$B2))=TRUE,ISNUMBER(SEARCH("E.",$B2))=TRUE),INDEX(nspray_HDHR_E,MATCH($J2,nspray_CROPS,0)),
IF(AND(ISNUMBER(SEARCH("H-Dsty.",$B2))=TRUE,ISNUMBER(SEARCH("H-Res",$B2))=TRUE,ISNUMBER(SEARCH("N.",$B2))=TRUE),INDEX(nspray_HDHR_N,MATCH($J2,nspray_CROPS,0)),
IF(AND(ISNUMBER(SEARCH("H-Dsty.",$B2))=TRUE,ISNUMBER(SEARCH("H-Res",$B2))=TRUE,ISNUMBER(SEARCH("C.",$B2))=TRUE),INDEX(nspray_HDHR_C,MATCH($J2,nspray_CROPS,0)),
IF(AND(ISNUMBER(SEARCH("L-Dsty.",$B2))=TRUE,ISNUMBER(SEARCH("H-Res",$B2))=TRUE,ISNUMBER(SEARCH("E.",$B2))=TRUE),INDEX(nspray_LDHR_E,MATCH($J2,nspray_CROPS,0)),
IF(AND(ISNUMBER(SEARCH("L-Dsty.",$B2))=TRUE,ISNUMBER(SEARCH("H-Res",$B2))=TRUE,ISNUMBER(SEARCH("N.",$B2))=TRUE),INDEX(nspray_LDHR_N,MATCH($J2,nspray_CROPS,0)),
IF(AND(ISNUMBER(SEARCH("L-Dsty.",$B2))=TRUE,ISNUMBER(SEARCH("H-Res",$B2))=TRUE,ISNUMBER(SEARCH("C.",$B2))=TRUE),INDEX(nspray_LDHR_C,MATCH($J2,nspray_CROPS,0)),
IF(AND(ISNUMBER(SEARCH("L-Dsty.",$B2))=TRUE,ISNUMBER(SEARCH("L-Res",$B2))=TRUE,ISNUMBER(SEARCH("E.",$B2))=TRUE),INDEX(nspray_LDLR_E,MATCH($J2,nspray_CROPS,0)),
IF(AND(ISNUMBER(SEARCH("L-Dsty.",$B2))=TRUE,ISNUMBER(SEARCH("L-Res",$B2))=TRUE,ISNUMBER(SEARCH("N.",$B2))=TRUE),INDEX(nspray_LDLR_N,MATCH($J2,nspray_CROPS,0)),
IF(AND(ISNUMBER(SEARCH("L-Dsty.",$B2))=TRUE,ISNUMBER(SEARCH("L-Res",$B2))=TRUE,ISNUMBER(SEARCH("C.",$B2))=TRUE),INDEX(nspray_LDLR_C,MATCH($J2,nspray_CROPS,0))
)))))))))</f>
        <v>6</v>
      </c>
      <c r="BM2" s="234">
        <f t="shared" ref="BM2:BM55" si="16">IF(AND(ISNUMBER(SEARCH("H-Dsty.",$B2))=TRUE,ISNUMBER(SEARCH("H-Res",$B2))=TRUE,ISNUMBER(SEARCH("E.",$B2))=TRUE),INDEX(nspray_HDHR_E,MATCH($K2,nspray_CROPS,0)),
IF(AND(ISNUMBER(SEARCH("H-Dsty.",$B2))=TRUE,ISNUMBER(SEARCH("H-Res",$B2))=TRUE,ISNUMBER(SEARCH("N.",$B2))=TRUE),INDEX(nspray_HDHR_N,MATCH($K2,nspray_CROPS,0)),
IF(AND(ISNUMBER(SEARCH("H-Dsty.",$B2))=TRUE,ISNUMBER(SEARCH("H-Res",$B2))=TRUE,ISNUMBER(SEARCH("C.",$B2))=TRUE),INDEX(nspray_HDHR_C,MATCH($K2,nspray_CROPS,0)),
IF(AND(ISNUMBER(SEARCH("L-Dsty.",$B2))=TRUE,ISNUMBER(SEARCH("H-Res",$B2))=TRUE,ISNUMBER(SEARCH("E.",$B2))=TRUE),INDEX(nspray_LDHR_E,MATCH($K2,nspray_CROPS,0)),
IF(AND(ISNUMBER(SEARCH("L-Dsty.",$B2))=TRUE,ISNUMBER(SEARCH("H-Res",$B2))=TRUE,ISNUMBER(SEARCH("N.",$B2))=TRUE),INDEX(nspray_LDHR_N,MATCH($K2,nspray_CROPS,0)),
IF(AND(ISNUMBER(SEARCH("L-Dsty.",$B2))=TRUE,ISNUMBER(SEARCH("H-Res",$B2))=TRUE,ISNUMBER(SEARCH("C.",$B2))=TRUE),INDEX(nspray_LDHR_C,MATCH($K2,nspray_CROPS,0)),
IF(AND(ISNUMBER(SEARCH("L-Dsty.",$B2))=TRUE,ISNUMBER(SEARCH("L-Res",$B2))=TRUE,ISNUMBER(SEARCH("E.",$B2))=TRUE),INDEX(nspray_LDLR_E,MATCH($K2,nspray_CROPS,0)),
IF(AND(ISNUMBER(SEARCH("L-Dsty.",$B2))=TRUE,ISNUMBER(SEARCH("L-Res",$B2))=TRUE,ISNUMBER(SEARCH("N.",$B2))=TRUE),INDEX(nspray_LDLR_N,MATCH($K2,nspray_CROPS,0)),
IF(AND(ISNUMBER(SEARCH("L-Dsty.",$B2))=TRUE,ISNUMBER(SEARCH("L-Res",$B2))=TRUE,ISNUMBER(SEARCH("C.",$B2))=TRUE),INDEX(nspray_LDLR_C,MATCH($K2,nspray_CROPS,0))
)))))))))</f>
        <v>5</v>
      </c>
      <c r="BN2" s="154" t="s">
        <v>483</v>
      </c>
      <c r="BO2" s="154" t="str">
        <f t="shared" ref="BO2:BO55" si="17">IF(ISNUMBER(SEARCH("VD",$C2))=TRUE,"veryhigh",
IF(ISNUMBER(SEARCH("HD",$C2))=TRUE,"high",
IF(ISNUMBER(SEARCH("MD",$C2))=TRUE,"medium",
"low")))</f>
        <v>high</v>
      </c>
      <c r="BP2" s="154" t="str">
        <f t="shared" ref="BP2:BP55" si="18">IF(ISNUMBER(SEARCH("VD",$C2))=TRUE,"high",
IF(ISNUMBER(SEARCH("HD",$C2))=TRUE,"medium","low"))</f>
        <v>medium</v>
      </c>
      <c r="BQ2" s="154" t="str">
        <f t="shared" ref="BQ2:BQ55" si="19">IF(ISNUMBER(SEARCH("VD",$C2))=TRUE,"medium",
IF(ISNUMBER(SEARCH("HD",$C2))=TRUE,"low","low"))</f>
        <v>low</v>
      </c>
      <c r="BR2" s="154" t="s">
        <v>182</v>
      </c>
      <c r="BS2" s="154" t="s">
        <v>182</v>
      </c>
      <c r="BT2" s="154" t="s">
        <v>182</v>
      </c>
      <c r="BU2" s="154">
        <f t="shared" ref="BU2:BU55" si="20">INDEX(cropdata, MATCH("Primary Yield Price",outputs,0), MATCH($F2,cropdatacrops,0))</f>
        <v>380</v>
      </c>
      <c r="BV2" s="154">
        <f t="shared" ref="BV2:BV55" si="21">INDEX(cropdata, MATCH("Primary Yield Price",outputs,0), MATCH($G2,cropdatacrops,0))</f>
        <v>185</v>
      </c>
      <c r="BW2" s="154">
        <f t="shared" ref="BW2:BW55" si="22">INDEX(cropdata, MATCH("Primary Yield Price",outputs,0), MATCH($H2,cropdatacrops,0))</f>
        <v>150</v>
      </c>
      <c r="BX2" s="238">
        <f t="shared" ref="BX2:BX55" si="23">INDEX(cropdata, MATCH("Primary Yield Price",outputs,0), MATCH($I2,cropdatacrops,0))</f>
        <v>140</v>
      </c>
      <c r="BY2" s="154">
        <f t="shared" ref="BY2:BY55" si="24">INDEX(cropdata, MATCH("Primary Yield Price",outputs,0), MATCH($J2,cropdatacrops,0))</f>
        <v>150</v>
      </c>
      <c r="BZ2" s="154">
        <f t="shared" ref="BZ2:BZ55" si="25">INDEX(cropdata, MATCH("Primary Yield Price",outputs,0), MATCH($K2,cropdatacrops,0))</f>
        <v>380</v>
      </c>
      <c r="CA2" s="356">
        <f t="array" ref="CA2">IF(yieldsetting2="estimate",0,INDEX(cropdata, MATCH(yieldsource,outputs,0), MATCH($F2,cropdatacrops,0)))</f>
        <v>1.75</v>
      </c>
      <c r="CB2" s="356">
        <f t="array" ref="CB2">IF(yieldsetting2="estimate",0,INDEX(cropdata, MATCH(yieldsource,outputs,0), MATCH($G2,cropdatacrops,0)))</f>
        <v>3.9</v>
      </c>
      <c r="CC2" s="356">
        <f t="array" ref="CC2">IF(yieldsetting2="estimate",0,INDEX(cropdata, MATCH(yieldsource,outputs,0), MATCH($H2,cropdatacrops,0)))</f>
        <v>8.6</v>
      </c>
      <c r="CD2" s="357">
        <f t="array" ref="CD2">IF(yieldsetting2="estimate",0,INDEX(cropdata, MATCH(yieldsource,outputs,0), MATCH($I2,cropdatacrops,0)))</f>
        <v>5.5</v>
      </c>
      <c r="CE2" s="356">
        <f t="array" ref="CE2">IF(yieldsetting2="estimate",0,INDEX(cropdata, MATCH(yieldsource,outputs,0), MATCH($J2,cropdatacrops,0)))</f>
        <v>8.6</v>
      </c>
      <c r="CF2" s="356">
        <f t="array" ref="CF2">IF(yieldsetting2="estimate",0,INDEX(cropdata, MATCH(yieldsource,outputs,0), MATCH($K2,cropdatacrops,0)))</f>
        <v>1.75</v>
      </c>
      <c r="CG2" s="238" t="str">
        <f t="shared" ref="CG2:CG33" si="26">yieldsetting2</f>
        <v>actual</v>
      </c>
      <c r="CH2" s="235">
        <f t="shared" ref="CH2:CH55" si="27">Nfertprice</f>
        <v>0.8</v>
      </c>
      <c r="CI2" s="235">
        <f t="shared" ref="CI2:CI55" si="28">Pfertprice</f>
        <v>0.72</v>
      </c>
      <c r="CJ2" s="154">
        <f t="shared" ref="CJ2:CJ55" si="29">Kfertprice</f>
        <v>0.46</v>
      </c>
      <c r="CK2" s="154">
        <f t="shared" ref="CK2:CK55" si="30">INDEX(cropdata, MATCH(seedprice,inputs,0), MATCH($F2,cropdatacrops,0))</f>
        <v>1.6</v>
      </c>
      <c r="CL2" s="154">
        <f t="shared" ref="CL2:CL55" si="31">INDEX(cropdata, MATCH(seedprice,inputs,0), MATCH($G2,cropdatacrops,0))</f>
        <v>0.38</v>
      </c>
      <c r="CM2" s="154">
        <f t="shared" ref="CM2:CM55" si="32">INDEX(cropdata, MATCH(seedprice,inputs,0), MATCH($H2,cropdatacrops,0))</f>
        <v>0.36</v>
      </c>
      <c r="CN2" s="238">
        <f t="shared" ref="CN2:CN55" si="33">INDEX(cropdata, MATCH(seedprice,inputs,0), MATCH($I2,cropdatacrops,0))</f>
        <v>0.38</v>
      </c>
      <c r="CO2" s="154">
        <f t="shared" ref="CO2:CO55" si="34">INDEX(cropdata, MATCH(seedprice,inputs,0), MATCH($J2,cropdatacrops,0))</f>
        <v>0.36</v>
      </c>
      <c r="CP2" s="154">
        <f t="shared" ref="CP2:CP55" si="35">INDEX(cropdata, MATCH(seedprice,inputs,0), MATCH($K2,cropdatacrops,0))</f>
        <v>1.6</v>
      </c>
      <c r="CQ2" s="154">
        <f t="shared" ref="CQ2:CV17" si="36">herbprice</f>
        <v>19.5</v>
      </c>
      <c r="CR2" s="154">
        <f t="shared" si="36"/>
        <v>19.5</v>
      </c>
      <c r="CS2" s="154">
        <f t="shared" si="36"/>
        <v>19.5</v>
      </c>
      <c r="CT2" s="154">
        <f t="shared" si="36"/>
        <v>19.5</v>
      </c>
      <c r="CU2" s="154">
        <f t="shared" si="36"/>
        <v>19.5</v>
      </c>
      <c r="CV2" s="154">
        <f t="shared" si="36"/>
        <v>19.5</v>
      </c>
      <c r="CW2" s="154">
        <f t="shared" ref="CW2:DB17" si="37">glyprice</f>
        <v>2.4300000000000002</v>
      </c>
      <c r="CX2" s="154">
        <f t="shared" si="37"/>
        <v>2.4300000000000002</v>
      </c>
      <c r="CY2" s="154">
        <f t="shared" si="37"/>
        <v>2.4300000000000002</v>
      </c>
      <c r="CZ2" s="154">
        <f t="shared" si="37"/>
        <v>2.4300000000000002</v>
      </c>
      <c r="DA2" s="154">
        <f t="shared" si="37"/>
        <v>2.4300000000000002</v>
      </c>
      <c r="DB2" s="154">
        <f t="shared" si="37"/>
        <v>2.4300000000000002</v>
      </c>
      <c r="DC2" s="154">
        <v>102</v>
      </c>
      <c r="DD2" s="154">
        <v>6</v>
      </c>
      <c r="DE2" s="154">
        <v>4</v>
      </c>
      <c r="DF2" s="154">
        <v>1400</v>
      </c>
      <c r="DG2" s="154">
        <v>125</v>
      </c>
      <c r="DH2" s="154">
        <f t="shared" ref="DH2:DH55" si="38">fuelprice</f>
        <v>0.625</v>
      </c>
      <c r="DI2" s="154">
        <f t="shared" ref="DI2:DI55" si="39">labour</f>
        <v>10.08</v>
      </c>
    </row>
    <row r="3" spans="1:113" x14ac:dyDescent="0.2">
      <c r="A3" s="331" t="s">
        <v>1717</v>
      </c>
      <c r="B3" s="330" t="s">
        <v>502</v>
      </c>
      <c r="C3" s="330" t="s">
        <v>1611</v>
      </c>
      <c r="D3" s="233" t="str">
        <f>ECOMOD_input_estimate!$D3</f>
        <v>2.25</v>
      </c>
      <c r="E3" s="385">
        <f>ECOMOD_input_estimate!$E3</f>
        <v>6</v>
      </c>
      <c r="F3" s="386" t="str">
        <f>ECOMOD_input_estimate!$F3</f>
        <v>springlinseed</v>
      </c>
      <c r="G3" s="282" t="str">
        <f>ECOMOD_input_estimate!$G3</f>
        <v>springbeans</v>
      </c>
      <c r="H3" s="282" t="str">
        <f>ECOMOD_input_estimate!$H3</f>
        <v>winterwheat</v>
      </c>
      <c r="I3" s="387" t="str">
        <f>ECOMOD_input_estimate!I3</f>
        <v>springoats</v>
      </c>
      <c r="J3" s="282" t="str">
        <f>ECOMOD_input_estimate!$J3</f>
        <v>winterwheat</v>
      </c>
      <c r="K3" s="282" t="str">
        <f>ECOMOD_input_estimate!$K3</f>
        <v>springlinseed</v>
      </c>
      <c r="L3" s="282" t="str">
        <f>ECOMOD_input_estimate!L3</f>
        <v>lightcultivation</v>
      </c>
      <c r="M3" s="282" t="str">
        <f>ECOMOD_input_estimate!M3</f>
        <v>subsoiling</v>
      </c>
      <c r="N3" s="282" t="str">
        <f>ECOMOD_input_estimate!N3</f>
        <v>lightcultivation</v>
      </c>
      <c r="O3" s="282" t="str">
        <f>ECOMOD_input_estimate!O3</f>
        <v>lightcultivation</v>
      </c>
      <c r="P3" s="387" t="str">
        <f>ECOMOD_input_estimate!P3</f>
        <v>inversion</v>
      </c>
      <c r="Q3" s="282" t="str">
        <f>ECOMOD_input_estimate!Q3</f>
        <v>lightcultivation</v>
      </c>
      <c r="R3" s="389">
        <f>ECOMOD_input_estimate!R3</f>
        <v>52</v>
      </c>
      <c r="S3" s="389">
        <f>ECOMOD_input_estimate!S3</f>
        <v>365</v>
      </c>
      <c r="T3" s="389">
        <f>ECOMOD_input_estimate!T3</f>
        <v>200</v>
      </c>
      <c r="U3" s="389">
        <f>ECOMOD_input_estimate!U3</f>
        <v>130</v>
      </c>
      <c r="V3" s="389">
        <f>ECOMOD_input_estimate!V3</f>
        <v>200</v>
      </c>
      <c r="W3" s="389">
        <f>ECOMOD_input_estimate!W3</f>
        <v>52</v>
      </c>
      <c r="X3" s="282" t="str">
        <f>ECOMOD_input_estimate!X3</f>
        <v>no</v>
      </c>
      <c r="Y3" s="282" t="str">
        <f>ECOMOD_input_estimate!Y3</f>
        <v>no</v>
      </c>
      <c r="Z3" s="282" t="str">
        <f>ECOMOD_input_estimate!Z3</f>
        <v>late</v>
      </c>
      <c r="AA3" s="387" t="str">
        <f>ECOMOD_input_estimate!AA3</f>
        <v>no</v>
      </c>
      <c r="AB3" s="282" t="str">
        <f>ECOMOD_input_estimate!AB3</f>
        <v>late</v>
      </c>
      <c r="AC3" s="282" t="str">
        <f>ECOMOD_input_estimate!AC3</f>
        <v>no</v>
      </c>
      <c r="AD3" s="389">
        <f>ECOMOD_input_estimate!AD3</f>
        <v>80</v>
      </c>
      <c r="AE3" s="389">
        <f>ECOMOD_input_estimate!AE3</f>
        <v>0</v>
      </c>
      <c r="AF3" s="389">
        <f>ECOMOD_input_estimate!AF3</f>
        <v>220</v>
      </c>
      <c r="AG3" s="390">
        <f>ECOMOD_input_estimate!AG3</f>
        <v>100</v>
      </c>
      <c r="AH3" s="389">
        <f>ECOMOD_input_estimate!AH3</f>
        <v>220</v>
      </c>
      <c r="AI3" s="389">
        <f>ECOMOD_input_estimate!AI3</f>
        <v>80</v>
      </c>
      <c r="AJ3" s="389">
        <f>ECOMOD_input_estimate!AJ3</f>
        <v>30</v>
      </c>
      <c r="AK3" s="389">
        <f>ECOMOD_input_estimate!AK3</f>
        <v>43</v>
      </c>
      <c r="AL3" s="389">
        <f>ECOMOD_input_estimate!AL3</f>
        <v>67</v>
      </c>
      <c r="AM3" s="390">
        <f>ECOMOD_input_estimate!AM3</f>
        <v>43</v>
      </c>
      <c r="AN3" s="389">
        <f>ECOMOD_input_estimate!AN3</f>
        <v>67</v>
      </c>
      <c r="AO3" s="389">
        <f>ECOMOD_input_estimate!AO3</f>
        <v>30</v>
      </c>
      <c r="AP3" s="389">
        <f>ECOMOD_input_estimate!AP3</f>
        <v>10</v>
      </c>
      <c r="AQ3" s="389">
        <f>ECOMOD_input_estimate!AQ3</f>
        <v>47</v>
      </c>
      <c r="AR3" s="389">
        <f>ECOMOD_input_estimate!AR3</f>
        <v>48</v>
      </c>
      <c r="AS3" s="390">
        <f>ECOMOD_input_estimate!AS3</f>
        <v>31</v>
      </c>
      <c r="AT3" s="389">
        <f>ECOMOD_input_estimate!AT3</f>
        <v>48</v>
      </c>
      <c r="AU3" s="389">
        <f>ECOMOD_input_estimate!AU3</f>
        <v>10</v>
      </c>
      <c r="AV3" s="234">
        <f t="shared" ref="AV3:AV19" si="40">IF(AND(ISNUMBER(SEARCH("H-Dsty.",$B3))=TRUE,ISNUMBER(SEARCH("H-Res",$B3))=TRUE,ISNUMBER(SEARCH("E.",$B3))=TRUE),INDEX(BGherb_HDHR_E,MATCH($F3,BGherb_CROPS,0)),
IF(AND(ISNUMBER(SEARCH("H-Dsty.",$B3))=TRUE,ISNUMBER(SEARCH("H-Res",$B3))=TRUE,ISNUMBER(SEARCH("N.",$B3))=TRUE),INDEX(BGherb_HDHR_N,MATCH($F3,BGherb_CROPS,0)),
IF(AND(ISNUMBER(SEARCH("H-Dsty.",$B3))=TRUE,ISNUMBER(SEARCH("H-Res",$B3))=TRUE,ISNUMBER(SEARCH("C.",$B3))=TRUE),INDEX(BGherb_HDHR_C,MATCH($F3,BGherb_CROPS,0)),
IF(AND(ISNUMBER(SEARCH("L-Dsty.",$B3))=TRUE,ISNUMBER(SEARCH("H-Res",$B3))=TRUE,ISNUMBER(SEARCH("E.",$B3))=TRUE),INDEX(BGherb_LDHR_E,MATCH($F3,BGherb_CROPS,0)),
IF(AND(ISNUMBER(SEARCH("L-Dsty.",$B3))=TRUE,ISNUMBER(SEARCH("H-Res",$B3))=TRUE,ISNUMBER(SEARCH("N.",$B3))=TRUE),INDEX(BGherb_LDHR_N,MATCH($F3,BGherb_CROPS,0)),
IF(AND(ISNUMBER(SEARCH("L-Dsty.",$B3))=TRUE,ISNUMBER(SEARCH("H-Res",$B3))=TRUE,ISNUMBER(SEARCH("C.",$B3))=TRUE),INDEX(BGherb_LDHR_C,MATCH($F3,BGherb_CROPS,0)),
IF(AND(ISNUMBER(SEARCH("L-Dsty.",$B3))=TRUE,ISNUMBER(SEARCH("L-Res",$B3))=TRUE,ISNUMBER(SEARCH("E.",$B3))=TRUE),INDEX(BGherb_LDLR_E,MATCH($F3,BGherb_CROPS,0)),
IF(AND(ISNUMBER(SEARCH("L-Dsty.",$B3))=TRUE,ISNUMBER(SEARCH("L-Res",$B3))=TRUE,ISNUMBER(SEARCH("N.",$B3))=TRUE),INDEX(BGherb_LDLR_N,MATCH($F3,BGherb_CROPS,0)),
IF(AND(ISNUMBER(SEARCH("L-Dsty.",$B3))=TRUE,ISNUMBER(SEARCH("L-Res",$B3))=TRUE,ISNUMBER(SEARCH("C.",$B3))=TRUE),INDEX(BGherb_LDLR_C,MATCH($F3,BGherb_CROPS,0))
)))))))))</f>
        <v>5</v>
      </c>
      <c r="AW3" s="234">
        <f t="shared" si="0"/>
        <v>9</v>
      </c>
      <c r="AX3" s="234">
        <f t="shared" si="1"/>
        <v>10.84</v>
      </c>
      <c r="AY3" s="234">
        <f t="shared" si="2"/>
        <v>0.25</v>
      </c>
      <c r="AZ3" s="234">
        <f t="shared" si="3"/>
        <v>10.84</v>
      </c>
      <c r="BA3" s="234">
        <f t="shared" si="4"/>
        <v>5</v>
      </c>
      <c r="BB3" s="234">
        <f t="shared" si="5"/>
        <v>9.3000000000000007</v>
      </c>
      <c r="BC3" s="234">
        <f t="shared" si="6"/>
        <v>8.3000000000000007</v>
      </c>
      <c r="BD3" s="234">
        <f t="shared" si="7"/>
        <v>6.3</v>
      </c>
      <c r="BE3" s="234">
        <f t="shared" si="8"/>
        <v>6.3</v>
      </c>
      <c r="BF3" s="234">
        <f t="shared" si="9"/>
        <v>6.3</v>
      </c>
      <c r="BG3" s="234">
        <f t="shared" si="10"/>
        <v>9.3000000000000007</v>
      </c>
      <c r="BH3" s="234">
        <f t="shared" si="11"/>
        <v>5</v>
      </c>
      <c r="BI3" s="234">
        <f t="shared" si="12"/>
        <v>5</v>
      </c>
      <c r="BJ3" s="234">
        <f t="shared" si="13"/>
        <v>6</v>
      </c>
      <c r="BK3" s="234">
        <f t="shared" si="14"/>
        <v>4</v>
      </c>
      <c r="BL3" s="234">
        <f t="shared" si="15"/>
        <v>6</v>
      </c>
      <c r="BM3" s="234">
        <f t="shared" si="16"/>
        <v>5</v>
      </c>
      <c r="BN3" s="154" t="s">
        <v>483</v>
      </c>
      <c r="BO3" s="154" t="str">
        <f t="shared" si="17"/>
        <v>veryhigh</v>
      </c>
      <c r="BP3" s="154" t="str">
        <f t="shared" si="18"/>
        <v>high</v>
      </c>
      <c r="BQ3" s="154" t="str">
        <f t="shared" si="19"/>
        <v>medium</v>
      </c>
      <c r="BR3" s="154" t="s">
        <v>182</v>
      </c>
      <c r="BS3" s="154" t="s">
        <v>182</v>
      </c>
      <c r="BT3" s="154" t="s">
        <v>182</v>
      </c>
      <c r="BU3" s="154">
        <f t="shared" si="20"/>
        <v>380</v>
      </c>
      <c r="BV3" s="154">
        <f t="shared" si="21"/>
        <v>185</v>
      </c>
      <c r="BW3" s="154">
        <f t="shared" si="22"/>
        <v>150</v>
      </c>
      <c r="BX3" s="238">
        <f t="shared" si="23"/>
        <v>140</v>
      </c>
      <c r="BY3" s="154">
        <f t="shared" si="24"/>
        <v>150</v>
      </c>
      <c r="BZ3" s="154">
        <f t="shared" si="25"/>
        <v>380</v>
      </c>
      <c r="CA3" s="356">
        <f t="array" ref="CA3">IF(yieldsetting2="estimate",0,INDEX(cropdata, MATCH(yieldsource,outputs,0), MATCH($F3,cropdatacrops,0)))</f>
        <v>1.75</v>
      </c>
      <c r="CB3" s="356">
        <f t="array" ref="CB3">IF(yieldsetting2="estimate",0,INDEX(cropdata, MATCH(yieldsource,outputs,0), MATCH($G3,cropdatacrops,0)))</f>
        <v>3.9</v>
      </c>
      <c r="CC3" s="356">
        <f t="array" ref="CC3">IF(yieldsetting2="estimate",0,INDEX(cropdata, MATCH(yieldsource,outputs,0), MATCH($H3,cropdatacrops,0)))</f>
        <v>8.6</v>
      </c>
      <c r="CD3" s="357">
        <f t="array" ref="CD3">IF(yieldsetting2="estimate",0,INDEX(cropdata, MATCH(yieldsource,outputs,0), MATCH($I3,cropdatacrops,0)))</f>
        <v>5.5</v>
      </c>
      <c r="CE3" s="356">
        <f t="array" ref="CE3">IF(yieldsetting2="estimate",0,INDEX(cropdata, MATCH(yieldsource,outputs,0), MATCH($J3,cropdatacrops,0)))</f>
        <v>8.6</v>
      </c>
      <c r="CF3" s="356">
        <f t="array" ref="CF3">IF(yieldsetting2="estimate",0,INDEX(cropdata, MATCH(yieldsource,outputs,0), MATCH($K3,cropdatacrops,0)))</f>
        <v>1.75</v>
      </c>
      <c r="CG3" s="154" t="str">
        <f t="shared" si="26"/>
        <v>actual</v>
      </c>
      <c r="CH3" s="235">
        <f t="shared" si="27"/>
        <v>0.8</v>
      </c>
      <c r="CI3" s="235">
        <f t="shared" si="28"/>
        <v>0.72</v>
      </c>
      <c r="CJ3" s="154">
        <f t="shared" si="29"/>
        <v>0.46</v>
      </c>
      <c r="CK3" s="154">
        <f t="shared" si="30"/>
        <v>1.6</v>
      </c>
      <c r="CL3" s="154">
        <f t="shared" si="31"/>
        <v>0.38</v>
      </c>
      <c r="CM3" s="154">
        <f t="shared" si="32"/>
        <v>0.36</v>
      </c>
      <c r="CN3" s="238">
        <f t="shared" si="33"/>
        <v>0.38</v>
      </c>
      <c r="CO3" s="154">
        <f t="shared" si="34"/>
        <v>0.36</v>
      </c>
      <c r="CP3" s="154">
        <f t="shared" si="35"/>
        <v>1.6</v>
      </c>
      <c r="CQ3" s="154">
        <f t="shared" si="36"/>
        <v>19.5</v>
      </c>
      <c r="CR3" s="154">
        <f t="shared" si="36"/>
        <v>19.5</v>
      </c>
      <c r="CS3" s="154">
        <f t="shared" si="36"/>
        <v>19.5</v>
      </c>
      <c r="CT3" s="154">
        <f t="shared" si="36"/>
        <v>19.5</v>
      </c>
      <c r="CU3" s="154">
        <f t="shared" si="36"/>
        <v>19.5</v>
      </c>
      <c r="CV3" s="154">
        <f t="shared" si="36"/>
        <v>19.5</v>
      </c>
      <c r="CW3" s="154">
        <f t="shared" si="37"/>
        <v>2.4300000000000002</v>
      </c>
      <c r="CX3" s="154">
        <f t="shared" si="37"/>
        <v>2.4300000000000002</v>
      </c>
      <c r="CY3" s="154">
        <f t="shared" si="37"/>
        <v>2.4300000000000002</v>
      </c>
      <c r="CZ3" s="154">
        <f t="shared" si="37"/>
        <v>2.4300000000000002</v>
      </c>
      <c r="DA3" s="154">
        <f t="shared" si="37"/>
        <v>2.4300000000000002</v>
      </c>
      <c r="DB3" s="154">
        <f t="shared" si="37"/>
        <v>2.4300000000000002</v>
      </c>
      <c r="DC3" s="154">
        <v>102</v>
      </c>
      <c r="DD3" s="154">
        <v>6</v>
      </c>
      <c r="DE3" s="154">
        <v>4</v>
      </c>
      <c r="DF3" s="154">
        <v>1400</v>
      </c>
      <c r="DG3" s="154">
        <v>125</v>
      </c>
      <c r="DH3" s="154">
        <f t="shared" si="38"/>
        <v>0.625</v>
      </c>
      <c r="DI3" s="154">
        <f t="shared" si="39"/>
        <v>10.08</v>
      </c>
    </row>
    <row r="4" spans="1:113" ht="15" customHeight="1" x14ac:dyDescent="0.2">
      <c r="A4" s="331" t="s">
        <v>1718</v>
      </c>
      <c r="B4" s="330" t="s">
        <v>505</v>
      </c>
      <c r="C4" s="330" t="s">
        <v>1612</v>
      </c>
      <c r="D4" s="233" t="str">
        <f>ECOMOD_input_estimate!$D4</f>
        <v>1.50</v>
      </c>
      <c r="E4" s="385">
        <f>ECOMOD_input_estimate!$E4</f>
        <v>6</v>
      </c>
      <c r="F4" s="386" t="str">
        <f>ECOMOD_input_estimate!$F4</f>
        <v>springlinseed</v>
      </c>
      <c r="G4" s="282" t="str">
        <f>ECOMOD_input_estimate!$G4</f>
        <v>springbeans</v>
      </c>
      <c r="H4" s="282" t="str">
        <f>ECOMOD_input_estimate!$H4</f>
        <v>winterwheat</v>
      </c>
      <c r="I4" s="387" t="str">
        <f>ECOMOD_input_estimate!I4</f>
        <v>springoats</v>
      </c>
      <c r="J4" s="282" t="str">
        <f>ECOMOD_input_estimate!$J4</f>
        <v>winterwheat</v>
      </c>
      <c r="K4" s="282" t="str">
        <f>ECOMOD_input_estimate!$K4</f>
        <v>springlinseed</v>
      </c>
      <c r="L4" s="282" t="str">
        <f>ECOMOD_input_estimate!L4</f>
        <v>lightcultivation</v>
      </c>
      <c r="M4" s="282" t="str">
        <f>ECOMOD_input_estimate!M4</f>
        <v>subsoiling</v>
      </c>
      <c r="N4" s="282" t="str">
        <f>ECOMOD_input_estimate!N4</f>
        <v>lightcultivation</v>
      </c>
      <c r="O4" s="282" t="str">
        <f>ECOMOD_input_estimate!O4</f>
        <v>lightcultivation</v>
      </c>
      <c r="P4" s="387" t="str">
        <f>ECOMOD_input_estimate!P4</f>
        <v>inversion</v>
      </c>
      <c r="Q4" s="282" t="str">
        <f>ECOMOD_input_estimate!Q4</f>
        <v>lightcultivation</v>
      </c>
      <c r="R4" s="389">
        <f>ECOMOD_input_estimate!R4</f>
        <v>52</v>
      </c>
      <c r="S4" s="389">
        <f>ECOMOD_input_estimate!S4</f>
        <v>365</v>
      </c>
      <c r="T4" s="389">
        <f>ECOMOD_input_estimate!T4</f>
        <v>200</v>
      </c>
      <c r="U4" s="390">
        <f>ECOMOD_input_estimate!U4</f>
        <v>130</v>
      </c>
      <c r="V4" s="389">
        <f>ECOMOD_input_estimate!V4</f>
        <v>200</v>
      </c>
      <c r="W4" s="389">
        <f>ECOMOD_input_estimate!W4</f>
        <v>52</v>
      </c>
      <c r="X4" s="282" t="str">
        <f>ECOMOD_input_estimate!X4</f>
        <v>no</v>
      </c>
      <c r="Y4" s="282" t="str">
        <f>ECOMOD_input_estimate!Y4</f>
        <v>no</v>
      </c>
      <c r="Z4" s="282" t="str">
        <f>ECOMOD_input_estimate!Z4</f>
        <v>late</v>
      </c>
      <c r="AA4" s="387" t="str">
        <f>ECOMOD_input_estimate!AA4</f>
        <v>no</v>
      </c>
      <c r="AB4" s="282" t="str">
        <f>ECOMOD_input_estimate!AB4</f>
        <v>late</v>
      </c>
      <c r="AC4" s="282" t="str">
        <f>ECOMOD_input_estimate!AC4</f>
        <v>no</v>
      </c>
      <c r="AD4" s="389">
        <f>ECOMOD_input_estimate!AD4</f>
        <v>80</v>
      </c>
      <c r="AE4" s="389">
        <f>ECOMOD_input_estimate!AE4</f>
        <v>0</v>
      </c>
      <c r="AF4" s="389">
        <f>ECOMOD_input_estimate!AF4</f>
        <v>220</v>
      </c>
      <c r="AG4" s="390">
        <f>ECOMOD_input_estimate!AG4</f>
        <v>100</v>
      </c>
      <c r="AH4" s="389">
        <f>ECOMOD_input_estimate!AH4</f>
        <v>220</v>
      </c>
      <c r="AI4" s="389">
        <f>ECOMOD_input_estimate!AI4</f>
        <v>80</v>
      </c>
      <c r="AJ4" s="389">
        <f>ECOMOD_input_estimate!AJ4</f>
        <v>30</v>
      </c>
      <c r="AK4" s="389">
        <f>ECOMOD_input_estimate!AK4</f>
        <v>43</v>
      </c>
      <c r="AL4" s="389">
        <f>ECOMOD_input_estimate!AL4</f>
        <v>67</v>
      </c>
      <c r="AM4" s="390">
        <f>ECOMOD_input_estimate!AM4</f>
        <v>43</v>
      </c>
      <c r="AN4" s="389">
        <f>ECOMOD_input_estimate!AN4</f>
        <v>67</v>
      </c>
      <c r="AO4" s="389">
        <f>ECOMOD_input_estimate!AO4</f>
        <v>30</v>
      </c>
      <c r="AP4" s="389">
        <f>ECOMOD_input_estimate!AP4</f>
        <v>10</v>
      </c>
      <c r="AQ4" s="389">
        <f>ECOMOD_input_estimate!AQ4</f>
        <v>47</v>
      </c>
      <c r="AR4" s="389">
        <f>ECOMOD_input_estimate!AR4</f>
        <v>48</v>
      </c>
      <c r="AS4" s="390">
        <f>ECOMOD_input_estimate!AS4</f>
        <v>31</v>
      </c>
      <c r="AT4" s="389">
        <f>ECOMOD_input_estimate!AT4</f>
        <v>48</v>
      </c>
      <c r="AU4" s="389">
        <f>ECOMOD_input_estimate!AU4</f>
        <v>10</v>
      </c>
      <c r="AV4" s="234">
        <f t="shared" si="40"/>
        <v>5</v>
      </c>
      <c r="AW4" s="234">
        <f t="shared" si="0"/>
        <v>9</v>
      </c>
      <c r="AX4" s="234">
        <f t="shared" si="1"/>
        <v>10.84</v>
      </c>
      <c r="AY4" s="234">
        <f t="shared" si="2"/>
        <v>0.25</v>
      </c>
      <c r="AZ4" s="234">
        <f t="shared" si="3"/>
        <v>10.84</v>
      </c>
      <c r="BA4" s="234">
        <f t="shared" si="4"/>
        <v>5</v>
      </c>
      <c r="BB4" s="234">
        <f t="shared" si="5"/>
        <v>9.3000000000000007</v>
      </c>
      <c r="BC4" s="234">
        <f t="shared" si="6"/>
        <v>8.3000000000000007</v>
      </c>
      <c r="BD4" s="234">
        <f t="shared" si="7"/>
        <v>6.3</v>
      </c>
      <c r="BE4" s="234">
        <f t="shared" si="8"/>
        <v>6.3</v>
      </c>
      <c r="BF4" s="234">
        <f t="shared" si="9"/>
        <v>6.3</v>
      </c>
      <c r="BG4" s="234">
        <f t="shared" si="10"/>
        <v>9.3000000000000007</v>
      </c>
      <c r="BH4" s="234">
        <f t="shared" si="11"/>
        <v>5</v>
      </c>
      <c r="BI4" s="234">
        <f t="shared" si="12"/>
        <v>5</v>
      </c>
      <c r="BJ4" s="234">
        <f t="shared" si="13"/>
        <v>6</v>
      </c>
      <c r="BK4" s="234">
        <f t="shared" si="14"/>
        <v>4</v>
      </c>
      <c r="BL4" s="234">
        <f t="shared" si="15"/>
        <v>6</v>
      </c>
      <c r="BM4" s="234">
        <f t="shared" si="16"/>
        <v>5</v>
      </c>
      <c r="BN4" s="154" t="s">
        <v>483</v>
      </c>
      <c r="BO4" s="154" t="str">
        <f t="shared" si="17"/>
        <v>high</v>
      </c>
      <c r="BP4" s="154" t="str">
        <f t="shared" si="18"/>
        <v>medium</v>
      </c>
      <c r="BQ4" s="154" t="str">
        <f t="shared" si="19"/>
        <v>low</v>
      </c>
      <c r="BR4" s="154" t="s">
        <v>183</v>
      </c>
      <c r="BS4" s="154" t="s">
        <v>183</v>
      </c>
      <c r="BT4" s="154" t="s">
        <v>183</v>
      </c>
      <c r="BU4" s="154">
        <f t="shared" si="20"/>
        <v>380</v>
      </c>
      <c r="BV4" s="154">
        <f t="shared" si="21"/>
        <v>185</v>
      </c>
      <c r="BW4" s="154">
        <f t="shared" si="22"/>
        <v>150</v>
      </c>
      <c r="BX4" s="238">
        <f t="shared" si="23"/>
        <v>140</v>
      </c>
      <c r="BY4" s="154">
        <f t="shared" si="24"/>
        <v>150</v>
      </c>
      <c r="BZ4" s="154">
        <f t="shared" si="25"/>
        <v>380</v>
      </c>
      <c r="CA4" s="356">
        <f t="array" ref="CA4">IF(yieldsetting2="estimate",0,INDEX(cropdata, MATCH(yieldsource,outputs,0), MATCH($F4,cropdatacrops,0)))</f>
        <v>1.75</v>
      </c>
      <c r="CB4" s="356">
        <f t="array" ref="CB4">IF(yieldsetting2="estimate",0,INDEX(cropdata, MATCH(yieldsource,outputs,0), MATCH($G4,cropdatacrops,0)))</f>
        <v>3.9</v>
      </c>
      <c r="CC4" s="356">
        <f t="array" ref="CC4">IF(yieldsetting2="estimate",0,INDEX(cropdata, MATCH(yieldsource,outputs,0), MATCH($H4,cropdatacrops,0)))</f>
        <v>8.6</v>
      </c>
      <c r="CD4" s="357">
        <f t="array" ref="CD4">IF(yieldsetting2="estimate",0,INDEX(cropdata, MATCH(yieldsource,outputs,0), MATCH($I4,cropdatacrops,0)))</f>
        <v>5.5</v>
      </c>
      <c r="CE4" s="356">
        <f t="array" ref="CE4">IF(yieldsetting2="estimate",0,INDEX(cropdata, MATCH(yieldsource,outputs,0), MATCH($J4,cropdatacrops,0)))</f>
        <v>8.6</v>
      </c>
      <c r="CF4" s="356">
        <f t="array" ref="CF4">IF(yieldsetting2="estimate",0,INDEX(cropdata, MATCH(yieldsource,outputs,0), MATCH($K4,cropdatacrops,0)))</f>
        <v>1.75</v>
      </c>
      <c r="CG4" s="154" t="str">
        <f t="shared" si="26"/>
        <v>actual</v>
      </c>
      <c r="CH4" s="235">
        <f t="shared" si="27"/>
        <v>0.8</v>
      </c>
      <c r="CI4" s="235">
        <f t="shared" si="28"/>
        <v>0.72</v>
      </c>
      <c r="CJ4" s="154">
        <f t="shared" si="29"/>
        <v>0.46</v>
      </c>
      <c r="CK4" s="154">
        <f t="shared" si="30"/>
        <v>1.6</v>
      </c>
      <c r="CL4" s="154">
        <f t="shared" si="31"/>
        <v>0.38</v>
      </c>
      <c r="CM4" s="154">
        <f t="shared" si="32"/>
        <v>0.36</v>
      </c>
      <c r="CN4" s="238">
        <f t="shared" si="33"/>
        <v>0.38</v>
      </c>
      <c r="CO4" s="154">
        <f t="shared" si="34"/>
        <v>0.36</v>
      </c>
      <c r="CP4" s="154">
        <f t="shared" si="35"/>
        <v>1.6</v>
      </c>
      <c r="CQ4" s="154">
        <f t="shared" si="36"/>
        <v>19.5</v>
      </c>
      <c r="CR4" s="154">
        <f t="shared" si="36"/>
        <v>19.5</v>
      </c>
      <c r="CS4" s="154">
        <f t="shared" si="36"/>
        <v>19.5</v>
      </c>
      <c r="CT4" s="154">
        <f t="shared" si="36"/>
        <v>19.5</v>
      </c>
      <c r="CU4" s="154">
        <f t="shared" si="36"/>
        <v>19.5</v>
      </c>
      <c r="CV4" s="154">
        <f t="shared" si="36"/>
        <v>19.5</v>
      </c>
      <c r="CW4" s="154">
        <f t="shared" si="37"/>
        <v>2.4300000000000002</v>
      </c>
      <c r="CX4" s="154">
        <f t="shared" si="37"/>
        <v>2.4300000000000002</v>
      </c>
      <c r="CY4" s="154">
        <f t="shared" si="37"/>
        <v>2.4300000000000002</v>
      </c>
      <c r="CZ4" s="154">
        <f t="shared" si="37"/>
        <v>2.4300000000000002</v>
      </c>
      <c r="DA4" s="154">
        <f t="shared" si="37"/>
        <v>2.4300000000000002</v>
      </c>
      <c r="DB4" s="154">
        <f t="shared" si="37"/>
        <v>2.4300000000000002</v>
      </c>
      <c r="DC4" s="154">
        <v>102</v>
      </c>
      <c r="DD4" s="154">
        <v>6</v>
      </c>
      <c r="DE4" s="154">
        <v>4</v>
      </c>
      <c r="DF4" s="154">
        <v>1400</v>
      </c>
      <c r="DG4" s="154">
        <v>125</v>
      </c>
      <c r="DH4" s="154">
        <f t="shared" si="38"/>
        <v>0.625</v>
      </c>
      <c r="DI4" s="154">
        <f t="shared" si="39"/>
        <v>10.08</v>
      </c>
    </row>
    <row r="5" spans="1:113" x14ac:dyDescent="0.2">
      <c r="A5" s="331" t="s">
        <v>1719</v>
      </c>
      <c r="B5" s="330" t="s">
        <v>505</v>
      </c>
      <c r="C5" s="330" t="s">
        <v>1613</v>
      </c>
      <c r="D5" s="233" t="str">
        <f>ECOMOD_input_estimate!$D5</f>
        <v>1.50</v>
      </c>
      <c r="E5" s="385">
        <f>ECOMOD_input_estimate!$E5</f>
        <v>6</v>
      </c>
      <c r="F5" s="386" t="str">
        <f>ECOMOD_input_estimate!$F5</f>
        <v>springlinseed</v>
      </c>
      <c r="G5" s="282" t="str">
        <f>ECOMOD_input_estimate!$G5</f>
        <v>springbeans</v>
      </c>
      <c r="H5" s="282" t="str">
        <f>ECOMOD_input_estimate!$H5</f>
        <v>winterwheat</v>
      </c>
      <c r="I5" s="387" t="str">
        <f>ECOMOD_input_estimate!I5</f>
        <v>springoats</v>
      </c>
      <c r="J5" s="282" t="str">
        <f>ECOMOD_input_estimate!$J5</f>
        <v>winterwheat</v>
      </c>
      <c r="K5" s="282" t="str">
        <f>ECOMOD_input_estimate!$K5</f>
        <v>springlinseed</v>
      </c>
      <c r="L5" s="282" t="str">
        <f>ECOMOD_input_estimate!L5</f>
        <v>lightcultivation</v>
      </c>
      <c r="M5" s="282" t="str">
        <f>ECOMOD_input_estimate!M5</f>
        <v>subsoiling</v>
      </c>
      <c r="N5" s="282" t="str">
        <f>ECOMOD_input_estimate!N5</f>
        <v>lightcultivation</v>
      </c>
      <c r="O5" s="282" t="str">
        <f>ECOMOD_input_estimate!O5</f>
        <v>lightcultivation</v>
      </c>
      <c r="P5" s="387" t="str">
        <f>ECOMOD_input_estimate!P5</f>
        <v>inversion</v>
      </c>
      <c r="Q5" s="282" t="str">
        <f>ECOMOD_input_estimate!Q5</f>
        <v>lightcultivation</v>
      </c>
      <c r="R5" s="389">
        <f>ECOMOD_input_estimate!R5</f>
        <v>52</v>
      </c>
      <c r="S5" s="389">
        <f>ECOMOD_input_estimate!S5</f>
        <v>365</v>
      </c>
      <c r="T5" s="389">
        <f>ECOMOD_input_estimate!T5</f>
        <v>200</v>
      </c>
      <c r="U5" s="390">
        <f>ECOMOD_input_estimate!U5</f>
        <v>130</v>
      </c>
      <c r="V5" s="389">
        <f>ECOMOD_input_estimate!V5</f>
        <v>200</v>
      </c>
      <c r="W5" s="389">
        <f>ECOMOD_input_estimate!W5</f>
        <v>52</v>
      </c>
      <c r="X5" s="282" t="str">
        <f>ECOMOD_input_estimate!X5</f>
        <v>no</v>
      </c>
      <c r="Y5" s="282" t="str">
        <f>ECOMOD_input_estimate!Y5</f>
        <v>no</v>
      </c>
      <c r="Z5" s="282" t="str">
        <f>ECOMOD_input_estimate!Z5</f>
        <v>late</v>
      </c>
      <c r="AA5" s="387" t="str">
        <f>ECOMOD_input_estimate!AA5</f>
        <v>no</v>
      </c>
      <c r="AB5" s="282" t="str">
        <f>ECOMOD_input_estimate!AB5</f>
        <v>late</v>
      </c>
      <c r="AC5" s="282" t="str">
        <f>ECOMOD_input_estimate!AC5</f>
        <v>no</v>
      </c>
      <c r="AD5" s="389">
        <f>ECOMOD_input_estimate!AD5</f>
        <v>80</v>
      </c>
      <c r="AE5" s="389">
        <f>ECOMOD_input_estimate!AE5</f>
        <v>0</v>
      </c>
      <c r="AF5" s="389">
        <f>ECOMOD_input_estimate!AF5</f>
        <v>220</v>
      </c>
      <c r="AG5" s="390">
        <f>ECOMOD_input_estimate!AG5</f>
        <v>100</v>
      </c>
      <c r="AH5" s="389">
        <f>ECOMOD_input_estimate!AH5</f>
        <v>220</v>
      </c>
      <c r="AI5" s="389">
        <f>ECOMOD_input_estimate!AI5</f>
        <v>80</v>
      </c>
      <c r="AJ5" s="389">
        <f>ECOMOD_input_estimate!AJ5</f>
        <v>30</v>
      </c>
      <c r="AK5" s="389">
        <f>ECOMOD_input_estimate!AK5</f>
        <v>43</v>
      </c>
      <c r="AL5" s="389">
        <f>ECOMOD_input_estimate!AL5</f>
        <v>67</v>
      </c>
      <c r="AM5" s="390">
        <f>ECOMOD_input_estimate!AM5</f>
        <v>43</v>
      </c>
      <c r="AN5" s="389">
        <f>ECOMOD_input_estimate!AN5</f>
        <v>67</v>
      </c>
      <c r="AO5" s="389">
        <f>ECOMOD_input_estimate!AO5</f>
        <v>30</v>
      </c>
      <c r="AP5" s="389">
        <f>ECOMOD_input_estimate!AP5</f>
        <v>10</v>
      </c>
      <c r="AQ5" s="389">
        <f>ECOMOD_input_estimate!AQ5</f>
        <v>47</v>
      </c>
      <c r="AR5" s="389">
        <f>ECOMOD_input_estimate!AR5</f>
        <v>48</v>
      </c>
      <c r="AS5" s="390">
        <f>ECOMOD_input_estimate!AS5</f>
        <v>31</v>
      </c>
      <c r="AT5" s="389">
        <f>ECOMOD_input_estimate!AT5</f>
        <v>48</v>
      </c>
      <c r="AU5" s="389">
        <f>ECOMOD_input_estimate!AU5</f>
        <v>10</v>
      </c>
      <c r="AV5" s="234">
        <f t="shared" si="40"/>
        <v>5</v>
      </c>
      <c r="AW5" s="234">
        <f t="shared" si="0"/>
        <v>9</v>
      </c>
      <c r="AX5" s="234">
        <f t="shared" si="1"/>
        <v>10.84</v>
      </c>
      <c r="AY5" s="234">
        <f t="shared" si="2"/>
        <v>0.25</v>
      </c>
      <c r="AZ5" s="234">
        <f t="shared" si="3"/>
        <v>10.84</v>
      </c>
      <c r="BA5" s="234">
        <f t="shared" si="4"/>
        <v>5</v>
      </c>
      <c r="BB5" s="234">
        <f t="shared" si="5"/>
        <v>9.3000000000000007</v>
      </c>
      <c r="BC5" s="234">
        <f t="shared" si="6"/>
        <v>8.3000000000000007</v>
      </c>
      <c r="BD5" s="234">
        <f t="shared" si="7"/>
        <v>6.3</v>
      </c>
      <c r="BE5" s="234">
        <f t="shared" si="8"/>
        <v>6.3</v>
      </c>
      <c r="BF5" s="234">
        <f t="shared" si="9"/>
        <v>6.3</v>
      </c>
      <c r="BG5" s="234">
        <f t="shared" si="10"/>
        <v>9.3000000000000007</v>
      </c>
      <c r="BH5" s="234">
        <f t="shared" si="11"/>
        <v>5</v>
      </c>
      <c r="BI5" s="234">
        <f t="shared" si="12"/>
        <v>5</v>
      </c>
      <c r="BJ5" s="234">
        <f t="shared" si="13"/>
        <v>6</v>
      </c>
      <c r="BK5" s="234">
        <f t="shared" si="14"/>
        <v>4</v>
      </c>
      <c r="BL5" s="234">
        <f t="shared" si="15"/>
        <v>6</v>
      </c>
      <c r="BM5" s="234">
        <f t="shared" si="16"/>
        <v>5</v>
      </c>
      <c r="BN5" s="154" t="s">
        <v>483</v>
      </c>
      <c r="BO5" s="154" t="str">
        <f t="shared" si="17"/>
        <v>veryhigh</v>
      </c>
      <c r="BP5" s="154" t="str">
        <f t="shared" si="18"/>
        <v>high</v>
      </c>
      <c r="BQ5" s="154" t="str">
        <f t="shared" si="19"/>
        <v>medium</v>
      </c>
      <c r="BR5" s="154" t="s">
        <v>18</v>
      </c>
      <c r="BS5" s="154" t="s">
        <v>18</v>
      </c>
      <c r="BT5" s="154" t="s">
        <v>18</v>
      </c>
      <c r="BU5" s="154">
        <f t="shared" si="20"/>
        <v>380</v>
      </c>
      <c r="BV5" s="154">
        <f t="shared" si="21"/>
        <v>185</v>
      </c>
      <c r="BW5" s="154">
        <f t="shared" si="22"/>
        <v>150</v>
      </c>
      <c r="BX5" s="238">
        <f t="shared" si="23"/>
        <v>140</v>
      </c>
      <c r="BY5" s="154">
        <f t="shared" si="24"/>
        <v>150</v>
      </c>
      <c r="BZ5" s="154">
        <f t="shared" si="25"/>
        <v>380</v>
      </c>
      <c r="CA5" s="356">
        <f t="array" ref="CA5">IF(yieldsetting2="estimate",0,INDEX(cropdata, MATCH(yieldsource,outputs,0), MATCH($F5,cropdatacrops,0)))</f>
        <v>1.75</v>
      </c>
      <c r="CB5" s="356">
        <f t="array" ref="CB5">IF(yieldsetting2="estimate",0,INDEX(cropdata, MATCH(yieldsource,outputs,0), MATCH($G5,cropdatacrops,0)))</f>
        <v>3.9</v>
      </c>
      <c r="CC5" s="356">
        <f t="array" ref="CC5">IF(yieldsetting2="estimate",0,INDEX(cropdata, MATCH(yieldsource,outputs,0), MATCH($H5,cropdatacrops,0)))</f>
        <v>8.6</v>
      </c>
      <c r="CD5" s="357">
        <f t="array" ref="CD5">IF(yieldsetting2="estimate",0,INDEX(cropdata, MATCH(yieldsource,outputs,0), MATCH($I5,cropdatacrops,0)))</f>
        <v>5.5</v>
      </c>
      <c r="CE5" s="356">
        <f t="array" ref="CE5">IF(yieldsetting2="estimate",0,INDEX(cropdata, MATCH(yieldsource,outputs,0), MATCH($J5,cropdatacrops,0)))</f>
        <v>8.6</v>
      </c>
      <c r="CF5" s="356">
        <f t="array" ref="CF5">IF(yieldsetting2="estimate",0,INDEX(cropdata, MATCH(yieldsource,outputs,0), MATCH($K5,cropdatacrops,0)))</f>
        <v>1.75</v>
      </c>
      <c r="CG5" s="154" t="str">
        <f t="shared" si="26"/>
        <v>actual</v>
      </c>
      <c r="CH5" s="235">
        <f t="shared" si="27"/>
        <v>0.8</v>
      </c>
      <c r="CI5" s="235">
        <f t="shared" si="28"/>
        <v>0.72</v>
      </c>
      <c r="CJ5" s="154">
        <f t="shared" si="29"/>
        <v>0.46</v>
      </c>
      <c r="CK5" s="154">
        <f t="shared" si="30"/>
        <v>1.6</v>
      </c>
      <c r="CL5" s="154">
        <f t="shared" si="31"/>
        <v>0.38</v>
      </c>
      <c r="CM5" s="154">
        <f t="shared" si="32"/>
        <v>0.36</v>
      </c>
      <c r="CN5" s="238">
        <f t="shared" si="33"/>
        <v>0.38</v>
      </c>
      <c r="CO5" s="154">
        <f t="shared" si="34"/>
        <v>0.36</v>
      </c>
      <c r="CP5" s="154">
        <f t="shared" si="35"/>
        <v>1.6</v>
      </c>
      <c r="CQ5" s="154">
        <f t="shared" si="36"/>
        <v>19.5</v>
      </c>
      <c r="CR5" s="154">
        <f t="shared" si="36"/>
        <v>19.5</v>
      </c>
      <c r="CS5" s="154">
        <f t="shared" si="36"/>
        <v>19.5</v>
      </c>
      <c r="CT5" s="154">
        <f t="shared" si="36"/>
        <v>19.5</v>
      </c>
      <c r="CU5" s="154">
        <f t="shared" si="36"/>
        <v>19.5</v>
      </c>
      <c r="CV5" s="154">
        <f t="shared" si="36"/>
        <v>19.5</v>
      </c>
      <c r="CW5" s="154">
        <f t="shared" si="37"/>
        <v>2.4300000000000002</v>
      </c>
      <c r="CX5" s="154">
        <f t="shared" si="37"/>
        <v>2.4300000000000002</v>
      </c>
      <c r="CY5" s="154">
        <f t="shared" si="37"/>
        <v>2.4300000000000002</v>
      </c>
      <c r="CZ5" s="154">
        <f t="shared" si="37"/>
        <v>2.4300000000000002</v>
      </c>
      <c r="DA5" s="154">
        <f t="shared" si="37"/>
        <v>2.4300000000000002</v>
      </c>
      <c r="DB5" s="154">
        <f t="shared" si="37"/>
        <v>2.4300000000000002</v>
      </c>
      <c r="DC5" s="154">
        <v>102</v>
      </c>
      <c r="DD5" s="154">
        <v>6</v>
      </c>
      <c r="DE5" s="154">
        <v>4</v>
      </c>
      <c r="DF5" s="154">
        <v>1400</v>
      </c>
      <c r="DG5" s="154">
        <v>125</v>
      </c>
      <c r="DH5" s="154">
        <f t="shared" si="38"/>
        <v>0.625</v>
      </c>
      <c r="DI5" s="154">
        <f t="shared" si="39"/>
        <v>10.08</v>
      </c>
    </row>
    <row r="6" spans="1:113" x14ac:dyDescent="0.2">
      <c r="A6" s="331" t="s">
        <v>1720</v>
      </c>
      <c r="B6" s="330" t="s">
        <v>508</v>
      </c>
      <c r="C6" s="330" t="s">
        <v>1626</v>
      </c>
      <c r="D6" s="233" t="str">
        <f>ECOMOD_input_estimate!$D6</f>
        <v>0.75</v>
      </c>
      <c r="E6" s="385">
        <f>ECOMOD_input_estimate!$E6</f>
        <v>6</v>
      </c>
      <c r="F6" s="386" t="str">
        <f>ECOMOD_input_estimate!$F6</f>
        <v>springlinseed</v>
      </c>
      <c r="G6" s="282" t="str">
        <f>ECOMOD_input_estimate!$G6</f>
        <v>driedpeas</v>
      </c>
      <c r="H6" s="282" t="str">
        <f>ECOMOD_input_estimate!$H6</f>
        <v>winterwheat</v>
      </c>
      <c r="I6" s="282" t="str">
        <f>ECOMOD_input_estimate!I6</f>
        <v>sugarbeet</v>
      </c>
      <c r="J6" s="387" t="str">
        <f>ECOMOD_input_estimate!$J6</f>
        <v>springoats</v>
      </c>
      <c r="K6" s="282" t="str">
        <f>ECOMOD_input_estimate!$K6</f>
        <v>winterwheat</v>
      </c>
      <c r="L6" s="282" t="str">
        <f>ECOMOD_input_estimate!L6</f>
        <v>lightcultivation</v>
      </c>
      <c r="M6" s="282" t="str">
        <f>ECOMOD_input_estimate!M6</f>
        <v>subsoiling</v>
      </c>
      <c r="N6" s="282" t="str">
        <f>ECOMOD_input_estimate!N6</f>
        <v>lightcultivation</v>
      </c>
      <c r="O6" s="282" t="str">
        <f>ECOMOD_input_estimate!O6</f>
        <v>lightcultivation</v>
      </c>
      <c r="P6" s="282" t="str">
        <f>ECOMOD_input_estimate!P6</f>
        <v>lightcultivation</v>
      </c>
      <c r="Q6" s="387" t="str">
        <f>ECOMOD_input_estimate!Q6</f>
        <v>inversion</v>
      </c>
      <c r="R6" s="389">
        <f>ECOMOD_input_estimate!R6</f>
        <v>52</v>
      </c>
      <c r="S6" s="389">
        <f>ECOMOD_input_estimate!S6</f>
        <v>300</v>
      </c>
      <c r="T6" s="389">
        <f>ECOMOD_input_estimate!T6</f>
        <v>200</v>
      </c>
      <c r="U6" s="393">
        <f>ECOMOD_input_estimate!U6</f>
        <v>1.25</v>
      </c>
      <c r="V6" s="390">
        <f>ECOMOD_input_estimate!V6</f>
        <v>130</v>
      </c>
      <c r="W6" s="389">
        <f>ECOMOD_input_estimate!W6</f>
        <v>200</v>
      </c>
      <c r="X6" s="282" t="str">
        <f>ECOMOD_input_estimate!X6</f>
        <v>no</v>
      </c>
      <c r="Y6" s="282" t="str">
        <f>ECOMOD_input_estimate!Y6</f>
        <v>no</v>
      </c>
      <c r="Z6" s="282" t="str">
        <f>ECOMOD_input_estimate!Z6</f>
        <v>late</v>
      </c>
      <c r="AA6" s="282" t="str">
        <f>ECOMOD_input_estimate!AA6</f>
        <v>late</v>
      </c>
      <c r="AB6" s="387" t="str">
        <f>ECOMOD_input_estimate!AB6</f>
        <v>no</v>
      </c>
      <c r="AC6" s="282" t="str">
        <f>ECOMOD_input_estimate!AC6</f>
        <v>late</v>
      </c>
      <c r="AD6" s="389">
        <f>ECOMOD_input_estimate!AD6</f>
        <v>80</v>
      </c>
      <c r="AE6" s="389">
        <f>ECOMOD_input_estimate!AE6</f>
        <v>0</v>
      </c>
      <c r="AF6" s="389">
        <f>ECOMOD_input_estimate!AF6</f>
        <v>150</v>
      </c>
      <c r="AG6" s="389">
        <f>ECOMOD_input_estimate!AG6</f>
        <v>85</v>
      </c>
      <c r="AH6" s="390">
        <f>ECOMOD_input_estimate!AH6</f>
        <v>100</v>
      </c>
      <c r="AI6" s="389">
        <f>ECOMOD_input_estimate!AI6</f>
        <v>150</v>
      </c>
      <c r="AJ6" s="389">
        <f>ECOMOD_input_estimate!AJ6</f>
        <v>30</v>
      </c>
      <c r="AK6" s="389">
        <f>ECOMOD_input_estimate!AK6</f>
        <v>35</v>
      </c>
      <c r="AL6" s="389">
        <f>ECOMOD_input_estimate!AL6</f>
        <v>67</v>
      </c>
      <c r="AM6" s="389">
        <f>ECOMOD_input_estimate!AM6</f>
        <v>65</v>
      </c>
      <c r="AN6" s="390">
        <f>ECOMOD_input_estimate!AN6</f>
        <v>43</v>
      </c>
      <c r="AO6" s="389">
        <f>ECOMOD_input_estimate!AO6</f>
        <v>67</v>
      </c>
      <c r="AP6" s="389">
        <f>ECOMOD_input_estimate!AP6</f>
        <v>10</v>
      </c>
      <c r="AQ6" s="389">
        <f>ECOMOD_input_estimate!AQ6</f>
        <v>40</v>
      </c>
      <c r="AR6" s="389">
        <f>ECOMOD_input_estimate!AR6</f>
        <v>48</v>
      </c>
      <c r="AS6" s="389">
        <f>ECOMOD_input_estimate!AS6</f>
        <v>131</v>
      </c>
      <c r="AT6" s="390">
        <f>ECOMOD_input_estimate!AT6</f>
        <v>31</v>
      </c>
      <c r="AU6" s="389">
        <f>ECOMOD_input_estimate!AU6</f>
        <v>48</v>
      </c>
      <c r="AV6" s="234">
        <f t="shared" si="40"/>
        <v>5</v>
      </c>
      <c r="AW6" s="234">
        <f t="shared" si="0"/>
        <v>9</v>
      </c>
      <c r="AX6" s="234">
        <f t="shared" si="1"/>
        <v>10.84</v>
      </c>
      <c r="AY6" s="234">
        <f t="shared" si="2"/>
        <v>8.5500000000000007</v>
      </c>
      <c r="AZ6" s="234">
        <f t="shared" si="3"/>
        <v>0.25</v>
      </c>
      <c r="BA6" s="234">
        <f t="shared" si="4"/>
        <v>10.84</v>
      </c>
      <c r="BB6" s="234">
        <f t="shared" si="5"/>
        <v>9.3000000000000007</v>
      </c>
      <c r="BC6" s="234">
        <f t="shared" si="6"/>
        <v>8.3000000000000007</v>
      </c>
      <c r="BD6" s="234">
        <f t="shared" si="7"/>
        <v>6.3</v>
      </c>
      <c r="BE6" s="234">
        <f t="shared" si="8"/>
        <v>6.3</v>
      </c>
      <c r="BF6" s="234">
        <f t="shared" si="9"/>
        <v>6.3</v>
      </c>
      <c r="BG6" s="234">
        <f t="shared" si="10"/>
        <v>6.3</v>
      </c>
      <c r="BH6" s="234">
        <f t="shared" si="11"/>
        <v>5</v>
      </c>
      <c r="BI6" s="234">
        <f t="shared" si="12"/>
        <v>5</v>
      </c>
      <c r="BJ6" s="234">
        <f t="shared" si="13"/>
        <v>6</v>
      </c>
      <c r="BK6" s="234">
        <f t="shared" si="14"/>
        <v>6</v>
      </c>
      <c r="BL6" s="234">
        <f t="shared" si="15"/>
        <v>4</v>
      </c>
      <c r="BM6" s="234">
        <f t="shared" si="16"/>
        <v>6</v>
      </c>
      <c r="BN6" s="154" t="s">
        <v>483</v>
      </c>
      <c r="BO6" s="154" t="str">
        <f t="shared" si="17"/>
        <v>high</v>
      </c>
      <c r="BP6" s="154" t="str">
        <f t="shared" si="18"/>
        <v>medium</v>
      </c>
      <c r="BQ6" s="154" t="str">
        <f t="shared" si="19"/>
        <v>low</v>
      </c>
      <c r="BR6" s="154" t="s">
        <v>182</v>
      </c>
      <c r="BS6" s="154" t="s">
        <v>182</v>
      </c>
      <c r="BT6" s="154" t="s">
        <v>182</v>
      </c>
      <c r="BU6" s="154">
        <f t="shared" si="20"/>
        <v>380</v>
      </c>
      <c r="BV6" s="154">
        <f t="shared" si="21"/>
        <v>225</v>
      </c>
      <c r="BW6" s="154">
        <f t="shared" si="22"/>
        <v>150</v>
      </c>
      <c r="BX6" s="154">
        <f t="shared" si="23"/>
        <v>27.16</v>
      </c>
      <c r="BY6" s="238">
        <f t="shared" si="24"/>
        <v>140</v>
      </c>
      <c r="BZ6" s="154">
        <f t="shared" si="25"/>
        <v>150</v>
      </c>
      <c r="CA6" s="356">
        <f t="array" ref="CA6">IF(yieldsetting2="estimate",0,INDEX(cropdata, MATCH(yieldsource,outputs,0), MATCH($F6,cropdatacrops,0)))</f>
        <v>1.75</v>
      </c>
      <c r="CB6" s="356">
        <f t="array" ref="CB6">IF(yieldsetting2="estimate",0,INDEX(cropdata, MATCH(yieldsource,outputs,0), MATCH($G6,cropdatacrops,0)))</f>
        <v>4</v>
      </c>
      <c r="CC6" s="356">
        <f t="array" ref="CC6">IF(yieldsetting2="estimate",0,INDEX(cropdata, MATCH(yieldsource,outputs,0), MATCH($H6,cropdatacrops,0)))</f>
        <v>8.6</v>
      </c>
      <c r="CD6" s="356">
        <f t="array" ref="CD6">IF(yieldsetting2="estimate",0,INDEX(cropdata, MATCH(yieldsource,outputs,0), MATCH($I6,cropdatacrops,0)))</f>
        <v>78</v>
      </c>
      <c r="CE6" s="357">
        <f t="array" ref="CE6">IF(yieldsetting2="estimate",0,INDEX(cropdata, MATCH(yieldsource,outputs,0), MATCH($J6,cropdatacrops,0)))</f>
        <v>5.5</v>
      </c>
      <c r="CF6" s="356">
        <f t="array" ref="CF6">IF(yieldsetting2="estimate",0,INDEX(cropdata, MATCH(yieldsource,outputs,0), MATCH($K6,cropdatacrops,0)))</f>
        <v>8.6</v>
      </c>
      <c r="CG6" s="154" t="str">
        <f t="shared" si="26"/>
        <v>actual</v>
      </c>
      <c r="CH6" s="235">
        <f t="shared" si="27"/>
        <v>0.8</v>
      </c>
      <c r="CI6" s="235">
        <f t="shared" si="28"/>
        <v>0.72</v>
      </c>
      <c r="CJ6" s="154">
        <f t="shared" si="29"/>
        <v>0.46</v>
      </c>
      <c r="CK6" s="154">
        <f t="shared" si="30"/>
        <v>1.6</v>
      </c>
      <c r="CL6" s="154">
        <f t="shared" si="31"/>
        <v>0.47</v>
      </c>
      <c r="CM6" s="154">
        <f t="shared" si="32"/>
        <v>0.36</v>
      </c>
      <c r="CN6" s="154">
        <f t="shared" si="33"/>
        <v>175</v>
      </c>
      <c r="CO6" s="238">
        <f t="shared" si="34"/>
        <v>0.38</v>
      </c>
      <c r="CP6" s="154">
        <f t="shared" si="35"/>
        <v>0.36</v>
      </c>
      <c r="CQ6" s="154">
        <f t="shared" si="36"/>
        <v>19.5</v>
      </c>
      <c r="CR6" s="154">
        <f t="shared" si="36"/>
        <v>19.5</v>
      </c>
      <c r="CS6" s="154">
        <f t="shared" si="36"/>
        <v>19.5</v>
      </c>
      <c r="CT6" s="154">
        <f t="shared" si="36"/>
        <v>19.5</v>
      </c>
      <c r="CU6" s="154">
        <f t="shared" si="36"/>
        <v>19.5</v>
      </c>
      <c r="CV6" s="154">
        <f t="shared" si="36"/>
        <v>19.5</v>
      </c>
      <c r="CW6" s="154">
        <f t="shared" si="37"/>
        <v>2.4300000000000002</v>
      </c>
      <c r="CX6" s="154">
        <f t="shared" si="37"/>
        <v>2.4300000000000002</v>
      </c>
      <c r="CY6" s="154">
        <f t="shared" si="37"/>
        <v>2.4300000000000002</v>
      </c>
      <c r="CZ6" s="154">
        <f t="shared" si="37"/>
        <v>2.4300000000000002</v>
      </c>
      <c r="DA6" s="154">
        <f t="shared" si="37"/>
        <v>2.4300000000000002</v>
      </c>
      <c r="DB6" s="154">
        <f t="shared" si="37"/>
        <v>2.4300000000000002</v>
      </c>
      <c r="DC6" s="154">
        <v>102</v>
      </c>
      <c r="DD6" s="154">
        <v>6</v>
      </c>
      <c r="DE6" s="154">
        <v>4</v>
      </c>
      <c r="DF6" s="154">
        <v>1400</v>
      </c>
      <c r="DG6" s="154">
        <v>125</v>
      </c>
      <c r="DH6" s="154">
        <f t="shared" si="38"/>
        <v>0.625</v>
      </c>
      <c r="DI6" s="154">
        <f t="shared" si="39"/>
        <v>10.08</v>
      </c>
    </row>
    <row r="7" spans="1:113" x14ac:dyDescent="0.2">
      <c r="A7" s="331" t="s">
        <v>1721</v>
      </c>
      <c r="B7" s="330" t="s">
        <v>508</v>
      </c>
      <c r="C7" s="330" t="s">
        <v>1627</v>
      </c>
      <c r="D7" s="233" t="str">
        <f>ECOMOD_input_estimate!$D7</f>
        <v>0.75</v>
      </c>
      <c r="E7" s="385">
        <f>ECOMOD_input_estimate!$E7</f>
        <v>6</v>
      </c>
      <c r="F7" s="386" t="str">
        <f>ECOMOD_input_estimate!$F7</f>
        <v>springlinseed</v>
      </c>
      <c r="G7" s="282" t="str">
        <f>ECOMOD_input_estimate!$G7</f>
        <v>driedpeas</v>
      </c>
      <c r="H7" s="282" t="str">
        <f>ECOMOD_input_estimate!$H7</f>
        <v>winterwheat</v>
      </c>
      <c r="I7" s="282" t="str">
        <f>ECOMOD_input_estimate!I7</f>
        <v>sugarbeet</v>
      </c>
      <c r="J7" s="387" t="str">
        <f>ECOMOD_input_estimate!$J7</f>
        <v>springoats</v>
      </c>
      <c r="K7" s="282" t="str">
        <f>ECOMOD_input_estimate!$K7</f>
        <v>winterwheat</v>
      </c>
      <c r="L7" s="282" t="str">
        <f>ECOMOD_input_estimate!L7</f>
        <v>lightcultivation</v>
      </c>
      <c r="M7" s="282" t="str">
        <f>ECOMOD_input_estimate!M7</f>
        <v>subsoiling</v>
      </c>
      <c r="N7" s="282" t="str">
        <f>ECOMOD_input_estimate!N7</f>
        <v>lightcultivation</v>
      </c>
      <c r="O7" s="282" t="str">
        <f>ECOMOD_input_estimate!O7</f>
        <v>lightcultivation</v>
      </c>
      <c r="P7" s="282" t="str">
        <f>ECOMOD_input_estimate!P7</f>
        <v>lightcultivation</v>
      </c>
      <c r="Q7" s="387" t="str">
        <f>ECOMOD_input_estimate!Q7</f>
        <v>inversion</v>
      </c>
      <c r="R7" s="389">
        <f>ECOMOD_input_estimate!R7</f>
        <v>52</v>
      </c>
      <c r="S7" s="389">
        <f>ECOMOD_input_estimate!S7</f>
        <v>300</v>
      </c>
      <c r="T7" s="389">
        <f>ECOMOD_input_estimate!T7</f>
        <v>200</v>
      </c>
      <c r="U7" s="393">
        <f>ECOMOD_input_estimate!U7</f>
        <v>1.25</v>
      </c>
      <c r="V7" s="390">
        <f>ECOMOD_input_estimate!V7</f>
        <v>130</v>
      </c>
      <c r="W7" s="389">
        <f>ECOMOD_input_estimate!W7</f>
        <v>200</v>
      </c>
      <c r="X7" s="282" t="str">
        <f>ECOMOD_input_estimate!X7</f>
        <v>no</v>
      </c>
      <c r="Y7" s="282" t="str">
        <f>ECOMOD_input_estimate!Y7</f>
        <v>no</v>
      </c>
      <c r="Z7" s="282" t="str">
        <f>ECOMOD_input_estimate!Z7</f>
        <v>late</v>
      </c>
      <c r="AA7" s="282" t="str">
        <f>ECOMOD_input_estimate!AA7</f>
        <v>late</v>
      </c>
      <c r="AB7" s="387" t="str">
        <f>ECOMOD_input_estimate!AB7</f>
        <v>no</v>
      </c>
      <c r="AC7" s="282" t="str">
        <f>ECOMOD_input_estimate!AC7</f>
        <v>late</v>
      </c>
      <c r="AD7" s="389">
        <f>ECOMOD_input_estimate!AD7</f>
        <v>80</v>
      </c>
      <c r="AE7" s="389">
        <f>ECOMOD_input_estimate!AE7</f>
        <v>0</v>
      </c>
      <c r="AF7" s="389">
        <f>ECOMOD_input_estimate!AF7</f>
        <v>150</v>
      </c>
      <c r="AG7" s="389">
        <f>ECOMOD_input_estimate!AG7</f>
        <v>85</v>
      </c>
      <c r="AH7" s="390">
        <f>ECOMOD_input_estimate!AH7</f>
        <v>100</v>
      </c>
      <c r="AI7" s="389">
        <f>ECOMOD_input_estimate!AI7</f>
        <v>150</v>
      </c>
      <c r="AJ7" s="389">
        <f>ECOMOD_input_estimate!AJ7</f>
        <v>30</v>
      </c>
      <c r="AK7" s="389">
        <f>ECOMOD_input_estimate!AK7</f>
        <v>35</v>
      </c>
      <c r="AL7" s="389">
        <f>ECOMOD_input_estimate!AL7</f>
        <v>67</v>
      </c>
      <c r="AM7" s="389">
        <f>ECOMOD_input_estimate!AM7</f>
        <v>65</v>
      </c>
      <c r="AN7" s="390">
        <f>ECOMOD_input_estimate!AN7</f>
        <v>43</v>
      </c>
      <c r="AO7" s="389">
        <f>ECOMOD_input_estimate!AO7</f>
        <v>67</v>
      </c>
      <c r="AP7" s="389">
        <f>ECOMOD_input_estimate!AP7</f>
        <v>10</v>
      </c>
      <c r="AQ7" s="389">
        <f>ECOMOD_input_estimate!AQ7</f>
        <v>40</v>
      </c>
      <c r="AR7" s="389">
        <f>ECOMOD_input_estimate!AR7</f>
        <v>48</v>
      </c>
      <c r="AS7" s="389">
        <f>ECOMOD_input_estimate!AS7</f>
        <v>131</v>
      </c>
      <c r="AT7" s="390">
        <f>ECOMOD_input_estimate!AT7</f>
        <v>31</v>
      </c>
      <c r="AU7" s="389">
        <f>ECOMOD_input_estimate!AU7</f>
        <v>48</v>
      </c>
      <c r="AV7" s="234">
        <f t="shared" si="40"/>
        <v>5</v>
      </c>
      <c r="AW7" s="234">
        <f t="shared" si="0"/>
        <v>9</v>
      </c>
      <c r="AX7" s="234">
        <f t="shared" si="1"/>
        <v>10.84</v>
      </c>
      <c r="AY7" s="234">
        <f t="shared" si="2"/>
        <v>8.5500000000000007</v>
      </c>
      <c r="AZ7" s="234">
        <f t="shared" si="3"/>
        <v>0.25</v>
      </c>
      <c r="BA7" s="234">
        <f t="shared" si="4"/>
        <v>10.84</v>
      </c>
      <c r="BB7" s="234">
        <f t="shared" si="5"/>
        <v>9.3000000000000007</v>
      </c>
      <c r="BC7" s="234">
        <f t="shared" si="6"/>
        <v>8.3000000000000007</v>
      </c>
      <c r="BD7" s="234">
        <f t="shared" si="7"/>
        <v>6.3</v>
      </c>
      <c r="BE7" s="234">
        <f t="shared" si="8"/>
        <v>6.3</v>
      </c>
      <c r="BF7" s="234">
        <f t="shared" si="9"/>
        <v>6.3</v>
      </c>
      <c r="BG7" s="234">
        <f t="shared" si="10"/>
        <v>6.3</v>
      </c>
      <c r="BH7" s="234">
        <f t="shared" si="11"/>
        <v>5</v>
      </c>
      <c r="BI7" s="234">
        <f t="shared" si="12"/>
        <v>5</v>
      </c>
      <c r="BJ7" s="234">
        <f t="shared" si="13"/>
        <v>6</v>
      </c>
      <c r="BK7" s="234">
        <f t="shared" si="14"/>
        <v>6</v>
      </c>
      <c r="BL7" s="234">
        <f t="shared" si="15"/>
        <v>4</v>
      </c>
      <c r="BM7" s="234">
        <f t="shared" si="16"/>
        <v>6</v>
      </c>
      <c r="BN7" s="154" t="s">
        <v>483</v>
      </c>
      <c r="BO7" s="154" t="str">
        <f t="shared" si="17"/>
        <v>veryhigh</v>
      </c>
      <c r="BP7" s="154" t="str">
        <f t="shared" si="18"/>
        <v>high</v>
      </c>
      <c r="BQ7" s="154" t="str">
        <f t="shared" si="19"/>
        <v>medium</v>
      </c>
      <c r="BR7" s="154" t="s">
        <v>183</v>
      </c>
      <c r="BS7" s="154" t="s">
        <v>183</v>
      </c>
      <c r="BT7" s="154" t="s">
        <v>183</v>
      </c>
      <c r="BU7" s="154">
        <f t="shared" si="20"/>
        <v>380</v>
      </c>
      <c r="BV7" s="154">
        <f t="shared" si="21"/>
        <v>225</v>
      </c>
      <c r="BW7" s="154">
        <f t="shared" si="22"/>
        <v>150</v>
      </c>
      <c r="BX7" s="154">
        <f t="shared" si="23"/>
        <v>27.16</v>
      </c>
      <c r="BY7" s="238">
        <f t="shared" si="24"/>
        <v>140</v>
      </c>
      <c r="BZ7" s="154">
        <f t="shared" si="25"/>
        <v>150</v>
      </c>
      <c r="CA7" s="356">
        <f t="array" ref="CA7">IF(yieldsetting2="estimate",0,INDEX(cropdata, MATCH(yieldsource,outputs,0), MATCH($F7,cropdatacrops,0)))</f>
        <v>1.75</v>
      </c>
      <c r="CB7" s="356">
        <f t="array" ref="CB7">IF(yieldsetting2="estimate",0,INDEX(cropdata, MATCH(yieldsource,outputs,0), MATCH($G7,cropdatacrops,0)))</f>
        <v>4</v>
      </c>
      <c r="CC7" s="356">
        <f t="array" ref="CC7">IF(yieldsetting2="estimate",0,INDEX(cropdata, MATCH(yieldsource,outputs,0), MATCH($H7,cropdatacrops,0)))</f>
        <v>8.6</v>
      </c>
      <c r="CD7" s="356">
        <f t="array" ref="CD7">IF(yieldsetting2="estimate",0,INDEX(cropdata, MATCH(yieldsource,outputs,0), MATCH($I7,cropdatacrops,0)))</f>
        <v>78</v>
      </c>
      <c r="CE7" s="357">
        <f t="array" ref="CE7">IF(yieldsetting2="estimate",0,INDEX(cropdata, MATCH(yieldsource,outputs,0), MATCH($J7,cropdatacrops,0)))</f>
        <v>5.5</v>
      </c>
      <c r="CF7" s="356">
        <f t="array" ref="CF7">IF(yieldsetting2="estimate",0,INDEX(cropdata, MATCH(yieldsource,outputs,0), MATCH($K7,cropdatacrops,0)))</f>
        <v>8.6</v>
      </c>
      <c r="CG7" s="154" t="str">
        <f t="shared" si="26"/>
        <v>actual</v>
      </c>
      <c r="CH7" s="235">
        <f t="shared" si="27"/>
        <v>0.8</v>
      </c>
      <c r="CI7" s="235">
        <f t="shared" si="28"/>
        <v>0.72</v>
      </c>
      <c r="CJ7" s="154">
        <f t="shared" si="29"/>
        <v>0.46</v>
      </c>
      <c r="CK7" s="154">
        <f t="shared" si="30"/>
        <v>1.6</v>
      </c>
      <c r="CL7" s="154">
        <f t="shared" si="31"/>
        <v>0.47</v>
      </c>
      <c r="CM7" s="154">
        <f t="shared" si="32"/>
        <v>0.36</v>
      </c>
      <c r="CN7" s="154">
        <f t="shared" si="33"/>
        <v>175</v>
      </c>
      <c r="CO7" s="238">
        <f t="shared" si="34"/>
        <v>0.38</v>
      </c>
      <c r="CP7" s="154">
        <f t="shared" si="35"/>
        <v>0.36</v>
      </c>
      <c r="CQ7" s="154">
        <f t="shared" si="36"/>
        <v>19.5</v>
      </c>
      <c r="CR7" s="154">
        <f t="shared" si="36"/>
        <v>19.5</v>
      </c>
      <c r="CS7" s="154">
        <f t="shared" si="36"/>
        <v>19.5</v>
      </c>
      <c r="CT7" s="154">
        <f t="shared" si="36"/>
        <v>19.5</v>
      </c>
      <c r="CU7" s="154">
        <f t="shared" si="36"/>
        <v>19.5</v>
      </c>
      <c r="CV7" s="154">
        <f t="shared" si="36"/>
        <v>19.5</v>
      </c>
      <c r="CW7" s="154">
        <f t="shared" si="37"/>
        <v>2.4300000000000002</v>
      </c>
      <c r="CX7" s="154">
        <f t="shared" si="37"/>
        <v>2.4300000000000002</v>
      </c>
      <c r="CY7" s="154">
        <f t="shared" si="37"/>
        <v>2.4300000000000002</v>
      </c>
      <c r="CZ7" s="154">
        <f t="shared" si="37"/>
        <v>2.4300000000000002</v>
      </c>
      <c r="DA7" s="154">
        <f t="shared" si="37"/>
        <v>2.4300000000000002</v>
      </c>
      <c r="DB7" s="154">
        <f t="shared" si="37"/>
        <v>2.4300000000000002</v>
      </c>
      <c r="DC7" s="154">
        <v>102</v>
      </c>
      <c r="DD7" s="154">
        <v>6</v>
      </c>
      <c r="DE7" s="154">
        <v>4</v>
      </c>
      <c r="DF7" s="154">
        <v>1400</v>
      </c>
      <c r="DG7" s="154">
        <v>125</v>
      </c>
      <c r="DH7" s="154">
        <f t="shared" si="38"/>
        <v>0.625</v>
      </c>
      <c r="DI7" s="154">
        <f t="shared" si="39"/>
        <v>10.08</v>
      </c>
    </row>
    <row r="8" spans="1:113" x14ac:dyDescent="0.2">
      <c r="A8" s="331" t="s">
        <v>1722</v>
      </c>
      <c r="B8" s="330" t="s">
        <v>482</v>
      </c>
      <c r="C8" s="330" t="s">
        <v>1634</v>
      </c>
      <c r="D8" s="233" t="str">
        <f>ECOMOD_input_estimate!$D8</f>
        <v>2.25</v>
      </c>
      <c r="E8" s="385">
        <f>ECOMOD_input_estimate!$E8</f>
        <v>6</v>
      </c>
      <c r="F8" s="386" t="str">
        <f>ECOMOD_input_estimate!$F8</f>
        <v>setaside</v>
      </c>
      <c r="G8" s="387" t="str">
        <f>ECOMOD_input_estimate!$G8</f>
        <v>sosr</v>
      </c>
      <c r="H8" s="282" t="str">
        <f>ECOMOD_input_estimate!$H8</f>
        <v>springbarley</v>
      </c>
      <c r="I8" s="282" t="str">
        <f>ECOMOD_input_estimate!I8</f>
        <v>winterwheat</v>
      </c>
      <c r="J8" s="282" t="str">
        <f>ECOMOD_input_estimate!$J8</f>
        <v>wosr</v>
      </c>
      <c r="K8" s="282" t="str">
        <f>ECOMOD_input_estimate!$K8</f>
        <v>winterwheat</v>
      </c>
      <c r="L8" s="282" t="str">
        <f>ECOMOD_input_estimate!L8</f>
        <v>lightcultivation</v>
      </c>
      <c r="M8" s="282" t="str">
        <f>ECOMOD_input_estimate!M8</f>
        <v>directdrilling</v>
      </c>
      <c r="N8" s="282" t="str">
        <f>ECOMOD_input_estimate!N8</f>
        <v>lightcultivation</v>
      </c>
      <c r="O8" s="282" t="str">
        <f>ECOMOD_input_estimate!O8</f>
        <v>lightcultivation</v>
      </c>
      <c r="P8" s="282" t="str">
        <f>ECOMOD_input_estimate!P8</f>
        <v>directdrilling</v>
      </c>
      <c r="Q8" s="282" t="str">
        <f>ECOMOD_input_estimate!Q8</f>
        <v>lightcultivation</v>
      </c>
      <c r="R8" s="389">
        <f>ECOMOD_input_estimate!R8</f>
        <v>0</v>
      </c>
      <c r="S8" s="392">
        <f>ECOMOD_input_estimate!S8</f>
        <v>4.8</v>
      </c>
      <c r="T8" s="389">
        <f>ECOMOD_input_estimate!T8</f>
        <v>200</v>
      </c>
      <c r="U8" s="389">
        <f>ECOMOD_input_estimate!U8</f>
        <v>250</v>
      </c>
      <c r="V8" s="391">
        <f>ECOMOD_input_estimate!V8</f>
        <v>3.2</v>
      </c>
      <c r="W8" s="389">
        <f>ECOMOD_input_estimate!W8</f>
        <v>250</v>
      </c>
      <c r="X8" s="282" t="str">
        <f>ECOMOD_input_estimate!X8</f>
        <v>no</v>
      </c>
      <c r="Y8" s="282" t="str">
        <f>ECOMOD_input_estimate!Y8</f>
        <v>no</v>
      </c>
      <c r="Z8" s="282" t="str">
        <f>ECOMOD_input_estimate!Z8</f>
        <v>no</v>
      </c>
      <c r="AA8" s="282" t="str">
        <f>ECOMOD_input_estimate!AA8</f>
        <v>late</v>
      </c>
      <c r="AB8" s="282" t="str">
        <f>ECOMOD_input_estimate!AB8</f>
        <v>no</v>
      </c>
      <c r="AC8" s="282" t="str">
        <f>ECOMOD_input_estimate!AC8</f>
        <v>late</v>
      </c>
      <c r="AD8" s="389">
        <f>ECOMOD_input_estimate!AD8</f>
        <v>0</v>
      </c>
      <c r="AE8" s="390">
        <f>ECOMOD_input_estimate!AE8</f>
        <v>100</v>
      </c>
      <c r="AF8" s="389">
        <f>ECOMOD_input_estimate!AF8</f>
        <v>110</v>
      </c>
      <c r="AG8" s="389">
        <f>ECOMOD_input_estimate!AG8</f>
        <v>220</v>
      </c>
      <c r="AH8" s="389">
        <f>ECOMOD_input_estimate!AH8</f>
        <v>180</v>
      </c>
      <c r="AI8" s="389">
        <f>ECOMOD_input_estimate!AI8</f>
        <v>220</v>
      </c>
      <c r="AJ8" s="389">
        <f>ECOMOD_input_estimate!AJ8</f>
        <v>0</v>
      </c>
      <c r="AK8" s="390">
        <f>ECOMOD_input_estimate!AK8</f>
        <v>32</v>
      </c>
      <c r="AL8" s="389">
        <f>ECOMOD_input_estimate!AL8</f>
        <v>44</v>
      </c>
      <c r="AM8" s="389">
        <f>ECOMOD_input_estimate!AM8</f>
        <v>67</v>
      </c>
      <c r="AN8" s="389">
        <f>ECOMOD_input_estimate!AN8</f>
        <v>49</v>
      </c>
      <c r="AO8" s="389">
        <f>ECOMOD_input_estimate!AO8</f>
        <v>67</v>
      </c>
      <c r="AP8" s="389">
        <f>ECOMOD_input_estimate!AP8</f>
        <v>0</v>
      </c>
      <c r="AQ8" s="390">
        <f>ECOMOD_input_estimate!AQ8</f>
        <v>25</v>
      </c>
      <c r="AR8" s="389">
        <f>ECOMOD_input_estimate!AR8</f>
        <v>32</v>
      </c>
      <c r="AS8" s="389">
        <f>ECOMOD_input_estimate!AS8</f>
        <v>48</v>
      </c>
      <c r="AT8" s="389">
        <f>ECOMOD_input_estimate!AT8</f>
        <v>39</v>
      </c>
      <c r="AU8" s="389">
        <f>ECOMOD_input_estimate!AU8</f>
        <v>48</v>
      </c>
      <c r="AV8" s="234">
        <f t="shared" si="40"/>
        <v>0</v>
      </c>
      <c r="AW8" s="234">
        <f t="shared" si="0"/>
        <v>0</v>
      </c>
      <c r="AX8" s="234">
        <f t="shared" si="1"/>
        <v>4</v>
      </c>
      <c r="AY8" s="234">
        <f t="shared" si="2"/>
        <v>9.3000000000000007</v>
      </c>
      <c r="AZ8" s="234">
        <f t="shared" si="3"/>
        <v>3.1</v>
      </c>
      <c r="BA8" s="234">
        <f t="shared" si="4"/>
        <v>9.3000000000000007</v>
      </c>
      <c r="BB8" s="234">
        <f t="shared" si="5"/>
        <v>8.1999999999999993</v>
      </c>
      <c r="BC8" s="234">
        <f t="shared" si="6"/>
        <v>4.2</v>
      </c>
      <c r="BD8" s="234">
        <f t="shared" si="7"/>
        <v>4.2</v>
      </c>
      <c r="BE8" s="234">
        <f t="shared" si="8"/>
        <v>4.2</v>
      </c>
      <c r="BF8" s="234">
        <f t="shared" si="9"/>
        <v>2</v>
      </c>
      <c r="BG8" s="234">
        <f t="shared" si="10"/>
        <v>4.2</v>
      </c>
      <c r="BH8" s="234">
        <f t="shared" si="11"/>
        <v>5</v>
      </c>
      <c r="BI8" s="234">
        <f t="shared" si="12"/>
        <v>3</v>
      </c>
      <c r="BJ8" s="234">
        <f t="shared" si="13"/>
        <v>5</v>
      </c>
      <c r="BK8" s="234">
        <f t="shared" si="14"/>
        <v>5</v>
      </c>
      <c r="BL8" s="234">
        <f t="shared" si="15"/>
        <v>3</v>
      </c>
      <c r="BM8" s="234">
        <f t="shared" si="16"/>
        <v>5</v>
      </c>
      <c r="BN8" s="154" t="s">
        <v>483</v>
      </c>
      <c r="BO8" s="154" t="str">
        <f t="shared" si="17"/>
        <v>high</v>
      </c>
      <c r="BP8" s="154" t="str">
        <f t="shared" si="18"/>
        <v>medium</v>
      </c>
      <c r="BQ8" s="154" t="str">
        <f t="shared" si="19"/>
        <v>low</v>
      </c>
      <c r="BR8" s="154" t="s">
        <v>18</v>
      </c>
      <c r="BS8" s="154" t="s">
        <v>18</v>
      </c>
      <c r="BT8" s="154" t="s">
        <v>18</v>
      </c>
      <c r="BU8" s="154">
        <f t="shared" si="20"/>
        <v>0</v>
      </c>
      <c r="BV8" s="238">
        <f t="shared" si="21"/>
        <v>335</v>
      </c>
      <c r="BW8" s="154">
        <f t="shared" si="22"/>
        <v>157</v>
      </c>
      <c r="BX8" s="154">
        <f t="shared" si="23"/>
        <v>150</v>
      </c>
      <c r="BY8" s="154">
        <f t="shared" si="24"/>
        <v>335</v>
      </c>
      <c r="BZ8" s="154">
        <f t="shared" si="25"/>
        <v>150</v>
      </c>
      <c r="CA8" s="356">
        <f t="array" ref="CA8">IF(yieldsetting2="estimate",0,INDEX(cropdata, MATCH(yieldsource,outputs,0), MATCH($F8,cropdatacrops,0)))</f>
        <v>0</v>
      </c>
      <c r="CB8" s="357">
        <f t="array" ref="CB8">IF(yieldsetting2="estimate",0,INDEX(cropdata, MATCH(yieldsource,outputs,0), MATCH($G8,cropdatacrops,0)))</f>
        <v>2.25</v>
      </c>
      <c r="CC8" s="356">
        <f t="array" ref="CC8">IF(yieldsetting2="estimate",0,INDEX(cropdata, MATCH(yieldsource,outputs,0), MATCH($H8,cropdatacrops,0)))</f>
        <v>5.7</v>
      </c>
      <c r="CD8" s="356">
        <f t="array" ref="CD8">IF(yieldsetting2="estimate",0,INDEX(cropdata, MATCH(yieldsource,outputs,0), MATCH($I8,cropdatacrops,0)))</f>
        <v>8.6</v>
      </c>
      <c r="CE8" s="356">
        <f t="array" ref="CE8">IF(yieldsetting2="estimate",0,INDEX(cropdata, MATCH(yieldsource,outputs,0), MATCH($J8,cropdatacrops,0)))</f>
        <v>3.5</v>
      </c>
      <c r="CF8" s="356">
        <f t="array" ref="CF8">IF(yieldsetting2="estimate",0,INDEX(cropdata, MATCH(yieldsource,outputs,0), MATCH($K8,cropdatacrops,0)))</f>
        <v>8.6</v>
      </c>
      <c r="CG8" s="154" t="str">
        <f t="shared" si="26"/>
        <v>actual</v>
      </c>
      <c r="CH8" s="235">
        <f t="shared" si="27"/>
        <v>0.8</v>
      </c>
      <c r="CI8" s="235">
        <f t="shared" si="28"/>
        <v>0.72</v>
      </c>
      <c r="CJ8" s="154">
        <f t="shared" si="29"/>
        <v>0.46</v>
      </c>
      <c r="CK8" s="154">
        <f t="shared" si="30"/>
        <v>0</v>
      </c>
      <c r="CL8" s="238">
        <f t="shared" si="31"/>
        <v>7.64</v>
      </c>
      <c r="CM8" s="154">
        <f t="shared" si="32"/>
        <v>0.38</v>
      </c>
      <c r="CN8" s="154">
        <f t="shared" si="33"/>
        <v>0.36</v>
      </c>
      <c r="CO8" s="154">
        <f t="shared" si="34"/>
        <v>7.34</v>
      </c>
      <c r="CP8" s="154">
        <f t="shared" si="35"/>
        <v>0.36</v>
      </c>
      <c r="CQ8" s="154">
        <f t="shared" si="36"/>
        <v>19.5</v>
      </c>
      <c r="CR8" s="154">
        <f t="shared" si="36"/>
        <v>19.5</v>
      </c>
      <c r="CS8" s="154">
        <f t="shared" si="36"/>
        <v>19.5</v>
      </c>
      <c r="CT8" s="154">
        <f t="shared" si="36"/>
        <v>19.5</v>
      </c>
      <c r="CU8" s="154">
        <f t="shared" si="36"/>
        <v>19.5</v>
      </c>
      <c r="CV8" s="154">
        <f t="shared" si="36"/>
        <v>19.5</v>
      </c>
      <c r="CW8" s="154">
        <f t="shared" si="37"/>
        <v>2.4300000000000002</v>
      </c>
      <c r="CX8" s="154">
        <f t="shared" si="37"/>
        <v>2.4300000000000002</v>
      </c>
      <c r="CY8" s="154">
        <f t="shared" si="37"/>
        <v>2.4300000000000002</v>
      </c>
      <c r="CZ8" s="154">
        <f t="shared" si="37"/>
        <v>2.4300000000000002</v>
      </c>
      <c r="DA8" s="154">
        <f t="shared" si="37"/>
        <v>2.4300000000000002</v>
      </c>
      <c r="DB8" s="154">
        <f t="shared" si="37"/>
        <v>2.4300000000000002</v>
      </c>
      <c r="DC8" s="154">
        <v>102</v>
      </c>
      <c r="DD8" s="154">
        <v>6</v>
      </c>
      <c r="DE8" s="154">
        <v>4</v>
      </c>
      <c r="DF8" s="154">
        <v>1400</v>
      </c>
      <c r="DG8" s="154">
        <v>125</v>
      </c>
      <c r="DH8" s="154">
        <f t="shared" si="38"/>
        <v>0.625</v>
      </c>
      <c r="DI8" s="154">
        <f t="shared" si="39"/>
        <v>10.08</v>
      </c>
    </row>
    <row r="9" spans="1:113" x14ac:dyDescent="0.2">
      <c r="A9" s="331" t="s">
        <v>1723</v>
      </c>
      <c r="B9" s="330" t="s">
        <v>482</v>
      </c>
      <c r="C9" s="330" t="s">
        <v>1635</v>
      </c>
      <c r="D9" s="233" t="str">
        <f>ECOMOD_input_estimate!$D9</f>
        <v>2.25</v>
      </c>
      <c r="E9" s="385">
        <f>ECOMOD_input_estimate!$E9</f>
        <v>6</v>
      </c>
      <c r="F9" s="386" t="str">
        <f>ECOMOD_input_estimate!$F9</f>
        <v>setaside</v>
      </c>
      <c r="G9" s="387" t="str">
        <f>ECOMOD_input_estimate!$G9</f>
        <v>sosr</v>
      </c>
      <c r="H9" s="282" t="str">
        <f>ECOMOD_input_estimate!$H9</f>
        <v>springbarley</v>
      </c>
      <c r="I9" s="282" t="str">
        <f>ECOMOD_input_estimate!I9</f>
        <v>winterwheat</v>
      </c>
      <c r="J9" s="282" t="str">
        <f>ECOMOD_input_estimate!$J9</f>
        <v>wosr</v>
      </c>
      <c r="K9" s="282" t="str">
        <f>ECOMOD_input_estimate!$K9</f>
        <v>winterwheat</v>
      </c>
      <c r="L9" s="282" t="str">
        <f>ECOMOD_input_estimate!L9</f>
        <v>lightcultivation</v>
      </c>
      <c r="M9" s="282" t="str">
        <f>ECOMOD_input_estimate!M9</f>
        <v>directdrilling</v>
      </c>
      <c r="N9" s="282" t="str">
        <f>ECOMOD_input_estimate!N9</f>
        <v>lightcultivation</v>
      </c>
      <c r="O9" s="282" t="str">
        <f>ECOMOD_input_estimate!O9</f>
        <v>lightcultivation</v>
      </c>
      <c r="P9" s="282" t="str">
        <f>ECOMOD_input_estimate!P9</f>
        <v>directdrilling</v>
      </c>
      <c r="Q9" s="282" t="str">
        <f>ECOMOD_input_estimate!Q9</f>
        <v>lightcultivation</v>
      </c>
      <c r="R9" s="389">
        <f>ECOMOD_input_estimate!R9</f>
        <v>0</v>
      </c>
      <c r="S9" s="392">
        <f>ECOMOD_input_estimate!S9</f>
        <v>4.8</v>
      </c>
      <c r="T9" s="389">
        <f>ECOMOD_input_estimate!T9</f>
        <v>200</v>
      </c>
      <c r="U9" s="389">
        <f>ECOMOD_input_estimate!U9</f>
        <v>250</v>
      </c>
      <c r="V9" s="391">
        <f>ECOMOD_input_estimate!V9</f>
        <v>3.2</v>
      </c>
      <c r="W9" s="389">
        <f>ECOMOD_input_estimate!W9</f>
        <v>250</v>
      </c>
      <c r="X9" s="282" t="str">
        <f>ECOMOD_input_estimate!X9</f>
        <v>no</v>
      </c>
      <c r="Y9" s="282" t="str">
        <f>ECOMOD_input_estimate!Y9</f>
        <v>no</v>
      </c>
      <c r="Z9" s="282" t="str">
        <f>ECOMOD_input_estimate!Z9</f>
        <v>no</v>
      </c>
      <c r="AA9" s="282" t="str">
        <f>ECOMOD_input_estimate!AA9</f>
        <v>late</v>
      </c>
      <c r="AB9" s="282" t="str">
        <f>ECOMOD_input_estimate!AB9</f>
        <v>no</v>
      </c>
      <c r="AC9" s="282" t="str">
        <f>ECOMOD_input_estimate!AC9</f>
        <v>late</v>
      </c>
      <c r="AD9" s="389">
        <f>ECOMOD_input_estimate!AD9</f>
        <v>0</v>
      </c>
      <c r="AE9" s="390">
        <f>ECOMOD_input_estimate!AE9</f>
        <v>100</v>
      </c>
      <c r="AF9" s="389">
        <f>ECOMOD_input_estimate!AF9</f>
        <v>110</v>
      </c>
      <c r="AG9" s="389">
        <f>ECOMOD_input_estimate!AG9</f>
        <v>220</v>
      </c>
      <c r="AH9" s="389">
        <f>ECOMOD_input_estimate!AH9</f>
        <v>180</v>
      </c>
      <c r="AI9" s="389">
        <f>ECOMOD_input_estimate!AI9</f>
        <v>220</v>
      </c>
      <c r="AJ9" s="389">
        <f>ECOMOD_input_estimate!AJ9</f>
        <v>0</v>
      </c>
      <c r="AK9" s="390">
        <f>ECOMOD_input_estimate!AK9</f>
        <v>32</v>
      </c>
      <c r="AL9" s="389">
        <f>ECOMOD_input_estimate!AL9</f>
        <v>44</v>
      </c>
      <c r="AM9" s="389">
        <f>ECOMOD_input_estimate!AM9</f>
        <v>67</v>
      </c>
      <c r="AN9" s="389">
        <f>ECOMOD_input_estimate!AN9</f>
        <v>49</v>
      </c>
      <c r="AO9" s="389">
        <f>ECOMOD_input_estimate!AO9</f>
        <v>67</v>
      </c>
      <c r="AP9" s="389">
        <f>ECOMOD_input_estimate!AP9</f>
        <v>0</v>
      </c>
      <c r="AQ9" s="390">
        <f>ECOMOD_input_estimate!AQ9</f>
        <v>25</v>
      </c>
      <c r="AR9" s="389">
        <f>ECOMOD_input_estimate!AR9</f>
        <v>32</v>
      </c>
      <c r="AS9" s="389">
        <f>ECOMOD_input_estimate!AS9</f>
        <v>48</v>
      </c>
      <c r="AT9" s="389">
        <f>ECOMOD_input_estimate!AT9</f>
        <v>39</v>
      </c>
      <c r="AU9" s="389">
        <f>ECOMOD_input_estimate!AU9</f>
        <v>48</v>
      </c>
      <c r="AV9" s="234">
        <f t="shared" si="40"/>
        <v>0</v>
      </c>
      <c r="AW9" s="234">
        <f t="shared" si="0"/>
        <v>0</v>
      </c>
      <c r="AX9" s="234">
        <f t="shared" si="1"/>
        <v>4</v>
      </c>
      <c r="AY9" s="234">
        <f t="shared" si="2"/>
        <v>9.3000000000000007</v>
      </c>
      <c r="AZ9" s="234">
        <f t="shared" si="3"/>
        <v>3.1</v>
      </c>
      <c r="BA9" s="234">
        <f t="shared" si="4"/>
        <v>9.3000000000000007</v>
      </c>
      <c r="BB9" s="234">
        <f t="shared" si="5"/>
        <v>8.1999999999999993</v>
      </c>
      <c r="BC9" s="234">
        <f t="shared" si="6"/>
        <v>4.2</v>
      </c>
      <c r="BD9" s="234">
        <f t="shared" si="7"/>
        <v>4.2</v>
      </c>
      <c r="BE9" s="234">
        <f t="shared" si="8"/>
        <v>4.2</v>
      </c>
      <c r="BF9" s="234">
        <f t="shared" si="9"/>
        <v>2</v>
      </c>
      <c r="BG9" s="234">
        <f t="shared" si="10"/>
        <v>4.2</v>
      </c>
      <c r="BH9" s="234">
        <f t="shared" si="11"/>
        <v>5</v>
      </c>
      <c r="BI9" s="234">
        <f t="shared" si="12"/>
        <v>3</v>
      </c>
      <c r="BJ9" s="234">
        <f t="shared" si="13"/>
        <v>5</v>
      </c>
      <c r="BK9" s="234">
        <f t="shared" si="14"/>
        <v>5</v>
      </c>
      <c r="BL9" s="234">
        <f t="shared" si="15"/>
        <v>3</v>
      </c>
      <c r="BM9" s="234">
        <f t="shared" si="16"/>
        <v>5</v>
      </c>
      <c r="BN9" s="154" t="s">
        <v>483</v>
      </c>
      <c r="BO9" s="154" t="str">
        <f t="shared" si="17"/>
        <v>veryhigh</v>
      </c>
      <c r="BP9" s="154" t="str">
        <f t="shared" si="18"/>
        <v>high</v>
      </c>
      <c r="BQ9" s="154" t="str">
        <f t="shared" si="19"/>
        <v>medium</v>
      </c>
      <c r="BR9" s="154" t="s">
        <v>182</v>
      </c>
      <c r="BS9" s="154" t="s">
        <v>182</v>
      </c>
      <c r="BT9" s="154" t="s">
        <v>182</v>
      </c>
      <c r="BU9" s="154">
        <f t="shared" si="20"/>
        <v>0</v>
      </c>
      <c r="BV9" s="238">
        <f t="shared" si="21"/>
        <v>335</v>
      </c>
      <c r="BW9" s="154">
        <f t="shared" si="22"/>
        <v>157</v>
      </c>
      <c r="BX9" s="154">
        <f t="shared" si="23"/>
        <v>150</v>
      </c>
      <c r="BY9" s="154">
        <f t="shared" si="24"/>
        <v>335</v>
      </c>
      <c r="BZ9" s="154">
        <f t="shared" si="25"/>
        <v>150</v>
      </c>
      <c r="CA9" s="356">
        <f t="array" ref="CA9">IF(yieldsetting2="estimate",0,INDEX(cropdata, MATCH(yieldsource,outputs,0), MATCH($F9,cropdatacrops,0)))</f>
        <v>0</v>
      </c>
      <c r="CB9" s="357">
        <f t="array" ref="CB9">IF(yieldsetting2="estimate",0,INDEX(cropdata, MATCH(yieldsource,outputs,0), MATCH($G9,cropdatacrops,0)))</f>
        <v>2.25</v>
      </c>
      <c r="CC9" s="356">
        <f t="array" ref="CC9">IF(yieldsetting2="estimate",0,INDEX(cropdata, MATCH(yieldsource,outputs,0), MATCH($H9,cropdatacrops,0)))</f>
        <v>5.7</v>
      </c>
      <c r="CD9" s="356">
        <f t="array" ref="CD9">IF(yieldsetting2="estimate",0,INDEX(cropdata, MATCH(yieldsource,outputs,0), MATCH($I9,cropdatacrops,0)))</f>
        <v>8.6</v>
      </c>
      <c r="CE9" s="356">
        <f t="array" ref="CE9">IF(yieldsetting2="estimate",0,INDEX(cropdata, MATCH(yieldsource,outputs,0), MATCH($J9,cropdatacrops,0)))</f>
        <v>3.5</v>
      </c>
      <c r="CF9" s="356">
        <f t="array" ref="CF9">IF(yieldsetting2="estimate",0,INDEX(cropdata, MATCH(yieldsource,outputs,0), MATCH($K9,cropdatacrops,0)))</f>
        <v>8.6</v>
      </c>
      <c r="CG9" s="154" t="str">
        <f t="shared" si="26"/>
        <v>actual</v>
      </c>
      <c r="CH9" s="235">
        <f t="shared" si="27"/>
        <v>0.8</v>
      </c>
      <c r="CI9" s="235">
        <f t="shared" si="28"/>
        <v>0.72</v>
      </c>
      <c r="CJ9" s="154">
        <f t="shared" si="29"/>
        <v>0.46</v>
      </c>
      <c r="CK9" s="154">
        <f t="shared" si="30"/>
        <v>0</v>
      </c>
      <c r="CL9" s="238">
        <f t="shared" si="31"/>
        <v>7.64</v>
      </c>
      <c r="CM9" s="154">
        <f t="shared" si="32"/>
        <v>0.38</v>
      </c>
      <c r="CN9" s="154">
        <f t="shared" si="33"/>
        <v>0.36</v>
      </c>
      <c r="CO9" s="154">
        <f t="shared" si="34"/>
        <v>7.34</v>
      </c>
      <c r="CP9" s="154">
        <f t="shared" si="35"/>
        <v>0.36</v>
      </c>
      <c r="CQ9" s="154">
        <f t="shared" si="36"/>
        <v>19.5</v>
      </c>
      <c r="CR9" s="154">
        <f t="shared" si="36"/>
        <v>19.5</v>
      </c>
      <c r="CS9" s="154">
        <f t="shared" si="36"/>
        <v>19.5</v>
      </c>
      <c r="CT9" s="154">
        <f t="shared" si="36"/>
        <v>19.5</v>
      </c>
      <c r="CU9" s="154">
        <f t="shared" si="36"/>
        <v>19.5</v>
      </c>
      <c r="CV9" s="154">
        <f t="shared" si="36"/>
        <v>19.5</v>
      </c>
      <c r="CW9" s="154">
        <f t="shared" si="37"/>
        <v>2.4300000000000002</v>
      </c>
      <c r="CX9" s="154">
        <f t="shared" si="37"/>
        <v>2.4300000000000002</v>
      </c>
      <c r="CY9" s="154">
        <f t="shared" si="37"/>
        <v>2.4300000000000002</v>
      </c>
      <c r="CZ9" s="154">
        <f t="shared" si="37"/>
        <v>2.4300000000000002</v>
      </c>
      <c r="DA9" s="154">
        <f t="shared" si="37"/>
        <v>2.4300000000000002</v>
      </c>
      <c r="DB9" s="154">
        <f t="shared" si="37"/>
        <v>2.4300000000000002</v>
      </c>
      <c r="DC9" s="154">
        <v>102</v>
      </c>
      <c r="DD9" s="154">
        <v>6</v>
      </c>
      <c r="DE9" s="154">
        <v>4</v>
      </c>
      <c r="DF9" s="154">
        <v>1400</v>
      </c>
      <c r="DG9" s="154">
        <v>125</v>
      </c>
      <c r="DH9" s="154">
        <f t="shared" si="38"/>
        <v>0.625</v>
      </c>
      <c r="DI9" s="154">
        <f t="shared" si="39"/>
        <v>10.08</v>
      </c>
    </row>
    <row r="10" spans="1:113" x14ac:dyDescent="0.2">
      <c r="A10" s="331" t="s">
        <v>1724</v>
      </c>
      <c r="B10" s="330" t="s">
        <v>487</v>
      </c>
      <c r="C10" s="330" t="s">
        <v>1645</v>
      </c>
      <c r="D10" s="233" t="str">
        <f>ECOMOD_input_estimate!$D10</f>
        <v>1.50</v>
      </c>
      <c r="E10" s="385">
        <f>ECOMOD_input_estimate!$E10</f>
        <v>6</v>
      </c>
      <c r="F10" s="386" t="str">
        <f>ECOMOD_input_estimate!$F10</f>
        <v>setaside</v>
      </c>
      <c r="G10" s="387" t="str">
        <f>ECOMOD_input_estimate!$G10</f>
        <v>sosr</v>
      </c>
      <c r="H10" s="282" t="str">
        <f>ECOMOD_input_estimate!$H10</f>
        <v>springbarley</v>
      </c>
      <c r="I10" s="282" t="str">
        <f>ECOMOD_input_estimate!I10</f>
        <v>winterwheat</v>
      </c>
      <c r="J10" s="282" t="str">
        <f>ECOMOD_input_estimate!$J10</f>
        <v>wosr</v>
      </c>
      <c r="K10" s="282" t="str">
        <f>ECOMOD_input_estimate!$K10</f>
        <v>winterwheat</v>
      </c>
      <c r="L10" s="282" t="str">
        <f>ECOMOD_input_estimate!L10</f>
        <v>lightcultivation</v>
      </c>
      <c r="M10" s="282" t="str">
        <f>ECOMOD_input_estimate!M10</f>
        <v>directdrilling</v>
      </c>
      <c r="N10" s="282" t="str">
        <f>ECOMOD_input_estimate!N10</f>
        <v>lightcultivation</v>
      </c>
      <c r="O10" s="282" t="str">
        <f>ECOMOD_input_estimate!O10</f>
        <v>lightcultivation</v>
      </c>
      <c r="P10" s="282" t="str">
        <f>ECOMOD_input_estimate!P10</f>
        <v>directdrilling</v>
      </c>
      <c r="Q10" s="282" t="str">
        <f>ECOMOD_input_estimate!Q10</f>
        <v>lightcultivation</v>
      </c>
      <c r="R10" s="389">
        <f>ECOMOD_input_estimate!R10</f>
        <v>0</v>
      </c>
      <c r="S10" s="392">
        <f>ECOMOD_input_estimate!S10</f>
        <v>4.8</v>
      </c>
      <c r="T10" s="389">
        <f>ECOMOD_input_estimate!T10</f>
        <v>200</v>
      </c>
      <c r="U10" s="389">
        <f>ECOMOD_input_estimate!U10</f>
        <v>250</v>
      </c>
      <c r="V10" s="391">
        <f>ECOMOD_input_estimate!V10</f>
        <v>3.2</v>
      </c>
      <c r="W10" s="389">
        <f>ECOMOD_input_estimate!W10</f>
        <v>250</v>
      </c>
      <c r="X10" s="282" t="str">
        <f>ECOMOD_input_estimate!X10</f>
        <v>no</v>
      </c>
      <c r="Y10" s="282" t="str">
        <f>ECOMOD_input_estimate!Y10</f>
        <v>no</v>
      </c>
      <c r="Z10" s="282" t="str">
        <f>ECOMOD_input_estimate!Z10</f>
        <v>no</v>
      </c>
      <c r="AA10" s="282" t="str">
        <f>ECOMOD_input_estimate!AA10</f>
        <v>late</v>
      </c>
      <c r="AB10" s="282" t="str">
        <f>ECOMOD_input_estimate!AB10</f>
        <v>no</v>
      </c>
      <c r="AC10" s="282" t="str">
        <f>ECOMOD_input_estimate!AC10</f>
        <v>late</v>
      </c>
      <c r="AD10" s="389">
        <f>ECOMOD_input_estimate!AD10</f>
        <v>0</v>
      </c>
      <c r="AE10" s="390">
        <f>ECOMOD_input_estimate!AE10</f>
        <v>100</v>
      </c>
      <c r="AF10" s="389">
        <f>ECOMOD_input_estimate!AF10</f>
        <v>110</v>
      </c>
      <c r="AG10" s="389">
        <f>ECOMOD_input_estimate!AG10</f>
        <v>220</v>
      </c>
      <c r="AH10" s="389">
        <f>ECOMOD_input_estimate!AH10</f>
        <v>180</v>
      </c>
      <c r="AI10" s="389">
        <f>ECOMOD_input_estimate!AI10</f>
        <v>220</v>
      </c>
      <c r="AJ10" s="389">
        <f>ECOMOD_input_estimate!AJ10</f>
        <v>0</v>
      </c>
      <c r="AK10" s="390">
        <f>ECOMOD_input_estimate!AK10</f>
        <v>32</v>
      </c>
      <c r="AL10" s="389">
        <f>ECOMOD_input_estimate!AL10</f>
        <v>44</v>
      </c>
      <c r="AM10" s="389">
        <f>ECOMOD_input_estimate!AM10</f>
        <v>67</v>
      </c>
      <c r="AN10" s="389">
        <f>ECOMOD_input_estimate!AN10</f>
        <v>49</v>
      </c>
      <c r="AO10" s="389">
        <f>ECOMOD_input_estimate!AO10</f>
        <v>67</v>
      </c>
      <c r="AP10" s="389">
        <f>ECOMOD_input_estimate!AP10</f>
        <v>0</v>
      </c>
      <c r="AQ10" s="390">
        <f>ECOMOD_input_estimate!AQ10</f>
        <v>25</v>
      </c>
      <c r="AR10" s="389">
        <f>ECOMOD_input_estimate!AR10</f>
        <v>32</v>
      </c>
      <c r="AS10" s="389">
        <f>ECOMOD_input_estimate!AS10</f>
        <v>48</v>
      </c>
      <c r="AT10" s="389">
        <f>ECOMOD_input_estimate!AT10</f>
        <v>39</v>
      </c>
      <c r="AU10" s="389">
        <f>ECOMOD_input_estimate!AU10</f>
        <v>48</v>
      </c>
      <c r="AV10" s="234">
        <f t="shared" si="40"/>
        <v>0</v>
      </c>
      <c r="AW10" s="234">
        <f t="shared" si="0"/>
        <v>0</v>
      </c>
      <c r="AX10" s="234">
        <f t="shared" si="1"/>
        <v>4</v>
      </c>
      <c r="AY10" s="234">
        <f t="shared" si="2"/>
        <v>9.3000000000000007</v>
      </c>
      <c r="AZ10" s="234">
        <f t="shared" si="3"/>
        <v>3.1</v>
      </c>
      <c r="BA10" s="234">
        <f t="shared" si="4"/>
        <v>9.3000000000000007</v>
      </c>
      <c r="BB10" s="234">
        <f t="shared" si="5"/>
        <v>8.1999999999999993</v>
      </c>
      <c r="BC10" s="234">
        <f t="shared" si="6"/>
        <v>4.2</v>
      </c>
      <c r="BD10" s="234">
        <f t="shared" si="7"/>
        <v>4.2</v>
      </c>
      <c r="BE10" s="234">
        <f t="shared" si="8"/>
        <v>4.2</v>
      </c>
      <c r="BF10" s="234">
        <f t="shared" si="9"/>
        <v>2</v>
      </c>
      <c r="BG10" s="234">
        <f t="shared" si="10"/>
        <v>4.2</v>
      </c>
      <c r="BH10" s="234">
        <f t="shared" si="11"/>
        <v>5</v>
      </c>
      <c r="BI10" s="234">
        <f t="shared" si="12"/>
        <v>3</v>
      </c>
      <c r="BJ10" s="234">
        <f t="shared" si="13"/>
        <v>5</v>
      </c>
      <c r="BK10" s="234">
        <f t="shared" si="14"/>
        <v>5</v>
      </c>
      <c r="BL10" s="234">
        <f t="shared" si="15"/>
        <v>3</v>
      </c>
      <c r="BM10" s="234">
        <f t="shared" si="16"/>
        <v>5</v>
      </c>
      <c r="BN10" s="154" t="s">
        <v>483</v>
      </c>
      <c r="BO10" s="154" t="str">
        <f t="shared" si="17"/>
        <v>high</v>
      </c>
      <c r="BP10" s="154" t="str">
        <f t="shared" si="18"/>
        <v>medium</v>
      </c>
      <c r="BQ10" s="154" t="str">
        <f t="shared" si="19"/>
        <v>low</v>
      </c>
      <c r="BR10" s="154" t="s">
        <v>183</v>
      </c>
      <c r="BS10" s="154" t="s">
        <v>183</v>
      </c>
      <c r="BT10" s="154" t="s">
        <v>183</v>
      </c>
      <c r="BU10" s="154">
        <f t="shared" si="20"/>
        <v>0</v>
      </c>
      <c r="BV10" s="238">
        <f t="shared" si="21"/>
        <v>335</v>
      </c>
      <c r="BW10" s="154">
        <f t="shared" si="22"/>
        <v>157</v>
      </c>
      <c r="BX10" s="154">
        <f t="shared" si="23"/>
        <v>150</v>
      </c>
      <c r="BY10" s="154">
        <f t="shared" si="24"/>
        <v>335</v>
      </c>
      <c r="BZ10" s="154">
        <f t="shared" si="25"/>
        <v>150</v>
      </c>
      <c r="CA10" s="356">
        <f t="array" ref="CA10">IF(yieldsetting2="estimate",0,INDEX(cropdata, MATCH(yieldsource,outputs,0), MATCH($F10,cropdatacrops,0)))</f>
        <v>0</v>
      </c>
      <c r="CB10" s="357">
        <f t="array" ref="CB10">IF(yieldsetting2="estimate",0,INDEX(cropdata, MATCH(yieldsource,outputs,0), MATCH($G10,cropdatacrops,0)))</f>
        <v>2.25</v>
      </c>
      <c r="CC10" s="356">
        <f t="array" ref="CC10">IF(yieldsetting2="estimate",0,INDEX(cropdata, MATCH(yieldsource,outputs,0), MATCH($H10,cropdatacrops,0)))</f>
        <v>5.7</v>
      </c>
      <c r="CD10" s="356">
        <f t="array" ref="CD10">IF(yieldsetting2="estimate",0,INDEX(cropdata, MATCH(yieldsource,outputs,0), MATCH($I10,cropdatacrops,0)))</f>
        <v>8.6</v>
      </c>
      <c r="CE10" s="356">
        <f t="array" ref="CE10">IF(yieldsetting2="estimate",0,INDEX(cropdata, MATCH(yieldsource,outputs,0), MATCH($J10,cropdatacrops,0)))</f>
        <v>3.5</v>
      </c>
      <c r="CF10" s="356">
        <f t="array" ref="CF10">IF(yieldsetting2="estimate",0,INDEX(cropdata, MATCH(yieldsource,outputs,0), MATCH($K10,cropdatacrops,0)))</f>
        <v>8.6</v>
      </c>
      <c r="CG10" s="154" t="str">
        <f t="shared" si="26"/>
        <v>actual</v>
      </c>
      <c r="CH10" s="235">
        <f t="shared" si="27"/>
        <v>0.8</v>
      </c>
      <c r="CI10" s="235">
        <f t="shared" si="28"/>
        <v>0.72</v>
      </c>
      <c r="CJ10" s="154">
        <f t="shared" si="29"/>
        <v>0.46</v>
      </c>
      <c r="CK10" s="154">
        <f t="shared" si="30"/>
        <v>0</v>
      </c>
      <c r="CL10" s="238">
        <f t="shared" si="31"/>
        <v>7.64</v>
      </c>
      <c r="CM10" s="154">
        <f t="shared" si="32"/>
        <v>0.38</v>
      </c>
      <c r="CN10" s="154">
        <f t="shared" si="33"/>
        <v>0.36</v>
      </c>
      <c r="CO10" s="154">
        <f t="shared" si="34"/>
        <v>7.34</v>
      </c>
      <c r="CP10" s="154">
        <f t="shared" si="35"/>
        <v>0.36</v>
      </c>
      <c r="CQ10" s="154">
        <f t="shared" si="36"/>
        <v>19.5</v>
      </c>
      <c r="CR10" s="154">
        <f t="shared" si="36"/>
        <v>19.5</v>
      </c>
      <c r="CS10" s="154">
        <f t="shared" si="36"/>
        <v>19.5</v>
      </c>
      <c r="CT10" s="154">
        <f t="shared" si="36"/>
        <v>19.5</v>
      </c>
      <c r="CU10" s="154">
        <f t="shared" si="36"/>
        <v>19.5</v>
      </c>
      <c r="CV10" s="154">
        <f t="shared" si="36"/>
        <v>19.5</v>
      </c>
      <c r="CW10" s="154">
        <f t="shared" si="37"/>
        <v>2.4300000000000002</v>
      </c>
      <c r="CX10" s="154">
        <f t="shared" si="37"/>
        <v>2.4300000000000002</v>
      </c>
      <c r="CY10" s="154">
        <f t="shared" si="37"/>
        <v>2.4300000000000002</v>
      </c>
      <c r="CZ10" s="154">
        <f t="shared" si="37"/>
        <v>2.4300000000000002</v>
      </c>
      <c r="DA10" s="154">
        <f t="shared" si="37"/>
        <v>2.4300000000000002</v>
      </c>
      <c r="DB10" s="154">
        <f t="shared" si="37"/>
        <v>2.4300000000000002</v>
      </c>
      <c r="DC10" s="154">
        <v>102</v>
      </c>
      <c r="DD10" s="154">
        <v>6</v>
      </c>
      <c r="DE10" s="154">
        <v>4</v>
      </c>
      <c r="DF10" s="154">
        <v>1400</v>
      </c>
      <c r="DG10" s="154">
        <v>125</v>
      </c>
      <c r="DH10" s="154">
        <f t="shared" si="38"/>
        <v>0.625</v>
      </c>
      <c r="DI10" s="154">
        <f t="shared" si="39"/>
        <v>10.08</v>
      </c>
    </row>
    <row r="11" spans="1:113" x14ac:dyDescent="0.2">
      <c r="A11" s="331" t="s">
        <v>1725</v>
      </c>
      <c r="B11" s="330" t="s">
        <v>487</v>
      </c>
      <c r="C11" s="330" t="s">
        <v>1646</v>
      </c>
      <c r="D11" s="233" t="str">
        <f>ECOMOD_input_estimate!$D11</f>
        <v>1.50</v>
      </c>
      <c r="E11" s="385">
        <f>ECOMOD_input_estimate!$E11</f>
        <v>6</v>
      </c>
      <c r="F11" s="386" t="str">
        <f>ECOMOD_input_estimate!$F11</f>
        <v>setaside</v>
      </c>
      <c r="G11" s="387" t="str">
        <f>ECOMOD_input_estimate!$G11</f>
        <v>sosr</v>
      </c>
      <c r="H11" s="282" t="str">
        <f>ECOMOD_input_estimate!$H11</f>
        <v>springbarley</v>
      </c>
      <c r="I11" s="282" t="str">
        <f>ECOMOD_input_estimate!I11</f>
        <v>winterwheat</v>
      </c>
      <c r="J11" s="282" t="str">
        <f>ECOMOD_input_estimate!$J11</f>
        <v>wosr</v>
      </c>
      <c r="K11" s="282" t="str">
        <f>ECOMOD_input_estimate!$K11</f>
        <v>winterwheat</v>
      </c>
      <c r="L11" s="282" t="str">
        <f>ECOMOD_input_estimate!L11</f>
        <v>lightcultivation</v>
      </c>
      <c r="M11" s="282" t="str">
        <f>ECOMOD_input_estimate!M11</f>
        <v>directdrilling</v>
      </c>
      <c r="N11" s="282" t="str">
        <f>ECOMOD_input_estimate!N11</f>
        <v>lightcultivation</v>
      </c>
      <c r="O11" s="282" t="str">
        <f>ECOMOD_input_estimate!O11</f>
        <v>lightcultivation</v>
      </c>
      <c r="P11" s="282" t="str">
        <f>ECOMOD_input_estimate!P11</f>
        <v>directdrilling</v>
      </c>
      <c r="Q11" s="282" t="str">
        <f>ECOMOD_input_estimate!Q11</f>
        <v>lightcultivation</v>
      </c>
      <c r="R11" s="389">
        <f>ECOMOD_input_estimate!R11</f>
        <v>0</v>
      </c>
      <c r="S11" s="392">
        <f>ECOMOD_input_estimate!S11</f>
        <v>4.8</v>
      </c>
      <c r="T11" s="389">
        <f>ECOMOD_input_estimate!T11</f>
        <v>200</v>
      </c>
      <c r="U11" s="389">
        <f>ECOMOD_input_estimate!U11</f>
        <v>250</v>
      </c>
      <c r="V11" s="391">
        <f>ECOMOD_input_estimate!V11</f>
        <v>3.2</v>
      </c>
      <c r="W11" s="389">
        <f>ECOMOD_input_estimate!W11</f>
        <v>250</v>
      </c>
      <c r="X11" s="282" t="str">
        <f>ECOMOD_input_estimate!X11</f>
        <v>no</v>
      </c>
      <c r="Y11" s="282" t="str">
        <f>ECOMOD_input_estimate!Y11</f>
        <v>no</v>
      </c>
      <c r="Z11" s="282" t="str">
        <f>ECOMOD_input_estimate!Z11</f>
        <v>no</v>
      </c>
      <c r="AA11" s="282" t="str">
        <f>ECOMOD_input_estimate!AA11</f>
        <v>late</v>
      </c>
      <c r="AB11" s="282" t="str">
        <f>ECOMOD_input_estimate!AB11</f>
        <v>no</v>
      </c>
      <c r="AC11" s="282" t="str">
        <f>ECOMOD_input_estimate!AC11</f>
        <v>late</v>
      </c>
      <c r="AD11" s="389">
        <f>ECOMOD_input_estimate!AD11</f>
        <v>0</v>
      </c>
      <c r="AE11" s="390">
        <f>ECOMOD_input_estimate!AE11</f>
        <v>100</v>
      </c>
      <c r="AF11" s="389">
        <f>ECOMOD_input_estimate!AF11</f>
        <v>110</v>
      </c>
      <c r="AG11" s="389">
        <f>ECOMOD_input_estimate!AG11</f>
        <v>220</v>
      </c>
      <c r="AH11" s="389">
        <f>ECOMOD_input_estimate!AH11</f>
        <v>180</v>
      </c>
      <c r="AI11" s="389">
        <f>ECOMOD_input_estimate!AI11</f>
        <v>220</v>
      </c>
      <c r="AJ11" s="389">
        <f>ECOMOD_input_estimate!AJ11</f>
        <v>0</v>
      </c>
      <c r="AK11" s="390">
        <f>ECOMOD_input_estimate!AK11</f>
        <v>32</v>
      </c>
      <c r="AL11" s="389">
        <f>ECOMOD_input_estimate!AL11</f>
        <v>44</v>
      </c>
      <c r="AM11" s="389">
        <f>ECOMOD_input_estimate!AM11</f>
        <v>67</v>
      </c>
      <c r="AN11" s="389">
        <f>ECOMOD_input_estimate!AN11</f>
        <v>49</v>
      </c>
      <c r="AO11" s="389">
        <f>ECOMOD_input_estimate!AO11</f>
        <v>67</v>
      </c>
      <c r="AP11" s="389">
        <f>ECOMOD_input_estimate!AP11</f>
        <v>0</v>
      </c>
      <c r="AQ11" s="390">
        <f>ECOMOD_input_estimate!AQ11</f>
        <v>25</v>
      </c>
      <c r="AR11" s="389">
        <f>ECOMOD_input_estimate!AR11</f>
        <v>32</v>
      </c>
      <c r="AS11" s="389">
        <f>ECOMOD_input_estimate!AS11</f>
        <v>48</v>
      </c>
      <c r="AT11" s="389">
        <f>ECOMOD_input_estimate!AT11</f>
        <v>39</v>
      </c>
      <c r="AU11" s="389">
        <f>ECOMOD_input_estimate!AU11</f>
        <v>48</v>
      </c>
      <c r="AV11" s="234">
        <f t="shared" si="40"/>
        <v>0</v>
      </c>
      <c r="AW11" s="234">
        <f t="shared" si="0"/>
        <v>0</v>
      </c>
      <c r="AX11" s="234">
        <f t="shared" si="1"/>
        <v>4</v>
      </c>
      <c r="AY11" s="234">
        <f t="shared" si="2"/>
        <v>9.3000000000000007</v>
      </c>
      <c r="AZ11" s="234">
        <f t="shared" si="3"/>
        <v>3.1</v>
      </c>
      <c r="BA11" s="234">
        <f t="shared" si="4"/>
        <v>9.3000000000000007</v>
      </c>
      <c r="BB11" s="234">
        <f t="shared" si="5"/>
        <v>8.1999999999999993</v>
      </c>
      <c r="BC11" s="234">
        <f t="shared" si="6"/>
        <v>4.2</v>
      </c>
      <c r="BD11" s="234">
        <f t="shared" si="7"/>
        <v>4.2</v>
      </c>
      <c r="BE11" s="234">
        <f t="shared" si="8"/>
        <v>4.2</v>
      </c>
      <c r="BF11" s="234">
        <f t="shared" si="9"/>
        <v>2</v>
      </c>
      <c r="BG11" s="234">
        <f t="shared" si="10"/>
        <v>4.2</v>
      </c>
      <c r="BH11" s="234">
        <f t="shared" si="11"/>
        <v>5</v>
      </c>
      <c r="BI11" s="234">
        <f t="shared" si="12"/>
        <v>3</v>
      </c>
      <c r="BJ11" s="234">
        <f t="shared" si="13"/>
        <v>5</v>
      </c>
      <c r="BK11" s="234">
        <f t="shared" si="14"/>
        <v>5</v>
      </c>
      <c r="BL11" s="234">
        <f t="shared" si="15"/>
        <v>3</v>
      </c>
      <c r="BM11" s="234">
        <f t="shared" si="16"/>
        <v>5</v>
      </c>
      <c r="BN11" s="154" t="s">
        <v>483</v>
      </c>
      <c r="BO11" s="154" t="str">
        <f t="shared" si="17"/>
        <v>veryhigh</v>
      </c>
      <c r="BP11" s="154" t="str">
        <f t="shared" si="18"/>
        <v>high</v>
      </c>
      <c r="BQ11" s="154" t="str">
        <f t="shared" si="19"/>
        <v>medium</v>
      </c>
      <c r="BR11" s="154" t="s">
        <v>18</v>
      </c>
      <c r="BS11" s="154" t="s">
        <v>18</v>
      </c>
      <c r="BT11" s="154" t="s">
        <v>18</v>
      </c>
      <c r="BU11" s="154">
        <f t="shared" si="20"/>
        <v>0</v>
      </c>
      <c r="BV11" s="238">
        <f t="shared" si="21"/>
        <v>335</v>
      </c>
      <c r="BW11" s="154">
        <f t="shared" si="22"/>
        <v>157</v>
      </c>
      <c r="BX11" s="154">
        <f t="shared" si="23"/>
        <v>150</v>
      </c>
      <c r="BY11" s="154">
        <f t="shared" si="24"/>
        <v>335</v>
      </c>
      <c r="BZ11" s="154">
        <f t="shared" si="25"/>
        <v>150</v>
      </c>
      <c r="CA11" s="356">
        <f t="array" ref="CA11">IF(yieldsetting2="estimate",0,INDEX(cropdata, MATCH(yieldsource,outputs,0), MATCH($F11,cropdatacrops,0)))</f>
        <v>0</v>
      </c>
      <c r="CB11" s="357">
        <f t="array" ref="CB11">IF(yieldsetting2="estimate",0,INDEX(cropdata, MATCH(yieldsource,outputs,0), MATCH($G11,cropdatacrops,0)))</f>
        <v>2.25</v>
      </c>
      <c r="CC11" s="356">
        <f t="array" ref="CC11">IF(yieldsetting2="estimate",0,INDEX(cropdata, MATCH(yieldsource,outputs,0), MATCH($H11,cropdatacrops,0)))</f>
        <v>5.7</v>
      </c>
      <c r="CD11" s="356">
        <f t="array" ref="CD11">IF(yieldsetting2="estimate",0,INDEX(cropdata, MATCH(yieldsource,outputs,0), MATCH($I11,cropdatacrops,0)))</f>
        <v>8.6</v>
      </c>
      <c r="CE11" s="356">
        <f t="array" ref="CE11">IF(yieldsetting2="estimate",0,INDEX(cropdata, MATCH(yieldsource,outputs,0), MATCH($J11,cropdatacrops,0)))</f>
        <v>3.5</v>
      </c>
      <c r="CF11" s="356">
        <f t="array" ref="CF11">IF(yieldsetting2="estimate",0,INDEX(cropdata, MATCH(yieldsource,outputs,0), MATCH($K11,cropdatacrops,0)))</f>
        <v>8.6</v>
      </c>
      <c r="CG11" s="154" t="str">
        <f t="shared" si="26"/>
        <v>actual</v>
      </c>
      <c r="CH11" s="235">
        <f t="shared" si="27"/>
        <v>0.8</v>
      </c>
      <c r="CI11" s="235">
        <f t="shared" si="28"/>
        <v>0.72</v>
      </c>
      <c r="CJ11" s="154">
        <f t="shared" si="29"/>
        <v>0.46</v>
      </c>
      <c r="CK11" s="154">
        <f t="shared" si="30"/>
        <v>0</v>
      </c>
      <c r="CL11" s="238">
        <f t="shared" si="31"/>
        <v>7.64</v>
      </c>
      <c r="CM11" s="154">
        <f t="shared" si="32"/>
        <v>0.38</v>
      </c>
      <c r="CN11" s="154">
        <f t="shared" si="33"/>
        <v>0.36</v>
      </c>
      <c r="CO11" s="154">
        <f t="shared" si="34"/>
        <v>7.34</v>
      </c>
      <c r="CP11" s="154">
        <f t="shared" si="35"/>
        <v>0.36</v>
      </c>
      <c r="CQ11" s="154">
        <f t="shared" si="36"/>
        <v>19.5</v>
      </c>
      <c r="CR11" s="154">
        <f t="shared" si="36"/>
        <v>19.5</v>
      </c>
      <c r="CS11" s="154">
        <f t="shared" si="36"/>
        <v>19.5</v>
      </c>
      <c r="CT11" s="154">
        <f t="shared" si="36"/>
        <v>19.5</v>
      </c>
      <c r="CU11" s="154">
        <f t="shared" si="36"/>
        <v>19.5</v>
      </c>
      <c r="CV11" s="154">
        <f t="shared" si="36"/>
        <v>19.5</v>
      </c>
      <c r="CW11" s="154">
        <f t="shared" si="37"/>
        <v>2.4300000000000002</v>
      </c>
      <c r="CX11" s="154">
        <f t="shared" si="37"/>
        <v>2.4300000000000002</v>
      </c>
      <c r="CY11" s="154">
        <f t="shared" si="37"/>
        <v>2.4300000000000002</v>
      </c>
      <c r="CZ11" s="154">
        <f t="shared" si="37"/>
        <v>2.4300000000000002</v>
      </c>
      <c r="DA11" s="154">
        <f t="shared" si="37"/>
        <v>2.4300000000000002</v>
      </c>
      <c r="DB11" s="154">
        <f t="shared" si="37"/>
        <v>2.4300000000000002</v>
      </c>
      <c r="DC11" s="154">
        <v>102</v>
      </c>
      <c r="DD11" s="154">
        <v>6</v>
      </c>
      <c r="DE11" s="154">
        <v>4</v>
      </c>
      <c r="DF11" s="154">
        <v>1400</v>
      </c>
      <c r="DG11" s="154">
        <v>125</v>
      </c>
      <c r="DH11" s="154">
        <f t="shared" si="38"/>
        <v>0.625</v>
      </c>
      <c r="DI11" s="154">
        <f t="shared" si="39"/>
        <v>10.08</v>
      </c>
    </row>
    <row r="12" spans="1:113" x14ac:dyDescent="0.2">
      <c r="A12" s="331" t="s">
        <v>1726</v>
      </c>
      <c r="B12" s="330" t="s">
        <v>490</v>
      </c>
      <c r="C12" s="330" t="s">
        <v>1653</v>
      </c>
      <c r="D12" s="233" t="str">
        <f>ECOMOD_input_estimate!$D12</f>
        <v>0.75</v>
      </c>
      <c r="E12" s="385">
        <f>ECOMOD_input_estimate!$E12</f>
        <v>6</v>
      </c>
      <c r="F12" s="386" t="str">
        <f>ECOMOD_input_estimate!$F12</f>
        <v>setaside</v>
      </c>
      <c r="G12" s="387" t="str">
        <f>ECOMOD_input_estimate!$G12</f>
        <v>sosr</v>
      </c>
      <c r="H12" s="282" t="str">
        <f>ECOMOD_input_estimate!$H12</f>
        <v>springbarley</v>
      </c>
      <c r="I12" s="282" t="str">
        <f>ECOMOD_input_estimate!I12</f>
        <v>winterwheat</v>
      </c>
      <c r="J12" s="282" t="str">
        <f>ECOMOD_input_estimate!$J12</f>
        <v>wosr</v>
      </c>
      <c r="K12" s="282" t="str">
        <f>ECOMOD_input_estimate!$K12</f>
        <v>winterwheat</v>
      </c>
      <c r="L12" s="282" t="str">
        <f>ECOMOD_input_estimate!L12</f>
        <v>lightcultivation</v>
      </c>
      <c r="M12" s="282" t="str">
        <f>ECOMOD_input_estimate!M12</f>
        <v>directdrilling</v>
      </c>
      <c r="N12" s="282" t="str">
        <f>ECOMOD_input_estimate!N12</f>
        <v>lightcultivation</v>
      </c>
      <c r="O12" s="282" t="str">
        <f>ECOMOD_input_estimate!O12</f>
        <v>lightcultivation</v>
      </c>
      <c r="P12" s="282" t="str">
        <f>ECOMOD_input_estimate!P12</f>
        <v>directdrilling</v>
      </c>
      <c r="Q12" s="282" t="str">
        <f>ECOMOD_input_estimate!Q12</f>
        <v>lightcultivation</v>
      </c>
      <c r="R12" s="389">
        <f>ECOMOD_input_estimate!R12</f>
        <v>0</v>
      </c>
      <c r="S12" s="392">
        <f>ECOMOD_input_estimate!S12</f>
        <v>4.8</v>
      </c>
      <c r="T12" s="389">
        <f>ECOMOD_input_estimate!T12</f>
        <v>200</v>
      </c>
      <c r="U12" s="389">
        <f>ECOMOD_input_estimate!U12</f>
        <v>250</v>
      </c>
      <c r="V12" s="391">
        <f>ECOMOD_input_estimate!V12</f>
        <v>3.2</v>
      </c>
      <c r="W12" s="389">
        <f>ECOMOD_input_estimate!W12</f>
        <v>250</v>
      </c>
      <c r="X12" s="282" t="str">
        <f>ECOMOD_input_estimate!X12</f>
        <v>no</v>
      </c>
      <c r="Y12" s="282" t="str">
        <f>ECOMOD_input_estimate!Y12</f>
        <v>no</v>
      </c>
      <c r="Z12" s="282" t="str">
        <f>ECOMOD_input_estimate!Z12</f>
        <v>no</v>
      </c>
      <c r="AA12" s="282" t="str">
        <f>ECOMOD_input_estimate!AA12</f>
        <v>late</v>
      </c>
      <c r="AB12" s="282" t="str">
        <f>ECOMOD_input_estimate!AB12</f>
        <v>no</v>
      </c>
      <c r="AC12" s="282" t="str">
        <f>ECOMOD_input_estimate!AC12</f>
        <v>late</v>
      </c>
      <c r="AD12" s="389">
        <f>ECOMOD_input_estimate!AD12</f>
        <v>0</v>
      </c>
      <c r="AE12" s="390">
        <f>ECOMOD_input_estimate!AE12</f>
        <v>100</v>
      </c>
      <c r="AF12" s="389">
        <f>ECOMOD_input_estimate!AF12</f>
        <v>110</v>
      </c>
      <c r="AG12" s="389">
        <f>ECOMOD_input_estimate!AG12</f>
        <v>150</v>
      </c>
      <c r="AH12" s="389">
        <f>ECOMOD_input_estimate!AH12</f>
        <v>180</v>
      </c>
      <c r="AI12" s="389">
        <f>ECOMOD_input_estimate!AI12</f>
        <v>220</v>
      </c>
      <c r="AJ12" s="389">
        <f>ECOMOD_input_estimate!AJ12</f>
        <v>0</v>
      </c>
      <c r="AK12" s="390">
        <f>ECOMOD_input_estimate!AK12</f>
        <v>32</v>
      </c>
      <c r="AL12" s="389">
        <f>ECOMOD_input_estimate!AL12</f>
        <v>44</v>
      </c>
      <c r="AM12" s="389">
        <f>ECOMOD_input_estimate!AM12</f>
        <v>67</v>
      </c>
      <c r="AN12" s="389">
        <f>ECOMOD_input_estimate!AN12</f>
        <v>49</v>
      </c>
      <c r="AO12" s="389">
        <f>ECOMOD_input_estimate!AO12</f>
        <v>67</v>
      </c>
      <c r="AP12" s="389">
        <f>ECOMOD_input_estimate!AP12</f>
        <v>0</v>
      </c>
      <c r="AQ12" s="390">
        <f>ECOMOD_input_estimate!AQ12</f>
        <v>25</v>
      </c>
      <c r="AR12" s="389">
        <f>ECOMOD_input_estimate!AR12</f>
        <v>32</v>
      </c>
      <c r="AS12" s="389">
        <f>ECOMOD_input_estimate!AS12</f>
        <v>48</v>
      </c>
      <c r="AT12" s="389">
        <f>ECOMOD_input_estimate!AT12</f>
        <v>39</v>
      </c>
      <c r="AU12" s="389">
        <f>ECOMOD_input_estimate!AU12</f>
        <v>48</v>
      </c>
      <c r="AV12" s="234">
        <f t="shared" si="40"/>
        <v>0</v>
      </c>
      <c r="AW12" s="234">
        <f t="shared" si="0"/>
        <v>0</v>
      </c>
      <c r="AX12" s="234">
        <f t="shared" si="1"/>
        <v>4</v>
      </c>
      <c r="AY12" s="234">
        <f t="shared" si="2"/>
        <v>9.3000000000000007</v>
      </c>
      <c r="AZ12" s="234">
        <f t="shared" si="3"/>
        <v>3.1</v>
      </c>
      <c r="BA12" s="234">
        <f t="shared" si="4"/>
        <v>9.3000000000000007</v>
      </c>
      <c r="BB12" s="234">
        <f t="shared" si="5"/>
        <v>8.1999999999999993</v>
      </c>
      <c r="BC12" s="234">
        <f t="shared" si="6"/>
        <v>4.2</v>
      </c>
      <c r="BD12" s="234">
        <f t="shared" si="7"/>
        <v>4.2</v>
      </c>
      <c r="BE12" s="234">
        <f t="shared" si="8"/>
        <v>4.2</v>
      </c>
      <c r="BF12" s="234">
        <f t="shared" si="9"/>
        <v>2</v>
      </c>
      <c r="BG12" s="234">
        <f t="shared" si="10"/>
        <v>4.2</v>
      </c>
      <c r="BH12" s="234">
        <f t="shared" si="11"/>
        <v>5</v>
      </c>
      <c r="BI12" s="234">
        <f t="shared" si="12"/>
        <v>3</v>
      </c>
      <c r="BJ12" s="234">
        <f t="shared" si="13"/>
        <v>5</v>
      </c>
      <c r="BK12" s="234">
        <f t="shared" si="14"/>
        <v>5</v>
      </c>
      <c r="BL12" s="234">
        <f t="shared" si="15"/>
        <v>3</v>
      </c>
      <c r="BM12" s="234">
        <f t="shared" si="16"/>
        <v>5</v>
      </c>
      <c r="BN12" s="154" t="s">
        <v>483</v>
      </c>
      <c r="BO12" s="154" t="str">
        <f t="shared" si="17"/>
        <v>high</v>
      </c>
      <c r="BP12" s="154" t="str">
        <f t="shared" si="18"/>
        <v>medium</v>
      </c>
      <c r="BQ12" s="154" t="str">
        <f t="shared" si="19"/>
        <v>low</v>
      </c>
      <c r="BR12" s="154" t="s">
        <v>182</v>
      </c>
      <c r="BS12" s="154" t="s">
        <v>182</v>
      </c>
      <c r="BT12" s="154" t="s">
        <v>182</v>
      </c>
      <c r="BU12" s="154">
        <f t="shared" si="20"/>
        <v>0</v>
      </c>
      <c r="BV12" s="238">
        <f t="shared" si="21"/>
        <v>335</v>
      </c>
      <c r="BW12" s="154">
        <f t="shared" si="22"/>
        <v>157</v>
      </c>
      <c r="BX12" s="154">
        <f t="shared" si="23"/>
        <v>150</v>
      </c>
      <c r="BY12" s="154">
        <f t="shared" si="24"/>
        <v>335</v>
      </c>
      <c r="BZ12" s="154">
        <f t="shared" si="25"/>
        <v>150</v>
      </c>
      <c r="CA12" s="356">
        <f t="array" ref="CA12">IF(yieldsetting2="estimate",0,INDEX(cropdata, MATCH(yieldsource,outputs,0), MATCH($F12,cropdatacrops,0)))</f>
        <v>0</v>
      </c>
      <c r="CB12" s="357">
        <f t="array" ref="CB12">IF(yieldsetting2="estimate",0,INDEX(cropdata, MATCH(yieldsource,outputs,0), MATCH($G12,cropdatacrops,0)))</f>
        <v>2.25</v>
      </c>
      <c r="CC12" s="356">
        <f t="array" ref="CC12">IF(yieldsetting2="estimate",0,INDEX(cropdata, MATCH(yieldsource,outputs,0), MATCH($H12,cropdatacrops,0)))</f>
        <v>5.7</v>
      </c>
      <c r="CD12" s="356">
        <f t="array" ref="CD12">IF(yieldsetting2="estimate",0,INDEX(cropdata, MATCH(yieldsource,outputs,0), MATCH($I12,cropdatacrops,0)))</f>
        <v>8.6</v>
      </c>
      <c r="CE12" s="356">
        <f t="array" ref="CE12">IF(yieldsetting2="estimate",0,INDEX(cropdata, MATCH(yieldsource,outputs,0), MATCH($J12,cropdatacrops,0)))</f>
        <v>3.5</v>
      </c>
      <c r="CF12" s="356">
        <f t="array" ref="CF12">IF(yieldsetting2="estimate",0,INDEX(cropdata, MATCH(yieldsource,outputs,0), MATCH($K12,cropdatacrops,0)))</f>
        <v>8.6</v>
      </c>
      <c r="CG12" s="154" t="str">
        <f t="shared" si="26"/>
        <v>actual</v>
      </c>
      <c r="CH12" s="235">
        <f t="shared" si="27"/>
        <v>0.8</v>
      </c>
      <c r="CI12" s="235">
        <f t="shared" si="28"/>
        <v>0.72</v>
      </c>
      <c r="CJ12" s="154">
        <f t="shared" si="29"/>
        <v>0.46</v>
      </c>
      <c r="CK12" s="154">
        <f t="shared" si="30"/>
        <v>0</v>
      </c>
      <c r="CL12" s="238">
        <f t="shared" si="31"/>
        <v>7.64</v>
      </c>
      <c r="CM12" s="154">
        <f t="shared" si="32"/>
        <v>0.38</v>
      </c>
      <c r="CN12" s="154">
        <f t="shared" si="33"/>
        <v>0.36</v>
      </c>
      <c r="CO12" s="154">
        <f t="shared" si="34"/>
        <v>7.34</v>
      </c>
      <c r="CP12" s="154">
        <f t="shared" si="35"/>
        <v>0.36</v>
      </c>
      <c r="CQ12" s="154">
        <f t="shared" si="36"/>
        <v>19.5</v>
      </c>
      <c r="CR12" s="154">
        <f t="shared" si="36"/>
        <v>19.5</v>
      </c>
      <c r="CS12" s="154">
        <f t="shared" si="36"/>
        <v>19.5</v>
      </c>
      <c r="CT12" s="154">
        <f t="shared" si="36"/>
        <v>19.5</v>
      </c>
      <c r="CU12" s="154">
        <f t="shared" si="36"/>
        <v>19.5</v>
      </c>
      <c r="CV12" s="154">
        <f t="shared" si="36"/>
        <v>19.5</v>
      </c>
      <c r="CW12" s="154">
        <f t="shared" si="37"/>
        <v>2.4300000000000002</v>
      </c>
      <c r="CX12" s="154">
        <f t="shared" si="37"/>
        <v>2.4300000000000002</v>
      </c>
      <c r="CY12" s="154">
        <f t="shared" si="37"/>
        <v>2.4300000000000002</v>
      </c>
      <c r="CZ12" s="154">
        <f t="shared" si="37"/>
        <v>2.4300000000000002</v>
      </c>
      <c r="DA12" s="154">
        <f t="shared" si="37"/>
        <v>2.4300000000000002</v>
      </c>
      <c r="DB12" s="154">
        <f t="shared" si="37"/>
        <v>2.4300000000000002</v>
      </c>
      <c r="DC12" s="154">
        <v>102</v>
      </c>
      <c r="DD12" s="154">
        <v>6</v>
      </c>
      <c r="DE12" s="154">
        <v>4</v>
      </c>
      <c r="DF12" s="154">
        <v>1400</v>
      </c>
      <c r="DG12" s="154">
        <v>125</v>
      </c>
      <c r="DH12" s="154">
        <f t="shared" si="38"/>
        <v>0.625</v>
      </c>
      <c r="DI12" s="154">
        <f t="shared" si="39"/>
        <v>10.08</v>
      </c>
    </row>
    <row r="13" spans="1:113" x14ac:dyDescent="0.2">
      <c r="A13" s="331" t="s">
        <v>1727</v>
      </c>
      <c r="B13" s="330" t="s">
        <v>490</v>
      </c>
      <c r="C13" s="330" t="s">
        <v>1654</v>
      </c>
      <c r="D13" s="233" t="str">
        <f>ECOMOD_input_estimate!$D13</f>
        <v>0.75</v>
      </c>
      <c r="E13" s="385">
        <f>ECOMOD_input_estimate!$E13</f>
        <v>6</v>
      </c>
      <c r="F13" s="386" t="str">
        <f>ECOMOD_input_estimate!$F13</f>
        <v>setaside</v>
      </c>
      <c r="G13" s="387" t="str">
        <f>ECOMOD_input_estimate!$G13</f>
        <v>sosr</v>
      </c>
      <c r="H13" s="282" t="str">
        <f>ECOMOD_input_estimate!$H13</f>
        <v>springbarley</v>
      </c>
      <c r="I13" s="282" t="str">
        <f>ECOMOD_input_estimate!I13</f>
        <v>winterwheat</v>
      </c>
      <c r="J13" s="282" t="str">
        <f>ECOMOD_input_estimate!$J13</f>
        <v>wosr</v>
      </c>
      <c r="K13" s="282" t="str">
        <f>ECOMOD_input_estimate!$K13</f>
        <v>winterwheat</v>
      </c>
      <c r="L13" s="282" t="str">
        <f>ECOMOD_input_estimate!L13</f>
        <v>lightcultivation</v>
      </c>
      <c r="M13" s="282" t="str">
        <f>ECOMOD_input_estimate!M13</f>
        <v>directdrilling</v>
      </c>
      <c r="N13" s="282" t="str">
        <f>ECOMOD_input_estimate!N13</f>
        <v>lightcultivation</v>
      </c>
      <c r="O13" s="282" t="str">
        <f>ECOMOD_input_estimate!O13</f>
        <v>lightcultivation</v>
      </c>
      <c r="P13" s="282" t="str">
        <f>ECOMOD_input_estimate!P13</f>
        <v>directdrilling</v>
      </c>
      <c r="Q13" s="282" t="str">
        <f>ECOMOD_input_estimate!Q13</f>
        <v>lightcultivation</v>
      </c>
      <c r="R13" s="389">
        <f>ECOMOD_input_estimate!R13</f>
        <v>0</v>
      </c>
      <c r="S13" s="392">
        <f>ECOMOD_input_estimate!S13</f>
        <v>4.8</v>
      </c>
      <c r="T13" s="389">
        <f>ECOMOD_input_estimate!T13</f>
        <v>200</v>
      </c>
      <c r="U13" s="389">
        <f>ECOMOD_input_estimate!U13</f>
        <v>250</v>
      </c>
      <c r="V13" s="391">
        <f>ECOMOD_input_estimate!V13</f>
        <v>3.2</v>
      </c>
      <c r="W13" s="389">
        <f>ECOMOD_input_estimate!W13</f>
        <v>250</v>
      </c>
      <c r="X13" s="282" t="str">
        <f>ECOMOD_input_estimate!X13</f>
        <v>no</v>
      </c>
      <c r="Y13" s="282" t="str">
        <f>ECOMOD_input_estimate!Y13</f>
        <v>no</v>
      </c>
      <c r="Z13" s="282" t="str">
        <f>ECOMOD_input_estimate!Z13</f>
        <v>no</v>
      </c>
      <c r="AA13" s="282" t="str">
        <f>ECOMOD_input_estimate!AA13</f>
        <v>late</v>
      </c>
      <c r="AB13" s="282" t="str">
        <f>ECOMOD_input_estimate!AB13</f>
        <v>no</v>
      </c>
      <c r="AC13" s="282" t="str">
        <f>ECOMOD_input_estimate!AC13</f>
        <v>late</v>
      </c>
      <c r="AD13" s="389">
        <f>ECOMOD_input_estimate!AD13</f>
        <v>0</v>
      </c>
      <c r="AE13" s="390">
        <f>ECOMOD_input_estimate!AE13</f>
        <v>100</v>
      </c>
      <c r="AF13" s="389">
        <f>ECOMOD_input_estimate!AF13</f>
        <v>110</v>
      </c>
      <c r="AG13" s="389">
        <f>ECOMOD_input_estimate!AG13</f>
        <v>150</v>
      </c>
      <c r="AH13" s="389">
        <f>ECOMOD_input_estimate!AH13</f>
        <v>180</v>
      </c>
      <c r="AI13" s="389">
        <f>ECOMOD_input_estimate!AI13</f>
        <v>220</v>
      </c>
      <c r="AJ13" s="389">
        <f>ECOMOD_input_estimate!AJ13</f>
        <v>0</v>
      </c>
      <c r="AK13" s="390">
        <f>ECOMOD_input_estimate!AK13</f>
        <v>32</v>
      </c>
      <c r="AL13" s="389">
        <f>ECOMOD_input_estimate!AL13</f>
        <v>44</v>
      </c>
      <c r="AM13" s="389">
        <f>ECOMOD_input_estimate!AM13</f>
        <v>67</v>
      </c>
      <c r="AN13" s="389">
        <f>ECOMOD_input_estimate!AN13</f>
        <v>49</v>
      </c>
      <c r="AO13" s="389">
        <f>ECOMOD_input_estimate!AO13</f>
        <v>67</v>
      </c>
      <c r="AP13" s="389">
        <f>ECOMOD_input_estimate!AP13</f>
        <v>0</v>
      </c>
      <c r="AQ13" s="390">
        <f>ECOMOD_input_estimate!AQ13</f>
        <v>25</v>
      </c>
      <c r="AR13" s="389">
        <f>ECOMOD_input_estimate!AR13</f>
        <v>32</v>
      </c>
      <c r="AS13" s="389">
        <f>ECOMOD_input_estimate!AS13</f>
        <v>48</v>
      </c>
      <c r="AT13" s="389">
        <f>ECOMOD_input_estimate!AT13</f>
        <v>39</v>
      </c>
      <c r="AU13" s="389">
        <f>ECOMOD_input_estimate!AU13</f>
        <v>48</v>
      </c>
      <c r="AV13" s="234">
        <f t="shared" si="40"/>
        <v>0</v>
      </c>
      <c r="AW13" s="234">
        <f t="shared" si="0"/>
        <v>0</v>
      </c>
      <c r="AX13" s="234">
        <f t="shared" si="1"/>
        <v>4</v>
      </c>
      <c r="AY13" s="234">
        <f t="shared" si="2"/>
        <v>9.3000000000000007</v>
      </c>
      <c r="AZ13" s="234">
        <f t="shared" si="3"/>
        <v>3.1</v>
      </c>
      <c r="BA13" s="234">
        <f t="shared" si="4"/>
        <v>9.3000000000000007</v>
      </c>
      <c r="BB13" s="234">
        <f t="shared" si="5"/>
        <v>8.1999999999999993</v>
      </c>
      <c r="BC13" s="234">
        <f t="shared" si="6"/>
        <v>4.2</v>
      </c>
      <c r="BD13" s="234">
        <f t="shared" si="7"/>
        <v>4.2</v>
      </c>
      <c r="BE13" s="234">
        <f t="shared" si="8"/>
        <v>4.2</v>
      </c>
      <c r="BF13" s="234">
        <f t="shared" si="9"/>
        <v>2</v>
      </c>
      <c r="BG13" s="234">
        <f t="shared" si="10"/>
        <v>4.2</v>
      </c>
      <c r="BH13" s="234">
        <f t="shared" si="11"/>
        <v>5</v>
      </c>
      <c r="BI13" s="234">
        <f t="shared" si="12"/>
        <v>3</v>
      </c>
      <c r="BJ13" s="234">
        <f t="shared" si="13"/>
        <v>5</v>
      </c>
      <c r="BK13" s="234">
        <f t="shared" si="14"/>
        <v>5</v>
      </c>
      <c r="BL13" s="234">
        <f t="shared" si="15"/>
        <v>3</v>
      </c>
      <c r="BM13" s="234">
        <f t="shared" si="16"/>
        <v>5</v>
      </c>
      <c r="BN13" s="154" t="s">
        <v>483</v>
      </c>
      <c r="BO13" s="154" t="str">
        <f t="shared" si="17"/>
        <v>veryhigh</v>
      </c>
      <c r="BP13" s="154" t="str">
        <f t="shared" si="18"/>
        <v>high</v>
      </c>
      <c r="BQ13" s="154" t="str">
        <f t="shared" si="19"/>
        <v>medium</v>
      </c>
      <c r="BR13" s="154" t="s">
        <v>183</v>
      </c>
      <c r="BS13" s="154" t="s">
        <v>183</v>
      </c>
      <c r="BT13" s="154" t="s">
        <v>183</v>
      </c>
      <c r="BU13" s="154">
        <f t="shared" si="20"/>
        <v>0</v>
      </c>
      <c r="BV13" s="238">
        <f t="shared" si="21"/>
        <v>335</v>
      </c>
      <c r="BW13" s="154">
        <f t="shared" si="22"/>
        <v>157</v>
      </c>
      <c r="BX13" s="154">
        <f t="shared" si="23"/>
        <v>150</v>
      </c>
      <c r="BY13" s="154">
        <f t="shared" si="24"/>
        <v>335</v>
      </c>
      <c r="BZ13" s="154">
        <f t="shared" si="25"/>
        <v>150</v>
      </c>
      <c r="CA13" s="356">
        <f t="array" ref="CA13">IF(yieldsetting2="estimate",0,INDEX(cropdata, MATCH(yieldsource,outputs,0), MATCH($F13,cropdatacrops,0)))</f>
        <v>0</v>
      </c>
      <c r="CB13" s="357">
        <f t="array" ref="CB13">IF(yieldsetting2="estimate",0,INDEX(cropdata, MATCH(yieldsource,outputs,0), MATCH($G13,cropdatacrops,0)))</f>
        <v>2.25</v>
      </c>
      <c r="CC13" s="356">
        <f t="array" ref="CC13">IF(yieldsetting2="estimate",0,INDEX(cropdata, MATCH(yieldsource,outputs,0), MATCH($H13,cropdatacrops,0)))</f>
        <v>5.7</v>
      </c>
      <c r="CD13" s="356">
        <f t="array" ref="CD13">IF(yieldsetting2="estimate",0,INDEX(cropdata, MATCH(yieldsource,outputs,0), MATCH($I13,cropdatacrops,0)))</f>
        <v>8.6</v>
      </c>
      <c r="CE13" s="356">
        <f t="array" ref="CE13">IF(yieldsetting2="estimate",0,INDEX(cropdata, MATCH(yieldsource,outputs,0), MATCH($J13,cropdatacrops,0)))</f>
        <v>3.5</v>
      </c>
      <c r="CF13" s="356">
        <f t="array" ref="CF13">IF(yieldsetting2="estimate",0,INDEX(cropdata, MATCH(yieldsource,outputs,0), MATCH($K13,cropdatacrops,0)))</f>
        <v>8.6</v>
      </c>
      <c r="CG13" s="154" t="str">
        <f t="shared" si="26"/>
        <v>actual</v>
      </c>
      <c r="CH13" s="235">
        <f t="shared" si="27"/>
        <v>0.8</v>
      </c>
      <c r="CI13" s="235">
        <f t="shared" si="28"/>
        <v>0.72</v>
      </c>
      <c r="CJ13" s="154">
        <f t="shared" si="29"/>
        <v>0.46</v>
      </c>
      <c r="CK13" s="154">
        <f t="shared" si="30"/>
        <v>0</v>
      </c>
      <c r="CL13" s="238">
        <f t="shared" si="31"/>
        <v>7.64</v>
      </c>
      <c r="CM13" s="154">
        <f t="shared" si="32"/>
        <v>0.38</v>
      </c>
      <c r="CN13" s="154">
        <f t="shared" si="33"/>
        <v>0.36</v>
      </c>
      <c r="CO13" s="154">
        <f t="shared" si="34"/>
        <v>7.34</v>
      </c>
      <c r="CP13" s="154">
        <f t="shared" si="35"/>
        <v>0.36</v>
      </c>
      <c r="CQ13" s="154">
        <f t="shared" si="36"/>
        <v>19.5</v>
      </c>
      <c r="CR13" s="154">
        <f t="shared" si="36"/>
        <v>19.5</v>
      </c>
      <c r="CS13" s="154">
        <f t="shared" si="36"/>
        <v>19.5</v>
      </c>
      <c r="CT13" s="154">
        <f t="shared" si="36"/>
        <v>19.5</v>
      </c>
      <c r="CU13" s="154">
        <f t="shared" si="36"/>
        <v>19.5</v>
      </c>
      <c r="CV13" s="154">
        <f t="shared" si="36"/>
        <v>19.5</v>
      </c>
      <c r="CW13" s="154">
        <f t="shared" si="37"/>
        <v>2.4300000000000002</v>
      </c>
      <c r="CX13" s="154">
        <f t="shared" si="37"/>
        <v>2.4300000000000002</v>
      </c>
      <c r="CY13" s="154">
        <f t="shared" si="37"/>
        <v>2.4300000000000002</v>
      </c>
      <c r="CZ13" s="154">
        <f t="shared" si="37"/>
        <v>2.4300000000000002</v>
      </c>
      <c r="DA13" s="154">
        <f t="shared" si="37"/>
        <v>2.4300000000000002</v>
      </c>
      <c r="DB13" s="154">
        <f t="shared" si="37"/>
        <v>2.4300000000000002</v>
      </c>
      <c r="DC13" s="154">
        <v>102</v>
      </c>
      <c r="DD13" s="154">
        <v>6</v>
      </c>
      <c r="DE13" s="154">
        <v>4</v>
      </c>
      <c r="DF13" s="154">
        <v>1400</v>
      </c>
      <c r="DG13" s="154">
        <v>125</v>
      </c>
      <c r="DH13" s="154">
        <f t="shared" si="38"/>
        <v>0.625</v>
      </c>
      <c r="DI13" s="154">
        <f t="shared" si="39"/>
        <v>10.08</v>
      </c>
    </row>
    <row r="14" spans="1:113" x14ac:dyDescent="0.2">
      <c r="A14" s="331" t="s">
        <v>1728</v>
      </c>
      <c r="B14" s="330" t="s">
        <v>493</v>
      </c>
      <c r="C14" s="330" t="s">
        <v>1662</v>
      </c>
      <c r="D14" s="233" t="str">
        <f>ECOMOD_input_estimate!$D14</f>
        <v>2.25</v>
      </c>
      <c r="E14" s="385">
        <f>ECOMOD_input_estimate!$E14</f>
        <v>6</v>
      </c>
      <c r="F14" s="386" t="str">
        <f>ECOMOD_input_estimate!$F14</f>
        <v>winterwheat</v>
      </c>
      <c r="G14" s="282" t="str">
        <f>ECOMOD_input_estimate!$G14</f>
        <v>springbarley</v>
      </c>
      <c r="H14" s="282" t="str">
        <f>ECOMOD_input_estimate!$H14</f>
        <v>springbeans</v>
      </c>
      <c r="I14" s="282" t="str">
        <f>ECOMOD_input_estimate!I14</f>
        <v>winterwheat</v>
      </c>
      <c r="J14" s="282" t="str">
        <f>ECOMOD_input_estimate!$J14</f>
        <v>springbarley</v>
      </c>
      <c r="K14" s="282" t="str">
        <f>ECOMOD_input_estimate!$K14</f>
        <v>wosr</v>
      </c>
      <c r="L14" s="282" t="str">
        <f>ECOMOD_input_estimate!L14</f>
        <v>lightcultivation</v>
      </c>
      <c r="M14" s="282" t="str">
        <f>ECOMOD_input_estimate!M14</f>
        <v>lightcultivation</v>
      </c>
      <c r="N14" s="282" t="str">
        <f>ECOMOD_input_estimate!N14</f>
        <v>ploughing</v>
      </c>
      <c r="O14" s="282" t="str">
        <f>ECOMOD_input_estimate!O14</f>
        <v>lightcultivation</v>
      </c>
      <c r="P14" s="282" t="str">
        <f>ECOMOD_input_estimate!P14</f>
        <v>lightcultivation</v>
      </c>
      <c r="Q14" s="282" t="str">
        <f>ECOMOD_input_estimate!Q14</f>
        <v>directdrilling</v>
      </c>
      <c r="R14" s="389">
        <f>ECOMOD_input_estimate!R14</f>
        <v>250</v>
      </c>
      <c r="S14" s="389">
        <f>ECOMOD_input_estimate!S14</f>
        <v>200</v>
      </c>
      <c r="T14" s="389">
        <f>ECOMOD_input_estimate!T14</f>
        <v>365</v>
      </c>
      <c r="U14" s="389">
        <f>ECOMOD_input_estimate!U14</f>
        <v>250</v>
      </c>
      <c r="V14" s="389">
        <f>ECOMOD_input_estimate!V14</f>
        <v>200</v>
      </c>
      <c r="W14" s="393">
        <f>ECOMOD_input_estimate!W14</f>
        <v>3.2</v>
      </c>
      <c r="X14" s="282" t="str">
        <f>ECOMOD_input_estimate!X14</f>
        <v>late</v>
      </c>
      <c r="Y14" s="282" t="str">
        <f>ECOMOD_input_estimate!Y14</f>
        <v>late</v>
      </c>
      <c r="Z14" s="282" t="str">
        <f>ECOMOD_input_estimate!Z14</f>
        <v>no</v>
      </c>
      <c r="AA14" s="282" t="str">
        <f>ECOMOD_input_estimate!AA14</f>
        <v>late</v>
      </c>
      <c r="AB14" s="282" t="str">
        <f>ECOMOD_input_estimate!AB14</f>
        <v>late</v>
      </c>
      <c r="AC14" s="282" t="str">
        <f>ECOMOD_input_estimate!AC14</f>
        <v>no</v>
      </c>
      <c r="AD14" s="389">
        <f>ECOMOD_input_estimate!AD14</f>
        <v>250</v>
      </c>
      <c r="AE14" s="389">
        <f>ECOMOD_input_estimate!AE14</f>
        <v>150</v>
      </c>
      <c r="AF14" s="389">
        <f>ECOMOD_input_estimate!AF14</f>
        <v>0</v>
      </c>
      <c r="AG14" s="389">
        <f>ECOMOD_input_estimate!AG14</f>
        <v>250</v>
      </c>
      <c r="AH14" s="389">
        <f>ECOMOD_input_estimate!AH14</f>
        <v>150</v>
      </c>
      <c r="AI14" s="389">
        <f>ECOMOD_input_estimate!AI14</f>
        <v>180</v>
      </c>
      <c r="AJ14" s="389">
        <f>ECOMOD_input_estimate!AJ14</f>
        <v>67</v>
      </c>
      <c r="AK14" s="389">
        <f>ECOMOD_input_estimate!AK14</f>
        <v>44</v>
      </c>
      <c r="AL14" s="389">
        <f>ECOMOD_input_estimate!AL14</f>
        <v>43</v>
      </c>
      <c r="AM14" s="389">
        <f>ECOMOD_input_estimate!AM14</f>
        <v>67</v>
      </c>
      <c r="AN14" s="389">
        <f>ECOMOD_input_estimate!AN14</f>
        <v>44</v>
      </c>
      <c r="AO14" s="389">
        <f>ECOMOD_input_estimate!AO14</f>
        <v>49</v>
      </c>
      <c r="AP14" s="389">
        <f>ECOMOD_input_estimate!AP14</f>
        <v>48</v>
      </c>
      <c r="AQ14" s="389">
        <f>ECOMOD_input_estimate!AQ14</f>
        <v>32</v>
      </c>
      <c r="AR14" s="389">
        <f>ECOMOD_input_estimate!AR14</f>
        <v>47</v>
      </c>
      <c r="AS14" s="389">
        <f>ECOMOD_input_estimate!AS14</f>
        <v>48</v>
      </c>
      <c r="AT14" s="389">
        <f>ECOMOD_input_estimate!AT14</f>
        <v>32</v>
      </c>
      <c r="AU14" s="389">
        <f>ECOMOD_input_estimate!AU14</f>
        <v>39</v>
      </c>
      <c r="AV14" s="234">
        <f t="shared" si="40"/>
        <v>11.9</v>
      </c>
      <c r="AW14" s="234">
        <f t="shared" si="0"/>
        <v>0.4</v>
      </c>
      <c r="AX14" s="234">
        <f t="shared" si="1"/>
        <v>4</v>
      </c>
      <c r="AY14" s="234">
        <f t="shared" si="2"/>
        <v>11.9</v>
      </c>
      <c r="AZ14" s="234">
        <f t="shared" si="3"/>
        <v>0.4</v>
      </c>
      <c r="BA14" s="234">
        <f t="shared" si="4"/>
        <v>3.8</v>
      </c>
      <c r="BB14" s="234">
        <f t="shared" si="5"/>
        <v>9.3000000000000007</v>
      </c>
      <c r="BC14" s="234">
        <f t="shared" si="6"/>
        <v>12.3</v>
      </c>
      <c r="BD14" s="234">
        <f t="shared" si="7"/>
        <v>12.3</v>
      </c>
      <c r="BE14" s="263">
        <v>3.3</v>
      </c>
      <c r="BF14" s="234">
        <f t="shared" si="9"/>
        <v>12.3</v>
      </c>
      <c r="BG14" s="234">
        <f t="shared" si="10"/>
        <v>0</v>
      </c>
      <c r="BH14" s="234">
        <f t="shared" si="11"/>
        <v>7</v>
      </c>
      <c r="BI14" s="234">
        <f t="shared" si="12"/>
        <v>6</v>
      </c>
      <c r="BJ14" s="234">
        <f t="shared" si="13"/>
        <v>6</v>
      </c>
      <c r="BK14" s="345">
        <v>5</v>
      </c>
      <c r="BL14" s="234">
        <f t="shared" si="15"/>
        <v>6</v>
      </c>
      <c r="BM14" s="234">
        <f t="shared" si="16"/>
        <v>4</v>
      </c>
      <c r="BN14" s="154" t="s">
        <v>483</v>
      </c>
      <c r="BO14" s="154" t="str">
        <f t="shared" si="17"/>
        <v>high</v>
      </c>
      <c r="BP14" s="154" t="str">
        <f t="shared" si="18"/>
        <v>medium</v>
      </c>
      <c r="BQ14" s="154" t="str">
        <f t="shared" si="19"/>
        <v>low</v>
      </c>
      <c r="BR14" s="154" t="s">
        <v>18</v>
      </c>
      <c r="BS14" s="154" t="s">
        <v>18</v>
      </c>
      <c r="BT14" s="154" t="s">
        <v>18</v>
      </c>
      <c r="BU14" s="154">
        <f t="shared" si="20"/>
        <v>150</v>
      </c>
      <c r="BV14" s="154">
        <f t="shared" si="21"/>
        <v>157</v>
      </c>
      <c r="BW14" s="154">
        <f t="shared" si="22"/>
        <v>185</v>
      </c>
      <c r="BX14" s="154">
        <f t="shared" si="23"/>
        <v>150</v>
      </c>
      <c r="BY14" s="154">
        <f t="shared" si="24"/>
        <v>157</v>
      </c>
      <c r="BZ14" s="154">
        <f t="shared" si="25"/>
        <v>335</v>
      </c>
      <c r="CA14" s="356">
        <f t="array" ref="CA14">IF(yieldsetting2="estimate",0,INDEX(cropdata, MATCH(yieldsource,outputs,0), MATCH($F14,cropdatacrops,0)))</f>
        <v>8.6</v>
      </c>
      <c r="CB14" s="356">
        <f t="array" ref="CB14">IF(yieldsetting2="estimate",0,INDEX(cropdata, MATCH(yieldsource,outputs,0), MATCH($G14,cropdatacrops,0)))</f>
        <v>5.7</v>
      </c>
      <c r="CC14" s="356">
        <f t="array" ref="CC14">IF(yieldsetting2="estimate",0,INDEX(cropdata, MATCH(yieldsource,outputs,0), MATCH($H14,cropdatacrops,0)))</f>
        <v>3.9</v>
      </c>
      <c r="CD14" s="356">
        <f t="array" ref="CD14">IF(yieldsetting2="estimate",0,INDEX(cropdata, MATCH(yieldsource,outputs,0), MATCH($I14,cropdatacrops,0)))</f>
        <v>8.6</v>
      </c>
      <c r="CE14" s="356">
        <f t="array" ref="CE14">IF(yieldsetting2="estimate",0,INDEX(cropdata, MATCH(yieldsource,outputs,0), MATCH($J14,cropdatacrops,0)))</f>
        <v>5.7</v>
      </c>
      <c r="CF14" s="356">
        <f t="array" ref="CF14">IF(yieldsetting2="estimate",0,INDEX(cropdata, MATCH(yieldsource,outputs,0), MATCH($K14,cropdatacrops,0)))</f>
        <v>3.5</v>
      </c>
      <c r="CG14" s="154" t="str">
        <f t="shared" si="26"/>
        <v>actual</v>
      </c>
      <c r="CH14" s="235">
        <f t="shared" si="27"/>
        <v>0.8</v>
      </c>
      <c r="CI14" s="235">
        <f t="shared" si="28"/>
        <v>0.72</v>
      </c>
      <c r="CJ14" s="154">
        <f t="shared" si="29"/>
        <v>0.46</v>
      </c>
      <c r="CK14" s="154">
        <f t="shared" si="30"/>
        <v>0.36</v>
      </c>
      <c r="CL14" s="154">
        <f t="shared" si="31"/>
        <v>0.38</v>
      </c>
      <c r="CM14" s="154">
        <f t="shared" si="32"/>
        <v>0.38</v>
      </c>
      <c r="CN14" s="154">
        <f t="shared" si="33"/>
        <v>0.36</v>
      </c>
      <c r="CO14" s="154">
        <f t="shared" si="34"/>
        <v>0.38</v>
      </c>
      <c r="CP14" s="154">
        <f t="shared" si="35"/>
        <v>7.34</v>
      </c>
      <c r="CQ14" s="154">
        <f t="shared" si="36"/>
        <v>19.5</v>
      </c>
      <c r="CR14" s="154">
        <f t="shared" si="36"/>
        <v>19.5</v>
      </c>
      <c r="CS14" s="154">
        <f t="shared" si="36"/>
        <v>19.5</v>
      </c>
      <c r="CT14" s="154">
        <f t="shared" si="36"/>
        <v>19.5</v>
      </c>
      <c r="CU14" s="154">
        <f t="shared" si="36"/>
        <v>19.5</v>
      </c>
      <c r="CV14" s="154">
        <f t="shared" si="36"/>
        <v>19.5</v>
      </c>
      <c r="CW14" s="154">
        <f t="shared" si="37"/>
        <v>2.4300000000000002</v>
      </c>
      <c r="CX14" s="154">
        <f t="shared" si="37"/>
        <v>2.4300000000000002</v>
      </c>
      <c r="CY14" s="154">
        <f t="shared" si="37"/>
        <v>2.4300000000000002</v>
      </c>
      <c r="CZ14" s="154">
        <f t="shared" si="37"/>
        <v>2.4300000000000002</v>
      </c>
      <c r="DA14" s="154">
        <f t="shared" si="37"/>
        <v>2.4300000000000002</v>
      </c>
      <c r="DB14" s="154">
        <f t="shared" si="37"/>
        <v>2.4300000000000002</v>
      </c>
      <c r="DC14" s="154">
        <v>102</v>
      </c>
      <c r="DD14" s="154">
        <v>6</v>
      </c>
      <c r="DE14" s="154">
        <v>4</v>
      </c>
      <c r="DF14" s="154">
        <v>1400</v>
      </c>
      <c r="DG14" s="154">
        <v>125</v>
      </c>
      <c r="DH14" s="154">
        <f t="shared" si="38"/>
        <v>0.625</v>
      </c>
      <c r="DI14" s="154">
        <f t="shared" si="39"/>
        <v>10.08</v>
      </c>
    </row>
    <row r="15" spans="1:113" x14ac:dyDescent="0.2">
      <c r="A15" s="331" t="s">
        <v>1729</v>
      </c>
      <c r="B15" s="330" t="s">
        <v>493</v>
      </c>
      <c r="C15" s="330" t="s">
        <v>1663</v>
      </c>
      <c r="D15" s="233" t="str">
        <f>ECOMOD_input_estimate!$D15</f>
        <v>2.25</v>
      </c>
      <c r="E15" s="385">
        <f>ECOMOD_input_estimate!$E15</f>
        <v>6</v>
      </c>
      <c r="F15" s="386" t="str">
        <f>ECOMOD_input_estimate!$F15</f>
        <v>winterwheat</v>
      </c>
      <c r="G15" s="282" t="str">
        <f>ECOMOD_input_estimate!$G15</f>
        <v>springbarley</v>
      </c>
      <c r="H15" s="282" t="str">
        <f>ECOMOD_input_estimate!$H15</f>
        <v>springbeans</v>
      </c>
      <c r="I15" s="282" t="str">
        <f>ECOMOD_input_estimate!I15</f>
        <v>winterwheat</v>
      </c>
      <c r="J15" s="282" t="str">
        <f>ECOMOD_input_estimate!$J15</f>
        <v>springbarley</v>
      </c>
      <c r="K15" s="282" t="str">
        <f>ECOMOD_input_estimate!$K15</f>
        <v>wosr</v>
      </c>
      <c r="L15" s="282" t="str">
        <f>ECOMOD_input_estimate!L15</f>
        <v>lightcultivation</v>
      </c>
      <c r="M15" s="282" t="str">
        <f>ECOMOD_input_estimate!M15</f>
        <v>lightcultivation</v>
      </c>
      <c r="N15" s="282" t="str">
        <f>ECOMOD_input_estimate!N15</f>
        <v>ploughing</v>
      </c>
      <c r="O15" s="282" t="str">
        <f>ECOMOD_input_estimate!O15</f>
        <v>lightcultivation</v>
      </c>
      <c r="P15" s="282" t="str">
        <f>ECOMOD_input_estimate!P15</f>
        <v>lightcultivation</v>
      </c>
      <c r="Q15" s="282" t="str">
        <f>ECOMOD_input_estimate!Q15</f>
        <v>directdrilling</v>
      </c>
      <c r="R15" s="389">
        <f>ECOMOD_input_estimate!R15</f>
        <v>250</v>
      </c>
      <c r="S15" s="389">
        <f>ECOMOD_input_estimate!S15</f>
        <v>200</v>
      </c>
      <c r="T15" s="389">
        <f>ECOMOD_input_estimate!T15</f>
        <v>365</v>
      </c>
      <c r="U15" s="389">
        <f>ECOMOD_input_estimate!U15</f>
        <v>250</v>
      </c>
      <c r="V15" s="389">
        <f>ECOMOD_input_estimate!V15</f>
        <v>200</v>
      </c>
      <c r="W15" s="393">
        <f>ECOMOD_input_estimate!W15</f>
        <v>3.2</v>
      </c>
      <c r="X15" s="282" t="str">
        <f>ECOMOD_input_estimate!X15</f>
        <v>late</v>
      </c>
      <c r="Y15" s="282" t="str">
        <f>ECOMOD_input_estimate!Y15</f>
        <v>late</v>
      </c>
      <c r="Z15" s="282" t="str">
        <f>ECOMOD_input_estimate!Z15</f>
        <v>no</v>
      </c>
      <c r="AA15" s="282" t="str">
        <f>ECOMOD_input_estimate!AA15</f>
        <v>late</v>
      </c>
      <c r="AB15" s="282" t="str">
        <f>ECOMOD_input_estimate!AB15</f>
        <v>late</v>
      </c>
      <c r="AC15" s="282" t="str">
        <f>ECOMOD_input_estimate!AC15</f>
        <v>no</v>
      </c>
      <c r="AD15" s="389">
        <f>ECOMOD_input_estimate!AD15</f>
        <v>250</v>
      </c>
      <c r="AE15" s="389">
        <f>ECOMOD_input_estimate!AE15</f>
        <v>150</v>
      </c>
      <c r="AF15" s="389">
        <f>ECOMOD_input_estimate!AF15</f>
        <v>0</v>
      </c>
      <c r="AG15" s="389">
        <f>ECOMOD_input_estimate!AG15</f>
        <v>250</v>
      </c>
      <c r="AH15" s="389">
        <f>ECOMOD_input_estimate!AH15</f>
        <v>150</v>
      </c>
      <c r="AI15" s="389">
        <f>ECOMOD_input_estimate!AI15</f>
        <v>180</v>
      </c>
      <c r="AJ15" s="389">
        <f>ECOMOD_input_estimate!AJ15</f>
        <v>67</v>
      </c>
      <c r="AK15" s="389">
        <f>ECOMOD_input_estimate!AK15</f>
        <v>44</v>
      </c>
      <c r="AL15" s="389">
        <f>ECOMOD_input_estimate!AL15</f>
        <v>43</v>
      </c>
      <c r="AM15" s="389">
        <f>ECOMOD_input_estimate!AM15</f>
        <v>67</v>
      </c>
      <c r="AN15" s="389">
        <f>ECOMOD_input_estimate!AN15</f>
        <v>44</v>
      </c>
      <c r="AO15" s="389">
        <f>ECOMOD_input_estimate!AO15</f>
        <v>49</v>
      </c>
      <c r="AP15" s="389">
        <f>ECOMOD_input_estimate!AP15</f>
        <v>48</v>
      </c>
      <c r="AQ15" s="389">
        <f>ECOMOD_input_estimate!AQ15</f>
        <v>32</v>
      </c>
      <c r="AR15" s="389">
        <f>ECOMOD_input_estimate!AR15</f>
        <v>47</v>
      </c>
      <c r="AS15" s="389">
        <f>ECOMOD_input_estimate!AS15</f>
        <v>48</v>
      </c>
      <c r="AT15" s="389">
        <f>ECOMOD_input_estimate!AT15</f>
        <v>32</v>
      </c>
      <c r="AU15" s="389">
        <f>ECOMOD_input_estimate!AU15</f>
        <v>39</v>
      </c>
      <c r="AV15" s="234">
        <f t="shared" si="40"/>
        <v>11.9</v>
      </c>
      <c r="AW15" s="234">
        <f t="shared" si="0"/>
        <v>0.4</v>
      </c>
      <c r="AX15" s="234">
        <f t="shared" si="1"/>
        <v>4</v>
      </c>
      <c r="AY15" s="234">
        <f t="shared" si="2"/>
        <v>11.9</v>
      </c>
      <c r="AZ15" s="234">
        <f t="shared" si="3"/>
        <v>0.4</v>
      </c>
      <c r="BA15" s="234">
        <f t="shared" si="4"/>
        <v>3.8</v>
      </c>
      <c r="BB15" s="234">
        <f t="shared" si="5"/>
        <v>9.3000000000000007</v>
      </c>
      <c r="BC15" s="234">
        <f t="shared" si="6"/>
        <v>12.3</v>
      </c>
      <c r="BD15" s="234">
        <f t="shared" si="7"/>
        <v>12.3</v>
      </c>
      <c r="BE15" s="263">
        <v>3.3</v>
      </c>
      <c r="BF15" s="234">
        <f t="shared" si="9"/>
        <v>12.3</v>
      </c>
      <c r="BG15" s="234">
        <f t="shared" si="10"/>
        <v>0</v>
      </c>
      <c r="BH15" s="234">
        <f t="shared" si="11"/>
        <v>7</v>
      </c>
      <c r="BI15" s="234">
        <f t="shared" si="12"/>
        <v>6</v>
      </c>
      <c r="BJ15" s="234">
        <f t="shared" si="13"/>
        <v>6</v>
      </c>
      <c r="BK15" s="345">
        <v>5</v>
      </c>
      <c r="BL15" s="234">
        <f t="shared" si="15"/>
        <v>6</v>
      </c>
      <c r="BM15" s="234">
        <f t="shared" si="16"/>
        <v>4</v>
      </c>
      <c r="BN15" s="154" t="s">
        <v>483</v>
      </c>
      <c r="BO15" s="154" t="str">
        <f t="shared" si="17"/>
        <v>veryhigh</v>
      </c>
      <c r="BP15" s="154" t="str">
        <f t="shared" si="18"/>
        <v>high</v>
      </c>
      <c r="BQ15" s="154" t="str">
        <f t="shared" si="19"/>
        <v>medium</v>
      </c>
      <c r="BR15" s="154" t="s">
        <v>182</v>
      </c>
      <c r="BS15" s="154" t="s">
        <v>182</v>
      </c>
      <c r="BT15" s="154" t="s">
        <v>182</v>
      </c>
      <c r="BU15" s="154">
        <f t="shared" si="20"/>
        <v>150</v>
      </c>
      <c r="BV15" s="154">
        <f t="shared" si="21"/>
        <v>157</v>
      </c>
      <c r="BW15" s="154">
        <f t="shared" si="22"/>
        <v>185</v>
      </c>
      <c r="BX15" s="154">
        <f t="shared" si="23"/>
        <v>150</v>
      </c>
      <c r="BY15" s="154">
        <f t="shared" si="24"/>
        <v>157</v>
      </c>
      <c r="BZ15" s="154">
        <f t="shared" si="25"/>
        <v>335</v>
      </c>
      <c r="CA15" s="356">
        <f t="array" ref="CA15">IF(yieldsetting2="estimate",0,INDEX(cropdata, MATCH(yieldsource,outputs,0), MATCH($F15,cropdatacrops,0)))</f>
        <v>8.6</v>
      </c>
      <c r="CB15" s="356">
        <f t="array" ref="CB15">IF(yieldsetting2="estimate",0,INDEX(cropdata, MATCH(yieldsource,outputs,0), MATCH($G15,cropdatacrops,0)))</f>
        <v>5.7</v>
      </c>
      <c r="CC15" s="356">
        <f t="array" ref="CC15">IF(yieldsetting2="estimate",0,INDEX(cropdata, MATCH(yieldsource,outputs,0), MATCH($H15,cropdatacrops,0)))</f>
        <v>3.9</v>
      </c>
      <c r="CD15" s="356">
        <f t="array" ref="CD15">IF(yieldsetting2="estimate",0,INDEX(cropdata, MATCH(yieldsource,outputs,0), MATCH($I15,cropdatacrops,0)))</f>
        <v>8.6</v>
      </c>
      <c r="CE15" s="356">
        <f t="array" ref="CE15">IF(yieldsetting2="estimate",0,INDEX(cropdata, MATCH(yieldsource,outputs,0), MATCH($J15,cropdatacrops,0)))</f>
        <v>5.7</v>
      </c>
      <c r="CF15" s="356">
        <f t="array" ref="CF15">IF(yieldsetting2="estimate",0,INDEX(cropdata, MATCH(yieldsource,outputs,0), MATCH($K15,cropdatacrops,0)))</f>
        <v>3.5</v>
      </c>
      <c r="CG15" s="154" t="str">
        <f t="shared" si="26"/>
        <v>actual</v>
      </c>
      <c r="CH15" s="235">
        <f t="shared" si="27"/>
        <v>0.8</v>
      </c>
      <c r="CI15" s="235">
        <f t="shared" si="28"/>
        <v>0.72</v>
      </c>
      <c r="CJ15" s="154">
        <f t="shared" si="29"/>
        <v>0.46</v>
      </c>
      <c r="CK15" s="154">
        <f t="shared" si="30"/>
        <v>0.36</v>
      </c>
      <c r="CL15" s="154">
        <f t="shared" si="31"/>
        <v>0.38</v>
      </c>
      <c r="CM15" s="154">
        <f t="shared" si="32"/>
        <v>0.38</v>
      </c>
      <c r="CN15" s="154">
        <f t="shared" si="33"/>
        <v>0.36</v>
      </c>
      <c r="CO15" s="154">
        <f t="shared" si="34"/>
        <v>0.38</v>
      </c>
      <c r="CP15" s="154">
        <f t="shared" si="35"/>
        <v>7.34</v>
      </c>
      <c r="CQ15" s="154">
        <f t="shared" si="36"/>
        <v>19.5</v>
      </c>
      <c r="CR15" s="154">
        <f t="shared" si="36"/>
        <v>19.5</v>
      </c>
      <c r="CS15" s="154">
        <f t="shared" si="36"/>
        <v>19.5</v>
      </c>
      <c r="CT15" s="154">
        <f t="shared" si="36"/>
        <v>19.5</v>
      </c>
      <c r="CU15" s="154">
        <f t="shared" si="36"/>
        <v>19.5</v>
      </c>
      <c r="CV15" s="154">
        <f t="shared" si="36"/>
        <v>19.5</v>
      </c>
      <c r="CW15" s="154">
        <f t="shared" si="37"/>
        <v>2.4300000000000002</v>
      </c>
      <c r="CX15" s="154">
        <f t="shared" si="37"/>
        <v>2.4300000000000002</v>
      </c>
      <c r="CY15" s="154">
        <f t="shared" si="37"/>
        <v>2.4300000000000002</v>
      </c>
      <c r="CZ15" s="154">
        <f t="shared" si="37"/>
        <v>2.4300000000000002</v>
      </c>
      <c r="DA15" s="154">
        <f t="shared" si="37"/>
        <v>2.4300000000000002</v>
      </c>
      <c r="DB15" s="154">
        <f t="shared" si="37"/>
        <v>2.4300000000000002</v>
      </c>
      <c r="DC15" s="154">
        <v>102</v>
      </c>
      <c r="DD15" s="154">
        <v>6</v>
      </c>
      <c r="DE15" s="154">
        <v>4</v>
      </c>
      <c r="DF15" s="154">
        <v>1400</v>
      </c>
      <c r="DG15" s="154">
        <v>125</v>
      </c>
      <c r="DH15" s="154">
        <f t="shared" si="38"/>
        <v>0.625</v>
      </c>
      <c r="DI15" s="154">
        <f t="shared" si="39"/>
        <v>10.08</v>
      </c>
    </row>
    <row r="16" spans="1:113" x14ac:dyDescent="0.2">
      <c r="A16" s="331" t="s">
        <v>1730</v>
      </c>
      <c r="B16" s="330" t="s">
        <v>496</v>
      </c>
      <c r="C16" s="330" t="s">
        <v>1671</v>
      </c>
      <c r="D16" s="233" t="str">
        <f>ECOMOD_input_estimate!$D16</f>
        <v>1.50</v>
      </c>
      <c r="E16" s="385">
        <f>ECOMOD_input_estimate!$E16</f>
        <v>6</v>
      </c>
      <c r="F16" s="386" t="str">
        <f>ECOMOD_input_estimate!$F16</f>
        <v>winterwheat</v>
      </c>
      <c r="G16" s="282" t="str">
        <f>ECOMOD_input_estimate!$G16</f>
        <v>springbarley</v>
      </c>
      <c r="H16" s="282" t="str">
        <f>ECOMOD_input_estimate!$H16</f>
        <v>springbeans</v>
      </c>
      <c r="I16" s="282" t="str">
        <f>ECOMOD_input_estimate!I16</f>
        <v>winterwheat</v>
      </c>
      <c r="J16" s="282" t="str">
        <f>ECOMOD_input_estimate!$J16</f>
        <v>springbarley</v>
      </c>
      <c r="K16" s="282" t="str">
        <f>ECOMOD_input_estimate!$K16</f>
        <v>wosr</v>
      </c>
      <c r="L16" s="282" t="str">
        <f>ECOMOD_input_estimate!L16</f>
        <v>lightcultivation</v>
      </c>
      <c r="M16" s="282" t="str">
        <f>ECOMOD_input_estimate!M16</f>
        <v>lightcultivation</v>
      </c>
      <c r="N16" s="282" t="str">
        <f>ECOMOD_input_estimate!N16</f>
        <v>ploughing</v>
      </c>
      <c r="O16" s="282" t="str">
        <f>ECOMOD_input_estimate!O16</f>
        <v>lightcultivation</v>
      </c>
      <c r="P16" s="282" t="str">
        <f>ECOMOD_input_estimate!P16</f>
        <v>lightcultivation</v>
      </c>
      <c r="Q16" s="282" t="str">
        <f>ECOMOD_input_estimate!Q16</f>
        <v>directdrilling</v>
      </c>
      <c r="R16" s="389">
        <f>ECOMOD_input_estimate!R16</f>
        <v>250</v>
      </c>
      <c r="S16" s="389">
        <f>ECOMOD_input_estimate!S16</f>
        <v>200</v>
      </c>
      <c r="T16" s="389">
        <f>ECOMOD_input_estimate!T16</f>
        <v>365</v>
      </c>
      <c r="U16" s="389">
        <f>ECOMOD_input_estimate!U16</f>
        <v>250</v>
      </c>
      <c r="V16" s="389">
        <f>ECOMOD_input_estimate!V16</f>
        <v>200</v>
      </c>
      <c r="W16" s="393">
        <f>ECOMOD_input_estimate!W16</f>
        <v>3.2</v>
      </c>
      <c r="X16" s="282" t="str">
        <f>ECOMOD_input_estimate!X16</f>
        <v>late</v>
      </c>
      <c r="Y16" s="282" t="str">
        <f>ECOMOD_input_estimate!Y16</f>
        <v>late</v>
      </c>
      <c r="Z16" s="282" t="str">
        <f>ECOMOD_input_estimate!Z16</f>
        <v>no</v>
      </c>
      <c r="AA16" s="282" t="str">
        <f>ECOMOD_input_estimate!AA16</f>
        <v>late</v>
      </c>
      <c r="AB16" s="282" t="str">
        <f>ECOMOD_input_estimate!AB16</f>
        <v>late</v>
      </c>
      <c r="AC16" s="282" t="str">
        <f>ECOMOD_input_estimate!AC16</f>
        <v>no</v>
      </c>
      <c r="AD16" s="389">
        <f>ECOMOD_input_estimate!AD16</f>
        <v>250</v>
      </c>
      <c r="AE16" s="389">
        <f>ECOMOD_input_estimate!AE16</f>
        <v>150</v>
      </c>
      <c r="AF16" s="389">
        <f>ECOMOD_input_estimate!AF16</f>
        <v>0</v>
      </c>
      <c r="AG16" s="389">
        <f>ECOMOD_input_estimate!AG16</f>
        <v>250</v>
      </c>
      <c r="AH16" s="389">
        <f>ECOMOD_input_estimate!AH16</f>
        <v>150</v>
      </c>
      <c r="AI16" s="389">
        <f>ECOMOD_input_estimate!AI16</f>
        <v>180</v>
      </c>
      <c r="AJ16" s="389">
        <f>ECOMOD_input_estimate!AJ16</f>
        <v>67</v>
      </c>
      <c r="AK16" s="389">
        <f>ECOMOD_input_estimate!AK16</f>
        <v>44</v>
      </c>
      <c r="AL16" s="389">
        <f>ECOMOD_input_estimate!AL16</f>
        <v>43</v>
      </c>
      <c r="AM16" s="389">
        <f>ECOMOD_input_estimate!AM16</f>
        <v>67</v>
      </c>
      <c r="AN16" s="389">
        <f>ECOMOD_input_estimate!AN16</f>
        <v>44</v>
      </c>
      <c r="AO16" s="389">
        <f>ECOMOD_input_estimate!AO16</f>
        <v>49</v>
      </c>
      <c r="AP16" s="389">
        <f>ECOMOD_input_estimate!AP16</f>
        <v>48</v>
      </c>
      <c r="AQ16" s="389">
        <f>ECOMOD_input_estimate!AQ16</f>
        <v>32</v>
      </c>
      <c r="AR16" s="389">
        <f>ECOMOD_input_estimate!AR16</f>
        <v>47</v>
      </c>
      <c r="AS16" s="389">
        <f>ECOMOD_input_estimate!AS16</f>
        <v>48</v>
      </c>
      <c r="AT16" s="389">
        <f>ECOMOD_input_estimate!AT16</f>
        <v>32</v>
      </c>
      <c r="AU16" s="389">
        <f>ECOMOD_input_estimate!AU16</f>
        <v>39</v>
      </c>
      <c r="AV16" s="234">
        <f t="shared" si="40"/>
        <v>11.9</v>
      </c>
      <c r="AW16" s="234">
        <f t="shared" si="0"/>
        <v>0.4</v>
      </c>
      <c r="AX16" s="234">
        <f t="shared" si="1"/>
        <v>4</v>
      </c>
      <c r="AY16" s="234">
        <f t="shared" si="2"/>
        <v>11.9</v>
      </c>
      <c r="AZ16" s="234">
        <f t="shared" si="3"/>
        <v>0.4</v>
      </c>
      <c r="BA16" s="234">
        <f t="shared" si="4"/>
        <v>3.8</v>
      </c>
      <c r="BB16" s="234">
        <f t="shared" si="5"/>
        <v>9.3000000000000007</v>
      </c>
      <c r="BC16" s="234">
        <f t="shared" si="6"/>
        <v>12.3</v>
      </c>
      <c r="BD16" s="234">
        <f t="shared" si="7"/>
        <v>12.3</v>
      </c>
      <c r="BE16" s="263">
        <v>3.3</v>
      </c>
      <c r="BF16" s="234">
        <f t="shared" si="9"/>
        <v>12.3</v>
      </c>
      <c r="BG16" s="234">
        <f t="shared" si="10"/>
        <v>0</v>
      </c>
      <c r="BH16" s="234">
        <f t="shared" si="11"/>
        <v>7</v>
      </c>
      <c r="BI16" s="234">
        <f t="shared" si="12"/>
        <v>6</v>
      </c>
      <c r="BJ16" s="234">
        <f t="shared" si="13"/>
        <v>6</v>
      </c>
      <c r="BK16" s="345">
        <v>5</v>
      </c>
      <c r="BL16" s="234">
        <f t="shared" si="15"/>
        <v>6</v>
      </c>
      <c r="BM16" s="234">
        <f t="shared" si="16"/>
        <v>4</v>
      </c>
      <c r="BN16" s="154" t="s">
        <v>483</v>
      </c>
      <c r="BO16" s="154" t="str">
        <f t="shared" si="17"/>
        <v>high</v>
      </c>
      <c r="BP16" s="154" t="str">
        <f t="shared" si="18"/>
        <v>medium</v>
      </c>
      <c r="BQ16" s="154" t="str">
        <f t="shared" si="19"/>
        <v>low</v>
      </c>
      <c r="BR16" s="154" t="s">
        <v>183</v>
      </c>
      <c r="BS16" s="154" t="s">
        <v>183</v>
      </c>
      <c r="BT16" s="154" t="s">
        <v>183</v>
      </c>
      <c r="BU16" s="154">
        <f t="shared" si="20"/>
        <v>150</v>
      </c>
      <c r="BV16" s="154">
        <f t="shared" si="21"/>
        <v>157</v>
      </c>
      <c r="BW16" s="154">
        <f t="shared" si="22"/>
        <v>185</v>
      </c>
      <c r="BX16" s="154">
        <f t="shared" si="23"/>
        <v>150</v>
      </c>
      <c r="BY16" s="154">
        <f t="shared" si="24"/>
        <v>157</v>
      </c>
      <c r="BZ16" s="154">
        <f t="shared" si="25"/>
        <v>335</v>
      </c>
      <c r="CA16" s="356">
        <f t="array" ref="CA16">IF(yieldsetting2="estimate",0,INDEX(cropdata, MATCH(yieldsource,outputs,0), MATCH($F16,cropdatacrops,0)))</f>
        <v>8.6</v>
      </c>
      <c r="CB16" s="356">
        <f t="array" ref="CB16">IF(yieldsetting2="estimate",0,INDEX(cropdata, MATCH(yieldsource,outputs,0), MATCH($G16,cropdatacrops,0)))</f>
        <v>5.7</v>
      </c>
      <c r="CC16" s="356">
        <f t="array" ref="CC16">IF(yieldsetting2="estimate",0,INDEX(cropdata, MATCH(yieldsource,outputs,0), MATCH($H16,cropdatacrops,0)))</f>
        <v>3.9</v>
      </c>
      <c r="CD16" s="356">
        <f t="array" ref="CD16">IF(yieldsetting2="estimate",0,INDEX(cropdata, MATCH(yieldsource,outputs,0), MATCH($I16,cropdatacrops,0)))</f>
        <v>8.6</v>
      </c>
      <c r="CE16" s="356">
        <f t="array" ref="CE16">IF(yieldsetting2="estimate",0,INDEX(cropdata, MATCH(yieldsource,outputs,0), MATCH($J16,cropdatacrops,0)))</f>
        <v>5.7</v>
      </c>
      <c r="CF16" s="356">
        <f t="array" ref="CF16">IF(yieldsetting2="estimate",0,INDEX(cropdata, MATCH(yieldsource,outputs,0), MATCH($K16,cropdatacrops,0)))</f>
        <v>3.5</v>
      </c>
      <c r="CG16" s="154" t="str">
        <f t="shared" si="26"/>
        <v>actual</v>
      </c>
      <c r="CH16" s="235">
        <f t="shared" si="27"/>
        <v>0.8</v>
      </c>
      <c r="CI16" s="235">
        <f t="shared" si="28"/>
        <v>0.72</v>
      </c>
      <c r="CJ16" s="154">
        <f t="shared" si="29"/>
        <v>0.46</v>
      </c>
      <c r="CK16" s="154">
        <f t="shared" si="30"/>
        <v>0.36</v>
      </c>
      <c r="CL16" s="154">
        <f t="shared" si="31"/>
        <v>0.38</v>
      </c>
      <c r="CM16" s="154">
        <f t="shared" si="32"/>
        <v>0.38</v>
      </c>
      <c r="CN16" s="154">
        <f t="shared" si="33"/>
        <v>0.36</v>
      </c>
      <c r="CO16" s="154">
        <f t="shared" si="34"/>
        <v>0.38</v>
      </c>
      <c r="CP16" s="154">
        <f t="shared" si="35"/>
        <v>7.34</v>
      </c>
      <c r="CQ16" s="154">
        <f t="shared" si="36"/>
        <v>19.5</v>
      </c>
      <c r="CR16" s="154">
        <f t="shared" si="36"/>
        <v>19.5</v>
      </c>
      <c r="CS16" s="154">
        <f t="shared" si="36"/>
        <v>19.5</v>
      </c>
      <c r="CT16" s="154">
        <f t="shared" si="36"/>
        <v>19.5</v>
      </c>
      <c r="CU16" s="154">
        <f t="shared" si="36"/>
        <v>19.5</v>
      </c>
      <c r="CV16" s="154">
        <f t="shared" si="36"/>
        <v>19.5</v>
      </c>
      <c r="CW16" s="154">
        <f t="shared" si="37"/>
        <v>2.4300000000000002</v>
      </c>
      <c r="CX16" s="154">
        <f t="shared" si="37"/>
        <v>2.4300000000000002</v>
      </c>
      <c r="CY16" s="154">
        <f t="shared" si="37"/>
        <v>2.4300000000000002</v>
      </c>
      <c r="CZ16" s="154">
        <f t="shared" si="37"/>
        <v>2.4300000000000002</v>
      </c>
      <c r="DA16" s="154">
        <f t="shared" si="37"/>
        <v>2.4300000000000002</v>
      </c>
      <c r="DB16" s="154">
        <f t="shared" si="37"/>
        <v>2.4300000000000002</v>
      </c>
      <c r="DC16" s="154">
        <v>102</v>
      </c>
      <c r="DD16" s="154">
        <v>6</v>
      </c>
      <c r="DE16" s="154">
        <v>4</v>
      </c>
      <c r="DF16" s="154">
        <v>1400</v>
      </c>
      <c r="DG16" s="154">
        <v>125</v>
      </c>
      <c r="DH16" s="154">
        <f t="shared" si="38"/>
        <v>0.625</v>
      </c>
      <c r="DI16" s="154">
        <f t="shared" si="39"/>
        <v>10.08</v>
      </c>
    </row>
    <row r="17" spans="1:113" x14ac:dyDescent="0.2">
      <c r="A17" s="331" t="s">
        <v>1731</v>
      </c>
      <c r="B17" s="330" t="s">
        <v>496</v>
      </c>
      <c r="C17" s="330" t="s">
        <v>1672</v>
      </c>
      <c r="D17" s="233" t="str">
        <f>ECOMOD_input_estimate!$D17</f>
        <v>1.50</v>
      </c>
      <c r="E17" s="385">
        <f>ECOMOD_input_estimate!$E17</f>
        <v>6</v>
      </c>
      <c r="F17" s="386" t="str">
        <f>ECOMOD_input_estimate!$F17</f>
        <v>winterwheat</v>
      </c>
      <c r="G17" s="282" t="str">
        <f>ECOMOD_input_estimate!$G17</f>
        <v>springbarley</v>
      </c>
      <c r="H17" s="282" t="str">
        <f>ECOMOD_input_estimate!$H17</f>
        <v>springbeans</v>
      </c>
      <c r="I17" s="282" t="str">
        <f>ECOMOD_input_estimate!I17</f>
        <v>winterwheat</v>
      </c>
      <c r="J17" s="282" t="str">
        <f>ECOMOD_input_estimate!$J17</f>
        <v>springbarley</v>
      </c>
      <c r="K17" s="282" t="str">
        <f>ECOMOD_input_estimate!$K17</f>
        <v>wosr</v>
      </c>
      <c r="L17" s="282" t="str">
        <f>ECOMOD_input_estimate!L17</f>
        <v>lightcultivation</v>
      </c>
      <c r="M17" s="282" t="str">
        <f>ECOMOD_input_estimate!M17</f>
        <v>lightcultivation</v>
      </c>
      <c r="N17" s="282" t="str">
        <f>ECOMOD_input_estimate!N17</f>
        <v>ploughing</v>
      </c>
      <c r="O17" s="282" t="str">
        <f>ECOMOD_input_estimate!O17</f>
        <v>lightcultivation</v>
      </c>
      <c r="P17" s="282" t="str">
        <f>ECOMOD_input_estimate!P17</f>
        <v>lightcultivation</v>
      </c>
      <c r="Q17" s="282" t="str">
        <f>ECOMOD_input_estimate!Q17</f>
        <v>directdrilling</v>
      </c>
      <c r="R17" s="389">
        <f>ECOMOD_input_estimate!R17</f>
        <v>250</v>
      </c>
      <c r="S17" s="389">
        <f>ECOMOD_input_estimate!S17</f>
        <v>200</v>
      </c>
      <c r="T17" s="389">
        <f>ECOMOD_input_estimate!T17</f>
        <v>365</v>
      </c>
      <c r="U17" s="389">
        <f>ECOMOD_input_estimate!U17</f>
        <v>250</v>
      </c>
      <c r="V17" s="389">
        <f>ECOMOD_input_estimate!V17</f>
        <v>200</v>
      </c>
      <c r="W17" s="393">
        <f>ECOMOD_input_estimate!W17</f>
        <v>3.2</v>
      </c>
      <c r="X17" s="282" t="str">
        <f>ECOMOD_input_estimate!X17</f>
        <v>late</v>
      </c>
      <c r="Y17" s="282" t="str">
        <f>ECOMOD_input_estimate!Y17</f>
        <v>late</v>
      </c>
      <c r="Z17" s="282" t="str">
        <f>ECOMOD_input_estimate!Z17</f>
        <v>no</v>
      </c>
      <c r="AA17" s="282" t="str">
        <f>ECOMOD_input_estimate!AA17</f>
        <v>late</v>
      </c>
      <c r="AB17" s="282" t="str">
        <f>ECOMOD_input_estimate!AB17</f>
        <v>late</v>
      </c>
      <c r="AC17" s="282" t="str">
        <f>ECOMOD_input_estimate!AC17</f>
        <v>no</v>
      </c>
      <c r="AD17" s="389">
        <f>ECOMOD_input_estimate!AD17</f>
        <v>250</v>
      </c>
      <c r="AE17" s="389">
        <f>ECOMOD_input_estimate!AE17</f>
        <v>150</v>
      </c>
      <c r="AF17" s="389">
        <f>ECOMOD_input_estimate!AF17</f>
        <v>0</v>
      </c>
      <c r="AG17" s="389">
        <f>ECOMOD_input_estimate!AG17</f>
        <v>250</v>
      </c>
      <c r="AH17" s="389">
        <f>ECOMOD_input_estimate!AH17</f>
        <v>150</v>
      </c>
      <c r="AI17" s="389">
        <f>ECOMOD_input_estimate!AI17</f>
        <v>180</v>
      </c>
      <c r="AJ17" s="389">
        <f>ECOMOD_input_estimate!AJ17</f>
        <v>67</v>
      </c>
      <c r="AK17" s="389">
        <f>ECOMOD_input_estimate!AK17</f>
        <v>44</v>
      </c>
      <c r="AL17" s="389">
        <f>ECOMOD_input_estimate!AL17</f>
        <v>43</v>
      </c>
      <c r="AM17" s="389">
        <f>ECOMOD_input_estimate!AM17</f>
        <v>67</v>
      </c>
      <c r="AN17" s="389">
        <f>ECOMOD_input_estimate!AN17</f>
        <v>44</v>
      </c>
      <c r="AO17" s="389">
        <f>ECOMOD_input_estimate!AO17</f>
        <v>49</v>
      </c>
      <c r="AP17" s="389">
        <f>ECOMOD_input_estimate!AP17</f>
        <v>48</v>
      </c>
      <c r="AQ17" s="389">
        <f>ECOMOD_input_estimate!AQ17</f>
        <v>32</v>
      </c>
      <c r="AR17" s="389">
        <f>ECOMOD_input_estimate!AR17</f>
        <v>47</v>
      </c>
      <c r="AS17" s="389">
        <f>ECOMOD_input_estimate!AS17</f>
        <v>48</v>
      </c>
      <c r="AT17" s="389">
        <f>ECOMOD_input_estimate!AT17</f>
        <v>32</v>
      </c>
      <c r="AU17" s="389">
        <f>ECOMOD_input_estimate!AU17</f>
        <v>39</v>
      </c>
      <c r="AV17" s="234">
        <f t="shared" si="40"/>
        <v>11.9</v>
      </c>
      <c r="AW17" s="234">
        <f t="shared" si="0"/>
        <v>0.4</v>
      </c>
      <c r="AX17" s="234">
        <f t="shared" si="1"/>
        <v>4</v>
      </c>
      <c r="AY17" s="234">
        <f t="shared" si="2"/>
        <v>11.9</v>
      </c>
      <c r="AZ17" s="234">
        <f t="shared" si="3"/>
        <v>0.4</v>
      </c>
      <c r="BA17" s="234">
        <f t="shared" si="4"/>
        <v>3.8</v>
      </c>
      <c r="BB17" s="234">
        <f t="shared" si="5"/>
        <v>9.3000000000000007</v>
      </c>
      <c r="BC17" s="234">
        <f t="shared" si="6"/>
        <v>12.3</v>
      </c>
      <c r="BD17" s="234">
        <f t="shared" si="7"/>
        <v>12.3</v>
      </c>
      <c r="BE17" s="263">
        <v>3.3</v>
      </c>
      <c r="BF17" s="234">
        <f t="shared" si="9"/>
        <v>12.3</v>
      </c>
      <c r="BG17" s="234">
        <f t="shared" si="10"/>
        <v>0</v>
      </c>
      <c r="BH17" s="234">
        <f t="shared" si="11"/>
        <v>7</v>
      </c>
      <c r="BI17" s="234">
        <f t="shared" si="12"/>
        <v>6</v>
      </c>
      <c r="BJ17" s="234">
        <f t="shared" si="13"/>
        <v>6</v>
      </c>
      <c r="BK17" s="345">
        <v>5</v>
      </c>
      <c r="BL17" s="234">
        <f t="shared" si="15"/>
        <v>6</v>
      </c>
      <c r="BM17" s="234">
        <f t="shared" si="16"/>
        <v>4</v>
      </c>
      <c r="BN17" s="154" t="s">
        <v>483</v>
      </c>
      <c r="BO17" s="154" t="str">
        <f t="shared" si="17"/>
        <v>veryhigh</v>
      </c>
      <c r="BP17" s="154" t="str">
        <f t="shared" si="18"/>
        <v>high</v>
      </c>
      <c r="BQ17" s="154" t="str">
        <f t="shared" si="19"/>
        <v>medium</v>
      </c>
      <c r="BR17" s="154" t="s">
        <v>18</v>
      </c>
      <c r="BS17" s="154" t="s">
        <v>18</v>
      </c>
      <c r="BT17" s="154" t="s">
        <v>18</v>
      </c>
      <c r="BU17" s="154">
        <f t="shared" si="20"/>
        <v>150</v>
      </c>
      <c r="BV17" s="154">
        <f t="shared" si="21"/>
        <v>157</v>
      </c>
      <c r="BW17" s="154">
        <f t="shared" si="22"/>
        <v>185</v>
      </c>
      <c r="BX17" s="154">
        <f t="shared" si="23"/>
        <v>150</v>
      </c>
      <c r="BY17" s="154">
        <f t="shared" si="24"/>
        <v>157</v>
      </c>
      <c r="BZ17" s="154">
        <f t="shared" si="25"/>
        <v>335</v>
      </c>
      <c r="CA17" s="356">
        <f t="array" ref="CA17">IF(yieldsetting2="estimate",0,INDEX(cropdata, MATCH(yieldsource,outputs,0), MATCH($F17,cropdatacrops,0)))</f>
        <v>8.6</v>
      </c>
      <c r="CB17" s="356">
        <f t="array" ref="CB17">IF(yieldsetting2="estimate",0,INDEX(cropdata, MATCH(yieldsource,outputs,0), MATCH($G17,cropdatacrops,0)))</f>
        <v>5.7</v>
      </c>
      <c r="CC17" s="356">
        <f t="array" ref="CC17">IF(yieldsetting2="estimate",0,INDEX(cropdata, MATCH(yieldsource,outputs,0), MATCH($H17,cropdatacrops,0)))</f>
        <v>3.9</v>
      </c>
      <c r="CD17" s="356">
        <f t="array" ref="CD17">IF(yieldsetting2="estimate",0,INDEX(cropdata, MATCH(yieldsource,outputs,0), MATCH($I17,cropdatacrops,0)))</f>
        <v>8.6</v>
      </c>
      <c r="CE17" s="356">
        <f t="array" ref="CE17">IF(yieldsetting2="estimate",0,INDEX(cropdata, MATCH(yieldsource,outputs,0), MATCH($J17,cropdatacrops,0)))</f>
        <v>5.7</v>
      </c>
      <c r="CF17" s="356">
        <f t="array" ref="CF17">IF(yieldsetting2="estimate",0,INDEX(cropdata, MATCH(yieldsource,outputs,0), MATCH($K17,cropdatacrops,0)))</f>
        <v>3.5</v>
      </c>
      <c r="CG17" s="154" t="str">
        <f t="shared" si="26"/>
        <v>actual</v>
      </c>
      <c r="CH17" s="235">
        <f t="shared" si="27"/>
        <v>0.8</v>
      </c>
      <c r="CI17" s="235">
        <f t="shared" si="28"/>
        <v>0.72</v>
      </c>
      <c r="CJ17" s="154">
        <f t="shared" si="29"/>
        <v>0.46</v>
      </c>
      <c r="CK17" s="154">
        <f t="shared" si="30"/>
        <v>0.36</v>
      </c>
      <c r="CL17" s="154">
        <f t="shared" si="31"/>
        <v>0.38</v>
      </c>
      <c r="CM17" s="154">
        <f t="shared" si="32"/>
        <v>0.38</v>
      </c>
      <c r="CN17" s="154">
        <f t="shared" si="33"/>
        <v>0.36</v>
      </c>
      <c r="CO17" s="154">
        <f t="shared" si="34"/>
        <v>0.38</v>
      </c>
      <c r="CP17" s="154">
        <f t="shared" si="35"/>
        <v>7.34</v>
      </c>
      <c r="CQ17" s="154">
        <f t="shared" si="36"/>
        <v>19.5</v>
      </c>
      <c r="CR17" s="154">
        <f t="shared" si="36"/>
        <v>19.5</v>
      </c>
      <c r="CS17" s="154">
        <f t="shared" si="36"/>
        <v>19.5</v>
      </c>
      <c r="CT17" s="154">
        <f t="shared" si="36"/>
        <v>19.5</v>
      </c>
      <c r="CU17" s="154">
        <f t="shared" si="36"/>
        <v>19.5</v>
      </c>
      <c r="CV17" s="154">
        <f t="shared" si="36"/>
        <v>19.5</v>
      </c>
      <c r="CW17" s="154">
        <f t="shared" si="37"/>
        <v>2.4300000000000002</v>
      </c>
      <c r="CX17" s="154">
        <f t="shared" si="37"/>
        <v>2.4300000000000002</v>
      </c>
      <c r="CY17" s="154">
        <f t="shared" si="37"/>
        <v>2.4300000000000002</v>
      </c>
      <c r="CZ17" s="154">
        <f t="shared" si="37"/>
        <v>2.4300000000000002</v>
      </c>
      <c r="DA17" s="154">
        <f t="shared" si="37"/>
        <v>2.4300000000000002</v>
      </c>
      <c r="DB17" s="154">
        <f t="shared" si="37"/>
        <v>2.4300000000000002</v>
      </c>
      <c r="DC17" s="154">
        <v>102</v>
      </c>
      <c r="DD17" s="154">
        <v>6</v>
      </c>
      <c r="DE17" s="154">
        <v>4</v>
      </c>
      <c r="DF17" s="154">
        <v>1400</v>
      </c>
      <c r="DG17" s="154">
        <v>125</v>
      </c>
      <c r="DH17" s="154">
        <f t="shared" si="38"/>
        <v>0.625</v>
      </c>
      <c r="DI17" s="154">
        <f t="shared" si="39"/>
        <v>10.08</v>
      </c>
    </row>
    <row r="18" spans="1:113" x14ac:dyDescent="0.2">
      <c r="A18" s="331" t="s">
        <v>1732</v>
      </c>
      <c r="B18" s="330" t="s">
        <v>499</v>
      </c>
      <c r="C18" s="330" t="s">
        <v>1681</v>
      </c>
      <c r="D18" s="233" t="str">
        <f>ECOMOD_input_estimate!$D18</f>
        <v>0.75</v>
      </c>
      <c r="E18" s="385">
        <f>ECOMOD_input_estimate!$E18</f>
        <v>6</v>
      </c>
      <c r="F18" s="386" t="str">
        <f>ECOMOD_input_estimate!$F18</f>
        <v>winterwheat</v>
      </c>
      <c r="G18" s="282" t="str">
        <f>ECOMOD_input_estimate!$G18</f>
        <v>springbarley</v>
      </c>
      <c r="H18" s="282" t="str">
        <f>ECOMOD_input_estimate!$H18</f>
        <v>driedpeas</v>
      </c>
      <c r="I18" s="282" t="str">
        <f>ECOMOD_input_estimate!I18</f>
        <v>winterwheat</v>
      </c>
      <c r="J18" s="282" t="str">
        <f>ECOMOD_input_estimate!$J18</f>
        <v>springbarley</v>
      </c>
      <c r="K18" s="282" t="str">
        <f>ECOMOD_input_estimate!$K18</f>
        <v>wosr</v>
      </c>
      <c r="L18" s="282" t="str">
        <f>ECOMOD_input_estimate!L18</f>
        <v>lightcultivation</v>
      </c>
      <c r="M18" s="282" t="str">
        <f>ECOMOD_input_estimate!M18</f>
        <v>lightcultivation</v>
      </c>
      <c r="N18" s="282" t="str">
        <f>ECOMOD_input_estimate!N18</f>
        <v>ploughing</v>
      </c>
      <c r="O18" s="282" t="str">
        <f>ECOMOD_input_estimate!O18</f>
        <v>lightcultivation</v>
      </c>
      <c r="P18" s="282" t="str">
        <f>ECOMOD_input_estimate!P18</f>
        <v>lightcultivation</v>
      </c>
      <c r="Q18" s="282" t="str">
        <f>ECOMOD_input_estimate!Q18</f>
        <v>directdrilling</v>
      </c>
      <c r="R18" s="390">
        <f>ECOMOD_input_estimate!R18</f>
        <v>240</v>
      </c>
      <c r="S18" s="389">
        <f>ECOMOD_input_estimate!S18</f>
        <v>200</v>
      </c>
      <c r="T18" s="389">
        <f>ECOMOD_input_estimate!T18</f>
        <v>300</v>
      </c>
      <c r="U18" s="390">
        <f>ECOMOD_input_estimate!U18</f>
        <v>240</v>
      </c>
      <c r="V18" s="389">
        <f>ECOMOD_input_estimate!V18</f>
        <v>200</v>
      </c>
      <c r="W18" s="393">
        <f>ECOMOD_input_estimate!W18</f>
        <v>3.2</v>
      </c>
      <c r="X18" s="282" t="str">
        <f>ECOMOD_input_estimate!X18</f>
        <v>late</v>
      </c>
      <c r="Y18" s="282" t="str">
        <f>ECOMOD_input_estimate!Y18</f>
        <v>late</v>
      </c>
      <c r="Z18" s="282" t="str">
        <f>ECOMOD_input_estimate!Z18</f>
        <v>no</v>
      </c>
      <c r="AA18" s="282" t="str">
        <f>ECOMOD_input_estimate!AA18</f>
        <v>late</v>
      </c>
      <c r="AB18" s="282" t="str">
        <f>ECOMOD_input_estimate!AB18</f>
        <v>late</v>
      </c>
      <c r="AC18" s="282" t="str">
        <f>ECOMOD_input_estimate!AC18</f>
        <v>no</v>
      </c>
      <c r="AD18" s="389">
        <f>ECOMOD_input_estimate!AD18</f>
        <v>180</v>
      </c>
      <c r="AE18" s="389">
        <f>ECOMOD_input_estimate!AE18</f>
        <v>150</v>
      </c>
      <c r="AF18" s="389">
        <f>ECOMOD_input_estimate!AF18</f>
        <v>0</v>
      </c>
      <c r="AG18" s="389">
        <f>ECOMOD_input_estimate!AG18</f>
        <v>180</v>
      </c>
      <c r="AH18" s="389">
        <f>ECOMOD_input_estimate!AH18</f>
        <v>150</v>
      </c>
      <c r="AI18" s="389">
        <f>ECOMOD_input_estimate!AI18</f>
        <v>180</v>
      </c>
      <c r="AJ18" s="389">
        <f>ECOMOD_input_estimate!AJ18</f>
        <v>67</v>
      </c>
      <c r="AK18" s="389">
        <f>ECOMOD_input_estimate!AK18</f>
        <v>44</v>
      </c>
      <c r="AL18" s="389">
        <f>ECOMOD_input_estimate!AL18</f>
        <v>35</v>
      </c>
      <c r="AM18" s="389">
        <f>ECOMOD_input_estimate!AM18</f>
        <v>67</v>
      </c>
      <c r="AN18" s="389">
        <f>ECOMOD_input_estimate!AN18</f>
        <v>44</v>
      </c>
      <c r="AO18" s="389">
        <f>ECOMOD_input_estimate!AO18</f>
        <v>49</v>
      </c>
      <c r="AP18" s="389">
        <f>ECOMOD_input_estimate!AP18</f>
        <v>48</v>
      </c>
      <c r="AQ18" s="389">
        <f>ECOMOD_input_estimate!AQ18</f>
        <v>32</v>
      </c>
      <c r="AR18" s="389">
        <f>ECOMOD_input_estimate!AR18</f>
        <v>40</v>
      </c>
      <c r="AS18" s="389">
        <f>ECOMOD_input_estimate!AS18</f>
        <v>48</v>
      </c>
      <c r="AT18" s="389">
        <f>ECOMOD_input_estimate!AT18</f>
        <v>32</v>
      </c>
      <c r="AU18" s="389">
        <f>ECOMOD_input_estimate!AU18</f>
        <v>39</v>
      </c>
      <c r="AV18" s="234">
        <f t="shared" si="40"/>
        <v>11.9</v>
      </c>
      <c r="AW18" s="234">
        <f t="shared" si="0"/>
        <v>0.4</v>
      </c>
      <c r="AX18" s="234">
        <f t="shared" si="1"/>
        <v>4</v>
      </c>
      <c r="AY18" s="234">
        <f t="shared" si="2"/>
        <v>11.9</v>
      </c>
      <c r="AZ18" s="234">
        <f t="shared" si="3"/>
        <v>0.4</v>
      </c>
      <c r="BA18" s="234">
        <f t="shared" si="4"/>
        <v>3.8</v>
      </c>
      <c r="BB18" s="234">
        <f t="shared" si="5"/>
        <v>9.3000000000000007</v>
      </c>
      <c r="BC18" s="234">
        <f t="shared" si="6"/>
        <v>12.3</v>
      </c>
      <c r="BD18" s="234">
        <f t="shared" si="7"/>
        <v>12.3</v>
      </c>
      <c r="BE18" s="263">
        <v>3.3</v>
      </c>
      <c r="BF18" s="234">
        <f t="shared" si="9"/>
        <v>12.3</v>
      </c>
      <c r="BG18" s="234">
        <f t="shared" si="10"/>
        <v>0</v>
      </c>
      <c r="BH18" s="234">
        <f t="shared" si="11"/>
        <v>7</v>
      </c>
      <c r="BI18" s="234">
        <f t="shared" si="12"/>
        <v>6</v>
      </c>
      <c r="BJ18" s="234">
        <f t="shared" si="13"/>
        <v>6</v>
      </c>
      <c r="BK18" s="345">
        <v>5</v>
      </c>
      <c r="BL18" s="234">
        <f t="shared" si="15"/>
        <v>6</v>
      </c>
      <c r="BM18" s="234">
        <f t="shared" si="16"/>
        <v>4</v>
      </c>
      <c r="BN18" s="154" t="s">
        <v>483</v>
      </c>
      <c r="BO18" s="154" t="str">
        <f t="shared" si="17"/>
        <v>high</v>
      </c>
      <c r="BP18" s="154" t="str">
        <f t="shared" si="18"/>
        <v>medium</v>
      </c>
      <c r="BQ18" s="154" t="str">
        <f t="shared" si="19"/>
        <v>low</v>
      </c>
      <c r="BR18" s="154" t="s">
        <v>182</v>
      </c>
      <c r="BS18" s="154" t="s">
        <v>182</v>
      </c>
      <c r="BT18" s="154" t="s">
        <v>182</v>
      </c>
      <c r="BU18" s="154">
        <f t="shared" si="20"/>
        <v>150</v>
      </c>
      <c r="BV18" s="154">
        <f t="shared" si="21"/>
        <v>157</v>
      </c>
      <c r="BW18" s="154">
        <f t="shared" si="22"/>
        <v>225</v>
      </c>
      <c r="BX18" s="154">
        <f t="shared" si="23"/>
        <v>150</v>
      </c>
      <c r="BY18" s="154">
        <f t="shared" si="24"/>
        <v>157</v>
      </c>
      <c r="BZ18" s="154">
        <f t="shared" si="25"/>
        <v>335</v>
      </c>
      <c r="CA18" s="356">
        <f t="array" ref="CA18">IF(yieldsetting2="estimate",0,INDEX(cropdata, MATCH(yieldsource,outputs,0), MATCH($F18,cropdatacrops,0)))</f>
        <v>8.6</v>
      </c>
      <c r="CB18" s="356">
        <f t="array" ref="CB18">IF(yieldsetting2="estimate",0,INDEX(cropdata, MATCH(yieldsource,outputs,0), MATCH($G18,cropdatacrops,0)))</f>
        <v>5.7</v>
      </c>
      <c r="CC18" s="356">
        <f t="array" ref="CC18">IF(yieldsetting2="estimate",0,INDEX(cropdata, MATCH(yieldsource,outputs,0), MATCH($H18,cropdatacrops,0)))</f>
        <v>4</v>
      </c>
      <c r="CD18" s="356">
        <f t="array" ref="CD18">IF(yieldsetting2="estimate",0,INDEX(cropdata, MATCH(yieldsource,outputs,0), MATCH($I18,cropdatacrops,0)))</f>
        <v>8.6</v>
      </c>
      <c r="CE18" s="356">
        <f t="array" ref="CE18">IF(yieldsetting2="estimate",0,INDEX(cropdata, MATCH(yieldsource,outputs,0), MATCH($J18,cropdatacrops,0)))</f>
        <v>5.7</v>
      </c>
      <c r="CF18" s="356">
        <f t="array" ref="CF18">IF(yieldsetting2="estimate",0,INDEX(cropdata, MATCH(yieldsource,outputs,0), MATCH($K18,cropdatacrops,0)))</f>
        <v>3.5</v>
      </c>
      <c r="CG18" s="154" t="str">
        <f t="shared" si="26"/>
        <v>actual</v>
      </c>
      <c r="CH18" s="235">
        <f t="shared" si="27"/>
        <v>0.8</v>
      </c>
      <c r="CI18" s="235">
        <f t="shared" si="28"/>
        <v>0.72</v>
      </c>
      <c r="CJ18" s="154">
        <f t="shared" si="29"/>
        <v>0.46</v>
      </c>
      <c r="CK18" s="154">
        <f t="shared" si="30"/>
        <v>0.36</v>
      </c>
      <c r="CL18" s="154">
        <f t="shared" si="31"/>
        <v>0.38</v>
      </c>
      <c r="CM18" s="154">
        <f t="shared" si="32"/>
        <v>0.47</v>
      </c>
      <c r="CN18" s="154">
        <f t="shared" si="33"/>
        <v>0.36</v>
      </c>
      <c r="CO18" s="154">
        <f t="shared" si="34"/>
        <v>0.38</v>
      </c>
      <c r="CP18" s="154">
        <f t="shared" si="35"/>
        <v>7.34</v>
      </c>
      <c r="CQ18" s="154">
        <f t="shared" ref="CQ18:CV33" si="41">herbprice</f>
        <v>19.5</v>
      </c>
      <c r="CR18" s="154">
        <f t="shared" si="41"/>
        <v>19.5</v>
      </c>
      <c r="CS18" s="154">
        <f t="shared" si="41"/>
        <v>19.5</v>
      </c>
      <c r="CT18" s="154">
        <f t="shared" si="41"/>
        <v>19.5</v>
      </c>
      <c r="CU18" s="154">
        <f t="shared" si="41"/>
        <v>19.5</v>
      </c>
      <c r="CV18" s="154">
        <f t="shared" si="41"/>
        <v>19.5</v>
      </c>
      <c r="CW18" s="154">
        <f t="shared" ref="CW18:DB33" si="42">glyprice</f>
        <v>2.4300000000000002</v>
      </c>
      <c r="CX18" s="154">
        <f t="shared" si="42"/>
        <v>2.4300000000000002</v>
      </c>
      <c r="CY18" s="154">
        <f t="shared" si="42"/>
        <v>2.4300000000000002</v>
      </c>
      <c r="CZ18" s="154">
        <f t="shared" si="42"/>
        <v>2.4300000000000002</v>
      </c>
      <c r="DA18" s="154">
        <f t="shared" si="42"/>
        <v>2.4300000000000002</v>
      </c>
      <c r="DB18" s="154">
        <f t="shared" si="42"/>
        <v>2.4300000000000002</v>
      </c>
      <c r="DC18" s="154">
        <v>102</v>
      </c>
      <c r="DD18" s="154">
        <v>6</v>
      </c>
      <c r="DE18" s="154">
        <v>4</v>
      </c>
      <c r="DF18" s="154">
        <v>1400</v>
      </c>
      <c r="DG18" s="154">
        <v>125</v>
      </c>
      <c r="DH18" s="154">
        <f t="shared" si="38"/>
        <v>0.625</v>
      </c>
      <c r="DI18" s="154">
        <f t="shared" si="39"/>
        <v>10.08</v>
      </c>
    </row>
    <row r="19" spans="1:113" x14ac:dyDescent="0.2">
      <c r="A19" s="331" t="s">
        <v>1733</v>
      </c>
      <c r="B19" s="330" t="s">
        <v>499</v>
      </c>
      <c r="C19" s="330" t="s">
        <v>1682</v>
      </c>
      <c r="D19" s="233" t="str">
        <f>ECOMOD_input_estimate!$D19</f>
        <v>0.75</v>
      </c>
      <c r="E19" s="385">
        <f>ECOMOD_input_estimate!$E19</f>
        <v>6</v>
      </c>
      <c r="F19" s="386" t="str">
        <f>ECOMOD_input_estimate!$F19</f>
        <v>winterwheat</v>
      </c>
      <c r="G19" s="282" t="str">
        <f>ECOMOD_input_estimate!$G19</f>
        <v>springbarley</v>
      </c>
      <c r="H19" s="282" t="str">
        <f>ECOMOD_input_estimate!$H19</f>
        <v>driedpeas</v>
      </c>
      <c r="I19" s="282" t="str">
        <f>ECOMOD_input_estimate!I19</f>
        <v>winterwheat</v>
      </c>
      <c r="J19" s="282" t="str">
        <f>ECOMOD_input_estimate!$J19</f>
        <v>springbarley</v>
      </c>
      <c r="K19" s="282" t="str">
        <f>ECOMOD_input_estimate!$K19</f>
        <v>wosr</v>
      </c>
      <c r="L19" s="282" t="str">
        <f>ECOMOD_input_estimate!L19</f>
        <v>lightcultivation</v>
      </c>
      <c r="M19" s="282" t="str">
        <f>ECOMOD_input_estimate!M19</f>
        <v>lightcultivation</v>
      </c>
      <c r="N19" s="282" t="str">
        <f>ECOMOD_input_estimate!N19</f>
        <v>ploughing</v>
      </c>
      <c r="O19" s="282" t="str">
        <f>ECOMOD_input_estimate!O19</f>
        <v>lightcultivation</v>
      </c>
      <c r="P19" s="282" t="str">
        <f>ECOMOD_input_estimate!P19</f>
        <v>lightcultivation</v>
      </c>
      <c r="Q19" s="282" t="str">
        <f>ECOMOD_input_estimate!Q19</f>
        <v>directdrilling</v>
      </c>
      <c r="R19" s="390">
        <f>ECOMOD_input_estimate!R19</f>
        <v>240</v>
      </c>
      <c r="S19" s="389">
        <f>ECOMOD_input_estimate!S19</f>
        <v>200</v>
      </c>
      <c r="T19" s="389">
        <f>ECOMOD_input_estimate!T19</f>
        <v>300</v>
      </c>
      <c r="U19" s="390">
        <f>ECOMOD_input_estimate!U19</f>
        <v>240</v>
      </c>
      <c r="V19" s="389">
        <f>ECOMOD_input_estimate!V19</f>
        <v>200</v>
      </c>
      <c r="W19" s="393">
        <f>ECOMOD_input_estimate!W19</f>
        <v>3.2</v>
      </c>
      <c r="X19" s="282" t="str">
        <f>ECOMOD_input_estimate!X19</f>
        <v>late</v>
      </c>
      <c r="Y19" s="282" t="str">
        <f>ECOMOD_input_estimate!Y19</f>
        <v>late</v>
      </c>
      <c r="Z19" s="282" t="str">
        <f>ECOMOD_input_estimate!Z19</f>
        <v>no</v>
      </c>
      <c r="AA19" s="282" t="str">
        <f>ECOMOD_input_estimate!AA19</f>
        <v>late</v>
      </c>
      <c r="AB19" s="282" t="str">
        <f>ECOMOD_input_estimate!AB19</f>
        <v>late</v>
      </c>
      <c r="AC19" s="282" t="str">
        <f>ECOMOD_input_estimate!AC19</f>
        <v>no</v>
      </c>
      <c r="AD19" s="389">
        <f>ECOMOD_input_estimate!AD19</f>
        <v>180</v>
      </c>
      <c r="AE19" s="389">
        <f>ECOMOD_input_estimate!AE19</f>
        <v>150</v>
      </c>
      <c r="AF19" s="389">
        <f>ECOMOD_input_estimate!AF19</f>
        <v>0</v>
      </c>
      <c r="AG19" s="389">
        <f>ECOMOD_input_estimate!AG19</f>
        <v>180</v>
      </c>
      <c r="AH19" s="389">
        <f>ECOMOD_input_estimate!AH19</f>
        <v>150</v>
      </c>
      <c r="AI19" s="389">
        <f>ECOMOD_input_estimate!AI19</f>
        <v>180</v>
      </c>
      <c r="AJ19" s="389">
        <f>ECOMOD_input_estimate!AJ19</f>
        <v>67</v>
      </c>
      <c r="AK19" s="389">
        <f>ECOMOD_input_estimate!AK19</f>
        <v>44</v>
      </c>
      <c r="AL19" s="389">
        <f>ECOMOD_input_estimate!AL19</f>
        <v>35</v>
      </c>
      <c r="AM19" s="389">
        <f>ECOMOD_input_estimate!AM19</f>
        <v>67</v>
      </c>
      <c r="AN19" s="389">
        <f>ECOMOD_input_estimate!AN19</f>
        <v>44</v>
      </c>
      <c r="AO19" s="389">
        <f>ECOMOD_input_estimate!AO19</f>
        <v>49</v>
      </c>
      <c r="AP19" s="389">
        <f>ECOMOD_input_estimate!AP19</f>
        <v>48</v>
      </c>
      <c r="AQ19" s="389">
        <f>ECOMOD_input_estimate!AQ19</f>
        <v>32</v>
      </c>
      <c r="AR19" s="389">
        <f>ECOMOD_input_estimate!AR19</f>
        <v>40</v>
      </c>
      <c r="AS19" s="389">
        <f>ECOMOD_input_estimate!AS19</f>
        <v>48</v>
      </c>
      <c r="AT19" s="389">
        <f>ECOMOD_input_estimate!AT19</f>
        <v>32</v>
      </c>
      <c r="AU19" s="389">
        <f>ECOMOD_input_estimate!AU19</f>
        <v>39</v>
      </c>
      <c r="AV19" s="234">
        <f t="shared" si="40"/>
        <v>11.9</v>
      </c>
      <c r="AW19" s="234">
        <f t="shared" si="0"/>
        <v>0.4</v>
      </c>
      <c r="AX19" s="234">
        <f t="shared" si="1"/>
        <v>4</v>
      </c>
      <c r="AY19" s="234">
        <f t="shared" si="2"/>
        <v>11.9</v>
      </c>
      <c r="AZ19" s="234">
        <f t="shared" si="3"/>
        <v>0.4</v>
      </c>
      <c r="BA19" s="234">
        <f t="shared" si="4"/>
        <v>3.8</v>
      </c>
      <c r="BB19" s="234">
        <f t="shared" si="5"/>
        <v>9.3000000000000007</v>
      </c>
      <c r="BC19" s="234">
        <f t="shared" si="6"/>
        <v>12.3</v>
      </c>
      <c r="BD19" s="234">
        <f t="shared" si="7"/>
        <v>12.3</v>
      </c>
      <c r="BE19" s="263">
        <v>3.3</v>
      </c>
      <c r="BF19" s="234">
        <f t="shared" si="9"/>
        <v>12.3</v>
      </c>
      <c r="BG19" s="234">
        <f t="shared" si="10"/>
        <v>0</v>
      </c>
      <c r="BH19" s="234">
        <f t="shared" si="11"/>
        <v>7</v>
      </c>
      <c r="BI19" s="234">
        <f t="shared" si="12"/>
        <v>6</v>
      </c>
      <c r="BJ19" s="234">
        <f t="shared" si="13"/>
        <v>6</v>
      </c>
      <c r="BK19" s="345">
        <v>5</v>
      </c>
      <c r="BL19" s="234">
        <f t="shared" si="15"/>
        <v>6</v>
      </c>
      <c r="BM19" s="234">
        <f t="shared" si="16"/>
        <v>4</v>
      </c>
      <c r="BN19" s="154" t="s">
        <v>483</v>
      </c>
      <c r="BO19" s="154" t="str">
        <f t="shared" si="17"/>
        <v>veryhigh</v>
      </c>
      <c r="BP19" s="154" t="str">
        <f t="shared" si="18"/>
        <v>high</v>
      </c>
      <c r="BQ19" s="154" t="str">
        <f t="shared" si="19"/>
        <v>medium</v>
      </c>
      <c r="BR19" s="154" t="s">
        <v>183</v>
      </c>
      <c r="BS19" s="154" t="s">
        <v>183</v>
      </c>
      <c r="BT19" s="154" t="s">
        <v>183</v>
      </c>
      <c r="BU19" s="154">
        <f t="shared" si="20"/>
        <v>150</v>
      </c>
      <c r="BV19" s="154">
        <f t="shared" si="21"/>
        <v>157</v>
      </c>
      <c r="BW19" s="154">
        <f t="shared" si="22"/>
        <v>225</v>
      </c>
      <c r="BX19" s="154">
        <f t="shared" si="23"/>
        <v>150</v>
      </c>
      <c r="BY19" s="154">
        <f t="shared" si="24"/>
        <v>157</v>
      </c>
      <c r="BZ19" s="154">
        <f t="shared" si="25"/>
        <v>335</v>
      </c>
      <c r="CA19" s="356">
        <f t="array" ref="CA19">IF(yieldsetting2="estimate",0,INDEX(cropdata, MATCH(yieldsource,outputs,0), MATCH($F19,cropdatacrops,0)))</f>
        <v>8.6</v>
      </c>
      <c r="CB19" s="356">
        <f t="array" ref="CB19">IF(yieldsetting2="estimate",0,INDEX(cropdata, MATCH(yieldsource,outputs,0), MATCH($G19,cropdatacrops,0)))</f>
        <v>5.7</v>
      </c>
      <c r="CC19" s="356">
        <f t="array" ref="CC19">IF(yieldsetting2="estimate",0,INDEX(cropdata, MATCH(yieldsource,outputs,0), MATCH($H19,cropdatacrops,0)))</f>
        <v>4</v>
      </c>
      <c r="CD19" s="356">
        <f t="array" ref="CD19">IF(yieldsetting2="estimate",0,INDEX(cropdata, MATCH(yieldsource,outputs,0), MATCH($I19,cropdatacrops,0)))</f>
        <v>8.6</v>
      </c>
      <c r="CE19" s="356">
        <f t="array" ref="CE19">IF(yieldsetting2="estimate",0,INDEX(cropdata, MATCH(yieldsource,outputs,0), MATCH($J19,cropdatacrops,0)))</f>
        <v>5.7</v>
      </c>
      <c r="CF19" s="356">
        <f t="array" ref="CF19">IF(yieldsetting2="estimate",0,INDEX(cropdata, MATCH(yieldsource,outputs,0), MATCH($K19,cropdatacrops,0)))</f>
        <v>3.5</v>
      </c>
      <c r="CG19" s="154" t="str">
        <f t="shared" si="26"/>
        <v>actual</v>
      </c>
      <c r="CH19" s="235">
        <f t="shared" si="27"/>
        <v>0.8</v>
      </c>
      <c r="CI19" s="235">
        <f t="shared" si="28"/>
        <v>0.72</v>
      </c>
      <c r="CJ19" s="154">
        <f t="shared" si="29"/>
        <v>0.46</v>
      </c>
      <c r="CK19" s="154">
        <f t="shared" si="30"/>
        <v>0.36</v>
      </c>
      <c r="CL19" s="154">
        <f t="shared" si="31"/>
        <v>0.38</v>
      </c>
      <c r="CM19" s="154">
        <f t="shared" si="32"/>
        <v>0.47</v>
      </c>
      <c r="CN19" s="154">
        <f t="shared" si="33"/>
        <v>0.36</v>
      </c>
      <c r="CO19" s="154">
        <f t="shared" si="34"/>
        <v>0.38</v>
      </c>
      <c r="CP19" s="154">
        <f t="shared" si="35"/>
        <v>7.34</v>
      </c>
      <c r="CQ19" s="154">
        <f t="shared" si="41"/>
        <v>19.5</v>
      </c>
      <c r="CR19" s="154">
        <f t="shared" si="41"/>
        <v>19.5</v>
      </c>
      <c r="CS19" s="154">
        <f t="shared" si="41"/>
        <v>19.5</v>
      </c>
      <c r="CT19" s="154">
        <f t="shared" si="41"/>
        <v>19.5</v>
      </c>
      <c r="CU19" s="154">
        <f t="shared" si="41"/>
        <v>19.5</v>
      </c>
      <c r="CV19" s="154">
        <f t="shared" si="41"/>
        <v>19.5</v>
      </c>
      <c r="CW19" s="154">
        <f t="shared" si="42"/>
        <v>2.4300000000000002</v>
      </c>
      <c r="CX19" s="154">
        <f t="shared" si="42"/>
        <v>2.4300000000000002</v>
      </c>
      <c r="CY19" s="154">
        <f t="shared" si="42"/>
        <v>2.4300000000000002</v>
      </c>
      <c r="CZ19" s="154">
        <f t="shared" si="42"/>
        <v>2.4300000000000002</v>
      </c>
      <c r="DA19" s="154">
        <f t="shared" si="42"/>
        <v>2.4300000000000002</v>
      </c>
      <c r="DB19" s="154">
        <f t="shared" si="42"/>
        <v>2.4300000000000002</v>
      </c>
      <c r="DC19" s="154">
        <v>102</v>
      </c>
      <c r="DD19" s="154">
        <v>6</v>
      </c>
      <c r="DE19" s="154">
        <v>4</v>
      </c>
      <c r="DF19" s="154">
        <v>1400</v>
      </c>
      <c r="DG19" s="154">
        <v>125</v>
      </c>
      <c r="DH19" s="154">
        <f t="shared" si="38"/>
        <v>0.625</v>
      </c>
      <c r="DI19" s="154">
        <f t="shared" si="39"/>
        <v>10.08</v>
      </c>
    </row>
    <row r="20" spans="1:113" x14ac:dyDescent="0.2">
      <c r="A20" s="332" t="s">
        <v>1734</v>
      </c>
      <c r="B20" s="333" t="s">
        <v>503</v>
      </c>
      <c r="C20" s="333" t="s">
        <v>1614</v>
      </c>
      <c r="D20" s="233" t="str">
        <f>ECOMOD_input_estimate!$D20</f>
        <v>2.25</v>
      </c>
      <c r="E20" s="385">
        <f>ECOMOD_input_estimate!$E20</f>
        <v>6</v>
      </c>
      <c r="F20" s="386" t="str">
        <f>ECOMOD_input_estimate!$F20</f>
        <v>winterwheat</v>
      </c>
      <c r="G20" s="282" t="str">
        <f>ECOMOD_input_estimate!$G20</f>
        <v>springbeans</v>
      </c>
      <c r="H20" s="282" t="str">
        <f>ECOMOD_input_estimate!$H20</f>
        <v>winterwheat</v>
      </c>
      <c r="I20" s="282" t="str">
        <f>ECOMOD_input_estimate!I20</f>
        <v>winterbarley</v>
      </c>
      <c r="J20" s="282" t="str">
        <f>ECOMOD_input_estimate!$J20</f>
        <v>wosr</v>
      </c>
      <c r="K20" s="282" t="str">
        <f>ECOMOD_input_estimate!$K20</f>
        <v>winterwheat</v>
      </c>
      <c r="L20" s="282" t="str">
        <f>ECOMOD_input_estimate!L20</f>
        <v>lightcultivation</v>
      </c>
      <c r="M20" s="282" t="str">
        <f>ECOMOD_input_estimate!M20</f>
        <v>subsoiling</v>
      </c>
      <c r="N20" s="282" t="str">
        <f>ECOMOD_input_estimate!N20</f>
        <v>lightcultivation</v>
      </c>
      <c r="O20" s="282" t="str">
        <f>ECOMOD_input_estimate!O20</f>
        <v>lightcultivation</v>
      </c>
      <c r="P20" s="282" t="str">
        <f>ECOMOD_input_estimate!P20</f>
        <v>directdrilling</v>
      </c>
      <c r="Q20" s="387" t="str">
        <f>ECOMOD_input_estimate!Q20</f>
        <v>inversion</v>
      </c>
      <c r="R20" s="389">
        <f>ECOMOD_input_estimate!R20</f>
        <v>200</v>
      </c>
      <c r="S20" s="389">
        <f>ECOMOD_input_estimate!S20</f>
        <v>305</v>
      </c>
      <c r="T20" s="389">
        <f>ECOMOD_input_estimate!T20</f>
        <v>200</v>
      </c>
      <c r="U20" s="389">
        <f>ECOMOD_input_estimate!U20</f>
        <v>216</v>
      </c>
      <c r="V20" s="391">
        <f>ECOMOD_input_estimate!V20</f>
        <v>3.2</v>
      </c>
      <c r="W20" s="389">
        <f>ECOMOD_input_estimate!W20</f>
        <v>200</v>
      </c>
      <c r="X20" s="282" t="str">
        <f>ECOMOD_input_estimate!X20</f>
        <v>late</v>
      </c>
      <c r="Y20" s="282" t="str">
        <f>ECOMOD_input_estimate!Y20</f>
        <v>no</v>
      </c>
      <c r="Z20" s="282" t="str">
        <f>ECOMOD_input_estimate!Z20</f>
        <v>late</v>
      </c>
      <c r="AA20" s="282" t="str">
        <f>ECOMOD_input_estimate!AA20</f>
        <v>no</v>
      </c>
      <c r="AB20" s="282" t="str">
        <f>ECOMOD_input_estimate!AB20</f>
        <v>no</v>
      </c>
      <c r="AC20" s="282" t="str">
        <f>ECOMOD_input_estimate!AC20</f>
        <v>late</v>
      </c>
      <c r="AD20" s="389">
        <f>ECOMOD_input_estimate!AD20</f>
        <v>240</v>
      </c>
      <c r="AE20" s="389">
        <f>ECOMOD_input_estimate!AE20</f>
        <v>0</v>
      </c>
      <c r="AF20" s="389">
        <f>ECOMOD_input_estimate!AF20</f>
        <v>240</v>
      </c>
      <c r="AG20" s="389">
        <f>ECOMOD_input_estimate!AG20</f>
        <v>200</v>
      </c>
      <c r="AH20" s="389">
        <f>ECOMOD_input_estimate!AH20</f>
        <v>180</v>
      </c>
      <c r="AI20" s="389">
        <f>ECOMOD_input_estimate!AI20</f>
        <v>240</v>
      </c>
      <c r="AJ20" s="389">
        <f>ECOMOD_input_estimate!AJ20</f>
        <v>67</v>
      </c>
      <c r="AK20" s="389">
        <f>ECOMOD_input_estimate!AK20</f>
        <v>43</v>
      </c>
      <c r="AL20" s="389">
        <f>ECOMOD_input_estimate!AL20</f>
        <v>67</v>
      </c>
      <c r="AM20" s="389">
        <f>ECOMOD_input_estimate!AM20</f>
        <v>58</v>
      </c>
      <c r="AN20" s="389">
        <f>ECOMOD_input_estimate!AN20</f>
        <v>49</v>
      </c>
      <c r="AO20" s="389">
        <f>ECOMOD_input_estimate!AO20</f>
        <v>67</v>
      </c>
      <c r="AP20" s="389">
        <f>ECOMOD_input_estimate!AP20</f>
        <v>48</v>
      </c>
      <c r="AQ20" s="389">
        <f>ECOMOD_input_estimate!AQ20</f>
        <v>47</v>
      </c>
      <c r="AR20" s="389">
        <f>ECOMOD_input_estimate!AR20</f>
        <v>48</v>
      </c>
      <c r="AS20" s="389">
        <f>ECOMOD_input_estimate!AS20</f>
        <v>41</v>
      </c>
      <c r="AT20" s="389">
        <f>ECOMOD_input_estimate!AT20</f>
        <v>39</v>
      </c>
      <c r="AU20" s="389">
        <f>ECOMOD_input_estimate!AU20</f>
        <v>48</v>
      </c>
      <c r="AV20" s="234">
        <f t="shared" ref="AV20:AV55" si="43">IF(AND(ISNUMBER(SEARCH("H-Dsty.",$B20))=TRUE,ISNUMBER(SEARCH("H-Res",$B20))=TRUE,ISNUMBER(SEARCH("E.",$B20))=TRUE),INDEX(BGherb_HDHR_E,MATCH($F20,BGherb_CROPS,0)),
IF(AND(ISNUMBER(SEARCH("H-Dsty.",$B20))=TRUE,ISNUMBER(SEARCH("H-Res",$B20))=TRUE,ISNUMBER(SEARCH("N.",$B20))=TRUE),INDEX(BGherb_HDHR_N,MATCH($F20,BGherb_CROPS,0)),
IF(AND(ISNUMBER(SEARCH("H-Dsty.",$B20))=TRUE,ISNUMBER(SEARCH("H-Res",$B20))=TRUE,ISNUMBER(SEARCH("C.",$B20))=TRUE),INDEX(BGherb_HDHR_C,MATCH($F20,BGherb_CROPS,0)),
IF(AND(ISNUMBER(SEARCH("L-Dsty.",$B20))=TRUE,ISNUMBER(SEARCH("H-Res",$B20))=TRUE,ISNUMBER(SEARCH("E.",$B20))=TRUE),INDEX(BGherb_LDHR_E,MATCH($F20,BGherb_CROPS,0)),
IF(AND(ISNUMBER(SEARCH("L-Dsty.",$B20))=TRUE,ISNUMBER(SEARCH("H-Res",$B20))=TRUE,ISNUMBER(SEARCH("N.",$B20))=TRUE),INDEX(BGherb_LDHR_N,MATCH($F20,BGherb_CROPS,0)),
IF(AND(ISNUMBER(SEARCH("L-Dsty.",$B20))=TRUE,ISNUMBER(SEARCH("H-Res",$B20))=TRUE,ISNUMBER(SEARCH("C.",$B20))=TRUE),INDEX(BGherb_LDHR_C,MATCH($F20,BGherb_CROPS,0)),
IF(AND(ISNUMBER(SEARCH("L-Dsty.",$B20))=TRUE,ISNUMBER(SEARCH("L-Res",$B20))=TRUE,ISNUMBER(SEARCH("E.",$B20))=TRUE),INDEX(BGherb_LDLR_E,MATCH($F20,BGherb_CROPS,0)),
IF(AND(ISNUMBER(SEARCH("L-Dsty.",$B20))=TRUE,ISNUMBER(SEARCH("L-Res",$B20))=TRUE,ISNUMBER(SEARCH("N.",$B20))=TRUE),INDEX(BGherb_LDLR_N,MATCH($F20,BGherb_CROPS,0)),
IF(AND(ISNUMBER(SEARCH("L-Dsty.",$B20))=TRUE,ISNUMBER(SEARCH("L-Res",$B20))=TRUE,ISNUMBER(SEARCH("C.",$B20))=TRUE),INDEX(BGherb_LDLR_C,MATCH($F20,BGherb_CROPS,0))
)))))))))</f>
        <v>5.6</v>
      </c>
      <c r="AW20" s="234">
        <f t="shared" si="0"/>
        <v>5.5</v>
      </c>
      <c r="AX20" s="234">
        <f t="shared" si="1"/>
        <v>5.6</v>
      </c>
      <c r="AY20" s="234">
        <f t="shared" ref="AY20:AY43" si="44">IF(AND(ISNUMBER(SEARCH("H-Dsty.",$B20))=TRUE,ISNUMBER(SEARCH("H-Res",$B20))=TRUE,ISNUMBER(SEARCH("E.",$B20))=TRUE),INDEX(BGherb_HDHR_E,MATCH($I20,BGherb_CROPS,0)),
IF(AND(ISNUMBER(SEARCH("H-Dsty.",$B20))=TRUE,ISNUMBER(SEARCH("H-Res",$B20))=TRUE,ISNUMBER(SEARCH("N.",$B20))=TRUE),INDEX(BGherb_HDHR_N,MATCH($I20,BGherb_CROPS,0)),
IF(AND(ISNUMBER(SEARCH("H-Dsty.",$B20))=TRUE,ISNUMBER(SEARCH("H-Res",$B20))=TRUE,ISNUMBER(SEARCH("C.",$B20))=TRUE),INDEX(BGherb_HDHR_C,MATCH($I20,BGherb_CROPS,0)),
IF(AND(ISNUMBER(SEARCH("L-Dsty.",$B20))=TRUE,ISNUMBER(SEARCH("H-Res",$B20))=TRUE,ISNUMBER(SEARCH("E.",$B20))=TRUE),INDEX(BGherb_LDHR_E,MATCH($I20,BGherb_CROPS,0)),
IF(AND(ISNUMBER(SEARCH("L-Dsty.",$B20))=TRUE,ISNUMBER(SEARCH("H-Res",$B20))=TRUE,ISNUMBER(SEARCH("N.",$B20))=TRUE),INDEX(BGherb_LDHR_N,MATCH($I20,BGherb_CROPS,0)),
IF(AND(ISNUMBER(SEARCH("L-Dsty.",$B20))=TRUE,ISNUMBER(SEARCH("H-Res",$B20))=TRUE,ISNUMBER(SEARCH("C.",$B20))=TRUE),INDEX(BGherb_LDHR_C,MATCH($I20,BGherb_CROPS,0)),
IF(AND(ISNUMBER(SEARCH("L-Dsty.",$B20))=TRUE,ISNUMBER(SEARCH("L-Res",$B20))=TRUE,ISNUMBER(SEARCH("E.",$B20))=TRUE),INDEX(BGherb_LDLR_E,MATCH($I20,BGherb_CROPS,0)),
IF(AND(ISNUMBER(SEARCH("L-Dsty.",$B20))=TRUE,ISNUMBER(SEARCH("L-Res",$B20))=TRUE,ISNUMBER(SEARCH("N.",$B20))=TRUE),INDEX(BGherb_LDLR_N,MATCH($I20,BGherb_CROPS,0)),
IF(AND(ISNUMBER(SEARCH("L-Dsty.",$B20))=TRUE,ISNUMBER(SEARCH("L-Res",$B20))=TRUE,ISNUMBER(SEARCH("C.",$B20))=TRUE),INDEX(BGherb_LDLR_C,MATCH($I20,BGherb_CROPS,0))
)))))))))</f>
        <v>8.6</v>
      </c>
      <c r="AZ20" s="234">
        <f t="shared" si="3"/>
        <v>3.1</v>
      </c>
      <c r="BA20" s="234">
        <f t="shared" si="4"/>
        <v>5.6</v>
      </c>
      <c r="BB20" s="234">
        <f t="shared" si="5"/>
        <v>6.3</v>
      </c>
      <c r="BC20" s="234">
        <f t="shared" si="6"/>
        <v>9.3000000000000007</v>
      </c>
      <c r="BD20" s="234">
        <f t="shared" si="7"/>
        <v>6.3</v>
      </c>
      <c r="BE20" s="234">
        <f t="shared" ref="BE20:BE55" si="45">IF(AND(ISNUMBER(SEARCH("H-Dsty.",$B20))=TRUE,ISNUMBER(SEARCH("H-Res",$B20))=TRUE,ISNUMBER(SEARCH("E.",$B20))=TRUE),INDEX(glyph_HDHR_E,MATCH($I20,glyph_CROPS,0)),
IF(AND(ISNUMBER(SEARCH("H-Dsty.",$B20))=TRUE,ISNUMBER(SEARCH("H-Res",$B20))=TRUE,ISNUMBER(SEARCH("N.",$B20))=TRUE),INDEX(glyph_HDHR_N,MATCH($I20,glyph_CROPS,0)),
IF(AND(ISNUMBER(SEARCH("H-Dsty.",$B20))=TRUE,ISNUMBER(SEARCH("H-Res",$B20))=TRUE,ISNUMBER(SEARCH("C.",$B20))=TRUE),INDEX(glyph_HDHR_C,MATCH($I20,glyph_CROPS,0)),
IF(AND(ISNUMBER(SEARCH("L-Dsty.",$B20))=TRUE,ISNUMBER(SEARCH("H-Res",$B20))=TRUE,ISNUMBER(SEARCH("E.",$B20))=TRUE),INDEX(glyph_LDHR_E,MATCH($I20,glyph_CROPS,0)),
IF(AND(ISNUMBER(SEARCH("L-Dsty.",$B20))=TRUE,ISNUMBER(SEARCH("H-Res",$B20))=TRUE,ISNUMBER(SEARCH("N.",$B20))=TRUE),INDEX(glyph_LDHR_N,MATCH($I20,glyph_CROPS,0)),
IF(AND(ISNUMBER(SEARCH("L-Dsty.",$B20))=TRUE,ISNUMBER(SEARCH("H-Res",$B20))=TRUE,ISNUMBER(SEARCH("C.",$B20))=TRUE),INDEX(glyph_LDHR_C,MATCH($I20,glyph_CROPS,0)),
IF(AND(ISNUMBER(SEARCH("L-Dsty.",$B20))=TRUE,ISNUMBER(SEARCH("L-Res",$B20))=TRUE,ISNUMBER(SEARCH("E.",$B20))=TRUE),INDEX(glyph_LDLR_E,MATCH($I20,glyph_CROPS,0)),
IF(AND(ISNUMBER(SEARCH("L-Dsty.",$B20))=TRUE,ISNUMBER(SEARCH("L-Res",$B20))=TRUE,ISNUMBER(SEARCH("N.",$B20))=TRUE),INDEX(glyph_LDLR_N,MATCH($I20,glyph_CROPS,0)),
IF(AND(ISNUMBER(SEARCH("L-Dsty.",$B20))=TRUE,ISNUMBER(SEARCH("L-Res",$B20))=TRUE,ISNUMBER(SEARCH("C.",$B20))=TRUE),INDEX(glyph_LDLR_C,MATCH($I20,glyph_CROPS,0))
)))))))))</f>
        <v>6.3</v>
      </c>
      <c r="BF20" s="234">
        <f t="shared" si="9"/>
        <v>0</v>
      </c>
      <c r="BG20" s="234">
        <f t="shared" si="10"/>
        <v>6.3</v>
      </c>
      <c r="BH20" s="234">
        <f t="shared" si="11"/>
        <v>4</v>
      </c>
      <c r="BI20" s="234">
        <f t="shared" si="12"/>
        <v>6</v>
      </c>
      <c r="BJ20" s="234">
        <f t="shared" si="13"/>
        <v>4</v>
      </c>
      <c r="BK20" s="234">
        <f t="shared" ref="BK20:BK55" si="46">IF(AND(ISNUMBER(SEARCH("H-Dsty.",$B20))=TRUE,ISNUMBER(SEARCH("H-Res",$B20))=TRUE,ISNUMBER(SEARCH("E.",$B20))=TRUE),INDEX(nspray_HDHR_E,MATCH($I20,nspray_CROPS,0)),
IF(AND(ISNUMBER(SEARCH("H-Dsty.",$B20))=TRUE,ISNUMBER(SEARCH("H-Res",$B20))=TRUE,ISNUMBER(SEARCH("N.",$B20))=TRUE),INDEX(nspray_HDHR_N,MATCH($I20,nspray_CROPS,0)),
IF(AND(ISNUMBER(SEARCH("H-Dsty.",$B20))=TRUE,ISNUMBER(SEARCH("H-Res",$B20))=TRUE,ISNUMBER(SEARCH("C.",$B20))=TRUE),INDEX(nspray_HDHR_C,MATCH($I20,nspray_CROPS,0)),
IF(AND(ISNUMBER(SEARCH("L-Dsty.",$B20))=TRUE,ISNUMBER(SEARCH("H-Res",$B20))=TRUE,ISNUMBER(SEARCH("E.",$B20))=TRUE),INDEX(nspray_LDHR_E,MATCH($I20,nspray_CROPS,0)),
IF(AND(ISNUMBER(SEARCH("L-Dsty.",$B20))=TRUE,ISNUMBER(SEARCH("H-Res",$B20))=TRUE,ISNUMBER(SEARCH("N.",$B20))=TRUE),INDEX(nspray_LDHR_N,MATCH($I20,nspray_CROPS,0)),
IF(AND(ISNUMBER(SEARCH("L-Dsty.",$B20))=TRUE,ISNUMBER(SEARCH("H-Res",$B20))=TRUE,ISNUMBER(SEARCH("C.",$B20))=TRUE),INDEX(nspray_LDHR_C,MATCH($I20,nspray_CROPS,0)),
IF(AND(ISNUMBER(SEARCH("L-Dsty.",$B20))=TRUE,ISNUMBER(SEARCH("L-Res",$B20))=TRUE,ISNUMBER(SEARCH("E.",$B20))=TRUE),INDEX(nspray_LDLR_E,MATCH($I20,nspray_CROPS,0)),
IF(AND(ISNUMBER(SEARCH("L-Dsty.",$B20))=TRUE,ISNUMBER(SEARCH("L-Res",$B20))=TRUE,ISNUMBER(SEARCH("N.",$B20))=TRUE),INDEX(nspray_LDLR_N,MATCH($I20,nspray_CROPS,0)),
IF(AND(ISNUMBER(SEARCH("L-Dsty.",$B20))=TRUE,ISNUMBER(SEARCH("L-Res",$B20))=TRUE,ISNUMBER(SEARCH("C.",$B20))=TRUE),INDEX(nspray_LDLR_C,MATCH($I20,nspray_CROPS,0))
)))))))))</f>
        <v>5</v>
      </c>
      <c r="BL20" s="234">
        <f t="shared" si="15"/>
        <v>2</v>
      </c>
      <c r="BM20" s="234">
        <f t="shared" si="16"/>
        <v>4</v>
      </c>
      <c r="BN20" s="154" t="s">
        <v>483</v>
      </c>
      <c r="BO20" s="154" t="str">
        <f t="shared" si="17"/>
        <v>low</v>
      </c>
      <c r="BP20" s="154" t="str">
        <f t="shared" si="18"/>
        <v>low</v>
      </c>
      <c r="BQ20" s="154" t="str">
        <f t="shared" si="19"/>
        <v>low</v>
      </c>
      <c r="BR20" s="154" t="s">
        <v>18</v>
      </c>
      <c r="BS20" s="154" t="s">
        <v>18</v>
      </c>
      <c r="BT20" s="154" t="s">
        <v>18</v>
      </c>
      <c r="BU20" s="154">
        <f t="shared" si="20"/>
        <v>150</v>
      </c>
      <c r="BV20" s="154">
        <f t="shared" si="21"/>
        <v>185</v>
      </c>
      <c r="BW20" s="154">
        <f t="shared" si="22"/>
        <v>150</v>
      </c>
      <c r="BX20" s="154">
        <f t="shared" si="23"/>
        <v>138</v>
      </c>
      <c r="BY20" s="154">
        <f t="shared" si="24"/>
        <v>335</v>
      </c>
      <c r="BZ20" s="154">
        <f t="shared" si="25"/>
        <v>150</v>
      </c>
      <c r="CA20" s="356">
        <f t="array" ref="CA20">IF(yieldsetting2="estimate",0,INDEX(cropdata, MATCH(yieldsource,outputs,0), MATCH($F20,cropdatacrops,0)))</f>
        <v>8.6</v>
      </c>
      <c r="CB20" s="356">
        <f t="array" ref="CB20">IF(yieldsetting2="estimate",0,INDEX(cropdata, MATCH(yieldsource,outputs,0), MATCH($G20,cropdatacrops,0)))</f>
        <v>3.9</v>
      </c>
      <c r="CC20" s="356">
        <f t="array" ref="CC20">IF(yieldsetting2="estimate",0,INDEX(cropdata, MATCH(yieldsource,outputs,0), MATCH($H20,cropdatacrops,0)))</f>
        <v>8.6</v>
      </c>
      <c r="CD20" s="356">
        <f t="array" ref="CD20">IF(yieldsetting2="estimate",0,INDEX(cropdata, MATCH(yieldsource,outputs,0), MATCH($I20,cropdatacrops,0)))</f>
        <v>7.4</v>
      </c>
      <c r="CE20" s="356">
        <f t="array" ref="CE20">IF(yieldsetting2="estimate",0,INDEX(cropdata, MATCH(yieldsource,outputs,0), MATCH($J20,cropdatacrops,0)))</f>
        <v>3.5</v>
      </c>
      <c r="CF20" s="356">
        <f t="array" ref="CF20">IF(yieldsetting2="estimate",0,INDEX(cropdata, MATCH(yieldsource,outputs,0), MATCH($K20,cropdatacrops,0)))</f>
        <v>8.6</v>
      </c>
      <c r="CG20" s="154" t="str">
        <f t="shared" si="26"/>
        <v>actual</v>
      </c>
      <c r="CH20" s="235">
        <f t="shared" si="27"/>
        <v>0.8</v>
      </c>
      <c r="CI20" s="235">
        <f t="shared" si="28"/>
        <v>0.72</v>
      </c>
      <c r="CJ20" s="154">
        <f t="shared" si="29"/>
        <v>0.46</v>
      </c>
      <c r="CK20" s="154">
        <f t="shared" si="30"/>
        <v>0.36</v>
      </c>
      <c r="CL20" s="154">
        <f t="shared" si="31"/>
        <v>0.38</v>
      </c>
      <c r="CM20" s="154">
        <f t="shared" si="32"/>
        <v>0.36</v>
      </c>
      <c r="CN20" s="154">
        <f t="shared" si="33"/>
        <v>0.36</v>
      </c>
      <c r="CO20" s="154">
        <f t="shared" si="34"/>
        <v>7.34</v>
      </c>
      <c r="CP20" s="154">
        <f t="shared" si="35"/>
        <v>0.36</v>
      </c>
      <c r="CQ20" s="154">
        <f t="shared" si="41"/>
        <v>19.5</v>
      </c>
      <c r="CR20" s="154">
        <f t="shared" si="41"/>
        <v>19.5</v>
      </c>
      <c r="CS20" s="154">
        <f t="shared" si="41"/>
        <v>19.5</v>
      </c>
      <c r="CT20" s="154">
        <f t="shared" si="41"/>
        <v>19.5</v>
      </c>
      <c r="CU20" s="154">
        <f t="shared" si="41"/>
        <v>19.5</v>
      </c>
      <c r="CV20" s="154">
        <f t="shared" si="41"/>
        <v>19.5</v>
      </c>
      <c r="CW20" s="154">
        <f t="shared" si="42"/>
        <v>2.4300000000000002</v>
      </c>
      <c r="CX20" s="154">
        <f t="shared" si="42"/>
        <v>2.4300000000000002</v>
      </c>
      <c r="CY20" s="154">
        <f t="shared" si="42"/>
        <v>2.4300000000000002</v>
      </c>
      <c r="CZ20" s="154">
        <f t="shared" si="42"/>
        <v>2.4300000000000002</v>
      </c>
      <c r="DA20" s="154">
        <f t="shared" si="42"/>
        <v>2.4300000000000002</v>
      </c>
      <c r="DB20" s="154">
        <f t="shared" si="42"/>
        <v>2.4300000000000002</v>
      </c>
      <c r="DC20" s="154">
        <v>102</v>
      </c>
      <c r="DD20" s="154">
        <v>6</v>
      </c>
      <c r="DE20" s="154">
        <v>4</v>
      </c>
      <c r="DF20" s="154">
        <v>1400</v>
      </c>
      <c r="DG20" s="154">
        <v>125</v>
      </c>
      <c r="DH20" s="154">
        <f t="shared" si="38"/>
        <v>0.625</v>
      </c>
      <c r="DI20" s="154">
        <f t="shared" si="39"/>
        <v>10.08</v>
      </c>
    </row>
    <row r="21" spans="1:113" x14ac:dyDescent="0.2">
      <c r="A21" s="332" t="s">
        <v>1735</v>
      </c>
      <c r="B21" s="333" t="s">
        <v>503</v>
      </c>
      <c r="C21" s="333" t="s">
        <v>1615</v>
      </c>
      <c r="D21" s="233" t="str">
        <f>ECOMOD_input_estimate!$D21</f>
        <v>2.25</v>
      </c>
      <c r="E21" s="385">
        <f>ECOMOD_input_estimate!$E21</f>
        <v>6</v>
      </c>
      <c r="F21" s="386" t="str">
        <f>ECOMOD_input_estimate!$F21</f>
        <v>winterwheat</v>
      </c>
      <c r="G21" s="282" t="str">
        <f>ECOMOD_input_estimate!$G21</f>
        <v>springbeans</v>
      </c>
      <c r="H21" s="282" t="str">
        <f>ECOMOD_input_estimate!$H21</f>
        <v>winterwheat</v>
      </c>
      <c r="I21" s="282" t="str">
        <f>ECOMOD_input_estimate!I21</f>
        <v>winterbarley</v>
      </c>
      <c r="J21" s="282" t="str">
        <f>ECOMOD_input_estimate!$J21</f>
        <v>wosr</v>
      </c>
      <c r="K21" s="282" t="str">
        <f>ECOMOD_input_estimate!$K21</f>
        <v>winterwheat</v>
      </c>
      <c r="L21" s="282" t="str">
        <f>ECOMOD_input_estimate!L21</f>
        <v>lightcultivation</v>
      </c>
      <c r="M21" s="282" t="str">
        <f>ECOMOD_input_estimate!M21</f>
        <v>subsoiling</v>
      </c>
      <c r="N21" s="282" t="str">
        <f>ECOMOD_input_estimate!N21</f>
        <v>lightcultivation</v>
      </c>
      <c r="O21" s="282" t="str">
        <f>ECOMOD_input_estimate!O21</f>
        <v>lightcultivation</v>
      </c>
      <c r="P21" s="282" t="str">
        <f>ECOMOD_input_estimate!P21</f>
        <v>directdrilling</v>
      </c>
      <c r="Q21" s="387" t="str">
        <f>ECOMOD_input_estimate!Q21</f>
        <v>inversion</v>
      </c>
      <c r="R21" s="389">
        <f>ECOMOD_input_estimate!R21</f>
        <v>200</v>
      </c>
      <c r="S21" s="389">
        <f>ECOMOD_input_estimate!S21</f>
        <v>305</v>
      </c>
      <c r="T21" s="389">
        <f>ECOMOD_input_estimate!T21</f>
        <v>200</v>
      </c>
      <c r="U21" s="389">
        <f>ECOMOD_input_estimate!U21</f>
        <v>216</v>
      </c>
      <c r="V21" s="391">
        <f>ECOMOD_input_estimate!V21</f>
        <v>3.2</v>
      </c>
      <c r="W21" s="389">
        <f>ECOMOD_input_estimate!W21</f>
        <v>200</v>
      </c>
      <c r="X21" s="282" t="str">
        <f>ECOMOD_input_estimate!X21</f>
        <v>late</v>
      </c>
      <c r="Y21" s="282" t="str">
        <f>ECOMOD_input_estimate!Y21</f>
        <v>no</v>
      </c>
      <c r="Z21" s="282" t="str">
        <f>ECOMOD_input_estimate!Z21</f>
        <v>late</v>
      </c>
      <c r="AA21" s="282" t="str">
        <f>ECOMOD_input_estimate!AA21</f>
        <v>no</v>
      </c>
      <c r="AB21" s="282" t="str">
        <f>ECOMOD_input_estimate!AB21</f>
        <v>no</v>
      </c>
      <c r="AC21" s="282" t="str">
        <f>ECOMOD_input_estimate!AC21</f>
        <v>late</v>
      </c>
      <c r="AD21" s="389">
        <f>ECOMOD_input_estimate!AD21</f>
        <v>240</v>
      </c>
      <c r="AE21" s="389">
        <f>ECOMOD_input_estimate!AE21</f>
        <v>0</v>
      </c>
      <c r="AF21" s="389">
        <f>ECOMOD_input_estimate!AF21</f>
        <v>240</v>
      </c>
      <c r="AG21" s="389">
        <f>ECOMOD_input_estimate!AG21</f>
        <v>200</v>
      </c>
      <c r="AH21" s="389">
        <f>ECOMOD_input_estimate!AH21</f>
        <v>180</v>
      </c>
      <c r="AI21" s="389">
        <f>ECOMOD_input_estimate!AI21</f>
        <v>240</v>
      </c>
      <c r="AJ21" s="389">
        <f>ECOMOD_input_estimate!AJ21</f>
        <v>67</v>
      </c>
      <c r="AK21" s="389">
        <f>ECOMOD_input_estimate!AK21</f>
        <v>43</v>
      </c>
      <c r="AL21" s="389">
        <f>ECOMOD_input_estimate!AL21</f>
        <v>67</v>
      </c>
      <c r="AM21" s="389">
        <f>ECOMOD_input_estimate!AM21</f>
        <v>58</v>
      </c>
      <c r="AN21" s="389">
        <f>ECOMOD_input_estimate!AN21</f>
        <v>49</v>
      </c>
      <c r="AO21" s="389">
        <f>ECOMOD_input_estimate!AO21</f>
        <v>67</v>
      </c>
      <c r="AP21" s="389">
        <f>ECOMOD_input_estimate!AP21</f>
        <v>48</v>
      </c>
      <c r="AQ21" s="389">
        <f>ECOMOD_input_estimate!AQ21</f>
        <v>47</v>
      </c>
      <c r="AR21" s="389">
        <f>ECOMOD_input_estimate!AR21</f>
        <v>48</v>
      </c>
      <c r="AS21" s="389">
        <f>ECOMOD_input_estimate!AS21</f>
        <v>41</v>
      </c>
      <c r="AT21" s="389">
        <f>ECOMOD_input_estimate!AT21</f>
        <v>39</v>
      </c>
      <c r="AU21" s="389">
        <f>ECOMOD_input_estimate!AU21</f>
        <v>48</v>
      </c>
      <c r="AV21" s="234">
        <f t="shared" si="43"/>
        <v>5.6</v>
      </c>
      <c r="AW21" s="234">
        <f t="shared" si="0"/>
        <v>5.5</v>
      </c>
      <c r="AX21" s="234">
        <f t="shared" si="1"/>
        <v>5.6</v>
      </c>
      <c r="AY21" s="234">
        <f t="shared" si="44"/>
        <v>8.6</v>
      </c>
      <c r="AZ21" s="234">
        <f t="shared" si="3"/>
        <v>3.1</v>
      </c>
      <c r="BA21" s="234">
        <f t="shared" si="4"/>
        <v>5.6</v>
      </c>
      <c r="BB21" s="234">
        <f t="shared" si="5"/>
        <v>6.3</v>
      </c>
      <c r="BC21" s="234">
        <f t="shared" si="6"/>
        <v>9.3000000000000007</v>
      </c>
      <c r="BD21" s="234">
        <f t="shared" si="7"/>
        <v>6.3</v>
      </c>
      <c r="BE21" s="234">
        <f t="shared" si="45"/>
        <v>6.3</v>
      </c>
      <c r="BF21" s="234">
        <f t="shared" si="9"/>
        <v>0</v>
      </c>
      <c r="BG21" s="234">
        <f t="shared" si="10"/>
        <v>6.3</v>
      </c>
      <c r="BH21" s="234">
        <f t="shared" si="11"/>
        <v>4</v>
      </c>
      <c r="BI21" s="234">
        <f t="shared" si="12"/>
        <v>6</v>
      </c>
      <c r="BJ21" s="234">
        <f t="shared" si="13"/>
        <v>4</v>
      </c>
      <c r="BK21" s="234">
        <f t="shared" si="46"/>
        <v>5</v>
      </c>
      <c r="BL21" s="234">
        <f t="shared" si="15"/>
        <v>2</v>
      </c>
      <c r="BM21" s="234">
        <f t="shared" si="16"/>
        <v>4</v>
      </c>
      <c r="BN21" s="154" t="s">
        <v>483</v>
      </c>
      <c r="BO21" s="154" t="str">
        <f t="shared" si="17"/>
        <v>medium</v>
      </c>
      <c r="BP21" s="154" t="str">
        <f t="shared" si="18"/>
        <v>low</v>
      </c>
      <c r="BQ21" s="154" t="str">
        <f t="shared" si="19"/>
        <v>low</v>
      </c>
      <c r="BR21" s="154" t="s">
        <v>182</v>
      </c>
      <c r="BS21" s="154" t="s">
        <v>182</v>
      </c>
      <c r="BT21" s="154" t="s">
        <v>182</v>
      </c>
      <c r="BU21" s="154">
        <f t="shared" si="20"/>
        <v>150</v>
      </c>
      <c r="BV21" s="154">
        <f t="shared" si="21"/>
        <v>185</v>
      </c>
      <c r="BW21" s="154">
        <f t="shared" si="22"/>
        <v>150</v>
      </c>
      <c r="BX21" s="154">
        <f t="shared" si="23"/>
        <v>138</v>
      </c>
      <c r="BY21" s="154">
        <f t="shared" si="24"/>
        <v>335</v>
      </c>
      <c r="BZ21" s="154">
        <f t="shared" si="25"/>
        <v>150</v>
      </c>
      <c r="CA21" s="356">
        <f t="array" ref="CA21">IF(yieldsetting2="estimate",0,INDEX(cropdata, MATCH(yieldsource,outputs,0), MATCH($F21,cropdatacrops,0)))</f>
        <v>8.6</v>
      </c>
      <c r="CB21" s="356">
        <f t="array" ref="CB21">IF(yieldsetting2="estimate",0,INDEX(cropdata, MATCH(yieldsource,outputs,0), MATCH($G21,cropdatacrops,0)))</f>
        <v>3.9</v>
      </c>
      <c r="CC21" s="356">
        <f t="array" ref="CC21">IF(yieldsetting2="estimate",0,INDEX(cropdata, MATCH(yieldsource,outputs,0), MATCH($H21,cropdatacrops,0)))</f>
        <v>8.6</v>
      </c>
      <c r="CD21" s="356">
        <f t="array" ref="CD21">IF(yieldsetting2="estimate",0,INDEX(cropdata, MATCH(yieldsource,outputs,0), MATCH($I21,cropdatacrops,0)))</f>
        <v>7.4</v>
      </c>
      <c r="CE21" s="356">
        <f t="array" ref="CE21">IF(yieldsetting2="estimate",0,INDEX(cropdata, MATCH(yieldsource,outputs,0), MATCH($J21,cropdatacrops,0)))</f>
        <v>3.5</v>
      </c>
      <c r="CF21" s="356">
        <f t="array" ref="CF21">IF(yieldsetting2="estimate",0,INDEX(cropdata, MATCH(yieldsource,outputs,0), MATCH($K21,cropdatacrops,0)))</f>
        <v>8.6</v>
      </c>
      <c r="CG21" s="154" t="str">
        <f t="shared" si="26"/>
        <v>actual</v>
      </c>
      <c r="CH21" s="235">
        <f t="shared" si="27"/>
        <v>0.8</v>
      </c>
      <c r="CI21" s="235">
        <f t="shared" si="28"/>
        <v>0.72</v>
      </c>
      <c r="CJ21" s="154">
        <f t="shared" si="29"/>
        <v>0.46</v>
      </c>
      <c r="CK21" s="154">
        <f t="shared" si="30"/>
        <v>0.36</v>
      </c>
      <c r="CL21" s="154">
        <f t="shared" si="31"/>
        <v>0.38</v>
      </c>
      <c r="CM21" s="154">
        <f t="shared" si="32"/>
        <v>0.36</v>
      </c>
      <c r="CN21" s="154">
        <f t="shared" si="33"/>
        <v>0.36</v>
      </c>
      <c r="CO21" s="154">
        <f t="shared" si="34"/>
        <v>7.34</v>
      </c>
      <c r="CP21" s="154">
        <f t="shared" si="35"/>
        <v>0.36</v>
      </c>
      <c r="CQ21" s="154">
        <f t="shared" si="41"/>
        <v>19.5</v>
      </c>
      <c r="CR21" s="154">
        <f t="shared" si="41"/>
        <v>19.5</v>
      </c>
      <c r="CS21" s="154">
        <f t="shared" si="41"/>
        <v>19.5</v>
      </c>
      <c r="CT21" s="154">
        <f t="shared" si="41"/>
        <v>19.5</v>
      </c>
      <c r="CU21" s="154">
        <f t="shared" si="41"/>
        <v>19.5</v>
      </c>
      <c r="CV21" s="154">
        <f t="shared" si="41"/>
        <v>19.5</v>
      </c>
      <c r="CW21" s="154">
        <f t="shared" si="42"/>
        <v>2.4300000000000002</v>
      </c>
      <c r="CX21" s="154">
        <f t="shared" si="42"/>
        <v>2.4300000000000002</v>
      </c>
      <c r="CY21" s="154">
        <f t="shared" si="42"/>
        <v>2.4300000000000002</v>
      </c>
      <c r="CZ21" s="154">
        <f t="shared" si="42"/>
        <v>2.4300000000000002</v>
      </c>
      <c r="DA21" s="154">
        <f t="shared" si="42"/>
        <v>2.4300000000000002</v>
      </c>
      <c r="DB21" s="154">
        <f t="shared" si="42"/>
        <v>2.4300000000000002</v>
      </c>
      <c r="DC21" s="154">
        <v>102</v>
      </c>
      <c r="DD21" s="154">
        <v>6</v>
      </c>
      <c r="DE21" s="154">
        <v>4</v>
      </c>
      <c r="DF21" s="154">
        <v>1400</v>
      </c>
      <c r="DG21" s="154">
        <v>125</v>
      </c>
      <c r="DH21" s="154">
        <f t="shared" si="38"/>
        <v>0.625</v>
      </c>
      <c r="DI21" s="154">
        <f t="shared" si="39"/>
        <v>10.08</v>
      </c>
    </row>
    <row r="22" spans="1:113" x14ac:dyDescent="0.2">
      <c r="A22" s="332" t="s">
        <v>1736</v>
      </c>
      <c r="B22" s="333" t="s">
        <v>506</v>
      </c>
      <c r="C22" s="333" t="s">
        <v>1616</v>
      </c>
      <c r="D22" s="233" t="str">
        <f>ECOMOD_input_estimate!$D22</f>
        <v>1.50</v>
      </c>
      <c r="E22" s="385">
        <f>ECOMOD_input_estimate!$E22</f>
        <v>6</v>
      </c>
      <c r="F22" s="386" t="str">
        <f>ECOMOD_input_estimate!$F22</f>
        <v>winterwheat</v>
      </c>
      <c r="G22" s="282" t="str">
        <f>ECOMOD_input_estimate!$G22</f>
        <v>springbeans</v>
      </c>
      <c r="H22" s="282" t="str">
        <f>ECOMOD_input_estimate!$H22</f>
        <v>winterwheat</v>
      </c>
      <c r="I22" s="282" t="str">
        <f>ECOMOD_input_estimate!I22</f>
        <v>winterbarley</v>
      </c>
      <c r="J22" s="282" t="str">
        <f>ECOMOD_input_estimate!$J22</f>
        <v>wosr</v>
      </c>
      <c r="K22" s="282" t="str">
        <f>ECOMOD_input_estimate!$K22</f>
        <v>winterwheat</v>
      </c>
      <c r="L22" s="282" t="str">
        <f>ECOMOD_input_estimate!L22</f>
        <v>lightcultivation</v>
      </c>
      <c r="M22" s="282" t="str">
        <f>ECOMOD_input_estimate!M22</f>
        <v>subsoiling</v>
      </c>
      <c r="N22" s="282" t="str">
        <f>ECOMOD_input_estimate!N22</f>
        <v>lightcultivation</v>
      </c>
      <c r="O22" s="282" t="str">
        <f>ECOMOD_input_estimate!O22</f>
        <v>lightcultivation</v>
      </c>
      <c r="P22" s="282" t="str">
        <f>ECOMOD_input_estimate!P22</f>
        <v>directdrilling</v>
      </c>
      <c r="Q22" s="387" t="str">
        <f>ECOMOD_input_estimate!Q22</f>
        <v>inversion</v>
      </c>
      <c r="R22" s="389">
        <f>ECOMOD_input_estimate!R22</f>
        <v>200</v>
      </c>
      <c r="S22" s="389">
        <f>ECOMOD_input_estimate!S22</f>
        <v>305</v>
      </c>
      <c r="T22" s="389">
        <f>ECOMOD_input_estimate!T22</f>
        <v>200</v>
      </c>
      <c r="U22" s="389">
        <f>ECOMOD_input_estimate!U22</f>
        <v>216</v>
      </c>
      <c r="V22" s="391">
        <f>ECOMOD_input_estimate!V22</f>
        <v>3.2</v>
      </c>
      <c r="W22" s="389">
        <f>ECOMOD_input_estimate!W22</f>
        <v>200</v>
      </c>
      <c r="X22" s="282" t="str">
        <f>ECOMOD_input_estimate!X22</f>
        <v>late</v>
      </c>
      <c r="Y22" s="282" t="str">
        <f>ECOMOD_input_estimate!Y22</f>
        <v>no</v>
      </c>
      <c r="Z22" s="282" t="str">
        <f>ECOMOD_input_estimate!Z22</f>
        <v>late</v>
      </c>
      <c r="AA22" s="282" t="str">
        <f>ECOMOD_input_estimate!AA22</f>
        <v>no</v>
      </c>
      <c r="AB22" s="282" t="str">
        <f>ECOMOD_input_estimate!AB22</f>
        <v>no</v>
      </c>
      <c r="AC22" s="282" t="str">
        <f>ECOMOD_input_estimate!AC22</f>
        <v>late</v>
      </c>
      <c r="AD22" s="389">
        <f>ECOMOD_input_estimate!AD22</f>
        <v>240</v>
      </c>
      <c r="AE22" s="389">
        <f>ECOMOD_input_estimate!AE22</f>
        <v>0</v>
      </c>
      <c r="AF22" s="389">
        <f>ECOMOD_input_estimate!AF22</f>
        <v>240</v>
      </c>
      <c r="AG22" s="389">
        <f>ECOMOD_input_estimate!AG22</f>
        <v>200</v>
      </c>
      <c r="AH22" s="389">
        <f>ECOMOD_input_estimate!AH22</f>
        <v>180</v>
      </c>
      <c r="AI22" s="389">
        <f>ECOMOD_input_estimate!AI22</f>
        <v>240</v>
      </c>
      <c r="AJ22" s="389">
        <f>ECOMOD_input_estimate!AJ22</f>
        <v>67</v>
      </c>
      <c r="AK22" s="389">
        <f>ECOMOD_input_estimate!AK22</f>
        <v>43</v>
      </c>
      <c r="AL22" s="389">
        <f>ECOMOD_input_estimate!AL22</f>
        <v>67</v>
      </c>
      <c r="AM22" s="389">
        <f>ECOMOD_input_estimate!AM22</f>
        <v>58</v>
      </c>
      <c r="AN22" s="389">
        <f>ECOMOD_input_estimate!AN22</f>
        <v>49</v>
      </c>
      <c r="AO22" s="389">
        <f>ECOMOD_input_estimate!AO22</f>
        <v>67</v>
      </c>
      <c r="AP22" s="389">
        <f>ECOMOD_input_estimate!AP22</f>
        <v>48</v>
      </c>
      <c r="AQ22" s="389">
        <f>ECOMOD_input_estimate!AQ22</f>
        <v>47</v>
      </c>
      <c r="AR22" s="389">
        <f>ECOMOD_input_estimate!AR22</f>
        <v>48</v>
      </c>
      <c r="AS22" s="389">
        <f>ECOMOD_input_estimate!AS22</f>
        <v>41</v>
      </c>
      <c r="AT22" s="389">
        <f>ECOMOD_input_estimate!AT22</f>
        <v>39</v>
      </c>
      <c r="AU22" s="389">
        <f>ECOMOD_input_estimate!AU22</f>
        <v>48</v>
      </c>
      <c r="AV22" s="234">
        <f t="shared" si="43"/>
        <v>5.6</v>
      </c>
      <c r="AW22" s="234">
        <f t="shared" si="0"/>
        <v>5.5</v>
      </c>
      <c r="AX22" s="234">
        <f t="shared" si="1"/>
        <v>5.6</v>
      </c>
      <c r="AY22" s="234">
        <f t="shared" si="44"/>
        <v>8.6</v>
      </c>
      <c r="AZ22" s="234">
        <f t="shared" si="3"/>
        <v>3.1</v>
      </c>
      <c r="BA22" s="234">
        <f t="shared" si="4"/>
        <v>5.6</v>
      </c>
      <c r="BB22" s="234">
        <f t="shared" si="5"/>
        <v>6.3</v>
      </c>
      <c r="BC22" s="234">
        <f t="shared" si="6"/>
        <v>9.3000000000000007</v>
      </c>
      <c r="BD22" s="234">
        <f t="shared" si="7"/>
        <v>6.3</v>
      </c>
      <c r="BE22" s="234">
        <f t="shared" si="45"/>
        <v>6.3</v>
      </c>
      <c r="BF22" s="234">
        <f t="shared" si="9"/>
        <v>0</v>
      </c>
      <c r="BG22" s="234">
        <f t="shared" si="10"/>
        <v>6.3</v>
      </c>
      <c r="BH22" s="234">
        <f t="shared" si="11"/>
        <v>4</v>
      </c>
      <c r="BI22" s="234">
        <f t="shared" si="12"/>
        <v>6</v>
      </c>
      <c r="BJ22" s="234">
        <f t="shared" si="13"/>
        <v>4</v>
      </c>
      <c r="BK22" s="234">
        <f t="shared" si="46"/>
        <v>5</v>
      </c>
      <c r="BL22" s="234">
        <f t="shared" si="15"/>
        <v>2</v>
      </c>
      <c r="BM22" s="234">
        <f t="shared" si="16"/>
        <v>4</v>
      </c>
      <c r="BN22" s="154" t="s">
        <v>483</v>
      </c>
      <c r="BO22" s="154" t="str">
        <f t="shared" si="17"/>
        <v>low</v>
      </c>
      <c r="BP22" s="154" t="str">
        <f t="shared" si="18"/>
        <v>low</v>
      </c>
      <c r="BQ22" s="154" t="str">
        <f t="shared" si="19"/>
        <v>low</v>
      </c>
      <c r="BR22" s="154" t="s">
        <v>183</v>
      </c>
      <c r="BS22" s="154" t="s">
        <v>183</v>
      </c>
      <c r="BT22" s="154" t="s">
        <v>183</v>
      </c>
      <c r="BU22" s="154">
        <f t="shared" si="20"/>
        <v>150</v>
      </c>
      <c r="BV22" s="154">
        <f t="shared" si="21"/>
        <v>185</v>
      </c>
      <c r="BW22" s="154">
        <f t="shared" si="22"/>
        <v>150</v>
      </c>
      <c r="BX22" s="154">
        <f t="shared" si="23"/>
        <v>138</v>
      </c>
      <c r="BY22" s="154">
        <f t="shared" si="24"/>
        <v>335</v>
      </c>
      <c r="BZ22" s="154">
        <f t="shared" si="25"/>
        <v>150</v>
      </c>
      <c r="CA22" s="356">
        <f t="array" ref="CA22">IF(yieldsetting2="estimate",0,INDEX(cropdata, MATCH(yieldsource,outputs,0), MATCH($F22,cropdatacrops,0)))</f>
        <v>8.6</v>
      </c>
      <c r="CB22" s="356">
        <f t="array" ref="CB22">IF(yieldsetting2="estimate",0,INDEX(cropdata, MATCH(yieldsource,outputs,0), MATCH($G22,cropdatacrops,0)))</f>
        <v>3.9</v>
      </c>
      <c r="CC22" s="356">
        <f t="array" ref="CC22">IF(yieldsetting2="estimate",0,INDEX(cropdata, MATCH(yieldsource,outputs,0), MATCH($H22,cropdatacrops,0)))</f>
        <v>8.6</v>
      </c>
      <c r="CD22" s="356">
        <f t="array" ref="CD22">IF(yieldsetting2="estimate",0,INDEX(cropdata, MATCH(yieldsource,outputs,0), MATCH($I22,cropdatacrops,0)))</f>
        <v>7.4</v>
      </c>
      <c r="CE22" s="356">
        <f t="array" ref="CE22">IF(yieldsetting2="estimate",0,INDEX(cropdata, MATCH(yieldsource,outputs,0), MATCH($J22,cropdatacrops,0)))</f>
        <v>3.5</v>
      </c>
      <c r="CF22" s="356">
        <f t="array" ref="CF22">IF(yieldsetting2="estimate",0,INDEX(cropdata, MATCH(yieldsource,outputs,0), MATCH($K22,cropdatacrops,0)))</f>
        <v>8.6</v>
      </c>
      <c r="CG22" s="154" t="str">
        <f t="shared" si="26"/>
        <v>actual</v>
      </c>
      <c r="CH22" s="235">
        <f t="shared" si="27"/>
        <v>0.8</v>
      </c>
      <c r="CI22" s="235">
        <f t="shared" si="28"/>
        <v>0.72</v>
      </c>
      <c r="CJ22" s="154">
        <f t="shared" si="29"/>
        <v>0.46</v>
      </c>
      <c r="CK22" s="154">
        <f t="shared" si="30"/>
        <v>0.36</v>
      </c>
      <c r="CL22" s="154">
        <f t="shared" si="31"/>
        <v>0.38</v>
      </c>
      <c r="CM22" s="154">
        <f t="shared" si="32"/>
        <v>0.36</v>
      </c>
      <c r="CN22" s="154">
        <f t="shared" si="33"/>
        <v>0.36</v>
      </c>
      <c r="CO22" s="154">
        <f t="shared" si="34"/>
        <v>7.34</v>
      </c>
      <c r="CP22" s="154">
        <f t="shared" si="35"/>
        <v>0.36</v>
      </c>
      <c r="CQ22" s="154">
        <f t="shared" si="41"/>
        <v>19.5</v>
      </c>
      <c r="CR22" s="154">
        <f t="shared" si="41"/>
        <v>19.5</v>
      </c>
      <c r="CS22" s="154">
        <f t="shared" si="41"/>
        <v>19.5</v>
      </c>
      <c r="CT22" s="154">
        <f t="shared" si="41"/>
        <v>19.5</v>
      </c>
      <c r="CU22" s="154">
        <f t="shared" si="41"/>
        <v>19.5</v>
      </c>
      <c r="CV22" s="154">
        <f t="shared" si="41"/>
        <v>19.5</v>
      </c>
      <c r="CW22" s="154">
        <f t="shared" si="42"/>
        <v>2.4300000000000002</v>
      </c>
      <c r="CX22" s="154">
        <f t="shared" si="42"/>
        <v>2.4300000000000002</v>
      </c>
      <c r="CY22" s="154">
        <f t="shared" si="42"/>
        <v>2.4300000000000002</v>
      </c>
      <c r="CZ22" s="154">
        <f t="shared" si="42"/>
        <v>2.4300000000000002</v>
      </c>
      <c r="DA22" s="154">
        <f t="shared" si="42"/>
        <v>2.4300000000000002</v>
      </c>
      <c r="DB22" s="154">
        <f t="shared" si="42"/>
        <v>2.4300000000000002</v>
      </c>
      <c r="DC22" s="154">
        <v>102</v>
      </c>
      <c r="DD22" s="154">
        <v>6</v>
      </c>
      <c r="DE22" s="154">
        <v>4</v>
      </c>
      <c r="DF22" s="154">
        <v>1400</v>
      </c>
      <c r="DG22" s="154">
        <v>125</v>
      </c>
      <c r="DH22" s="154">
        <f t="shared" si="38"/>
        <v>0.625</v>
      </c>
      <c r="DI22" s="154">
        <f t="shared" si="39"/>
        <v>10.08</v>
      </c>
    </row>
    <row r="23" spans="1:113" x14ac:dyDescent="0.2">
      <c r="A23" s="332" t="s">
        <v>1737</v>
      </c>
      <c r="B23" s="333" t="s">
        <v>506</v>
      </c>
      <c r="C23" s="333" t="s">
        <v>1617</v>
      </c>
      <c r="D23" s="233" t="str">
        <f>ECOMOD_input_estimate!$D23</f>
        <v>1.50</v>
      </c>
      <c r="E23" s="385">
        <f>ECOMOD_input_estimate!$E23</f>
        <v>6</v>
      </c>
      <c r="F23" s="386" t="str">
        <f>ECOMOD_input_estimate!$F23</f>
        <v>winterwheat</v>
      </c>
      <c r="G23" s="282" t="str">
        <f>ECOMOD_input_estimate!$G23</f>
        <v>springbeans</v>
      </c>
      <c r="H23" s="282" t="str">
        <f>ECOMOD_input_estimate!$H23</f>
        <v>winterwheat</v>
      </c>
      <c r="I23" s="282" t="str">
        <f>ECOMOD_input_estimate!I23</f>
        <v>winterbarley</v>
      </c>
      <c r="J23" s="282" t="str">
        <f>ECOMOD_input_estimate!$J23</f>
        <v>wosr</v>
      </c>
      <c r="K23" s="282" t="str">
        <f>ECOMOD_input_estimate!$K23</f>
        <v>winterwheat</v>
      </c>
      <c r="L23" s="282" t="str">
        <f>ECOMOD_input_estimate!L23</f>
        <v>lightcultivation</v>
      </c>
      <c r="M23" s="282" t="str">
        <f>ECOMOD_input_estimate!M23</f>
        <v>subsoiling</v>
      </c>
      <c r="N23" s="282" t="str">
        <f>ECOMOD_input_estimate!N23</f>
        <v>lightcultivation</v>
      </c>
      <c r="O23" s="282" t="str">
        <f>ECOMOD_input_estimate!O23</f>
        <v>lightcultivation</v>
      </c>
      <c r="P23" s="282" t="str">
        <f>ECOMOD_input_estimate!P23</f>
        <v>directdrilling</v>
      </c>
      <c r="Q23" s="387" t="str">
        <f>ECOMOD_input_estimate!Q23</f>
        <v>inversion</v>
      </c>
      <c r="R23" s="389">
        <f>ECOMOD_input_estimate!R23</f>
        <v>200</v>
      </c>
      <c r="S23" s="389">
        <f>ECOMOD_input_estimate!S23</f>
        <v>305</v>
      </c>
      <c r="T23" s="389">
        <f>ECOMOD_input_estimate!T23</f>
        <v>200</v>
      </c>
      <c r="U23" s="389">
        <f>ECOMOD_input_estimate!U23</f>
        <v>216</v>
      </c>
      <c r="V23" s="391">
        <f>ECOMOD_input_estimate!V23</f>
        <v>3.2</v>
      </c>
      <c r="W23" s="389">
        <f>ECOMOD_input_estimate!W23</f>
        <v>200</v>
      </c>
      <c r="X23" s="282" t="str">
        <f>ECOMOD_input_estimate!X23</f>
        <v>late</v>
      </c>
      <c r="Y23" s="282" t="str">
        <f>ECOMOD_input_estimate!Y23</f>
        <v>no</v>
      </c>
      <c r="Z23" s="282" t="str">
        <f>ECOMOD_input_estimate!Z23</f>
        <v>late</v>
      </c>
      <c r="AA23" s="282" t="str">
        <f>ECOMOD_input_estimate!AA23</f>
        <v>no</v>
      </c>
      <c r="AB23" s="282" t="str">
        <f>ECOMOD_input_estimate!AB23</f>
        <v>no</v>
      </c>
      <c r="AC23" s="282" t="str">
        <f>ECOMOD_input_estimate!AC23</f>
        <v>late</v>
      </c>
      <c r="AD23" s="389">
        <f>ECOMOD_input_estimate!AD23</f>
        <v>240</v>
      </c>
      <c r="AE23" s="389">
        <f>ECOMOD_input_estimate!AE23</f>
        <v>0</v>
      </c>
      <c r="AF23" s="389">
        <f>ECOMOD_input_estimate!AF23</f>
        <v>240</v>
      </c>
      <c r="AG23" s="389">
        <f>ECOMOD_input_estimate!AG23</f>
        <v>200</v>
      </c>
      <c r="AH23" s="389">
        <f>ECOMOD_input_estimate!AH23</f>
        <v>180</v>
      </c>
      <c r="AI23" s="389">
        <f>ECOMOD_input_estimate!AI23</f>
        <v>240</v>
      </c>
      <c r="AJ23" s="389">
        <f>ECOMOD_input_estimate!AJ23</f>
        <v>67</v>
      </c>
      <c r="AK23" s="389">
        <f>ECOMOD_input_estimate!AK23</f>
        <v>43</v>
      </c>
      <c r="AL23" s="389">
        <f>ECOMOD_input_estimate!AL23</f>
        <v>67</v>
      </c>
      <c r="AM23" s="389">
        <f>ECOMOD_input_estimate!AM23</f>
        <v>58</v>
      </c>
      <c r="AN23" s="389">
        <f>ECOMOD_input_estimate!AN23</f>
        <v>49</v>
      </c>
      <c r="AO23" s="389">
        <f>ECOMOD_input_estimate!AO23</f>
        <v>67</v>
      </c>
      <c r="AP23" s="389">
        <f>ECOMOD_input_estimate!AP23</f>
        <v>48</v>
      </c>
      <c r="AQ23" s="389">
        <f>ECOMOD_input_estimate!AQ23</f>
        <v>47</v>
      </c>
      <c r="AR23" s="389">
        <f>ECOMOD_input_estimate!AR23</f>
        <v>48</v>
      </c>
      <c r="AS23" s="389">
        <f>ECOMOD_input_estimate!AS23</f>
        <v>41</v>
      </c>
      <c r="AT23" s="389">
        <f>ECOMOD_input_estimate!AT23</f>
        <v>39</v>
      </c>
      <c r="AU23" s="389">
        <f>ECOMOD_input_estimate!AU23</f>
        <v>48</v>
      </c>
      <c r="AV23" s="234">
        <f t="shared" si="43"/>
        <v>5.6</v>
      </c>
      <c r="AW23" s="234">
        <f t="shared" si="0"/>
        <v>5.5</v>
      </c>
      <c r="AX23" s="234">
        <f t="shared" si="1"/>
        <v>5.6</v>
      </c>
      <c r="AY23" s="234">
        <f t="shared" si="44"/>
        <v>8.6</v>
      </c>
      <c r="AZ23" s="234">
        <f t="shared" si="3"/>
        <v>3.1</v>
      </c>
      <c r="BA23" s="234">
        <f t="shared" si="4"/>
        <v>5.6</v>
      </c>
      <c r="BB23" s="234">
        <f t="shared" si="5"/>
        <v>6.3</v>
      </c>
      <c r="BC23" s="234">
        <f t="shared" si="6"/>
        <v>9.3000000000000007</v>
      </c>
      <c r="BD23" s="234">
        <f t="shared" si="7"/>
        <v>6.3</v>
      </c>
      <c r="BE23" s="234">
        <f t="shared" si="45"/>
        <v>6.3</v>
      </c>
      <c r="BF23" s="234">
        <f t="shared" si="9"/>
        <v>0</v>
      </c>
      <c r="BG23" s="234">
        <f t="shared" si="10"/>
        <v>6.3</v>
      </c>
      <c r="BH23" s="234">
        <f t="shared" si="11"/>
        <v>4</v>
      </c>
      <c r="BI23" s="234">
        <f t="shared" si="12"/>
        <v>6</v>
      </c>
      <c r="BJ23" s="234">
        <f t="shared" si="13"/>
        <v>4</v>
      </c>
      <c r="BK23" s="234">
        <f t="shared" si="46"/>
        <v>5</v>
      </c>
      <c r="BL23" s="234">
        <f t="shared" si="15"/>
        <v>2</v>
      </c>
      <c r="BM23" s="234">
        <f t="shared" si="16"/>
        <v>4</v>
      </c>
      <c r="BN23" s="154" t="s">
        <v>483</v>
      </c>
      <c r="BO23" s="154" t="str">
        <f t="shared" si="17"/>
        <v>medium</v>
      </c>
      <c r="BP23" s="154" t="str">
        <f t="shared" si="18"/>
        <v>low</v>
      </c>
      <c r="BQ23" s="154" t="str">
        <f t="shared" si="19"/>
        <v>low</v>
      </c>
      <c r="BR23" s="154" t="s">
        <v>18</v>
      </c>
      <c r="BS23" s="154" t="s">
        <v>18</v>
      </c>
      <c r="BT23" s="154" t="s">
        <v>18</v>
      </c>
      <c r="BU23" s="154">
        <f t="shared" si="20"/>
        <v>150</v>
      </c>
      <c r="BV23" s="154">
        <f t="shared" si="21"/>
        <v>185</v>
      </c>
      <c r="BW23" s="154">
        <f t="shared" si="22"/>
        <v>150</v>
      </c>
      <c r="BX23" s="154">
        <f t="shared" si="23"/>
        <v>138</v>
      </c>
      <c r="BY23" s="154">
        <f t="shared" si="24"/>
        <v>335</v>
      </c>
      <c r="BZ23" s="154">
        <f t="shared" si="25"/>
        <v>150</v>
      </c>
      <c r="CA23" s="356">
        <f t="array" ref="CA23">IF(yieldsetting2="estimate",0,INDEX(cropdata, MATCH(yieldsource,outputs,0), MATCH($F23,cropdatacrops,0)))</f>
        <v>8.6</v>
      </c>
      <c r="CB23" s="356">
        <f t="array" ref="CB23">IF(yieldsetting2="estimate",0,INDEX(cropdata, MATCH(yieldsource,outputs,0), MATCH($G23,cropdatacrops,0)))</f>
        <v>3.9</v>
      </c>
      <c r="CC23" s="356">
        <f t="array" ref="CC23">IF(yieldsetting2="estimate",0,INDEX(cropdata, MATCH(yieldsource,outputs,0), MATCH($H23,cropdatacrops,0)))</f>
        <v>8.6</v>
      </c>
      <c r="CD23" s="356">
        <f t="array" ref="CD23">IF(yieldsetting2="estimate",0,INDEX(cropdata, MATCH(yieldsource,outputs,0), MATCH($I23,cropdatacrops,0)))</f>
        <v>7.4</v>
      </c>
      <c r="CE23" s="356">
        <f t="array" ref="CE23">IF(yieldsetting2="estimate",0,INDEX(cropdata, MATCH(yieldsource,outputs,0), MATCH($J23,cropdatacrops,0)))</f>
        <v>3.5</v>
      </c>
      <c r="CF23" s="356">
        <f t="array" ref="CF23">IF(yieldsetting2="estimate",0,INDEX(cropdata, MATCH(yieldsource,outputs,0), MATCH($K23,cropdatacrops,0)))</f>
        <v>8.6</v>
      </c>
      <c r="CG23" s="154" t="str">
        <f t="shared" si="26"/>
        <v>actual</v>
      </c>
      <c r="CH23" s="235">
        <f t="shared" si="27"/>
        <v>0.8</v>
      </c>
      <c r="CI23" s="235">
        <f t="shared" si="28"/>
        <v>0.72</v>
      </c>
      <c r="CJ23" s="154">
        <f t="shared" si="29"/>
        <v>0.46</v>
      </c>
      <c r="CK23" s="154">
        <f t="shared" si="30"/>
        <v>0.36</v>
      </c>
      <c r="CL23" s="154">
        <f t="shared" si="31"/>
        <v>0.38</v>
      </c>
      <c r="CM23" s="154">
        <f t="shared" si="32"/>
        <v>0.36</v>
      </c>
      <c r="CN23" s="154">
        <f t="shared" si="33"/>
        <v>0.36</v>
      </c>
      <c r="CO23" s="154">
        <f t="shared" si="34"/>
        <v>7.34</v>
      </c>
      <c r="CP23" s="154">
        <f t="shared" si="35"/>
        <v>0.36</v>
      </c>
      <c r="CQ23" s="154">
        <f t="shared" si="41"/>
        <v>19.5</v>
      </c>
      <c r="CR23" s="154">
        <f t="shared" si="41"/>
        <v>19.5</v>
      </c>
      <c r="CS23" s="154">
        <f t="shared" si="41"/>
        <v>19.5</v>
      </c>
      <c r="CT23" s="154">
        <f t="shared" si="41"/>
        <v>19.5</v>
      </c>
      <c r="CU23" s="154">
        <f t="shared" si="41"/>
        <v>19.5</v>
      </c>
      <c r="CV23" s="154">
        <f t="shared" si="41"/>
        <v>19.5</v>
      </c>
      <c r="CW23" s="154">
        <f t="shared" si="42"/>
        <v>2.4300000000000002</v>
      </c>
      <c r="CX23" s="154">
        <f t="shared" si="42"/>
        <v>2.4300000000000002</v>
      </c>
      <c r="CY23" s="154">
        <f t="shared" si="42"/>
        <v>2.4300000000000002</v>
      </c>
      <c r="CZ23" s="154">
        <f t="shared" si="42"/>
        <v>2.4300000000000002</v>
      </c>
      <c r="DA23" s="154">
        <f t="shared" si="42"/>
        <v>2.4300000000000002</v>
      </c>
      <c r="DB23" s="154">
        <f t="shared" si="42"/>
        <v>2.4300000000000002</v>
      </c>
      <c r="DC23" s="154">
        <v>102</v>
      </c>
      <c r="DD23" s="154">
        <v>6</v>
      </c>
      <c r="DE23" s="154">
        <v>4</v>
      </c>
      <c r="DF23" s="154">
        <v>1400</v>
      </c>
      <c r="DG23" s="154">
        <v>125</v>
      </c>
      <c r="DH23" s="154">
        <f t="shared" si="38"/>
        <v>0.625</v>
      </c>
      <c r="DI23" s="154">
        <f t="shared" si="39"/>
        <v>10.08</v>
      </c>
    </row>
    <row r="24" spans="1:113" x14ac:dyDescent="0.2">
      <c r="A24" s="332" t="s">
        <v>1738</v>
      </c>
      <c r="B24" s="333" t="s">
        <v>509</v>
      </c>
      <c r="C24" s="333" t="s">
        <v>1628</v>
      </c>
      <c r="D24" s="233" t="str">
        <f>ECOMOD_input_estimate!$D24</f>
        <v>0.75</v>
      </c>
      <c r="E24" s="385">
        <f>ECOMOD_input_estimate!$E24</f>
        <v>6</v>
      </c>
      <c r="F24" s="386" t="str">
        <f>ECOMOD_input_estimate!$F24</f>
        <v>winterwheat</v>
      </c>
      <c r="G24" s="282" t="str">
        <f>ECOMOD_input_estimate!$G24</f>
        <v>driedpeas</v>
      </c>
      <c r="H24" s="282" t="str">
        <f>ECOMOD_input_estimate!$H24</f>
        <v>winterwheat</v>
      </c>
      <c r="I24" s="282" t="str">
        <f>ECOMOD_input_estimate!I24</f>
        <v>winterbarley</v>
      </c>
      <c r="J24" s="282" t="str">
        <f>ECOMOD_input_estimate!$J24</f>
        <v>wosr</v>
      </c>
      <c r="K24" s="282" t="str">
        <f>ECOMOD_input_estimate!$K24</f>
        <v>winterwheat</v>
      </c>
      <c r="L24" s="282" t="str">
        <f>ECOMOD_input_estimate!L24</f>
        <v>lightcultivation</v>
      </c>
      <c r="M24" s="282" t="str">
        <f>ECOMOD_input_estimate!M24</f>
        <v>subsoiling</v>
      </c>
      <c r="N24" s="282" t="str">
        <f>ECOMOD_input_estimate!N24</f>
        <v>lightcultivation</v>
      </c>
      <c r="O24" s="282" t="str">
        <f>ECOMOD_input_estimate!O24</f>
        <v>lightcultivation</v>
      </c>
      <c r="P24" s="282" t="str">
        <f>ECOMOD_input_estimate!P24</f>
        <v>directdrilling</v>
      </c>
      <c r="Q24" s="387" t="str">
        <f>ECOMOD_input_estimate!Q24</f>
        <v>inversion</v>
      </c>
      <c r="R24" s="389">
        <f>ECOMOD_input_estimate!R24</f>
        <v>200</v>
      </c>
      <c r="S24" s="389">
        <f>ECOMOD_input_estimate!S24</f>
        <v>300</v>
      </c>
      <c r="T24" s="389">
        <f>ECOMOD_input_estimate!T24</f>
        <v>200</v>
      </c>
      <c r="U24" s="389">
        <f>ECOMOD_input_estimate!U24</f>
        <v>216</v>
      </c>
      <c r="V24" s="391">
        <f>ECOMOD_input_estimate!V24</f>
        <v>3.2</v>
      </c>
      <c r="W24" s="389">
        <f>ECOMOD_input_estimate!W24</f>
        <v>200</v>
      </c>
      <c r="X24" s="282" t="str">
        <f>ECOMOD_input_estimate!X24</f>
        <v>late</v>
      </c>
      <c r="Y24" s="282" t="str">
        <f>ECOMOD_input_estimate!Y24</f>
        <v>no</v>
      </c>
      <c r="Z24" s="282" t="str">
        <f>ECOMOD_input_estimate!Z24</f>
        <v>late</v>
      </c>
      <c r="AA24" s="282" t="str">
        <f>ECOMOD_input_estimate!AA24</f>
        <v>no</v>
      </c>
      <c r="AB24" s="282" t="str">
        <f>ECOMOD_input_estimate!AB24</f>
        <v>no</v>
      </c>
      <c r="AC24" s="282" t="str">
        <f>ECOMOD_input_estimate!AC24</f>
        <v>late</v>
      </c>
      <c r="AD24" s="389">
        <f>ECOMOD_input_estimate!AD24</f>
        <v>170</v>
      </c>
      <c r="AE24" s="389">
        <f>ECOMOD_input_estimate!AE24</f>
        <v>0</v>
      </c>
      <c r="AF24" s="389">
        <f>ECOMOD_input_estimate!AF24</f>
        <v>170</v>
      </c>
      <c r="AG24" s="389">
        <f>ECOMOD_input_estimate!AG24</f>
        <v>200</v>
      </c>
      <c r="AH24" s="389">
        <f>ECOMOD_input_estimate!AH24</f>
        <v>180</v>
      </c>
      <c r="AI24" s="389">
        <f>ECOMOD_input_estimate!AI24</f>
        <v>170</v>
      </c>
      <c r="AJ24" s="389">
        <f>ECOMOD_input_estimate!AJ24</f>
        <v>67</v>
      </c>
      <c r="AK24" s="389">
        <f>ECOMOD_input_estimate!AK24</f>
        <v>35</v>
      </c>
      <c r="AL24" s="389">
        <f>ECOMOD_input_estimate!AL24</f>
        <v>67</v>
      </c>
      <c r="AM24" s="389">
        <f>ECOMOD_input_estimate!AM24</f>
        <v>58</v>
      </c>
      <c r="AN24" s="389">
        <f>ECOMOD_input_estimate!AN24</f>
        <v>49</v>
      </c>
      <c r="AO24" s="389">
        <f>ECOMOD_input_estimate!AO24</f>
        <v>67</v>
      </c>
      <c r="AP24" s="389">
        <f>ECOMOD_input_estimate!AP24</f>
        <v>48</v>
      </c>
      <c r="AQ24" s="389">
        <f>ECOMOD_input_estimate!AQ24</f>
        <v>40</v>
      </c>
      <c r="AR24" s="389">
        <f>ECOMOD_input_estimate!AR24</f>
        <v>48</v>
      </c>
      <c r="AS24" s="389">
        <f>ECOMOD_input_estimate!AS24</f>
        <v>41</v>
      </c>
      <c r="AT24" s="389">
        <f>ECOMOD_input_estimate!AT24</f>
        <v>39</v>
      </c>
      <c r="AU24" s="389">
        <f>ECOMOD_input_estimate!AU24</f>
        <v>48</v>
      </c>
      <c r="AV24" s="234">
        <f t="shared" si="43"/>
        <v>5.6</v>
      </c>
      <c r="AW24" s="234">
        <f t="shared" si="0"/>
        <v>6.5</v>
      </c>
      <c r="AX24" s="234">
        <f t="shared" si="1"/>
        <v>5.6</v>
      </c>
      <c r="AY24" s="234">
        <f t="shared" si="44"/>
        <v>8.6</v>
      </c>
      <c r="AZ24" s="234">
        <f t="shared" si="3"/>
        <v>3.1</v>
      </c>
      <c r="BA24" s="234">
        <f t="shared" si="4"/>
        <v>5.6</v>
      </c>
      <c r="BB24" s="234">
        <f t="shared" si="5"/>
        <v>6.3</v>
      </c>
      <c r="BC24" s="234">
        <f t="shared" si="6"/>
        <v>11.3</v>
      </c>
      <c r="BD24" s="234">
        <f t="shared" si="7"/>
        <v>6.3</v>
      </c>
      <c r="BE24" s="234">
        <f t="shared" si="45"/>
        <v>6.3</v>
      </c>
      <c r="BF24" s="234">
        <f t="shared" si="9"/>
        <v>0</v>
      </c>
      <c r="BG24" s="234">
        <f t="shared" si="10"/>
        <v>6.3</v>
      </c>
      <c r="BH24" s="234">
        <f t="shared" si="11"/>
        <v>4</v>
      </c>
      <c r="BI24" s="234">
        <f t="shared" si="12"/>
        <v>5</v>
      </c>
      <c r="BJ24" s="234">
        <f t="shared" si="13"/>
        <v>4</v>
      </c>
      <c r="BK24" s="234">
        <f t="shared" si="46"/>
        <v>5</v>
      </c>
      <c r="BL24" s="234">
        <f t="shared" si="15"/>
        <v>2</v>
      </c>
      <c r="BM24" s="234">
        <f t="shared" si="16"/>
        <v>4</v>
      </c>
      <c r="BN24" s="154" t="s">
        <v>483</v>
      </c>
      <c r="BO24" s="154" t="str">
        <f t="shared" si="17"/>
        <v>low</v>
      </c>
      <c r="BP24" s="154" t="str">
        <f t="shared" si="18"/>
        <v>low</v>
      </c>
      <c r="BQ24" s="154" t="str">
        <f t="shared" si="19"/>
        <v>low</v>
      </c>
      <c r="BR24" s="154" t="s">
        <v>182</v>
      </c>
      <c r="BS24" s="154" t="s">
        <v>182</v>
      </c>
      <c r="BT24" s="154" t="s">
        <v>182</v>
      </c>
      <c r="BU24" s="154">
        <f t="shared" si="20"/>
        <v>150</v>
      </c>
      <c r="BV24" s="154">
        <f t="shared" si="21"/>
        <v>225</v>
      </c>
      <c r="BW24" s="154">
        <f t="shared" si="22"/>
        <v>150</v>
      </c>
      <c r="BX24" s="154">
        <f t="shared" si="23"/>
        <v>138</v>
      </c>
      <c r="BY24" s="154">
        <f t="shared" si="24"/>
        <v>335</v>
      </c>
      <c r="BZ24" s="154">
        <f t="shared" si="25"/>
        <v>150</v>
      </c>
      <c r="CA24" s="356">
        <f t="array" ref="CA24">IF(yieldsetting2="estimate",0,INDEX(cropdata, MATCH(yieldsource,outputs,0), MATCH($F24,cropdatacrops,0)))</f>
        <v>8.6</v>
      </c>
      <c r="CB24" s="356">
        <f t="array" ref="CB24">IF(yieldsetting2="estimate",0,INDEX(cropdata, MATCH(yieldsource,outputs,0), MATCH($G24,cropdatacrops,0)))</f>
        <v>4</v>
      </c>
      <c r="CC24" s="356">
        <f t="array" ref="CC24">IF(yieldsetting2="estimate",0,INDEX(cropdata, MATCH(yieldsource,outputs,0), MATCH($H24,cropdatacrops,0)))</f>
        <v>8.6</v>
      </c>
      <c r="CD24" s="356">
        <f t="array" ref="CD24">IF(yieldsetting2="estimate",0,INDEX(cropdata, MATCH(yieldsource,outputs,0), MATCH($I24,cropdatacrops,0)))</f>
        <v>7.4</v>
      </c>
      <c r="CE24" s="356">
        <f t="array" ref="CE24">IF(yieldsetting2="estimate",0,INDEX(cropdata, MATCH(yieldsource,outputs,0), MATCH($J24,cropdatacrops,0)))</f>
        <v>3.5</v>
      </c>
      <c r="CF24" s="356">
        <f t="array" ref="CF24">IF(yieldsetting2="estimate",0,INDEX(cropdata, MATCH(yieldsource,outputs,0), MATCH($K24,cropdatacrops,0)))</f>
        <v>8.6</v>
      </c>
      <c r="CG24" s="154" t="str">
        <f t="shared" si="26"/>
        <v>actual</v>
      </c>
      <c r="CH24" s="235">
        <f t="shared" si="27"/>
        <v>0.8</v>
      </c>
      <c r="CI24" s="235">
        <f t="shared" si="28"/>
        <v>0.72</v>
      </c>
      <c r="CJ24" s="154">
        <f t="shared" si="29"/>
        <v>0.46</v>
      </c>
      <c r="CK24" s="154">
        <f t="shared" si="30"/>
        <v>0.36</v>
      </c>
      <c r="CL24" s="154">
        <f t="shared" si="31"/>
        <v>0.47</v>
      </c>
      <c r="CM24" s="154">
        <f t="shared" si="32"/>
        <v>0.36</v>
      </c>
      <c r="CN24" s="154">
        <f t="shared" si="33"/>
        <v>0.36</v>
      </c>
      <c r="CO24" s="154">
        <f t="shared" si="34"/>
        <v>7.34</v>
      </c>
      <c r="CP24" s="154">
        <f t="shared" si="35"/>
        <v>0.36</v>
      </c>
      <c r="CQ24" s="154">
        <f t="shared" si="41"/>
        <v>19.5</v>
      </c>
      <c r="CR24" s="154">
        <f t="shared" si="41"/>
        <v>19.5</v>
      </c>
      <c r="CS24" s="154">
        <f t="shared" si="41"/>
        <v>19.5</v>
      </c>
      <c r="CT24" s="154">
        <f t="shared" si="41"/>
        <v>19.5</v>
      </c>
      <c r="CU24" s="154">
        <f t="shared" si="41"/>
        <v>19.5</v>
      </c>
      <c r="CV24" s="154">
        <f t="shared" si="41"/>
        <v>19.5</v>
      </c>
      <c r="CW24" s="154">
        <f t="shared" si="42"/>
        <v>2.4300000000000002</v>
      </c>
      <c r="CX24" s="154">
        <f t="shared" si="42"/>
        <v>2.4300000000000002</v>
      </c>
      <c r="CY24" s="154">
        <f t="shared" si="42"/>
        <v>2.4300000000000002</v>
      </c>
      <c r="CZ24" s="154">
        <f t="shared" si="42"/>
        <v>2.4300000000000002</v>
      </c>
      <c r="DA24" s="154">
        <f t="shared" si="42"/>
        <v>2.4300000000000002</v>
      </c>
      <c r="DB24" s="154">
        <f t="shared" si="42"/>
        <v>2.4300000000000002</v>
      </c>
      <c r="DC24" s="154">
        <v>102</v>
      </c>
      <c r="DD24" s="154">
        <v>6</v>
      </c>
      <c r="DE24" s="154">
        <v>4</v>
      </c>
      <c r="DF24" s="154">
        <v>1400</v>
      </c>
      <c r="DG24" s="154">
        <v>125</v>
      </c>
      <c r="DH24" s="154">
        <f t="shared" si="38"/>
        <v>0.625</v>
      </c>
      <c r="DI24" s="154">
        <f t="shared" si="39"/>
        <v>10.08</v>
      </c>
    </row>
    <row r="25" spans="1:113" x14ac:dyDescent="0.2">
      <c r="A25" s="332" t="s">
        <v>1739</v>
      </c>
      <c r="B25" s="333" t="s">
        <v>509</v>
      </c>
      <c r="C25" s="333" t="s">
        <v>1629</v>
      </c>
      <c r="D25" s="233" t="str">
        <f>ECOMOD_input_estimate!$D25</f>
        <v>0.75</v>
      </c>
      <c r="E25" s="385">
        <f>ECOMOD_input_estimate!$E25</f>
        <v>6</v>
      </c>
      <c r="F25" s="386" t="str">
        <f>ECOMOD_input_estimate!$F25</f>
        <v>winterwheat</v>
      </c>
      <c r="G25" s="282" t="str">
        <f>ECOMOD_input_estimate!$G25</f>
        <v>driedpeas</v>
      </c>
      <c r="H25" s="282" t="str">
        <f>ECOMOD_input_estimate!$H25</f>
        <v>winterwheat</v>
      </c>
      <c r="I25" s="282" t="str">
        <f>ECOMOD_input_estimate!I25</f>
        <v>winterbarley</v>
      </c>
      <c r="J25" s="282" t="str">
        <f>ECOMOD_input_estimate!$J25</f>
        <v>wosr</v>
      </c>
      <c r="K25" s="282" t="str">
        <f>ECOMOD_input_estimate!$K25</f>
        <v>winterwheat</v>
      </c>
      <c r="L25" s="282" t="str">
        <f>ECOMOD_input_estimate!L25</f>
        <v>lightcultivation</v>
      </c>
      <c r="M25" s="282" t="str">
        <f>ECOMOD_input_estimate!M25</f>
        <v>subsoiling</v>
      </c>
      <c r="N25" s="282" t="str">
        <f>ECOMOD_input_estimate!N25</f>
        <v>lightcultivation</v>
      </c>
      <c r="O25" s="282" t="str">
        <f>ECOMOD_input_estimate!O25</f>
        <v>lightcultivation</v>
      </c>
      <c r="P25" s="282" t="str">
        <f>ECOMOD_input_estimate!P25</f>
        <v>directdrilling</v>
      </c>
      <c r="Q25" s="387" t="str">
        <f>ECOMOD_input_estimate!Q25</f>
        <v>inversion</v>
      </c>
      <c r="R25" s="389">
        <f>ECOMOD_input_estimate!R25</f>
        <v>200</v>
      </c>
      <c r="S25" s="389">
        <f>ECOMOD_input_estimate!S25</f>
        <v>300</v>
      </c>
      <c r="T25" s="389">
        <f>ECOMOD_input_estimate!T25</f>
        <v>200</v>
      </c>
      <c r="U25" s="389">
        <f>ECOMOD_input_estimate!U25</f>
        <v>216</v>
      </c>
      <c r="V25" s="391">
        <f>ECOMOD_input_estimate!V25</f>
        <v>3.2</v>
      </c>
      <c r="W25" s="389">
        <f>ECOMOD_input_estimate!W25</f>
        <v>200</v>
      </c>
      <c r="X25" s="282" t="str">
        <f>ECOMOD_input_estimate!X25</f>
        <v>late</v>
      </c>
      <c r="Y25" s="282" t="str">
        <f>ECOMOD_input_estimate!Y25</f>
        <v>no</v>
      </c>
      <c r="Z25" s="282" t="str">
        <f>ECOMOD_input_estimate!Z25</f>
        <v>late</v>
      </c>
      <c r="AA25" s="282" t="str">
        <f>ECOMOD_input_estimate!AA25</f>
        <v>no</v>
      </c>
      <c r="AB25" s="282" t="str">
        <f>ECOMOD_input_estimate!AB25</f>
        <v>no</v>
      </c>
      <c r="AC25" s="282" t="str">
        <f>ECOMOD_input_estimate!AC25</f>
        <v>late</v>
      </c>
      <c r="AD25" s="389">
        <f>ECOMOD_input_estimate!AD25</f>
        <v>170</v>
      </c>
      <c r="AE25" s="389">
        <f>ECOMOD_input_estimate!AE25</f>
        <v>0</v>
      </c>
      <c r="AF25" s="389">
        <f>ECOMOD_input_estimate!AF25</f>
        <v>170</v>
      </c>
      <c r="AG25" s="389">
        <f>ECOMOD_input_estimate!AG25</f>
        <v>200</v>
      </c>
      <c r="AH25" s="389">
        <f>ECOMOD_input_estimate!AH25</f>
        <v>180</v>
      </c>
      <c r="AI25" s="389">
        <f>ECOMOD_input_estimate!AI25</f>
        <v>170</v>
      </c>
      <c r="AJ25" s="389">
        <f>ECOMOD_input_estimate!AJ25</f>
        <v>67</v>
      </c>
      <c r="AK25" s="389">
        <f>ECOMOD_input_estimate!AK25</f>
        <v>35</v>
      </c>
      <c r="AL25" s="389">
        <f>ECOMOD_input_estimate!AL25</f>
        <v>67</v>
      </c>
      <c r="AM25" s="389">
        <f>ECOMOD_input_estimate!AM25</f>
        <v>58</v>
      </c>
      <c r="AN25" s="389">
        <f>ECOMOD_input_estimate!AN25</f>
        <v>49</v>
      </c>
      <c r="AO25" s="389">
        <f>ECOMOD_input_estimate!AO25</f>
        <v>67</v>
      </c>
      <c r="AP25" s="389">
        <f>ECOMOD_input_estimate!AP25</f>
        <v>48</v>
      </c>
      <c r="AQ25" s="389">
        <f>ECOMOD_input_estimate!AQ25</f>
        <v>40</v>
      </c>
      <c r="AR25" s="389">
        <f>ECOMOD_input_estimate!AR25</f>
        <v>48</v>
      </c>
      <c r="AS25" s="389">
        <f>ECOMOD_input_estimate!AS25</f>
        <v>41</v>
      </c>
      <c r="AT25" s="389">
        <f>ECOMOD_input_estimate!AT25</f>
        <v>39</v>
      </c>
      <c r="AU25" s="389">
        <f>ECOMOD_input_estimate!AU25</f>
        <v>48</v>
      </c>
      <c r="AV25" s="234">
        <f t="shared" si="43"/>
        <v>5.6</v>
      </c>
      <c r="AW25" s="234">
        <f t="shared" si="0"/>
        <v>6.5</v>
      </c>
      <c r="AX25" s="234">
        <f t="shared" si="1"/>
        <v>5.6</v>
      </c>
      <c r="AY25" s="234">
        <f t="shared" si="44"/>
        <v>8.6</v>
      </c>
      <c r="AZ25" s="234">
        <f t="shared" si="3"/>
        <v>3.1</v>
      </c>
      <c r="BA25" s="234">
        <f t="shared" si="4"/>
        <v>5.6</v>
      </c>
      <c r="BB25" s="234">
        <f t="shared" si="5"/>
        <v>6.3</v>
      </c>
      <c r="BC25" s="234">
        <f t="shared" si="6"/>
        <v>11.3</v>
      </c>
      <c r="BD25" s="234">
        <f t="shared" si="7"/>
        <v>6.3</v>
      </c>
      <c r="BE25" s="234">
        <f t="shared" si="45"/>
        <v>6.3</v>
      </c>
      <c r="BF25" s="234">
        <f t="shared" si="9"/>
        <v>0</v>
      </c>
      <c r="BG25" s="234">
        <f t="shared" si="10"/>
        <v>6.3</v>
      </c>
      <c r="BH25" s="234">
        <f t="shared" si="11"/>
        <v>4</v>
      </c>
      <c r="BI25" s="234">
        <f t="shared" si="12"/>
        <v>5</v>
      </c>
      <c r="BJ25" s="234">
        <f t="shared" si="13"/>
        <v>4</v>
      </c>
      <c r="BK25" s="234">
        <f t="shared" si="46"/>
        <v>5</v>
      </c>
      <c r="BL25" s="234">
        <f t="shared" si="15"/>
        <v>2</v>
      </c>
      <c r="BM25" s="234">
        <f t="shared" si="16"/>
        <v>4</v>
      </c>
      <c r="BN25" s="154" t="s">
        <v>483</v>
      </c>
      <c r="BO25" s="154" t="str">
        <f t="shared" si="17"/>
        <v>medium</v>
      </c>
      <c r="BP25" s="154" t="str">
        <f t="shared" si="18"/>
        <v>low</v>
      </c>
      <c r="BQ25" s="154" t="str">
        <f t="shared" si="19"/>
        <v>low</v>
      </c>
      <c r="BR25" s="154" t="s">
        <v>183</v>
      </c>
      <c r="BS25" s="154" t="s">
        <v>183</v>
      </c>
      <c r="BT25" s="154" t="s">
        <v>183</v>
      </c>
      <c r="BU25" s="154">
        <f t="shared" si="20"/>
        <v>150</v>
      </c>
      <c r="BV25" s="154">
        <f t="shared" si="21"/>
        <v>225</v>
      </c>
      <c r="BW25" s="154">
        <f t="shared" si="22"/>
        <v>150</v>
      </c>
      <c r="BX25" s="154">
        <f t="shared" si="23"/>
        <v>138</v>
      </c>
      <c r="BY25" s="154">
        <f t="shared" si="24"/>
        <v>335</v>
      </c>
      <c r="BZ25" s="154">
        <f t="shared" si="25"/>
        <v>150</v>
      </c>
      <c r="CA25" s="356">
        <f t="array" ref="CA25">IF(yieldsetting2="estimate",0,INDEX(cropdata, MATCH(yieldsource,outputs,0), MATCH($F25,cropdatacrops,0)))</f>
        <v>8.6</v>
      </c>
      <c r="CB25" s="356">
        <f t="array" ref="CB25">IF(yieldsetting2="estimate",0,INDEX(cropdata, MATCH(yieldsource,outputs,0), MATCH($G25,cropdatacrops,0)))</f>
        <v>4</v>
      </c>
      <c r="CC25" s="356">
        <f t="array" ref="CC25">IF(yieldsetting2="estimate",0,INDEX(cropdata, MATCH(yieldsource,outputs,0), MATCH($H25,cropdatacrops,0)))</f>
        <v>8.6</v>
      </c>
      <c r="CD25" s="356">
        <f t="array" ref="CD25">IF(yieldsetting2="estimate",0,INDEX(cropdata, MATCH(yieldsource,outputs,0), MATCH($I25,cropdatacrops,0)))</f>
        <v>7.4</v>
      </c>
      <c r="CE25" s="356">
        <f t="array" ref="CE25">IF(yieldsetting2="estimate",0,INDEX(cropdata, MATCH(yieldsource,outputs,0), MATCH($J25,cropdatacrops,0)))</f>
        <v>3.5</v>
      </c>
      <c r="CF25" s="356">
        <f t="array" ref="CF25">IF(yieldsetting2="estimate",0,INDEX(cropdata, MATCH(yieldsource,outputs,0), MATCH($K25,cropdatacrops,0)))</f>
        <v>8.6</v>
      </c>
      <c r="CG25" s="154" t="str">
        <f t="shared" si="26"/>
        <v>actual</v>
      </c>
      <c r="CH25" s="235">
        <f t="shared" si="27"/>
        <v>0.8</v>
      </c>
      <c r="CI25" s="235">
        <f t="shared" si="28"/>
        <v>0.72</v>
      </c>
      <c r="CJ25" s="154">
        <f t="shared" si="29"/>
        <v>0.46</v>
      </c>
      <c r="CK25" s="154">
        <f t="shared" si="30"/>
        <v>0.36</v>
      </c>
      <c r="CL25" s="154">
        <f t="shared" si="31"/>
        <v>0.47</v>
      </c>
      <c r="CM25" s="154">
        <f t="shared" si="32"/>
        <v>0.36</v>
      </c>
      <c r="CN25" s="154">
        <f t="shared" si="33"/>
        <v>0.36</v>
      </c>
      <c r="CO25" s="154">
        <f t="shared" si="34"/>
        <v>7.34</v>
      </c>
      <c r="CP25" s="154">
        <f t="shared" si="35"/>
        <v>0.36</v>
      </c>
      <c r="CQ25" s="154">
        <f t="shared" si="41"/>
        <v>19.5</v>
      </c>
      <c r="CR25" s="154">
        <f t="shared" si="41"/>
        <v>19.5</v>
      </c>
      <c r="CS25" s="154">
        <f t="shared" si="41"/>
        <v>19.5</v>
      </c>
      <c r="CT25" s="154">
        <f t="shared" si="41"/>
        <v>19.5</v>
      </c>
      <c r="CU25" s="154">
        <f t="shared" si="41"/>
        <v>19.5</v>
      </c>
      <c r="CV25" s="154">
        <f t="shared" si="41"/>
        <v>19.5</v>
      </c>
      <c r="CW25" s="154">
        <f t="shared" si="42"/>
        <v>2.4300000000000002</v>
      </c>
      <c r="CX25" s="154">
        <f t="shared" si="42"/>
        <v>2.4300000000000002</v>
      </c>
      <c r="CY25" s="154">
        <f t="shared" si="42"/>
        <v>2.4300000000000002</v>
      </c>
      <c r="CZ25" s="154">
        <f t="shared" si="42"/>
        <v>2.4300000000000002</v>
      </c>
      <c r="DA25" s="154">
        <f t="shared" si="42"/>
        <v>2.4300000000000002</v>
      </c>
      <c r="DB25" s="154">
        <f t="shared" si="42"/>
        <v>2.4300000000000002</v>
      </c>
      <c r="DC25" s="154">
        <v>102</v>
      </c>
      <c r="DD25" s="154">
        <v>6</v>
      </c>
      <c r="DE25" s="154">
        <v>4</v>
      </c>
      <c r="DF25" s="154">
        <v>1400</v>
      </c>
      <c r="DG25" s="154">
        <v>125</v>
      </c>
      <c r="DH25" s="154">
        <f t="shared" si="38"/>
        <v>0.625</v>
      </c>
      <c r="DI25" s="154">
        <f t="shared" si="39"/>
        <v>10.08</v>
      </c>
    </row>
    <row r="26" spans="1:113" x14ac:dyDescent="0.2">
      <c r="A26" s="332" t="s">
        <v>1740</v>
      </c>
      <c r="B26" s="333" t="s">
        <v>485</v>
      </c>
      <c r="C26" s="333" t="s">
        <v>1636</v>
      </c>
      <c r="D26" s="233" t="str">
        <f>ECOMOD_input_estimate!$D26</f>
        <v>2.25</v>
      </c>
      <c r="E26" s="385">
        <f>ECOMOD_input_estimate!$E26</f>
        <v>6</v>
      </c>
      <c r="F26" s="386" t="str">
        <f>ECOMOD_input_estimate!$F26</f>
        <v>winterwheat</v>
      </c>
      <c r="G26" s="282" t="str">
        <f>ECOMOD_input_estimate!$G26</f>
        <v>winterbarley</v>
      </c>
      <c r="H26" s="282" t="str">
        <f>ECOMOD_input_estimate!$H26</f>
        <v>springbeans</v>
      </c>
      <c r="I26" s="282" t="str">
        <f>ECOMOD_input_estimate!I26</f>
        <v>winterwheat</v>
      </c>
      <c r="J26" s="282" t="str">
        <f>ECOMOD_input_estimate!$J26</f>
        <v>winterbarley</v>
      </c>
      <c r="K26" s="282" t="str">
        <f>ECOMOD_input_estimate!$K26</f>
        <v>springbeans</v>
      </c>
      <c r="L26" s="282" t="str">
        <f>ECOMOD_input_estimate!L26</f>
        <v>lightcultivation</v>
      </c>
      <c r="M26" s="282" t="str">
        <f>ECOMOD_input_estimate!M26</f>
        <v>lightcultivation</v>
      </c>
      <c r="N26" s="282" t="str">
        <f>ECOMOD_input_estimate!N26</f>
        <v>lightcultivation</v>
      </c>
      <c r="O26" s="282" t="str">
        <f>ECOMOD_input_estimate!O26</f>
        <v>lightcultivation</v>
      </c>
      <c r="P26" s="282" t="str">
        <f>ECOMOD_input_estimate!P26</f>
        <v>lightcultivation</v>
      </c>
      <c r="Q26" s="282" t="str">
        <f>ECOMOD_input_estimate!Q26</f>
        <v>lightcultivation</v>
      </c>
      <c r="R26" s="389">
        <f>ECOMOD_input_estimate!R26</f>
        <v>200</v>
      </c>
      <c r="S26" s="389">
        <f>ECOMOD_input_estimate!S26</f>
        <v>205</v>
      </c>
      <c r="T26" s="389">
        <f>ECOMOD_input_estimate!T26</f>
        <v>305</v>
      </c>
      <c r="U26" s="389">
        <f>ECOMOD_input_estimate!U26</f>
        <v>200</v>
      </c>
      <c r="V26" s="389">
        <f>ECOMOD_input_estimate!V26</f>
        <v>205</v>
      </c>
      <c r="W26" s="389">
        <f>ECOMOD_input_estimate!W26</f>
        <v>305</v>
      </c>
      <c r="X26" s="282" t="str">
        <f>ECOMOD_input_estimate!X26</f>
        <v>late</v>
      </c>
      <c r="Y26" s="282" t="str">
        <f>ECOMOD_input_estimate!Y26</f>
        <v>no</v>
      </c>
      <c r="Z26" s="282" t="str">
        <f>ECOMOD_input_estimate!Z26</f>
        <v>no</v>
      </c>
      <c r="AA26" s="282" t="str">
        <f>ECOMOD_input_estimate!AA26</f>
        <v>late</v>
      </c>
      <c r="AB26" s="282" t="str">
        <f>ECOMOD_input_estimate!AB26</f>
        <v>no</v>
      </c>
      <c r="AC26" s="282" t="str">
        <f>ECOMOD_input_estimate!AC26</f>
        <v>no</v>
      </c>
      <c r="AD26" s="389">
        <f>ECOMOD_input_estimate!AD26</f>
        <v>220</v>
      </c>
      <c r="AE26" s="389">
        <f>ECOMOD_input_estimate!AE26</f>
        <v>190</v>
      </c>
      <c r="AF26" s="389">
        <f>ECOMOD_input_estimate!AF26</f>
        <v>0</v>
      </c>
      <c r="AG26" s="389">
        <f>ECOMOD_input_estimate!AG26</f>
        <v>220</v>
      </c>
      <c r="AH26" s="389">
        <f>ECOMOD_input_estimate!AH26</f>
        <v>190</v>
      </c>
      <c r="AI26" s="389">
        <f>ECOMOD_input_estimate!AI26</f>
        <v>0</v>
      </c>
      <c r="AJ26" s="389">
        <f>ECOMOD_input_estimate!AJ26</f>
        <v>67</v>
      </c>
      <c r="AK26" s="389">
        <f>ECOMOD_input_estimate!AK26</f>
        <v>58</v>
      </c>
      <c r="AL26" s="389">
        <f>ECOMOD_input_estimate!AL26</f>
        <v>43</v>
      </c>
      <c r="AM26" s="389">
        <f>ECOMOD_input_estimate!AM26</f>
        <v>67</v>
      </c>
      <c r="AN26" s="389">
        <f>ECOMOD_input_estimate!AN26</f>
        <v>58</v>
      </c>
      <c r="AO26" s="389">
        <f>ECOMOD_input_estimate!AO26</f>
        <v>43</v>
      </c>
      <c r="AP26" s="389">
        <f>ECOMOD_input_estimate!AP26</f>
        <v>48</v>
      </c>
      <c r="AQ26" s="389">
        <f>ECOMOD_input_estimate!AQ26</f>
        <v>41</v>
      </c>
      <c r="AR26" s="389">
        <f>ECOMOD_input_estimate!AR26</f>
        <v>47</v>
      </c>
      <c r="AS26" s="389">
        <f>ECOMOD_input_estimate!AS26</f>
        <v>48</v>
      </c>
      <c r="AT26" s="389">
        <f>ECOMOD_input_estimate!AT26</f>
        <v>41</v>
      </c>
      <c r="AU26" s="389">
        <f>ECOMOD_input_estimate!AU26</f>
        <v>47</v>
      </c>
      <c r="AV26" s="234">
        <f t="shared" si="43"/>
        <v>9.3000000000000007</v>
      </c>
      <c r="AW26" s="234">
        <f t="shared" si="0"/>
        <v>4.5999999999999996</v>
      </c>
      <c r="AX26" s="234">
        <f t="shared" si="1"/>
        <v>5.35</v>
      </c>
      <c r="AY26" s="234">
        <f t="shared" si="44"/>
        <v>9.3000000000000007</v>
      </c>
      <c r="AZ26" s="234">
        <f t="shared" si="3"/>
        <v>4.5999999999999996</v>
      </c>
      <c r="BA26" s="234">
        <f t="shared" si="4"/>
        <v>5.35</v>
      </c>
      <c r="BB26" s="234">
        <f t="shared" si="5"/>
        <v>2</v>
      </c>
      <c r="BC26" s="234">
        <f t="shared" si="6"/>
        <v>2</v>
      </c>
      <c r="BD26" s="234">
        <f t="shared" si="7"/>
        <v>2</v>
      </c>
      <c r="BE26" s="234">
        <f t="shared" si="45"/>
        <v>2</v>
      </c>
      <c r="BF26" s="234">
        <f t="shared" si="9"/>
        <v>2</v>
      </c>
      <c r="BG26" s="234">
        <f t="shared" si="10"/>
        <v>2</v>
      </c>
      <c r="BH26" s="234">
        <f t="shared" si="11"/>
        <v>4</v>
      </c>
      <c r="BI26" s="234">
        <f t="shared" si="12"/>
        <v>3</v>
      </c>
      <c r="BJ26" s="234">
        <f t="shared" si="13"/>
        <v>3</v>
      </c>
      <c r="BK26" s="234">
        <f t="shared" si="46"/>
        <v>4</v>
      </c>
      <c r="BL26" s="234">
        <f t="shared" si="15"/>
        <v>3</v>
      </c>
      <c r="BM26" s="234">
        <f t="shared" si="16"/>
        <v>3</v>
      </c>
      <c r="BN26" s="154" t="s">
        <v>483</v>
      </c>
      <c r="BO26" s="154" t="str">
        <f t="shared" si="17"/>
        <v>low</v>
      </c>
      <c r="BP26" s="154" t="str">
        <f t="shared" si="18"/>
        <v>low</v>
      </c>
      <c r="BQ26" s="154" t="str">
        <f t="shared" si="19"/>
        <v>low</v>
      </c>
      <c r="BR26" s="154" t="s">
        <v>18</v>
      </c>
      <c r="BS26" s="154" t="s">
        <v>18</v>
      </c>
      <c r="BT26" s="154" t="s">
        <v>18</v>
      </c>
      <c r="BU26" s="154">
        <f t="shared" si="20"/>
        <v>150</v>
      </c>
      <c r="BV26" s="154">
        <f t="shared" si="21"/>
        <v>138</v>
      </c>
      <c r="BW26" s="154">
        <f t="shared" si="22"/>
        <v>185</v>
      </c>
      <c r="BX26" s="154">
        <f t="shared" si="23"/>
        <v>150</v>
      </c>
      <c r="BY26" s="154">
        <f t="shared" si="24"/>
        <v>138</v>
      </c>
      <c r="BZ26" s="154">
        <f t="shared" si="25"/>
        <v>185</v>
      </c>
      <c r="CA26" s="356">
        <f t="array" ref="CA26">IF(yieldsetting2="estimate",0,INDEX(cropdata, MATCH(yieldsource,outputs,0), MATCH($F26,cropdatacrops,0)))</f>
        <v>8.6</v>
      </c>
      <c r="CB26" s="356">
        <f t="array" ref="CB26">IF(yieldsetting2="estimate",0,INDEX(cropdata, MATCH(yieldsource,outputs,0), MATCH($G26,cropdatacrops,0)))</f>
        <v>7.4</v>
      </c>
      <c r="CC26" s="356">
        <f t="array" ref="CC26">IF(yieldsetting2="estimate",0,INDEX(cropdata, MATCH(yieldsource,outputs,0), MATCH($H26,cropdatacrops,0)))</f>
        <v>3.9</v>
      </c>
      <c r="CD26" s="356">
        <f t="array" ref="CD26">IF(yieldsetting2="estimate",0,INDEX(cropdata, MATCH(yieldsource,outputs,0), MATCH($I26,cropdatacrops,0)))</f>
        <v>8.6</v>
      </c>
      <c r="CE26" s="356">
        <f t="array" ref="CE26">IF(yieldsetting2="estimate",0,INDEX(cropdata, MATCH(yieldsource,outputs,0), MATCH($J26,cropdatacrops,0)))</f>
        <v>7.4</v>
      </c>
      <c r="CF26" s="356">
        <f t="array" ref="CF26">IF(yieldsetting2="estimate",0,INDEX(cropdata, MATCH(yieldsource,outputs,0), MATCH($K26,cropdatacrops,0)))</f>
        <v>3.9</v>
      </c>
      <c r="CG26" s="154" t="str">
        <f t="shared" si="26"/>
        <v>actual</v>
      </c>
      <c r="CH26" s="235">
        <f t="shared" si="27"/>
        <v>0.8</v>
      </c>
      <c r="CI26" s="235">
        <f t="shared" si="28"/>
        <v>0.72</v>
      </c>
      <c r="CJ26" s="154">
        <f t="shared" si="29"/>
        <v>0.46</v>
      </c>
      <c r="CK26" s="154">
        <f t="shared" si="30"/>
        <v>0.36</v>
      </c>
      <c r="CL26" s="154">
        <f t="shared" si="31"/>
        <v>0.36</v>
      </c>
      <c r="CM26" s="154">
        <f t="shared" si="32"/>
        <v>0.38</v>
      </c>
      <c r="CN26" s="154">
        <f t="shared" si="33"/>
        <v>0.36</v>
      </c>
      <c r="CO26" s="154">
        <f t="shared" si="34"/>
        <v>0.36</v>
      </c>
      <c r="CP26" s="154">
        <f t="shared" si="35"/>
        <v>0.38</v>
      </c>
      <c r="CQ26" s="154">
        <f t="shared" si="41"/>
        <v>19.5</v>
      </c>
      <c r="CR26" s="154">
        <f t="shared" si="41"/>
        <v>19.5</v>
      </c>
      <c r="CS26" s="154">
        <f t="shared" si="41"/>
        <v>19.5</v>
      </c>
      <c r="CT26" s="154">
        <f t="shared" si="41"/>
        <v>19.5</v>
      </c>
      <c r="CU26" s="154">
        <f t="shared" si="41"/>
        <v>19.5</v>
      </c>
      <c r="CV26" s="154">
        <f t="shared" si="41"/>
        <v>19.5</v>
      </c>
      <c r="CW26" s="154">
        <f t="shared" si="42"/>
        <v>2.4300000000000002</v>
      </c>
      <c r="CX26" s="154">
        <f t="shared" si="42"/>
        <v>2.4300000000000002</v>
      </c>
      <c r="CY26" s="154">
        <f t="shared" si="42"/>
        <v>2.4300000000000002</v>
      </c>
      <c r="CZ26" s="154">
        <f t="shared" si="42"/>
        <v>2.4300000000000002</v>
      </c>
      <c r="DA26" s="154">
        <f t="shared" si="42"/>
        <v>2.4300000000000002</v>
      </c>
      <c r="DB26" s="154">
        <f t="shared" si="42"/>
        <v>2.4300000000000002</v>
      </c>
      <c r="DC26" s="154">
        <v>102</v>
      </c>
      <c r="DD26" s="154">
        <v>6</v>
      </c>
      <c r="DE26" s="154">
        <v>4</v>
      </c>
      <c r="DF26" s="154">
        <v>1400</v>
      </c>
      <c r="DG26" s="154">
        <v>125</v>
      </c>
      <c r="DH26" s="154">
        <f t="shared" si="38"/>
        <v>0.625</v>
      </c>
      <c r="DI26" s="154">
        <f t="shared" si="39"/>
        <v>10.08</v>
      </c>
    </row>
    <row r="27" spans="1:113" x14ac:dyDescent="0.2">
      <c r="A27" s="332" t="s">
        <v>1741</v>
      </c>
      <c r="B27" s="333" t="s">
        <v>485</v>
      </c>
      <c r="C27" s="333" t="s">
        <v>1637</v>
      </c>
      <c r="D27" s="233" t="str">
        <f>ECOMOD_input_estimate!$D27</f>
        <v>2.25</v>
      </c>
      <c r="E27" s="385">
        <f>ECOMOD_input_estimate!$E27</f>
        <v>6</v>
      </c>
      <c r="F27" s="386" t="str">
        <f>ECOMOD_input_estimate!$F27</f>
        <v>winterwheat</v>
      </c>
      <c r="G27" s="282" t="str">
        <f>ECOMOD_input_estimate!$G27</f>
        <v>winterbarley</v>
      </c>
      <c r="H27" s="282" t="str">
        <f>ECOMOD_input_estimate!$H27</f>
        <v>springbeans</v>
      </c>
      <c r="I27" s="282" t="str">
        <f>ECOMOD_input_estimate!I27</f>
        <v>winterwheat</v>
      </c>
      <c r="J27" s="282" t="str">
        <f>ECOMOD_input_estimate!$J27</f>
        <v>winterbarley</v>
      </c>
      <c r="K27" s="282" t="str">
        <f>ECOMOD_input_estimate!$K27</f>
        <v>springbeans</v>
      </c>
      <c r="L27" s="282" t="str">
        <f>ECOMOD_input_estimate!L27</f>
        <v>lightcultivation</v>
      </c>
      <c r="M27" s="282" t="str">
        <f>ECOMOD_input_estimate!M27</f>
        <v>lightcultivation</v>
      </c>
      <c r="N27" s="282" t="str">
        <f>ECOMOD_input_estimate!N27</f>
        <v>lightcultivation</v>
      </c>
      <c r="O27" s="282" t="str">
        <f>ECOMOD_input_estimate!O27</f>
        <v>lightcultivation</v>
      </c>
      <c r="P27" s="282" t="str">
        <f>ECOMOD_input_estimate!P27</f>
        <v>lightcultivation</v>
      </c>
      <c r="Q27" s="282" t="str">
        <f>ECOMOD_input_estimate!Q27</f>
        <v>lightcultivation</v>
      </c>
      <c r="R27" s="389">
        <f>ECOMOD_input_estimate!R27</f>
        <v>200</v>
      </c>
      <c r="S27" s="389">
        <f>ECOMOD_input_estimate!S27</f>
        <v>205</v>
      </c>
      <c r="T27" s="389">
        <f>ECOMOD_input_estimate!T27</f>
        <v>305</v>
      </c>
      <c r="U27" s="389">
        <f>ECOMOD_input_estimate!U27</f>
        <v>200</v>
      </c>
      <c r="V27" s="389">
        <f>ECOMOD_input_estimate!V27</f>
        <v>205</v>
      </c>
      <c r="W27" s="389">
        <f>ECOMOD_input_estimate!W27</f>
        <v>305</v>
      </c>
      <c r="X27" s="282" t="str">
        <f>ECOMOD_input_estimate!X27</f>
        <v>late</v>
      </c>
      <c r="Y27" s="282" t="str">
        <f>ECOMOD_input_estimate!Y27</f>
        <v>no</v>
      </c>
      <c r="Z27" s="282" t="str">
        <f>ECOMOD_input_estimate!Z27</f>
        <v>no</v>
      </c>
      <c r="AA27" s="282" t="str">
        <f>ECOMOD_input_estimate!AA27</f>
        <v>late</v>
      </c>
      <c r="AB27" s="282" t="str">
        <f>ECOMOD_input_estimate!AB27</f>
        <v>no</v>
      </c>
      <c r="AC27" s="282" t="str">
        <f>ECOMOD_input_estimate!AC27</f>
        <v>no</v>
      </c>
      <c r="AD27" s="389">
        <f>ECOMOD_input_estimate!AD27</f>
        <v>220</v>
      </c>
      <c r="AE27" s="389">
        <f>ECOMOD_input_estimate!AE27</f>
        <v>190</v>
      </c>
      <c r="AF27" s="389">
        <f>ECOMOD_input_estimate!AF27</f>
        <v>0</v>
      </c>
      <c r="AG27" s="389">
        <f>ECOMOD_input_estimate!AG27</f>
        <v>220</v>
      </c>
      <c r="AH27" s="389">
        <f>ECOMOD_input_estimate!AH27</f>
        <v>190</v>
      </c>
      <c r="AI27" s="389">
        <f>ECOMOD_input_estimate!AI27</f>
        <v>0</v>
      </c>
      <c r="AJ27" s="389">
        <f>ECOMOD_input_estimate!AJ27</f>
        <v>67</v>
      </c>
      <c r="AK27" s="389">
        <f>ECOMOD_input_estimate!AK27</f>
        <v>58</v>
      </c>
      <c r="AL27" s="389">
        <f>ECOMOD_input_estimate!AL27</f>
        <v>43</v>
      </c>
      <c r="AM27" s="389">
        <f>ECOMOD_input_estimate!AM27</f>
        <v>67</v>
      </c>
      <c r="AN27" s="389">
        <f>ECOMOD_input_estimate!AN27</f>
        <v>58</v>
      </c>
      <c r="AO27" s="389">
        <f>ECOMOD_input_estimate!AO27</f>
        <v>43</v>
      </c>
      <c r="AP27" s="389">
        <f>ECOMOD_input_estimate!AP27</f>
        <v>48</v>
      </c>
      <c r="AQ27" s="389">
        <f>ECOMOD_input_estimate!AQ27</f>
        <v>41</v>
      </c>
      <c r="AR27" s="389">
        <f>ECOMOD_input_estimate!AR27</f>
        <v>47</v>
      </c>
      <c r="AS27" s="389">
        <f>ECOMOD_input_estimate!AS27</f>
        <v>48</v>
      </c>
      <c r="AT27" s="389">
        <f>ECOMOD_input_estimate!AT27</f>
        <v>41</v>
      </c>
      <c r="AU27" s="389">
        <f>ECOMOD_input_estimate!AU27</f>
        <v>47</v>
      </c>
      <c r="AV27" s="234">
        <f t="shared" si="43"/>
        <v>9.3000000000000007</v>
      </c>
      <c r="AW27" s="234">
        <f t="shared" si="0"/>
        <v>4.5999999999999996</v>
      </c>
      <c r="AX27" s="234">
        <f t="shared" si="1"/>
        <v>5.35</v>
      </c>
      <c r="AY27" s="234">
        <f t="shared" si="44"/>
        <v>9.3000000000000007</v>
      </c>
      <c r="AZ27" s="234">
        <f t="shared" si="3"/>
        <v>4.5999999999999996</v>
      </c>
      <c r="BA27" s="234">
        <f t="shared" si="4"/>
        <v>5.35</v>
      </c>
      <c r="BB27" s="234">
        <f t="shared" si="5"/>
        <v>2</v>
      </c>
      <c r="BC27" s="234">
        <f t="shared" si="6"/>
        <v>2</v>
      </c>
      <c r="BD27" s="234">
        <f t="shared" si="7"/>
        <v>2</v>
      </c>
      <c r="BE27" s="234">
        <f t="shared" si="45"/>
        <v>2</v>
      </c>
      <c r="BF27" s="234">
        <f t="shared" si="9"/>
        <v>2</v>
      </c>
      <c r="BG27" s="234">
        <f t="shared" si="10"/>
        <v>2</v>
      </c>
      <c r="BH27" s="234">
        <f t="shared" si="11"/>
        <v>4</v>
      </c>
      <c r="BI27" s="234">
        <f t="shared" si="12"/>
        <v>3</v>
      </c>
      <c r="BJ27" s="234">
        <f t="shared" si="13"/>
        <v>3</v>
      </c>
      <c r="BK27" s="234">
        <f t="shared" si="46"/>
        <v>4</v>
      </c>
      <c r="BL27" s="234">
        <f t="shared" si="15"/>
        <v>3</v>
      </c>
      <c r="BM27" s="234">
        <f t="shared" si="16"/>
        <v>3</v>
      </c>
      <c r="BN27" s="154" t="s">
        <v>483</v>
      </c>
      <c r="BO27" s="154" t="str">
        <f t="shared" si="17"/>
        <v>medium</v>
      </c>
      <c r="BP27" s="154" t="str">
        <f t="shared" si="18"/>
        <v>low</v>
      </c>
      <c r="BQ27" s="154" t="str">
        <f t="shared" si="19"/>
        <v>low</v>
      </c>
      <c r="BR27" s="154" t="s">
        <v>182</v>
      </c>
      <c r="BS27" s="154" t="s">
        <v>182</v>
      </c>
      <c r="BT27" s="154" t="s">
        <v>182</v>
      </c>
      <c r="BU27" s="154">
        <f t="shared" si="20"/>
        <v>150</v>
      </c>
      <c r="BV27" s="154">
        <f t="shared" si="21"/>
        <v>138</v>
      </c>
      <c r="BW27" s="154">
        <f t="shared" si="22"/>
        <v>185</v>
      </c>
      <c r="BX27" s="154">
        <f t="shared" si="23"/>
        <v>150</v>
      </c>
      <c r="BY27" s="154">
        <f t="shared" si="24"/>
        <v>138</v>
      </c>
      <c r="BZ27" s="154">
        <f t="shared" si="25"/>
        <v>185</v>
      </c>
      <c r="CA27" s="356">
        <f t="array" ref="CA27">IF(yieldsetting2="estimate",0,INDEX(cropdata, MATCH(yieldsource,outputs,0), MATCH($F27,cropdatacrops,0)))</f>
        <v>8.6</v>
      </c>
      <c r="CB27" s="356">
        <f t="array" ref="CB27">IF(yieldsetting2="estimate",0,INDEX(cropdata, MATCH(yieldsource,outputs,0), MATCH($G27,cropdatacrops,0)))</f>
        <v>7.4</v>
      </c>
      <c r="CC27" s="356">
        <f t="array" ref="CC27">IF(yieldsetting2="estimate",0,INDEX(cropdata, MATCH(yieldsource,outputs,0), MATCH($H27,cropdatacrops,0)))</f>
        <v>3.9</v>
      </c>
      <c r="CD27" s="356">
        <f t="array" ref="CD27">IF(yieldsetting2="estimate",0,INDEX(cropdata, MATCH(yieldsource,outputs,0), MATCH($I27,cropdatacrops,0)))</f>
        <v>8.6</v>
      </c>
      <c r="CE27" s="356">
        <f t="array" ref="CE27">IF(yieldsetting2="estimate",0,INDEX(cropdata, MATCH(yieldsource,outputs,0), MATCH($J27,cropdatacrops,0)))</f>
        <v>7.4</v>
      </c>
      <c r="CF27" s="356">
        <f t="array" ref="CF27">IF(yieldsetting2="estimate",0,INDEX(cropdata, MATCH(yieldsource,outputs,0), MATCH($K27,cropdatacrops,0)))</f>
        <v>3.9</v>
      </c>
      <c r="CG27" s="154" t="str">
        <f t="shared" si="26"/>
        <v>actual</v>
      </c>
      <c r="CH27" s="235">
        <f t="shared" si="27"/>
        <v>0.8</v>
      </c>
      <c r="CI27" s="235">
        <f t="shared" si="28"/>
        <v>0.72</v>
      </c>
      <c r="CJ27" s="154">
        <f t="shared" si="29"/>
        <v>0.46</v>
      </c>
      <c r="CK27" s="154">
        <f t="shared" si="30"/>
        <v>0.36</v>
      </c>
      <c r="CL27" s="154">
        <f t="shared" si="31"/>
        <v>0.36</v>
      </c>
      <c r="CM27" s="154">
        <f t="shared" si="32"/>
        <v>0.38</v>
      </c>
      <c r="CN27" s="154">
        <f t="shared" si="33"/>
        <v>0.36</v>
      </c>
      <c r="CO27" s="154">
        <f t="shared" si="34"/>
        <v>0.36</v>
      </c>
      <c r="CP27" s="154">
        <f t="shared" si="35"/>
        <v>0.38</v>
      </c>
      <c r="CQ27" s="154">
        <f t="shared" si="41"/>
        <v>19.5</v>
      </c>
      <c r="CR27" s="154">
        <f t="shared" si="41"/>
        <v>19.5</v>
      </c>
      <c r="CS27" s="154">
        <f t="shared" si="41"/>
        <v>19.5</v>
      </c>
      <c r="CT27" s="154">
        <f t="shared" si="41"/>
        <v>19.5</v>
      </c>
      <c r="CU27" s="154">
        <f t="shared" si="41"/>
        <v>19.5</v>
      </c>
      <c r="CV27" s="154">
        <f t="shared" si="41"/>
        <v>19.5</v>
      </c>
      <c r="CW27" s="154">
        <f t="shared" si="42"/>
        <v>2.4300000000000002</v>
      </c>
      <c r="CX27" s="154">
        <f t="shared" si="42"/>
        <v>2.4300000000000002</v>
      </c>
      <c r="CY27" s="154">
        <f t="shared" si="42"/>
        <v>2.4300000000000002</v>
      </c>
      <c r="CZ27" s="154">
        <f t="shared" si="42"/>
        <v>2.4300000000000002</v>
      </c>
      <c r="DA27" s="154">
        <f t="shared" si="42"/>
        <v>2.4300000000000002</v>
      </c>
      <c r="DB27" s="154">
        <f t="shared" si="42"/>
        <v>2.4300000000000002</v>
      </c>
      <c r="DC27" s="154">
        <v>102</v>
      </c>
      <c r="DD27" s="154">
        <v>6</v>
      </c>
      <c r="DE27" s="154">
        <v>4</v>
      </c>
      <c r="DF27" s="154">
        <v>1400</v>
      </c>
      <c r="DG27" s="154">
        <v>125</v>
      </c>
      <c r="DH27" s="154">
        <f t="shared" si="38"/>
        <v>0.625</v>
      </c>
      <c r="DI27" s="154">
        <f t="shared" si="39"/>
        <v>10.08</v>
      </c>
    </row>
    <row r="28" spans="1:113" x14ac:dyDescent="0.2">
      <c r="A28" s="332" t="s">
        <v>1742</v>
      </c>
      <c r="B28" s="333" t="s">
        <v>488</v>
      </c>
      <c r="C28" s="333" t="s">
        <v>1647</v>
      </c>
      <c r="D28" s="233" t="str">
        <f>ECOMOD_input_estimate!$D28</f>
        <v>1.50</v>
      </c>
      <c r="E28" s="385">
        <f>ECOMOD_input_estimate!$E28</f>
        <v>6</v>
      </c>
      <c r="F28" s="386" t="str">
        <f>ECOMOD_input_estimate!$F28</f>
        <v>winterwheat</v>
      </c>
      <c r="G28" s="282" t="str">
        <f>ECOMOD_input_estimate!$G28</f>
        <v>winterbarley</v>
      </c>
      <c r="H28" s="282" t="str">
        <f>ECOMOD_input_estimate!$H28</f>
        <v>springbeans</v>
      </c>
      <c r="I28" s="282" t="str">
        <f>ECOMOD_input_estimate!I28</f>
        <v>winterwheat</v>
      </c>
      <c r="J28" s="282" t="str">
        <f>ECOMOD_input_estimate!$J28</f>
        <v>winterbarley</v>
      </c>
      <c r="K28" s="282" t="str">
        <f>ECOMOD_input_estimate!$K28</f>
        <v>springbeans</v>
      </c>
      <c r="L28" s="282" t="str">
        <f>ECOMOD_input_estimate!L28</f>
        <v>lightcultivation</v>
      </c>
      <c r="M28" s="282" t="str">
        <f>ECOMOD_input_estimate!M28</f>
        <v>lightcultivation</v>
      </c>
      <c r="N28" s="282" t="str">
        <f>ECOMOD_input_estimate!N28</f>
        <v>lightcultivation</v>
      </c>
      <c r="O28" s="282" t="str">
        <f>ECOMOD_input_estimate!O28</f>
        <v>lightcultivation</v>
      </c>
      <c r="P28" s="282" t="str">
        <f>ECOMOD_input_estimate!P28</f>
        <v>lightcultivation</v>
      </c>
      <c r="Q28" s="282" t="str">
        <f>ECOMOD_input_estimate!Q28</f>
        <v>lightcultivation</v>
      </c>
      <c r="R28" s="389">
        <f>ECOMOD_input_estimate!R28</f>
        <v>200</v>
      </c>
      <c r="S28" s="389">
        <f>ECOMOD_input_estimate!S28</f>
        <v>205</v>
      </c>
      <c r="T28" s="389">
        <f>ECOMOD_input_estimate!T28</f>
        <v>305</v>
      </c>
      <c r="U28" s="389">
        <f>ECOMOD_input_estimate!U28</f>
        <v>200</v>
      </c>
      <c r="V28" s="389">
        <f>ECOMOD_input_estimate!V28</f>
        <v>205</v>
      </c>
      <c r="W28" s="389">
        <f>ECOMOD_input_estimate!W28</f>
        <v>305</v>
      </c>
      <c r="X28" s="282" t="str">
        <f>ECOMOD_input_estimate!X28</f>
        <v>late</v>
      </c>
      <c r="Y28" s="282" t="str">
        <f>ECOMOD_input_estimate!Y28</f>
        <v>no</v>
      </c>
      <c r="Z28" s="282" t="str">
        <f>ECOMOD_input_estimate!Z28</f>
        <v>no</v>
      </c>
      <c r="AA28" s="282" t="str">
        <f>ECOMOD_input_estimate!AA28</f>
        <v>late</v>
      </c>
      <c r="AB28" s="282" t="str">
        <f>ECOMOD_input_estimate!AB28</f>
        <v>no</v>
      </c>
      <c r="AC28" s="282" t="str">
        <f>ECOMOD_input_estimate!AC28</f>
        <v>no</v>
      </c>
      <c r="AD28" s="389">
        <f>ECOMOD_input_estimate!AD28</f>
        <v>220</v>
      </c>
      <c r="AE28" s="389">
        <f>ECOMOD_input_estimate!AE28</f>
        <v>190</v>
      </c>
      <c r="AF28" s="389">
        <f>ECOMOD_input_estimate!AF28</f>
        <v>0</v>
      </c>
      <c r="AG28" s="389">
        <f>ECOMOD_input_estimate!AG28</f>
        <v>220</v>
      </c>
      <c r="AH28" s="389">
        <f>ECOMOD_input_estimate!AH28</f>
        <v>190</v>
      </c>
      <c r="AI28" s="389">
        <f>ECOMOD_input_estimate!AI28</f>
        <v>0</v>
      </c>
      <c r="AJ28" s="389">
        <f>ECOMOD_input_estimate!AJ28</f>
        <v>67</v>
      </c>
      <c r="AK28" s="389">
        <f>ECOMOD_input_estimate!AK28</f>
        <v>58</v>
      </c>
      <c r="AL28" s="389">
        <f>ECOMOD_input_estimate!AL28</f>
        <v>43</v>
      </c>
      <c r="AM28" s="389">
        <f>ECOMOD_input_estimate!AM28</f>
        <v>67</v>
      </c>
      <c r="AN28" s="389">
        <f>ECOMOD_input_estimate!AN28</f>
        <v>58</v>
      </c>
      <c r="AO28" s="389">
        <f>ECOMOD_input_estimate!AO28</f>
        <v>43</v>
      </c>
      <c r="AP28" s="389">
        <f>ECOMOD_input_estimate!AP28</f>
        <v>48</v>
      </c>
      <c r="AQ28" s="389">
        <f>ECOMOD_input_estimate!AQ28</f>
        <v>41</v>
      </c>
      <c r="AR28" s="389">
        <f>ECOMOD_input_estimate!AR28</f>
        <v>47</v>
      </c>
      <c r="AS28" s="389">
        <f>ECOMOD_input_estimate!AS28</f>
        <v>48</v>
      </c>
      <c r="AT28" s="389">
        <f>ECOMOD_input_estimate!AT28</f>
        <v>41</v>
      </c>
      <c r="AU28" s="389">
        <f>ECOMOD_input_estimate!AU28</f>
        <v>47</v>
      </c>
      <c r="AV28" s="234">
        <f t="shared" si="43"/>
        <v>9.3000000000000007</v>
      </c>
      <c r="AW28" s="234">
        <f t="shared" si="0"/>
        <v>4.5999999999999996</v>
      </c>
      <c r="AX28" s="234">
        <f t="shared" si="1"/>
        <v>5.35</v>
      </c>
      <c r="AY28" s="234">
        <f t="shared" si="44"/>
        <v>9.3000000000000007</v>
      </c>
      <c r="AZ28" s="234">
        <f t="shared" si="3"/>
        <v>4.5999999999999996</v>
      </c>
      <c r="BA28" s="234">
        <f t="shared" si="4"/>
        <v>5.35</v>
      </c>
      <c r="BB28" s="234">
        <f t="shared" si="5"/>
        <v>2</v>
      </c>
      <c r="BC28" s="234">
        <f t="shared" si="6"/>
        <v>2</v>
      </c>
      <c r="BD28" s="234">
        <f t="shared" si="7"/>
        <v>2</v>
      </c>
      <c r="BE28" s="234">
        <f t="shared" si="45"/>
        <v>2</v>
      </c>
      <c r="BF28" s="234">
        <f t="shared" si="9"/>
        <v>2</v>
      </c>
      <c r="BG28" s="234">
        <f t="shared" si="10"/>
        <v>2</v>
      </c>
      <c r="BH28" s="234">
        <f t="shared" si="11"/>
        <v>4</v>
      </c>
      <c r="BI28" s="234">
        <f t="shared" si="12"/>
        <v>3</v>
      </c>
      <c r="BJ28" s="234">
        <f t="shared" si="13"/>
        <v>3</v>
      </c>
      <c r="BK28" s="234">
        <f t="shared" si="46"/>
        <v>4</v>
      </c>
      <c r="BL28" s="234">
        <f t="shared" si="15"/>
        <v>3</v>
      </c>
      <c r="BM28" s="234">
        <f t="shared" si="16"/>
        <v>3</v>
      </c>
      <c r="BN28" s="154" t="s">
        <v>483</v>
      </c>
      <c r="BO28" s="154" t="str">
        <f t="shared" si="17"/>
        <v>low</v>
      </c>
      <c r="BP28" s="154" t="str">
        <f t="shared" si="18"/>
        <v>low</v>
      </c>
      <c r="BQ28" s="154" t="str">
        <f t="shared" si="19"/>
        <v>low</v>
      </c>
      <c r="BR28" s="154" t="s">
        <v>183</v>
      </c>
      <c r="BS28" s="154" t="s">
        <v>183</v>
      </c>
      <c r="BT28" s="154" t="s">
        <v>183</v>
      </c>
      <c r="BU28" s="154">
        <f t="shared" si="20"/>
        <v>150</v>
      </c>
      <c r="BV28" s="154">
        <f t="shared" si="21"/>
        <v>138</v>
      </c>
      <c r="BW28" s="154">
        <f t="shared" si="22"/>
        <v>185</v>
      </c>
      <c r="BX28" s="154">
        <f t="shared" si="23"/>
        <v>150</v>
      </c>
      <c r="BY28" s="154">
        <f t="shared" si="24"/>
        <v>138</v>
      </c>
      <c r="BZ28" s="154">
        <f t="shared" si="25"/>
        <v>185</v>
      </c>
      <c r="CA28" s="356">
        <f t="array" ref="CA28">IF(yieldsetting2="estimate",0,INDEX(cropdata, MATCH(yieldsource,outputs,0), MATCH($F28,cropdatacrops,0)))</f>
        <v>8.6</v>
      </c>
      <c r="CB28" s="356">
        <f t="array" ref="CB28">IF(yieldsetting2="estimate",0,INDEX(cropdata, MATCH(yieldsource,outputs,0), MATCH($G28,cropdatacrops,0)))</f>
        <v>7.4</v>
      </c>
      <c r="CC28" s="356">
        <f t="array" ref="CC28">IF(yieldsetting2="estimate",0,INDEX(cropdata, MATCH(yieldsource,outputs,0), MATCH($H28,cropdatacrops,0)))</f>
        <v>3.9</v>
      </c>
      <c r="CD28" s="356">
        <f t="array" ref="CD28">IF(yieldsetting2="estimate",0,INDEX(cropdata, MATCH(yieldsource,outputs,0), MATCH($I28,cropdatacrops,0)))</f>
        <v>8.6</v>
      </c>
      <c r="CE28" s="356">
        <f t="array" ref="CE28">IF(yieldsetting2="estimate",0,INDEX(cropdata, MATCH(yieldsource,outputs,0), MATCH($J28,cropdatacrops,0)))</f>
        <v>7.4</v>
      </c>
      <c r="CF28" s="356">
        <f t="array" ref="CF28">IF(yieldsetting2="estimate",0,INDEX(cropdata, MATCH(yieldsource,outputs,0), MATCH($K28,cropdatacrops,0)))</f>
        <v>3.9</v>
      </c>
      <c r="CG28" s="154" t="str">
        <f t="shared" si="26"/>
        <v>actual</v>
      </c>
      <c r="CH28" s="235">
        <f t="shared" si="27"/>
        <v>0.8</v>
      </c>
      <c r="CI28" s="235">
        <f t="shared" si="28"/>
        <v>0.72</v>
      </c>
      <c r="CJ28" s="154">
        <f t="shared" si="29"/>
        <v>0.46</v>
      </c>
      <c r="CK28" s="154">
        <f t="shared" si="30"/>
        <v>0.36</v>
      </c>
      <c r="CL28" s="154">
        <f t="shared" si="31"/>
        <v>0.36</v>
      </c>
      <c r="CM28" s="154">
        <f t="shared" si="32"/>
        <v>0.38</v>
      </c>
      <c r="CN28" s="154">
        <f t="shared" si="33"/>
        <v>0.36</v>
      </c>
      <c r="CO28" s="154">
        <f t="shared" si="34"/>
        <v>0.36</v>
      </c>
      <c r="CP28" s="154">
        <f t="shared" si="35"/>
        <v>0.38</v>
      </c>
      <c r="CQ28" s="154">
        <f t="shared" si="41"/>
        <v>19.5</v>
      </c>
      <c r="CR28" s="154">
        <f t="shared" si="41"/>
        <v>19.5</v>
      </c>
      <c r="CS28" s="154">
        <f t="shared" si="41"/>
        <v>19.5</v>
      </c>
      <c r="CT28" s="154">
        <f t="shared" si="41"/>
        <v>19.5</v>
      </c>
      <c r="CU28" s="154">
        <f t="shared" si="41"/>
        <v>19.5</v>
      </c>
      <c r="CV28" s="154">
        <f t="shared" si="41"/>
        <v>19.5</v>
      </c>
      <c r="CW28" s="154">
        <f t="shared" si="42"/>
        <v>2.4300000000000002</v>
      </c>
      <c r="CX28" s="154">
        <f t="shared" si="42"/>
        <v>2.4300000000000002</v>
      </c>
      <c r="CY28" s="154">
        <f t="shared" si="42"/>
        <v>2.4300000000000002</v>
      </c>
      <c r="CZ28" s="154">
        <f t="shared" si="42"/>
        <v>2.4300000000000002</v>
      </c>
      <c r="DA28" s="154">
        <f t="shared" si="42"/>
        <v>2.4300000000000002</v>
      </c>
      <c r="DB28" s="154">
        <f t="shared" si="42"/>
        <v>2.4300000000000002</v>
      </c>
      <c r="DC28" s="154">
        <v>102</v>
      </c>
      <c r="DD28" s="154">
        <v>6</v>
      </c>
      <c r="DE28" s="154">
        <v>4</v>
      </c>
      <c r="DF28" s="154">
        <v>1400</v>
      </c>
      <c r="DG28" s="154">
        <v>125</v>
      </c>
      <c r="DH28" s="154">
        <f t="shared" si="38"/>
        <v>0.625</v>
      </c>
      <c r="DI28" s="154">
        <f t="shared" si="39"/>
        <v>10.08</v>
      </c>
    </row>
    <row r="29" spans="1:113" x14ac:dyDescent="0.2">
      <c r="A29" s="332" t="s">
        <v>1743</v>
      </c>
      <c r="B29" s="333" t="s">
        <v>488</v>
      </c>
      <c r="C29" s="333" t="s">
        <v>1648</v>
      </c>
      <c r="D29" s="233" t="str">
        <f>ECOMOD_input_estimate!$D29</f>
        <v>1.50</v>
      </c>
      <c r="E29" s="385">
        <f>ECOMOD_input_estimate!$E29</f>
        <v>6</v>
      </c>
      <c r="F29" s="386" t="str">
        <f>ECOMOD_input_estimate!$F29</f>
        <v>winterwheat</v>
      </c>
      <c r="G29" s="282" t="str">
        <f>ECOMOD_input_estimate!$G29</f>
        <v>winterbarley</v>
      </c>
      <c r="H29" s="282" t="str">
        <f>ECOMOD_input_estimate!$H29</f>
        <v>springbeans</v>
      </c>
      <c r="I29" s="282" t="str">
        <f>ECOMOD_input_estimate!I29</f>
        <v>winterwheat</v>
      </c>
      <c r="J29" s="282" t="str">
        <f>ECOMOD_input_estimate!$J29</f>
        <v>winterbarley</v>
      </c>
      <c r="K29" s="282" t="str">
        <f>ECOMOD_input_estimate!$K29</f>
        <v>springbeans</v>
      </c>
      <c r="L29" s="282" t="str">
        <f>ECOMOD_input_estimate!L29</f>
        <v>lightcultivation</v>
      </c>
      <c r="M29" s="282" t="str">
        <f>ECOMOD_input_estimate!M29</f>
        <v>lightcultivation</v>
      </c>
      <c r="N29" s="282" t="str">
        <f>ECOMOD_input_estimate!N29</f>
        <v>lightcultivation</v>
      </c>
      <c r="O29" s="282" t="str">
        <f>ECOMOD_input_estimate!O29</f>
        <v>lightcultivation</v>
      </c>
      <c r="P29" s="282" t="str">
        <f>ECOMOD_input_estimate!P29</f>
        <v>lightcultivation</v>
      </c>
      <c r="Q29" s="282" t="str">
        <f>ECOMOD_input_estimate!Q29</f>
        <v>lightcultivation</v>
      </c>
      <c r="R29" s="389">
        <f>ECOMOD_input_estimate!R29</f>
        <v>200</v>
      </c>
      <c r="S29" s="389">
        <f>ECOMOD_input_estimate!S29</f>
        <v>205</v>
      </c>
      <c r="T29" s="389">
        <f>ECOMOD_input_estimate!T29</f>
        <v>305</v>
      </c>
      <c r="U29" s="389">
        <f>ECOMOD_input_estimate!U29</f>
        <v>200</v>
      </c>
      <c r="V29" s="389">
        <f>ECOMOD_input_estimate!V29</f>
        <v>205</v>
      </c>
      <c r="W29" s="389">
        <f>ECOMOD_input_estimate!W29</f>
        <v>305</v>
      </c>
      <c r="X29" s="282" t="str">
        <f>ECOMOD_input_estimate!X29</f>
        <v>late</v>
      </c>
      <c r="Y29" s="282" t="str">
        <f>ECOMOD_input_estimate!Y29</f>
        <v>no</v>
      </c>
      <c r="Z29" s="282" t="str">
        <f>ECOMOD_input_estimate!Z29</f>
        <v>no</v>
      </c>
      <c r="AA29" s="282" t="str">
        <f>ECOMOD_input_estimate!AA29</f>
        <v>late</v>
      </c>
      <c r="AB29" s="282" t="str">
        <f>ECOMOD_input_estimate!AB29</f>
        <v>no</v>
      </c>
      <c r="AC29" s="282" t="str">
        <f>ECOMOD_input_estimate!AC29</f>
        <v>no</v>
      </c>
      <c r="AD29" s="389">
        <f>ECOMOD_input_estimate!AD29</f>
        <v>220</v>
      </c>
      <c r="AE29" s="389">
        <f>ECOMOD_input_estimate!AE29</f>
        <v>190</v>
      </c>
      <c r="AF29" s="389">
        <f>ECOMOD_input_estimate!AF29</f>
        <v>0</v>
      </c>
      <c r="AG29" s="389">
        <f>ECOMOD_input_estimate!AG29</f>
        <v>220</v>
      </c>
      <c r="AH29" s="389">
        <f>ECOMOD_input_estimate!AH29</f>
        <v>190</v>
      </c>
      <c r="AI29" s="389">
        <f>ECOMOD_input_estimate!AI29</f>
        <v>0</v>
      </c>
      <c r="AJ29" s="389">
        <f>ECOMOD_input_estimate!AJ29</f>
        <v>67</v>
      </c>
      <c r="AK29" s="389">
        <f>ECOMOD_input_estimate!AK29</f>
        <v>58</v>
      </c>
      <c r="AL29" s="389">
        <f>ECOMOD_input_estimate!AL29</f>
        <v>43</v>
      </c>
      <c r="AM29" s="389">
        <f>ECOMOD_input_estimate!AM29</f>
        <v>67</v>
      </c>
      <c r="AN29" s="389">
        <f>ECOMOD_input_estimate!AN29</f>
        <v>58</v>
      </c>
      <c r="AO29" s="389">
        <f>ECOMOD_input_estimate!AO29</f>
        <v>43</v>
      </c>
      <c r="AP29" s="389">
        <f>ECOMOD_input_estimate!AP29</f>
        <v>48</v>
      </c>
      <c r="AQ29" s="389">
        <f>ECOMOD_input_estimate!AQ29</f>
        <v>41</v>
      </c>
      <c r="AR29" s="389">
        <f>ECOMOD_input_estimate!AR29</f>
        <v>47</v>
      </c>
      <c r="AS29" s="389">
        <f>ECOMOD_input_estimate!AS29</f>
        <v>48</v>
      </c>
      <c r="AT29" s="389">
        <f>ECOMOD_input_estimate!AT29</f>
        <v>41</v>
      </c>
      <c r="AU29" s="389">
        <f>ECOMOD_input_estimate!AU29</f>
        <v>47</v>
      </c>
      <c r="AV29" s="234">
        <f t="shared" si="43"/>
        <v>9.3000000000000007</v>
      </c>
      <c r="AW29" s="234">
        <f t="shared" si="0"/>
        <v>4.5999999999999996</v>
      </c>
      <c r="AX29" s="234">
        <f t="shared" si="1"/>
        <v>5.35</v>
      </c>
      <c r="AY29" s="234">
        <f t="shared" si="44"/>
        <v>9.3000000000000007</v>
      </c>
      <c r="AZ29" s="234">
        <f t="shared" si="3"/>
        <v>4.5999999999999996</v>
      </c>
      <c r="BA29" s="234">
        <f t="shared" si="4"/>
        <v>5.35</v>
      </c>
      <c r="BB29" s="234">
        <f t="shared" si="5"/>
        <v>2</v>
      </c>
      <c r="BC29" s="234">
        <f t="shared" si="6"/>
        <v>2</v>
      </c>
      <c r="BD29" s="234">
        <f t="shared" si="7"/>
        <v>2</v>
      </c>
      <c r="BE29" s="234">
        <f t="shared" si="45"/>
        <v>2</v>
      </c>
      <c r="BF29" s="234">
        <f t="shared" si="9"/>
        <v>2</v>
      </c>
      <c r="BG29" s="234">
        <f t="shared" si="10"/>
        <v>2</v>
      </c>
      <c r="BH29" s="234">
        <f t="shared" si="11"/>
        <v>4</v>
      </c>
      <c r="BI29" s="234">
        <f t="shared" si="12"/>
        <v>3</v>
      </c>
      <c r="BJ29" s="234">
        <f t="shared" si="13"/>
        <v>3</v>
      </c>
      <c r="BK29" s="234">
        <f t="shared" si="46"/>
        <v>4</v>
      </c>
      <c r="BL29" s="234">
        <f t="shared" si="15"/>
        <v>3</v>
      </c>
      <c r="BM29" s="234">
        <f t="shared" si="16"/>
        <v>3</v>
      </c>
      <c r="BN29" s="154" t="s">
        <v>483</v>
      </c>
      <c r="BO29" s="154" t="str">
        <f t="shared" si="17"/>
        <v>medium</v>
      </c>
      <c r="BP29" s="154" t="str">
        <f t="shared" si="18"/>
        <v>low</v>
      </c>
      <c r="BQ29" s="154" t="str">
        <f t="shared" si="19"/>
        <v>low</v>
      </c>
      <c r="BR29" s="154" t="s">
        <v>18</v>
      </c>
      <c r="BS29" s="154" t="s">
        <v>18</v>
      </c>
      <c r="BT29" s="154" t="s">
        <v>18</v>
      </c>
      <c r="BU29" s="154">
        <f t="shared" si="20"/>
        <v>150</v>
      </c>
      <c r="BV29" s="154">
        <f t="shared" si="21"/>
        <v>138</v>
      </c>
      <c r="BW29" s="154">
        <f t="shared" si="22"/>
        <v>185</v>
      </c>
      <c r="BX29" s="154">
        <f t="shared" si="23"/>
        <v>150</v>
      </c>
      <c r="BY29" s="154">
        <f t="shared" si="24"/>
        <v>138</v>
      </c>
      <c r="BZ29" s="154">
        <f t="shared" si="25"/>
        <v>185</v>
      </c>
      <c r="CA29" s="356">
        <f t="array" ref="CA29">IF(yieldsetting2="estimate",0,INDEX(cropdata, MATCH(yieldsource,outputs,0), MATCH($F29,cropdatacrops,0)))</f>
        <v>8.6</v>
      </c>
      <c r="CB29" s="356">
        <f t="array" ref="CB29">IF(yieldsetting2="estimate",0,INDEX(cropdata, MATCH(yieldsource,outputs,0), MATCH($G29,cropdatacrops,0)))</f>
        <v>7.4</v>
      </c>
      <c r="CC29" s="356">
        <f t="array" ref="CC29">IF(yieldsetting2="estimate",0,INDEX(cropdata, MATCH(yieldsource,outputs,0), MATCH($H29,cropdatacrops,0)))</f>
        <v>3.9</v>
      </c>
      <c r="CD29" s="356">
        <f t="array" ref="CD29">IF(yieldsetting2="estimate",0,INDEX(cropdata, MATCH(yieldsource,outputs,0), MATCH($I29,cropdatacrops,0)))</f>
        <v>8.6</v>
      </c>
      <c r="CE29" s="356">
        <f t="array" ref="CE29">IF(yieldsetting2="estimate",0,INDEX(cropdata, MATCH(yieldsource,outputs,0), MATCH($J29,cropdatacrops,0)))</f>
        <v>7.4</v>
      </c>
      <c r="CF29" s="356">
        <f t="array" ref="CF29">IF(yieldsetting2="estimate",0,INDEX(cropdata, MATCH(yieldsource,outputs,0), MATCH($K29,cropdatacrops,0)))</f>
        <v>3.9</v>
      </c>
      <c r="CG29" s="154" t="str">
        <f t="shared" si="26"/>
        <v>actual</v>
      </c>
      <c r="CH29" s="235">
        <f t="shared" si="27"/>
        <v>0.8</v>
      </c>
      <c r="CI29" s="235">
        <f t="shared" si="28"/>
        <v>0.72</v>
      </c>
      <c r="CJ29" s="154">
        <f t="shared" si="29"/>
        <v>0.46</v>
      </c>
      <c r="CK29" s="154">
        <f t="shared" si="30"/>
        <v>0.36</v>
      </c>
      <c r="CL29" s="154">
        <f t="shared" si="31"/>
        <v>0.36</v>
      </c>
      <c r="CM29" s="154">
        <f t="shared" si="32"/>
        <v>0.38</v>
      </c>
      <c r="CN29" s="154">
        <f t="shared" si="33"/>
        <v>0.36</v>
      </c>
      <c r="CO29" s="154">
        <f t="shared" si="34"/>
        <v>0.36</v>
      </c>
      <c r="CP29" s="154">
        <f t="shared" si="35"/>
        <v>0.38</v>
      </c>
      <c r="CQ29" s="154">
        <f t="shared" si="41"/>
        <v>19.5</v>
      </c>
      <c r="CR29" s="154">
        <f t="shared" si="41"/>
        <v>19.5</v>
      </c>
      <c r="CS29" s="154">
        <f t="shared" si="41"/>
        <v>19.5</v>
      </c>
      <c r="CT29" s="154">
        <f t="shared" si="41"/>
        <v>19.5</v>
      </c>
      <c r="CU29" s="154">
        <f t="shared" si="41"/>
        <v>19.5</v>
      </c>
      <c r="CV29" s="154">
        <f t="shared" si="41"/>
        <v>19.5</v>
      </c>
      <c r="CW29" s="154">
        <f t="shared" si="42"/>
        <v>2.4300000000000002</v>
      </c>
      <c r="CX29" s="154">
        <f t="shared" si="42"/>
        <v>2.4300000000000002</v>
      </c>
      <c r="CY29" s="154">
        <f t="shared" si="42"/>
        <v>2.4300000000000002</v>
      </c>
      <c r="CZ29" s="154">
        <f t="shared" si="42"/>
        <v>2.4300000000000002</v>
      </c>
      <c r="DA29" s="154">
        <f t="shared" si="42"/>
        <v>2.4300000000000002</v>
      </c>
      <c r="DB29" s="154">
        <f t="shared" si="42"/>
        <v>2.4300000000000002</v>
      </c>
      <c r="DC29" s="154">
        <v>102</v>
      </c>
      <c r="DD29" s="154">
        <v>6</v>
      </c>
      <c r="DE29" s="154">
        <v>4</v>
      </c>
      <c r="DF29" s="154">
        <v>1400</v>
      </c>
      <c r="DG29" s="154">
        <v>125</v>
      </c>
      <c r="DH29" s="154">
        <f t="shared" si="38"/>
        <v>0.625</v>
      </c>
      <c r="DI29" s="154">
        <f t="shared" si="39"/>
        <v>10.08</v>
      </c>
    </row>
    <row r="30" spans="1:113" x14ac:dyDescent="0.2">
      <c r="A30" s="332" t="s">
        <v>1657</v>
      </c>
      <c r="B30" s="333" t="s">
        <v>491</v>
      </c>
      <c r="C30" s="333" t="s">
        <v>1655</v>
      </c>
      <c r="D30" s="233" t="str">
        <f>ECOMOD_input_estimate!$D30</f>
        <v>0.75</v>
      </c>
      <c r="E30" s="385">
        <f>ECOMOD_input_estimate!$E30</f>
        <v>6</v>
      </c>
      <c r="F30" s="386" t="str">
        <f>ECOMOD_input_estimate!$F30</f>
        <v>winterwheat</v>
      </c>
      <c r="G30" s="282" t="str">
        <f>ECOMOD_input_estimate!$G30</f>
        <v>winterbarley</v>
      </c>
      <c r="H30" s="282" t="str">
        <f>ECOMOD_input_estimate!$H30</f>
        <v>driedpeas</v>
      </c>
      <c r="I30" s="282" t="str">
        <f>ECOMOD_input_estimate!I30</f>
        <v>winterwheat</v>
      </c>
      <c r="J30" s="282" t="str">
        <f>ECOMOD_input_estimate!$J30</f>
        <v>winterbarley</v>
      </c>
      <c r="K30" s="282" t="str">
        <f>ECOMOD_input_estimate!$K30</f>
        <v>driedpeas</v>
      </c>
      <c r="L30" s="282" t="str">
        <f>ECOMOD_input_estimate!L30</f>
        <v>lightcultivation</v>
      </c>
      <c r="M30" s="282" t="str">
        <f>ECOMOD_input_estimate!M30</f>
        <v>lightcultivation</v>
      </c>
      <c r="N30" s="282" t="str">
        <f>ECOMOD_input_estimate!N30</f>
        <v>lightcultivation</v>
      </c>
      <c r="O30" s="282" t="str">
        <f>ECOMOD_input_estimate!O30</f>
        <v>lightcultivation</v>
      </c>
      <c r="P30" s="282" t="str">
        <f>ECOMOD_input_estimate!P30</f>
        <v>lightcultivation</v>
      </c>
      <c r="Q30" s="282" t="str">
        <f>ECOMOD_input_estimate!Q30</f>
        <v>lightcultivation</v>
      </c>
      <c r="R30" s="389">
        <f>ECOMOD_input_estimate!R30</f>
        <v>200</v>
      </c>
      <c r="S30" s="389">
        <f>ECOMOD_input_estimate!S30</f>
        <v>205</v>
      </c>
      <c r="T30" s="389">
        <f>ECOMOD_input_estimate!T30</f>
        <v>300</v>
      </c>
      <c r="U30" s="389">
        <f>ECOMOD_input_estimate!U30</f>
        <v>200</v>
      </c>
      <c r="V30" s="389">
        <f>ECOMOD_input_estimate!V30</f>
        <v>205</v>
      </c>
      <c r="W30" s="389">
        <f>ECOMOD_input_estimate!W30</f>
        <v>300</v>
      </c>
      <c r="X30" s="282" t="str">
        <f>ECOMOD_input_estimate!X30</f>
        <v>late</v>
      </c>
      <c r="Y30" s="282" t="str">
        <f>ECOMOD_input_estimate!Y30</f>
        <v>no</v>
      </c>
      <c r="Z30" s="282" t="str">
        <f>ECOMOD_input_estimate!Z30</f>
        <v>no</v>
      </c>
      <c r="AA30" s="282" t="str">
        <f>ECOMOD_input_estimate!AA30</f>
        <v>late</v>
      </c>
      <c r="AB30" s="282" t="str">
        <f>ECOMOD_input_estimate!AB30</f>
        <v>no</v>
      </c>
      <c r="AC30" s="282" t="str">
        <f>ECOMOD_input_estimate!AC30</f>
        <v>no</v>
      </c>
      <c r="AD30" s="389">
        <f>ECOMOD_input_estimate!AD30</f>
        <v>150</v>
      </c>
      <c r="AE30" s="389">
        <f>ECOMOD_input_estimate!AE30</f>
        <v>190</v>
      </c>
      <c r="AF30" s="389">
        <f>ECOMOD_input_estimate!AF30</f>
        <v>0</v>
      </c>
      <c r="AG30" s="389">
        <f>ECOMOD_input_estimate!AG30</f>
        <v>150</v>
      </c>
      <c r="AH30" s="389">
        <f>ECOMOD_input_estimate!AH30</f>
        <v>190</v>
      </c>
      <c r="AI30" s="389">
        <f>ECOMOD_input_estimate!AI30</f>
        <v>0</v>
      </c>
      <c r="AJ30" s="389">
        <f>ECOMOD_input_estimate!AJ30</f>
        <v>67</v>
      </c>
      <c r="AK30" s="389">
        <f>ECOMOD_input_estimate!AK30</f>
        <v>58</v>
      </c>
      <c r="AL30" s="389">
        <f>ECOMOD_input_estimate!AL30</f>
        <v>35</v>
      </c>
      <c r="AM30" s="389">
        <f>ECOMOD_input_estimate!AM30</f>
        <v>67</v>
      </c>
      <c r="AN30" s="389">
        <f>ECOMOD_input_estimate!AN30</f>
        <v>58</v>
      </c>
      <c r="AO30" s="389">
        <f>ECOMOD_input_estimate!AO30</f>
        <v>35</v>
      </c>
      <c r="AP30" s="389">
        <f>ECOMOD_input_estimate!AP30</f>
        <v>48</v>
      </c>
      <c r="AQ30" s="389">
        <f>ECOMOD_input_estimate!AQ30</f>
        <v>41</v>
      </c>
      <c r="AR30" s="389">
        <f>ECOMOD_input_estimate!AR30</f>
        <v>40</v>
      </c>
      <c r="AS30" s="389">
        <f>ECOMOD_input_estimate!AS30</f>
        <v>48</v>
      </c>
      <c r="AT30" s="389">
        <f>ECOMOD_input_estimate!AT30</f>
        <v>41</v>
      </c>
      <c r="AU30" s="389">
        <f>ECOMOD_input_estimate!AU30</f>
        <v>40</v>
      </c>
      <c r="AV30" s="234">
        <f t="shared" si="43"/>
        <v>9.3000000000000007</v>
      </c>
      <c r="AW30" s="234">
        <f t="shared" si="0"/>
        <v>4.5999999999999996</v>
      </c>
      <c r="AX30" s="234">
        <f t="shared" si="1"/>
        <v>6.5</v>
      </c>
      <c r="AY30" s="234">
        <f t="shared" si="44"/>
        <v>9.3000000000000007</v>
      </c>
      <c r="AZ30" s="234">
        <f t="shared" si="3"/>
        <v>4.5999999999999996</v>
      </c>
      <c r="BA30" s="234">
        <f t="shared" si="4"/>
        <v>6.5</v>
      </c>
      <c r="BB30" s="234">
        <f t="shared" si="5"/>
        <v>2</v>
      </c>
      <c r="BC30" s="234">
        <f t="shared" si="6"/>
        <v>2</v>
      </c>
      <c r="BD30" s="234">
        <f t="shared" si="7"/>
        <v>2</v>
      </c>
      <c r="BE30" s="234">
        <f t="shared" si="45"/>
        <v>2</v>
      </c>
      <c r="BF30" s="234">
        <f t="shared" si="9"/>
        <v>2</v>
      </c>
      <c r="BG30" s="234">
        <f t="shared" si="10"/>
        <v>2</v>
      </c>
      <c r="BH30" s="234">
        <f t="shared" si="11"/>
        <v>4</v>
      </c>
      <c r="BI30" s="234">
        <f t="shared" si="12"/>
        <v>3</v>
      </c>
      <c r="BJ30" s="234">
        <f t="shared" si="13"/>
        <v>3</v>
      </c>
      <c r="BK30" s="234">
        <f t="shared" si="46"/>
        <v>4</v>
      </c>
      <c r="BL30" s="234">
        <f t="shared" si="15"/>
        <v>3</v>
      </c>
      <c r="BM30" s="234">
        <f t="shared" si="16"/>
        <v>3</v>
      </c>
      <c r="BN30" s="154" t="s">
        <v>483</v>
      </c>
      <c r="BO30" s="154" t="str">
        <f t="shared" si="17"/>
        <v>low</v>
      </c>
      <c r="BP30" s="154" t="str">
        <f t="shared" si="18"/>
        <v>low</v>
      </c>
      <c r="BQ30" s="154" t="str">
        <f t="shared" si="19"/>
        <v>low</v>
      </c>
      <c r="BR30" s="154" t="s">
        <v>182</v>
      </c>
      <c r="BS30" s="154" t="s">
        <v>182</v>
      </c>
      <c r="BT30" s="154" t="s">
        <v>182</v>
      </c>
      <c r="BU30" s="154">
        <f t="shared" si="20"/>
        <v>150</v>
      </c>
      <c r="BV30" s="154">
        <f t="shared" si="21"/>
        <v>138</v>
      </c>
      <c r="BW30" s="154">
        <f t="shared" si="22"/>
        <v>225</v>
      </c>
      <c r="BX30" s="154">
        <f t="shared" si="23"/>
        <v>150</v>
      </c>
      <c r="BY30" s="154">
        <f t="shared" si="24"/>
        <v>138</v>
      </c>
      <c r="BZ30" s="154">
        <f t="shared" si="25"/>
        <v>225</v>
      </c>
      <c r="CA30" s="356">
        <f t="array" ref="CA30">IF(yieldsetting2="estimate",0,INDEX(cropdata, MATCH(yieldsource,outputs,0), MATCH($F30,cropdatacrops,0)))</f>
        <v>8.6</v>
      </c>
      <c r="CB30" s="356">
        <f t="array" ref="CB30">IF(yieldsetting2="estimate",0,INDEX(cropdata, MATCH(yieldsource,outputs,0), MATCH($G30,cropdatacrops,0)))</f>
        <v>7.4</v>
      </c>
      <c r="CC30" s="356">
        <f t="array" ref="CC30">IF(yieldsetting2="estimate",0,INDEX(cropdata, MATCH(yieldsource,outputs,0), MATCH($H30,cropdatacrops,0)))</f>
        <v>4</v>
      </c>
      <c r="CD30" s="356">
        <f t="array" ref="CD30">IF(yieldsetting2="estimate",0,INDEX(cropdata, MATCH(yieldsource,outputs,0), MATCH($I30,cropdatacrops,0)))</f>
        <v>8.6</v>
      </c>
      <c r="CE30" s="356">
        <f t="array" ref="CE30">IF(yieldsetting2="estimate",0,INDEX(cropdata, MATCH(yieldsource,outputs,0), MATCH($J30,cropdatacrops,0)))</f>
        <v>7.4</v>
      </c>
      <c r="CF30" s="356">
        <f t="array" ref="CF30">IF(yieldsetting2="estimate",0,INDEX(cropdata, MATCH(yieldsource,outputs,0), MATCH($K30,cropdatacrops,0)))</f>
        <v>4</v>
      </c>
      <c r="CG30" s="154" t="str">
        <f t="shared" si="26"/>
        <v>actual</v>
      </c>
      <c r="CH30" s="235">
        <f t="shared" si="27"/>
        <v>0.8</v>
      </c>
      <c r="CI30" s="235">
        <f t="shared" si="28"/>
        <v>0.72</v>
      </c>
      <c r="CJ30" s="154">
        <f t="shared" si="29"/>
        <v>0.46</v>
      </c>
      <c r="CK30" s="154">
        <f t="shared" si="30"/>
        <v>0.36</v>
      </c>
      <c r="CL30" s="154">
        <f t="shared" si="31"/>
        <v>0.36</v>
      </c>
      <c r="CM30" s="154">
        <f t="shared" si="32"/>
        <v>0.47</v>
      </c>
      <c r="CN30" s="154">
        <f t="shared" si="33"/>
        <v>0.36</v>
      </c>
      <c r="CO30" s="154">
        <f t="shared" si="34"/>
        <v>0.36</v>
      </c>
      <c r="CP30" s="154">
        <f t="shared" si="35"/>
        <v>0.47</v>
      </c>
      <c r="CQ30" s="154">
        <f t="shared" si="41"/>
        <v>19.5</v>
      </c>
      <c r="CR30" s="154">
        <f t="shared" si="41"/>
        <v>19.5</v>
      </c>
      <c r="CS30" s="154">
        <f t="shared" si="41"/>
        <v>19.5</v>
      </c>
      <c r="CT30" s="154">
        <f t="shared" si="41"/>
        <v>19.5</v>
      </c>
      <c r="CU30" s="154">
        <f t="shared" si="41"/>
        <v>19.5</v>
      </c>
      <c r="CV30" s="154">
        <f t="shared" si="41"/>
        <v>19.5</v>
      </c>
      <c r="CW30" s="154">
        <f t="shared" si="42"/>
        <v>2.4300000000000002</v>
      </c>
      <c r="CX30" s="154">
        <f t="shared" si="42"/>
        <v>2.4300000000000002</v>
      </c>
      <c r="CY30" s="154">
        <f t="shared" si="42"/>
        <v>2.4300000000000002</v>
      </c>
      <c r="CZ30" s="154">
        <f t="shared" si="42"/>
        <v>2.4300000000000002</v>
      </c>
      <c r="DA30" s="154">
        <f t="shared" si="42"/>
        <v>2.4300000000000002</v>
      </c>
      <c r="DB30" s="154">
        <f t="shared" si="42"/>
        <v>2.4300000000000002</v>
      </c>
      <c r="DC30" s="154">
        <v>102</v>
      </c>
      <c r="DD30" s="154">
        <v>6</v>
      </c>
      <c r="DE30" s="154">
        <v>4</v>
      </c>
      <c r="DF30" s="154">
        <v>1400</v>
      </c>
      <c r="DG30" s="154">
        <v>125</v>
      </c>
      <c r="DH30" s="154">
        <f t="shared" si="38"/>
        <v>0.625</v>
      </c>
      <c r="DI30" s="154">
        <f t="shared" si="39"/>
        <v>10.08</v>
      </c>
    </row>
    <row r="31" spans="1:113" x14ac:dyDescent="0.2">
      <c r="A31" s="332" t="s">
        <v>1658</v>
      </c>
      <c r="B31" s="333" t="s">
        <v>491</v>
      </c>
      <c r="C31" s="333" t="s">
        <v>1656</v>
      </c>
      <c r="D31" s="233" t="str">
        <f>ECOMOD_input_estimate!$D31</f>
        <v>0.75</v>
      </c>
      <c r="E31" s="385">
        <f>ECOMOD_input_estimate!$E31</f>
        <v>6</v>
      </c>
      <c r="F31" s="386" t="str">
        <f>ECOMOD_input_estimate!$F31</f>
        <v>winterwheat</v>
      </c>
      <c r="G31" s="282" t="str">
        <f>ECOMOD_input_estimate!$G31</f>
        <v>winterbarley</v>
      </c>
      <c r="H31" s="282" t="str">
        <f>ECOMOD_input_estimate!$H31</f>
        <v>driedpeas</v>
      </c>
      <c r="I31" s="282" t="str">
        <f>ECOMOD_input_estimate!I31</f>
        <v>winterwheat</v>
      </c>
      <c r="J31" s="282" t="str">
        <f>ECOMOD_input_estimate!$J31</f>
        <v>winterbarley</v>
      </c>
      <c r="K31" s="282" t="str">
        <f>ECOMOD_input_estimate!$K31</f>
        <v>driedpeas</v>
      </c>
      <c r="L31" s="282" t="str">
        <f>ECOMOD_input_estimate!L31</f>
        <v>lightcultivation</v>
      </c>
      <c r="M31" s="282" t="str">
        <f>ECOMOD_input_estimate!M31</f>
        <v>lightcultivation</v>
      </c>
      <c r="N31" s="282" t="str">
        <f>ECOMOD_input_estimate!N31</f>
        <v>lightcultivation</v>
      </c>
      <c r="O31" s="282" t="str">
        <f>ECOMOD_input_estimate!O31</f>
        <v>lightcultivation</v>
      </c>
      <c r="P31" s="282" t="str">
        <f>ECOMOD_input_estimate!P31</f>
        <v>lightcultivation</v>
      </c>
      <c r="Q31" s="282" t="str">
        <f>ECOMOD_input_estimate!Q31</f>
        <v>lightcultivation</v>
      </c>
      <c r="R31" s="389">
        <f>ECOMOD_input_estimate!R31</f>
        <v>200</v>
      </c>
      <c r="S31" s="389">
        <f>ECOMOD_input_estimate!S31</f>
        <v>205</v>
      </c>
      <c r="T31" s="389">
        <f>ECOMOD_input_estimate!T31</f>
        <v>300</v>
      </c>
      <c r="U31" s="389">
        <f>ECOMOD_input_estimate!U31</f>
        <v>200</v>
      </c>
      <c r="V31" s="389">
        <f>ECOMOD_input_estimate!V31</f>
        <v>205</v>
      </c>
      <c r="W31" s="389">
        <f>ECOMOD_input_estimate!W31</f>
        <v>300</v>
      </c>
      <c r="X31" s="282" t="str">
        <f>ECOMOD_input_estimate!X31</f>
        <v>late</v>
      </c>
      <c r="Y31" s="282" t="str">
        <f>ECOMOD_input_estimate!Y31</f>
        <v>no</v>
      </c>
      <c r="Z31" s="282" t="str">
        <f>ECOMOD_input_estimate!Z31</f>
        <v>no</v>
      </c>
      <c r="AA31" s="282" t="str">
        <f>ECOMOD_input_estimate!AA31</f>
        <v>late</v>
      </c>
      <c r="AB31" s="282" t="str">
        <f>ECOMOD_input_estimate!AB31</f>
        <v>no</v>
      </c>
      <c r="AC31" s="282" t="str">
        <f>ECOMOD_input_estimate!AC31</f>
        <v>no</v>
      </c>
      <c r="AD31" s="389">
        <f>ECOMOD_input_estimate!AD31</f>
        <v>150</v>
      </c>
      <c r="AE31" s="389">
        <f>ECOMOD_input_estimate!AE31</f>
        <v>190</v>
      </c>
      <c r="AF31" s="389">
        <f>ECOMOD_input_estimate!AF31</f>
        <v>0</v>
      </c>
      <c r="AG31" s="389">
        <f>ECOMOD_input_estimate!AG31</f>
        <v>150</v>
      </c>
      <c r="AH31" s="389">
        <f>ECOMOD_input_estimate!AH31</f>
        <v>190</v>
      </c>
      <c r="AI31" s="389">
        <f>ECOMOD_input_estimate!AI31</f>
        <v>0</v>
      </c>
      <c r="AJ31" s="389">
        <f>ECOMOD_input_estimate!AJ31</f>
        <v>67</v>
      </c>
      <c r="AK31" s="389">
        <f>ECOMOD_input_estimate!AK31</f>
        <v>58</v>
      </c>
      <c r="AL31" s="389">
        <f>ECOMOD_input_estimate!AL31</f>
        <v>35</v>
      </c>
      <c r="AM31" s="389">
        <f>ECOMOD_input_estimate!AM31</f>
        <v>67</v>
      </c>
      <c r="AN31" s="389">
        <f>ECOMOD_input_estimate!AN31</f>
        <v>58</v>
      </c>
      <c r="AO31" s="389">
        <f>ECOMOD_input_estimate!AO31</f>
        <v>35</v>
      </c>
      <c r="AP31" s="389">
        <f>ECOMOD_input_estimate!AP31</f>
        <v>48</v>
      </c>
      <c r="AQ31" s="389">
        <f>ECOMOD_input_estimate!AQ31</f>
        <v>41</v>
      </c>
      <c r="AR31" s="389">
        <f>ECOMOD_input_estimate!AR31</f>
        <v>40</v>
      </c>
      <c r="AS31" s="389">
        <f>ECOMOD_input_estimate!AS31</f>
        <v>48</v>
      </c>
      <c r="AT31" s="389">
        <f>ECOMOD_input_estimate!AT31</f>
        <v>41</v>
      </c>
      <c r="AU31" s="389">
        <f>ECOMOD_input_estimate!AU31</f>
        <v>40</v>
      </c>
      <c r="AV31" s="234">
        <f t="shared" si="43"/>
        <v>9.3000000000000007</v>
      </c>
      <c r="AW31" s="234">
        <f t="shared" si="0"/>
        <v>4.5999999999999996</v>
      </c>
      <c r="AX31" s="234">
        <f t="shared" si="1"/>
        <v>6.5</v>
      </c>
      <c r="AY31" s="234">
        <f t="shared" si="44"/>
        <v>9.3000000000000007</v>
      </c>
      <c r="AZ31" s="234">
        <f t="shared" si="3"/>
        <v>4.5999999999999996</v>
      </c>
      <c r="BA31" s="234">
        <f t="shared" si="4"/>
        <v>6.5</v>
      </c>
      <c r="BB31" s="234">
        <f t="shared" si="5"/>
        <v>2</v>
      </c>
      <c r="BC31" s="234">
        <f t="shared" si="6"/>
        <v>2</v>
      </c>
      <c r="BD31" s="234">
        <f t="shared" si="7"/>
        <v>2</v>
      </c>
      <c r="BE31" s="234">
        <f t="shared" si="45"/>
        <v>2</v>
      </c>
      <c r="BF31" s="234">
        <f t="shared" si="9"/>
        <v>2</v>
      </c>
      <c r="BG31" s="234">
        <f t="shared" si="10"/>
        <v>2</v>
      </c>
      <c r="BH31" s="234">
        <f t="shared" si="11"/>
        <v>4</v>
      </c>
      <c r="BI31" s="234">
        <f t="shared" si="12"/>
        <v>3</v>
      </c>
      <c r="BJ31" s="234">
        <f t="shared" si="13"/>
        <v>3</v>
      </c>
      <c r="BK31" s="234">
        <f t="shared" si="46"/>
        <v>4</v>
      </c>
      <c r="BL31" s="234">
        <f t="shared" si="15"/>
        <v>3</v>
      </c>
      <c r="BM31" s="234">
        <f t="shared" si="16"/>
        <v>3</v>
      </c>
      <c r="BN31" s="154" t="s">
        <v>483</v>
      </c>
      <c r="BO31" s="154" t="str">
        <f t="shared" si="17"/>
        <v>medium</v>
      </c>
      <c r="BP31" s="154" t="str">
        <f t="shared" si="18"/>
        <v>low</v>
      </c>
      <c r="BQ31" s="154" t="str">
        <f t="shared" si="19"/>
        <v>low</v>
      </c>
      <c r="BR31" s="154" t="s">
        <v>183</v>
      </c>
      <c r="BS31" s="154" t="s">
        <v>183</v>
      </c>
      <c r="BT31" s="154" t="s">
        <v>183</v>
      </c>
      <c r="BU31" s="154">
        <f t="shared" si="20"/>
        <v>150</v>
      </c>
      <c r="BV31" s="154">
        <f t="shared" si="21"/>
        <v>138</v>
      </c>
      <c r="BW31" s="154">
        <f t="shared" si="22"/>
        <v>225</v>
      </c>
      <c r="BX31" s="154">
        <f t="shared" si="23"/>
        <v>150</v>
      </c>
      <c r="BY31" s="154">
        <f t="shared" si="24"/>
        <v>138</v>
      </c>
      <c r="BZ31" s="154">
        <f t="shared" si="25"/>
        <v>225</v>
      </c>
      <c r="CA31" s="356">
        <f t="array" ref="CA31">IF(yieldsetting2="estimate",0,INDEX(cropdata, MATCH(yieldsource,outputs,0), MATCH($F31,cropdatacrops,0)))</f>
        <v>8.6</v>
      </c>
      <c r="CB31" s="356">
        <f t="array" ref="CB31">IF(yieldsetting2="estimate",0,INDEX(cropdata, MATCH(yieldsource,outputs,0), MATCH($G31,cropdatacrops,0)))</f>
        <v>7.4</v>
      </c>
      <c r="CC31" s="356">
        <f t="array" ref="CC31">IF(yieldsetting2="estimate",0,INDEX(cropdata, MATCH(yieldsource,outputs,0), MATCH($H31,cropdatacrops,0)))</f>
        <v>4</v>
      </c>
      <c r="CD31" s="356">
        <f t="array" ref="CD31">IF(yieldsetting2="estimate",0,INDEX(cropdata, MATCH(yieldsource,outputs,0), MATCH($I31,cropdatacrops,0)))</f>
        <v>8.6</v>
      </c>
      <c r="CE31" s="356">
        <f t="array" ref="CE31">IF(yieldsetting2="estimate",0,INDEX(cropdata, MATCH(yieldsource,outputs,0), MATCH($J31,cropdatacrops,0)))</f>
        <v>7.4</v>
      </c>
      <c r="CF31" s="356">
        <f t="array" ref="CF31">IF(yieldsetting2="estimate",0,INDEX(cropdata, MATCH(yieldsource,outputs,0), MATCH($K31,cropdatacrops,0)))</f>
        <v>4</v>
      </c>
      <c r="CG31" s="154" t="str">
        <f t="shared" si="26"/>
        <v>actual</v>
      </c>
      <c r="CH31" s="235">
        <f t="shared" si="27"/>
        <v>0.8</v>
      </c>
      <c r="CI31" s="235">
        <f t="shared" si="28"/>
        <v>0.72</v>
      </c>
      <c r="CJ31" s="154">
        <f t="shared" si="29"/>
        <v>0.46</v>
      </c>
      <c r="CK31" s="154">
        <f t="shared" si="30"/>
        <v>0.36</v>
      </c>
      <c r="CL31" s="154">
        <f t="shared" si="31"/>
        <v>0.36</v>
      </c>
      <c r="CM31" s="154">
        <f t="shared" si="32"/>
        <v>0.47</v>
      </c>
      <c r="CN31" s="154">
        <f t="shared" si="33"/>
        <v>0.36</v>
      </c>
      <c r="CO31" s="154">
        <f t="shared" si="34"/>
        <v>0.36</v>
      </c>
      <c r="CP31" s="154">
        <f t="shared" si="35"/>
        <v>0.47</v>
      </c>
      <c r="CQ31" s="154">
        <f t="shared" si="41"/>
        <v>19.5</v>
      </c>
      <c r="CR31" s="154">
        <f t="shared" si="41"/>
        <v>19.5</v>
      </c>
      <c r="CS31" s="154">
        <f t="shared" si="41"/>
        <v>19.5</v>
      </c>
      <c r="CT31" s="154">
        <f t="shared" si="41"/>
        <v>19.5</v>
      </c>
      <c r="CU31" s="154">
        <f t="shared" si="41"/>
        <v>19.5</v>
      </c>
      <c r="CV31" s="154">
        <f t="shared" si="41"/>
        <v>19.5</v>
      </c>
      <c r="CW31" s="154">
        <f t="shared" si="42"/>
        <v>2.4300000000000002</v>
      </c>
      <c r="CX31" s="154">
        <f t="shared" si="42"/>
        <v>2.4300000000000002</v>
      </c>
      <c r="CY31" s="154">
        <f t="shared" si="42"/>
        <v>2.4300000000000002</v>
      </c>
      <c r="CZ31" s="154">
        <f t="shared" si="42"/>
        <v>2.4300000000000002</v>
      </c>
      <c r="DA31" s="154">
        <f t="shared" si="42"/>
        <v>2.4300000000000002</v>
      </c>
      <c r="DB31" s="154">
        <f t="shared" si="42"/>
        <v>2.4300000000000002</v>
      </c>
      <c r="DC31" s="154">
        <v>102</v>
      </c>
      <c r="DD31" s="154">
        <v>6</v>
      </c>
      <c r="DE31" s="154">
        <v>4</v>
      </c>
      <c r="DF31" s="154">
        <v>1400</v>
      </c>
      <c r="DG31" s="154">
        <v>125</v>
      </c>
      <c r="DH31" s="154">
        <f t="shared" si="38"/>
        <v>0.625</v>
      </c>
      <c r="DI31" s="154">
        <f t="shared" si="39"/>
        <v>10.08</v>
      </c>
    </row>
    <row r="32" spans="1:113" x14ac:dyDescent="0.2">
      <c r="A32" s="332" t="s">
        <v>1665</v>
      </c>
      <c r="B32" s="333" t="s">
        <v>494</v>
      </c>
      <c r="C32" s="333" t="s">
        <v>1664</v>
      </c>
      <c r="D32" s="233" t="str">
        <f>ECOMOD_input_estimate!$D32</f>
        <v>2.25</v>
      </c>
      <c r="E32" s="385">
        <f>ECOMOD_input_estimate!$E32</f>
        <v>6</v>
      </c>
      <c r="F32" s="386" t="str">
        <f>ECOMOD_input_estimate!$F32</f>
        <v>winterwheat</v>
      </c>
      <c r="G32" s="282" t="str">
        <f>ECOMOD_input_estimate!$G32</f>
        <v>springbarley</v>
      </c>
      <c r="H32" s="282" t="str">
        <f>ECOMOD_input_estimate!$H32</f>
        <v>wosr</v>
      </c>
      <c r="I32" s="282" t="str">
        <f>ECOMOD_input_estimate!I32</f>
        <v>winterwheat</v>
      </c>
      <c r="J32" s="282" t="str">
        <f>ECOMOD_input_estimate!$J32</f>
        <v>springbarley</v>
      </c>
      <c r="K32" s="282" t="str">
        <f>ECOMOD_input_estimate!$K32</f>
        <v>wosr</v>
      </c>
      <c r="L32" s="282" t="str">
        <f>ECOMOD_input_estimate!L32</f>
        <v>inversion</v>
      </c>
      <c r="M32" s="282" t="str">
        <f>ECOMOD_input_estimate!M32</f>
        <v>minimumtillage</v>
      </c>
      <c r="N32" s="282" t="str">
        <f>ECOMOD_input_estimate!N32</f>
        <v>directdrilling</v>
      </c>
      <c r="O32" s="387" t="str">
        <f>ECOMOD_input_estimate!O32</f>
        <v>lightcultivation</v>
      </c>
      <c r="P32" s="282" t="str">
        <f>ECOMOD_input_estimate!P32</f>
        <v>minimumtillage</v>
      </c>
      <c r="Q32" s="282" t="str">
        <f>ECOMOD_input_estimate!Q32</f>
        <v>directdrilling</v>
      </c>
      <c r="R32" s="389">
        <f>ECOMOD_input_estimate!R32</f>
        <v>200</v>
      </c>
      <c r="S32" s="389">
        <f>ECOMOD_input_estimate!S32</f>
        <v>200</v>
      </c>
      <c r="T32" s="391">
        <f>ECOMOD_input_estimate!T32</f>
        <v>3.2</v>
      </c>
      <c r="U32" s="389">
        <f>ECOMOD_input_estimate!U32</f>
        <v>200</v>
      </c>
      <c r="V32" s="389">
        <f>ECOMOD_input_estimate!V32</f>
        <v>200</v>
      </c>
      <c r="W32" s="393">
        <f>ECOMOD_input_estimate!W32</f>
        <v>3.2</v>
      </c>
      <c r="X32" s="282" t="str">
        <f>ECOMOD_input_estimate!X32</f>
        <v>late</v>
      </c>
      <c r="Y32" s="282" t="str">
        <f>ECOMOD_input_estimate!Y32</f>
        <v>late</v>
      </c>
      <c r="Z32" s="282" t="str">
        <f>ECOMOD_input_estimate!Z32</f>
        <v>no</v>
      </c>
      <c r="AA32" s="282" t="str">
        <f>ECOMOD_input_estimate!AA32</f>
        <v>late</v>
      </c>
      <c r="AB32" s="282" t="str">
        <f>ECOMOD_input_estimate!AB32</f>
        <v>late</v>
      </c>
      <c r="AC32" s="282" t="str">
        <f>ECOMOD_input_estimate!AC32</f>
        <v>no</v>
      </c>
      <c r="AD32" s="389">
        <f>ECOMOD_input_estimate!AD32</f>
        <v>220</v>
      </c>
      <c r="AE32" s="389">
        <f>ECOMOD_input_estimate!AE32</f>
        <v>110</v>
      </c>
      <c r="AF32" s="389">
        <f>ECOMOD_input_estimate!AF32</f>
        <v>180</v>
      </c>
      <c r="AG32" s="389">
        <f>ECOMOD_input_estimate!AG32</f>
        <v>220</v>
      </c>
      <c r="AH32" s="389">
        <f>ECOMOD_input_estimate!AH32</f>
        <v>110</v>
      </c>
      <c r="AI32" s="389">
        <f>ECOMOD_input_estimate!AI32</f>
        <v>180</v>
      </c>
      <c r="AJ32" s="389">
        <f>ECOMOD_input_estimate!AJ32</f>
        <v>67</v>
      </c>
      <c r="AK32" s="389">
        <f>ECOMOD_input_estimate!AK32</f>
        <v>44</v>
      </c>
      <c r="AL32" s="389">
        <f>ECOMOD_input_estimate!AL32</f>
        <v>49</v>
      </c>
      <c r="AM32" s="389">
        <f>ECOMOD_input_estimate!AM32</f>
        <v>67</v>
      </c>
      <c r="AN32" s="389">
        <f>ECOMOD_input_estimate!AN32</f>
        <v>44</v>
      </c>
      <c r="AO32" s="389">
        <f>ECOMOD_input_estimate!AO32</f>
        <v>49</v>
      </c>
      <c r="AP32" s="389">
        <f>ECOMOD_input_estimate!AP32</f>
        <v>48</v>
      </c>
      <c r="AQ32" s="389">
        <f>ECOMOD_input_estimate!AQ32</f>
        <v>32</v>
      </c>
      <c r="AR32" s="389">
        <f>ECOMOD_input_estimate!AR32</f>
        <v>39</v>
      </c>
      <c r="AS32" s="389">
        <f>ECOMOD_input_estimate!AS32</f>
        <v>48</v>
      </c>
      <c r="AT32" s="389">
        <f>ECOMOD_input_estimate!AT32</f>
        <v>32</v>
      </c>
      <c r="AU32" s="389">
        <f>ECOMOD_input_estimate!AU32</f>
        <v>39</v>
      </c>
      <c r="AV32" s="234">
        <f t="shared" si="43"/>
        <v>2.9</v>
      </c>
      <c r="AW32" s="234">
        <f t="shared" si="0"/>
        <v>0.4</v>
      </c>
      <c r="AX32" s="234">
        <f t="shared" si="1"/>
        <v>7.7</v>
      </c>
      <c r="AY32" s="234">
        <f t="shared" si="44"/>
        <v>2.9</v>
      </c>
      <c r="AZ32" s="234">
        <f t="shared" si="3"/>
        <v>0.4</v>
      </c>
      <c r="BA32" s="234">
        <f t="shared" si="4"/>
        <v>7.7</v>
      </c>
      <c r="BB32" s="234">
        <f t="shared" si="5"/>
        <v>4.3</v>
      </c>
      <c r="BC32" s="234">
        <f t="shared" si="6"/>
        <v>8</v>
      </c>
      <c r="BD32" s="234">
        <f t="shared" si="7"/>
        <v>0</v>
      </c>
      <c r="BE32" s="234">
        <f t="shared" si="45"/>
        <v>4.3</v>
      </c>
      <c r="BF32" s="234">
        <f t="shared" si="9"/>
        <v>8</v>
      </c>
      <c r="BG32" s="234">
        <f t="shared" si="10"/>
        <v>0</v>
      </c>
      <c r="BH32" s="234">
        <f t="shared" si="11"/>
        <v>5</v>
      </c>
      <c r="BI32" s="234">
        <f t="shared" si="12"/>
        <v>5</v>
      </c>
      <c r="BJ32" s="234">
        <f t="shared" si="13"/>
        <v>4</v>
      </c>
      <c r="BK32" s="234">
        <f t="shared" si="46"/>
        <v>5</v>
      </c>
      <c r="BL32" s="234">
        <f t="shared" si="15"/>
        <v>5</v>
      </c>
      <c r="BM32" s="234">
        <f t="shared" si="16"/>
        <v>4</v>
      </c>
      <c r="BN32" s="154" t="s">
        <v>483</v>
      </c>
      <c r="BO32" s="154" t="str">
        <f t="shared" si="17"/>
        <v>low</v>
      </c>
      <c r="BP32" s="154" t="str">
        <f t="shared" si="18"/>
        <v>low</v>
      </c>
      <c r="BQ32" s="154" t="str">
        <f t="shared" si="19"/>
        <v>low</v>
      </c>
      <c r="BR32" s="154" t="s">
        <v>18</v>
      </c>
      <c r="BS32" s="154" t="s">
        <v>18</v>
      </c>
      <c r="BT32" s="154" t="s">
        <v>18</v>
      </c>
      <c r="BU32" s="154">
        <f t="shared" si="20"/>
        <v>150</v>
      </c>
      <c r="BV32" s="154">
        <f t="shared" si="21"/>
        <v>157</v>
      </c>
      <c r="BW32" s="154">
        <f t="shared" si="22"/>
        <v>335</v>
      </c>
      <c r="BX32" s="154">
        <f t="shared" si="23"/>
        <v>150</v>
      </c>
      <c r="BY32" s="154">
        <f t="shared" si="24"/>
        <v>157</v>
      </c>
      <c r="BZ32" s="154">
        <f t="shared" si="25"/>
        <v>335</v>
      </c>
      <c r="CA32" s="356">
        <f t="array" ref="CA32">IF(yieldsetting2="estimate",0,INDEX(cropdata, MATCH(yieldsource,outputs,0), MATCH($F32,cropdatacrops,0)))</f>
        <v>8.6</v>
      </c>
      <c r="CB32" s="356">
        <f t="array" ref="CB32">IF(yieldsetting2="estimate",0,INDEX(cropdata, MATCH(yieldsource,outputs,0), MATCH($G32,cropdatacrops,0)))</f>
        <v>5.7</v>
      </c>
      <c r="CC32" s="356">
        <f t="array" ref="CC32">IF(yieldsetting2="estimate",0,INDEX(cropdata, MATCH(yieldsource,outputs,0), MATCH($H32,cropdatacrops,0)))</f>
        <v>3.5</v>
      </c>
      <c r="CD32" s="356">
        <f t="array" ref="CD32">IF(yieldsetting2="estimate",0,INDEX(cropdata, MATCH(yieldsource,outputs,0), MATCH($I32,cropdatacrops,0)))</f>
        <v>8.6</v>
      </c>
      <c r="CE32" s="356">
        <f t="array" ref="CE32">IF(yieldsetting2="estimate",0,INDEX(cropdata, MATCH(yieldsource,outputs,0), MATCH($J32,cropdatacrops,0)))</f>
        <v>5.7</v>
      </c>
      <c r="CF32" s="356">
        <f t="array" ref="CF32">IF(yieldsetting2="estimate",0,INDEX(cropdata, MATCH(yieldsource,outputs,0), MATCH($K32,cropdatacrops,0)))</f>
        <v>3.5</v>
      </c>
      <c r="CG32" s="154" t="str">
        <f t="shared" si="26"/>
        <v>actual</v>
      </c>
      <c r="CH32" s="235">
        <f t="shared" si="27"/>
        <v>0.8</v>
      </c>
      <c r="CI32" s="235">
        <f t="shared" si="28"/>
        <v>0.72</v>
      </c>
      <c r="CJ32" s="154">
        <f t="shared" si="29"/>
        <v>0.46</v>
      </c>
      <c r="CK32" s="154">
        <f t="shared" si="30"/>
        <v>0.36</v>
      </c>
      <c r="CL32" s="154">
        <f t="shared" si="31"/>
        <v>0.38</v>
      </c>
      <c r="CM32" s="154">
        <f t="shared" si="32"/>
        <v>7.34</v>
      </c>
      <c r="CN32" s="154">
        <f t="shared" si="33"/>
        <v>0.36</v>
      </c>
      <c r="CO32" s="154">
        <f t="shared" si="34"/>
        <v>0.38</v>
      </c>
      <c r="CP32" s="154">
        <f t="shared" si="35"/>
        <v>7.34</v>
      </c>
      <c r="CQ32" s="154">
        <f t="shared" si="41"/>
        <v>19.5</v>
      </c>
      <c r="CR32" s="154">
        <f t="shared" si="41"/>
        <v>19.5</v>
      </c>
      <c r="CS32" s="154">
        <f t="shared" si="41"/>
        <v>19.5</v>
      </c>
      <c r="CT32" s="154">
        <f t="shared" si="41"/>
        <v>19.5</v>
      </c>
      <c r="CU32" s="154">
        <f t="shared" si="41"/>
        <v>19.5</v>
      </c>
      <c r="CV32" s="154">
        <f t="shared" si="41"/>
        <v>19.5</v>
      </c>
      <c r="CW32" s="154">
        <f t="shared" si="42"/>
        <v>2.4300000000000002</v>
      </c>
      <c r="CX32" s="154">
        <f t="shared" si="42"/>
        <v>2.4300000000000002</v>
      </c>
      <c r="CY32" s="154">
        <f t="shared" si="42"/>
        <v>2.4300000000000002</v>
      </c>
      <c r="CZ32" s="154">
        <f t="shared" si="42"/>
        <v>2.4300000000000002</v>
      </c>
      <c r="DA32" s="154">
        <f t="shared" si="42"/>
        <v>2.4300000000000002</v>
      </c>
      <c r="DB32" s="154">
        <f t="shared" si="42"/>
        <v>2.4300000000000002</v>
      </c>
      <c r="DC32" s="154">
        <v>102</v>
      </c>
      <c r="DD32" s="154">
        <v>6</v>
      </c>
      <c r="DE32" s="154">
        <v>4</v>
      </c>
      <c r="DF32" s="154">
        <v>1400</v>
      </c>
      <c r="DG32" s="154">
        <v>125</v>
      </c>
      <c r="DH32" s="154">
        <f t="shared" si="38"/>
        <v>0.625</v>
      </c>
      <c r="DI32" s="154">
        <f t="shared" si="39"/>
        <v>10.08</v>
      </c>
    </row>
    <row r="33" spans="1:113" x14ac:dyDescent="0.2">
      <c r="A33" s="332" t="s">
        <v>1666</v>
      </c>
      <c r="B33" s="333" t="s">
        <v>494</v>
      </c>
      <c r="C33" s="333" t="s">
        <v>1639</v>
      </c>
      <c r="D33" s="233" t="str">
        <f>ECOMOD_input_estimate!$D33</f>
        <v>2.25</v>
      </c>
      <c r="E33" s="385">
        <f>ECOMOD_input_estimate!$E33</f>
        <v>6</v>
      </c>
      <c r="F33" s="386" t="str">
        <f>ECOMOD_input_estimate!$F33</f>
        <v>winterwheat</v>
      </c>
      <c r="G33" s="282" t="str">
        <f>ECOMOD_input_estimate!$G33</f>
        <v>springbarley</v>
      </c>
      <c r="H33" s="282" t="str">
        <f>ECOMOD_input_estimate!$H33</f>
        <v>wosr</v>
      </c>
      <c r="I33" s="282" t="str">
        <f>ECOMOD_input_estimate!I33</f>
        <v>winterwheat</v>
      </c>
      <c r="J33" s="282" t="str">
        <f>ECOMOD_input_estimate!$J33</f>
        <v>springbarley</v>
      </c>
      <c r="K33" s="282" t="str">
        <f>ECOMOD_input_estimate!$K33</f>
        <v>wosr</v>
      </c>
      <c r="L33" s="282" t="str">
        <f>ECOMOD_input_estimate!L33</f>
        <v>inversion</v>
      </c>
      <c r="M33" s="282" t="str">
        <f>ECOMOD_input_estimate!M33</f>
        <v>minimumtillage</v>
      </c>
      <c r="N33" s="282" t="str">
        <f>ECOMOD_input_estimate!N33</f>
        <v>directdrilling</v>
      </c>
      <c r="O33" s="387" t="str">
        <f>ECOMOD_input_estimate!O33</f>
        <v>lightcultivation</v>
      </c>
      <c r="P33" s="282" t="str">
        <f>ECOMOD_input_estimate!P33</f>
        <v>minimumtillage</v>
      </c>
      <c r="Q33" s="282" t="str">
        <f>ECOMOD_input_estimate!Q33</f>
        <v>directdrilling</v>
      </c>
      <c r="R33" s="389">
        <f>ECOMOD_input_estimate!R33</f>
        <v>200</v>
      </c>
      <c r="S33" s="389">
        <f>ECOMOD_input_estimate!S33</f>
        <v>200</v>
      </c>
      <c r="T33" s="391">
        <f>ECOMOD_input_estimate!T33</f>
        <v>3.2</v>
      </c>
      <c r="U33" s="389">
        <f>ECOMOD_input_estimate!U33</f>
        <v>200</v>
      </c>
      <c r="V33" s="389">
        <f>ECOMOD_input_estimate!V33</f>
        <v>200</v>
      </c>
      <c r="W33" s="393">
        <f>ECOMOD_input_estimate!W33</f>
        <v>3.2</v>
      </c>
      <c r="X33" s="282" t="str">
        <f>ECOMOD_input_estimate!X33</f>
        <v>late</v>
      </c>
      <c r="Y33" s="282" t="str">
        <f>ECOMOD_input_estimate!Y33</f>
        <v>late</v>
      </c>
      <c r="Z33" s="282" t="str">
        <f>ECOMOD_input_estimate!Z33</f>
        <v>no</v>
      </c>
      <c r="AA33" s="282" t="str">
        <f>ECOMOD_input_estimate!AA33</f>
        <v>late</v>
      </c>
      <c r="AB33" s="282" t="str">
        <f>ECOMOD_input_estimate!AB33</f>
        <v>late</v>
      </c>
      <c r="AC33" s="282" t="str">
        <f>ECOMOD_input_estimate!AC33</f>
        <v>no</v>
      </c>
      <c r="AD33" s="389">
        <f>ECOMOD_input_estimate!AD33</f>
        <v>220</v>
      </c>
      <c r="AE33" s="389">
        <f>ECOMOD_input_estimate!AE33</f>
        <v>110</v>
      </c>
      <c r="AF33" s="389">
        <f>ECOMOD_input_estimate!AF33</f>
        <v>180</v>
      </c>
      <c r="AG33" s="389">
        <f>ECOMOD_input_estimate!AG33</f>
        <v>220</v>
      </c>
      <c r="AH33" s="389">
        <f>ECOMOD_input_estimate!AH33</f>
        <v>110</v>
      </c>
      <c r="AI33" s="389">
        <f>ECOMOD_input_estimate!AI33</f>
        <v>180</v>
      </c>
      <c r="AJ33" s="389">
        <f>ECOMOD_input_estimate!AJ33</f>
        <v>67</v>
      </c>
      <c r="AK33" s="389">
        <f>ECOMOD_input_estimate!AK33</f>
        <v>44</v>
      </c>
      <c r="AL33" s="389">
        <f>ECOMOD_input_estimate!AL33</f>
        <v>49</v>
      </c>
      <c r="AM33" s="389">
        <f>ECOMOD_input_estimate!AM33</f>
        <v>67</v>
      </c>
      <c r="AN33" s="389">
        <f>ECOMOD_input_estimate!AN33</f>
        <v>44</v>
      </c>
      <c r="AO33" s="389">
        <f>ECOMOD_input_estimate!AO33</f>
        <v>49</v>
      </c>
      <c r="AP33" s="389">
        <f>ECOMOD_input_estimate!AP33</f>
        <v>48</v>
      </c>
      <c r="AQ33" s="389">
        <f>ECOMOD_input_estimate!AQ33</f>
        <v>32</v>
      </c>
      <c r="AR33" s="389">
        <f>ECOMOD_input_estimate!AR33</f>
        <v>39</v>
      </c>
      <c r="AS33" s="389">
        <f>ECOMOD_input_estimate!AS33</f>
        <v>48</v>
      </c>
      <c r="AT33" s="389">
        <f>ECOMOD_input_estimate!AT33</f>
        <v>32</v>
      </c>
      <c r="AU33" s="389">
        <f>ECOMOD_input_estimate!AU33</f>
        <v>39</v>
      </c>
      <c r="AV33" s="234">
        <f t="shared" si="43"/>
        <v>2.9</v>
      </c>
      <c r="AW33" s="234">
        <f t="shared" si="0"/>
        <v>0.4</v>
      </c>
      <c r="AX33" s="234">
        <f t="shared" si="1"/>
        <v>7.7</v>
      </c>
      <c r="AY33" s="234">
        <f t="shared" si="44"/>
        <v>2.9</v>
      </c>
      <c r="AZ33" s="234">
        <f t="shared" si="3"/>
        <v>0.4</v>
      </c>
      <c r="BA33" s="234">
        <f t="shared" si="4"/>
        <v>7.7</v>
      </c>
      <c r="BB33" s="234">
        <f t="shared" si="5"/>
        <v>4.3</v>
      </c>
      <c r="BC33" s="234">
        <f t="shared" si="6"/>
        <v>8</v>
      </c>
      <c r="BD33" s="234">
        <f t="shared" si="7"/>
        <v>0</v>
      </c>
      <c r="BE33" s="234">
        <f t="shared" si="45"/>
        <v>4.3</v>
      </c>
      <c r="BF33" s="234">
        <f t="shared" si="9"/>
        <v>8</v>
      </c>
      <c r="BG33" s="234">
        <f t="shared" si="10"/>
        <v>0</v>
      </c>
      <c r="BH33" s="234">
        <f t="shared" si="11"/>
        <v>5</v>
      </c>
      <c r="BI33" s="234">
        <f t="shared" si="12"/>
        <v>5</v>
      </c>
      <c r="BJ33" s="234">
        <f t="shared" si="13"/>
        <v>4</v>
      </c>
      <c r="BK33" s="234">
        <f t="shared" si="46"/>
        <v>5</v>
      </c>
      <c r="BL33" s="234">
        <f t="shared" si="15"/>
        <v>5</v>
      </c>
      <c r="BM33" s="234">
        <f t="shared" si="16"/>
        <v>4</v>
      </c>
      <c r="BN33" s="154" t="s">
        <v>483</v>
      </c>
      <c r="BO33" s="154" t="str">
        <f t="shared" si="17"/>
        <v>medium</v>
      </c>
      <c r="BP33" s="154" t="str">
        <f t="shared" si="18"/>
        <v>low</v>
      </c>
      <c r="BQ33" s="154" t="str">
        <f t="shared" si="19"/>
        <v>low</v>
      </c>
      <c r="BR33" s="154" t="s">
        <v>182</v>
      </c>
      <c r="BS33" s="154" t="s">
        <v>182</v>
      </c>
      <c r="BT33" s="154" t="s">
        <v>182</v>
      </c>
      <c r="BU33" s="154">
        <f t="shared" si="20"/>
        <v>150</v>
      </c>
      <c r="BV33" s="154">
        <f t="shared" si="21"/>
        <v>157</v>
      </c>
      <c r="BW33" s="154">
        <f t="shared" si="22"/>
        <v>335</v>
      </c>
      <c r="BX33" s="154">
        <f t="shared" si="23"/>
        <v>150</v>
      </c>
      <c r="BY33" s="154">
        <f t="shared" si="24"/>
        <v>157</v>
      </c>
      <c r="BZ33" s="154">
        <f t="shared" si="25"/>
        <v>335</v>
      </c>
      <c r="CA33" s="356">
        <f t="array" ref="CA33">IF(yieldsetting2="estimate",0,INDEX(cropdata, MATCH(yieldsource,outputs,0), MATCH($F33,cropdatacrops,0)))</f>
        <v>8.6</v>
      </c>
      <c r="CB33" s="356">
        <f t="array" ref="CB33">IF(yieldsetting2="estimate",0,INDEX(cropdata, MATCH(yieldsource,outputs,0), MATCH($G33,cropdatacrops,0)))</f>
        <v>5.7</v>
      </c>
      <c r="CC33" s="356">
        <f t="array" ref="CC33">IF(yieldsetting2="estimate",0,INDEX(cropdata, MATCH(yieldsource,outputs,0), MATCH($H33,cropdatacrops,0)))</f>
        <v>3.5</v>
      </c>
      <c r="CD33" s="356">
        <f t="array" ref="CD33">IF(yieldsetting2="estimate",0,INDEX(cropdata, MATCH(yieldsource,outputs,0), MATCH($I33,cropdatacrops,0)))</f>
        <v>8.6</v>
      </c>
      <c r="CE33" s="356">
        <f t="array" ref="CE33">IF(yieldsetting2="estimate",0,INDEX(cropdata, MATCH(yieldsource,outputs,0), MATCH($J33,cropdatacrops,0)))</f>
        <v>5.7</v>
      </c>
      <c r="CF33" s="356">
        <f t="array" ref="CF33">IF(yieldsetting2="estimate",0,INDEX(cropdata, MATCH(yieldsource,outputs,0), MATCH($K33,cropdatacrops,0)))</f>
        <v>3.5</v>
      </c>
      <c r="CG33" s="154" t="str">
        <f t="shared" si="26"/>
        <v>actual</v>
      </c>
      <c r="CH33" s="235">
        <f t="shared" si="27"/>
        <v>0.8</v>
      </c>
      <c r="CI33" s="235">
        <f t="shared" si="28"/>
        <v>0.72</v>
      </c>
      <c r="CJ33" s="154">
        <f t="shared" si="29"/>
        <v>0.46</v>
      </c>
      <c r="CK33" s="154">
        <f t="shared" si="30"/>
        <v>0.36</v>
      </c>
      <c r="CL33" s="154">
        <f t="shared" si="31"/>
        <v>0.38</v>
      </c>
      <c r="CM33" s="154">
        <f t="shared" si="32"/>
        <v>7.34</v>
      </c>
      <c r="CN33" s="154">
        <f t="shared" si="33"/>
        <v>0.36</v>
      </c>
      <c r="CO33" s="154">
        <f t="shared" si="34"/>
        <v>0.38</v>
      </c>
      <c r="CP33" s="154">
        <f t="shared" si="35"/>
        <v>7.34</v>
      </c>
      <c r="CQ33" s="154">
        <f t="shared" si="41"/>
        <v>19.5</v>
      </c>
      <c r="CR33" s="154">
        <f t="shared" si="41"/>
        <v>19.5</v>
      </c>
      <c r="CS33" s="154">
        <f t="shared" si="41"/>
        <v>19.5</v>
      </c>
      <c r="CT33" s="154">
        <f t="shared" si="41"/>
        <v>19.5</v>
      </c>
      <c r="CU33" s="154">
        <f t="shared" si="41"/>
        <v>19.5</v>
      </c>
      <c r="CV33" s="154">
        <f t="shared" si="41"/>
        <v>19.5</v>
      </c>
      <c r="CW33" s="154">
        <f t="shared" si="42"/>
        <v>2.4300000000000002</v>
      </c>
      <c r="CX33" s="154">
        <f t="shared" si="42"/>
        <v>2.4300000000000002</v>
      </c>
      <c r="CY33" s="154">
        <f t="shared" si="42"/>
        <v>2.4300000000000002</v>
      </c>
      <c r="CZ33" s="154">
        <f t="shared" si="42"/>
        <v>2.4300000000000002</v>
      </c>
      <c r="DA33" s="154">
        <f t="shared" si="42"/>
        <v>2.4300000000000002</v>
      </c>
      <c r="DB33" s="154">
        <f t="shared" si="42"/>
        <v>2.4300000000000002</v>
      </c>
      <c r="DC33" s="154">
        <v>102</v>
      </c>
      <c r="DD33" s="154">
        <v>6</v>
      </c>
      <c r="DE33" s="154">
        <v>4</v>
      </c>
      <c r="DF33" s="154">
        <v>1400</v>
      </c>
      <c r="DG33" s="154">
        <v>125</v>
      </c>
      <c r="DH33" s="154">
        <f t="shared" si="38"/>
        <v>0.625</v>
      </c>
      <c r="DI33" s="154">
        <f t="shared" si="39"/>
        <v>10.08</v>
      </c>
    </row>
    <row r="34" spans="1:113" x14ac:dyDescent="0.2">
      <c r="A34" s="332" t="s">
        <v>1675</v>
      </c>
      <c r="B34" s="333" t="s">
        <v>497</v>
      </c>
      <c r="C34" s="333" t="s">
        <v>1673</v>
      </c>
      <c r="D34" s="233" t="str">
        <f>ECOMOD_input_estimate!$D34</f>
        <v>1.50</v>
      </c>
      <c r="E34" s="385">
        <f>ECOMOD_input_estimate!$E34</f>
        <v>6</v>
      </c>
      <c r="F34" s="386" t="str">
        <f>ECOMOD_input_estimate!$F34</f>
        <v>winterwheat</v>
      </c>
      <c r="G34" s="282" t="str">
        <f>ECOMOD_input_estimate!$G34</f>
        <v>springbarley</v>
      </c>
      <c r="H34" s="282" t="str">
        <f>ECOMOD_input_estimate!$H34</f>
        <v>wosr</v>
      </c>
      <c r="I34" s="282" t="str">
        <f>ECOMOD_input_estimate!I34</f>
        <v>winterwheat</v>
      </c>
      <c r="J34" s="282" t="str">
        <f>ECOMOD_input_estimate!$J34</f>
        <v>springbarley</v>
      </c>
      <c r="K34" s="282" t="str">
        <f>ECOMOD_input_estimate!$K34</f>
        <v>wosr</v>
      </c>
      <c r="L34" s="282" t="str">
        <f>ECOMOD_input_estimate!L34</f>
        <v>inversion</v>
      </c>
      <c r="M34" s="282" t="str">
        <f>ECOMOD_input_estimate!M34</f>
        <v>minimumtillage</v>
      </c>
      <c r="N34" s="282" t="str">
        <f>ECOMOD_input_estimate!N34</f>
        <v>directdrilling</v>
      </c>
      <c r="O34" s="387" t="str">
        <f>ECOMOD_input_estimate!O34</f>
        <v>lightcultivation</v>
      </c>
      <c r="P34" s="282" t="str">
        <f>ECOMOD_input_estimate!P34</f>
        <v>minimumtillage</v>
      </c>
      <c r="Q34" s="282" t="str">
        <f>ECOMOD_input_estimate!Q34</f>
        <v>directdrilling</v>
      </c>
      <c r="R34" s="389">
        <f>ECOMOD_input_estimate!R34</f>
        <v>200</v>
      </c>
      <c r="S34" s="389">
        <f>ECOMOD_input_estimate!S34</f>
        <v>200</v>
      </c>
      <c r="T34" s="391">
        <f>ECOMOD_input_estimate!T34</f>
        <v>3.2</v>
      </c>
      <c r="U34" s="389">
        <f>ECOMOD_input_estimate!U34</f>
        <v>200</v>
      </c>
      <c r="V34" s="389">
        <f>ECOMOD_input_estimate!V34</f>
        <v>200</v>
      </c>
      <c r="W34" s="393">
        <f>ECOMOD_input_estimate!W34</f>
        <v>3.2</v>
      </c>
      <c r="X34" s="282" t="str">
        <f>ECOMOD_input_estimate!X34</f>
        <v>late</v>
      </c>
      <c r="Y34" s="282" t="str">
        <f>ECOMOD_input_estimate!Y34</f>
        <v>late</v>
      </c>
      <c r="Z34" s="282" t="str">
        <f>ECOMOD_input_estimate!Z34</f>
        <v>no</v>
      </c>
      <c r="AA34" s="282" t="str">
        <f>ECOMOD_input_estimate!AA34</f>
        <v>late</v>
      </c>
      <c r="AB34" s="282" t="str">
        <f>ECOMOD_input_estimate!AB34</f>
        <v>late</v>
      </c>
      <c r="AC34" s="282" t="str">
        <f>ECOMOD_input_estimate!AC34</f>
        <v>no</v>
      </c>
      <c r="AD34" s="389">
        <f>ECOMOD_input_estimate!AD34</f>
        <v>220</v>
      </c>
      <c r="AE34" s="389">
        <f>ECOMOD_input_estimate!AE34</f>
        <v>110</v>
      </c>
      <c r="AF34" s="389">
        <f>ECOMOD_input_estimate!AF34</f>
        <v>180</v>
      </c>
      <c r="AG34" s="389">
        <f>ECOMOD_input_estimate!AG34</f>
        <v>220</v>
      </c>
      <c r="AH34" s="389">
        <f>ECOMOD_input_estimate!AH34</f>
        <v>110</v>
      </c>
      <c r="AI34" s="389">
        <f>ECOMOD_input_estimate!AI34</f>
        <v>180</v>
      </c>
      <c r="AJ34" s="389">
        <f>ECOMOD_input_estimate!AJ34</f>
        <v>67</v>
      </c>
      <c r="AK34" s="389">
        <f>ECOMOD_input_estimate!AK34</f>
        <v>44</v>
      </c>
      <c r="AL34" s="389">
        <f>ECOMOD_input_estimate!AL34</f>
        <v>49</v>
      </c>
      <c r="AM34" s="389">
        <f>ECOMOD_input_estimate!AM34</f>
        <v>67</v>
      </c>
      <c r="AN34" s="389">
        <f>ECOMOD_input_estimate!AN34</f>
        <v>44</v>
      </c>
      <c r="AO34" s="389">
        <f>ECOMOD_input_estimate!AO34</f>
        <v>49</v>
      </c>
      <c r="AP34" s="389">
        <f>ECOMOD_input_estimate!AP34</f>
        <v>48</v>
      </c>
      <c r="AQ34" s="389">
        <f>ECOMOD_input_estimate!AQ34</f>
        <v>32</v>
      </c>
      <c r="AR34" s="389">
        <f>ECOMOD_input_estimate!AR34</f>
        <v>39</v>
      </c>
      <c r="AS34" s="389">
        <f>ECOMOD_input_estimate!AS34</f>
        <v>48</v>
      </c>
      <c r="AT34" s="389">
        <f>ECOMOD_input_estimate!AT34</f>
        <v>32</v>
      </c>
      <c r="AU34" s="389">
        <f>ECOMOD_input_estimate!AU34</f>
        <v>39</v>
      </c>
      <c r="AV34" s="234">
        <f t="shared" si="43"/>
        <v>2.9</v>
      </c>
      <c r="AW34" s="234">
        <f t="shared" si="0"/>
        <v>0.4</v>
      </c>
      <c r="AX34" s="234">
        <f t="shared" si="1"/>
        <v>7.7</v>
      </c>
      <c r="AY34" s="234">
        <f t="shared" si="44"/>
        <v>2.9</v>
      </c>
      <c r="AZ34" s="234">
        <f t="shared" si="3"/>
        <v>0.4</v>
      </c>
      <c r="BA34" s="234">
        <f t="shared" si="4"/>
        <v>7.7</v>
      </c>
      <c r="BB34" s="234">
        <f t="shared" si="5"/>
        <v>4.3</v>
      </c>
      <c r="BC34" s="234">
        <f t="shared" si="6"/>
        <v>8</v>
      </c>
      <c r="BD34" s="234">
        <f t="shared" si="7"/>
        <v>0</v>
      </c>
      <c r="BE34" s="234">
        <f t="shared" si="45"/>
        <v>4.3</v>
      </c>
      <c r="BF34" s="234">
        <f t="shared" si="9"/>
        <v>8</v>
      </c>
      <c r="BG34" s="234">
        <f t="shared" si="10"/>
        <v>0</v>
      </c>
      <c r="BH34" s="234">
        <f t="shared" si="11"/>
        <v>5</v>
      </c>
      <c r="BI34" s="234">
        <f t="shared" si="12"/>
        <v>5</v>
      </c>
      <c r="BJ34" s="234">
        <f t="shared" si="13"/>
        <v>4</v>
      </c>
      <c r="BK34" s="234">
        <f t="shared" si="46"/>
        <v>5</v>
      </c>
      <c r="BL34" s="234">
        <f t="shared" si="15"/>
        <v>5</v>
      </c>
      <c r="BM34" s="234">
        <f t="shared" si="16"/>
        <v>4</v>
      </c>
      <c r="BN34" s="154" t="s">
        <v>483</v>
      </c>
      <c r="BO34" s="154" t="str">
        <f t="shared" si="17"/>
        <v>low</v>
      </c>
      <c r="BP34" s="154" t="str">
        <f t="shared" si="18"/>
        <v>low</v>
      </c>
      <c r="BQ34" s="154" t="str">
        <f t="shared" si="19"/>
        <v>low</v>
      </c>
      <c r="BR34" s="154" t="s">
        <v>183</v>
      </c>
      <c r="BS34" s="154" t="s">
        <v>183</v>
      </c>
      <c r="BT34" s="154" t="s">
        <v>183</v>
      </c>
      <c r="BU34" s="154">
        <f t="shared" si="20"/>
        <v>150</v>
      </c>
      <c r="BV34" s="154">
        <f t="shared" si="21"/>
        <v>157</v>
      </c>
      <c r="BW34" s="154">
        <f t="shared" si="22"/>
        <v>335</v>
      </c>
      <c r="BX34" s="154">
        <f t="shared" si="23"/>
        <v>150</v>
      </c>
      <c r="BY34" s="154">
        <f t="shared" si="24"/>
        <v>157</v>
      </c>
      <c r="BZ34" s="154">
        <f t="shared" si="25"/>
        <v>335</v>
      </c>
      <c r="CA34" s="356">
        <f t="array" ref="CA34">IF(yieldsetting2="estimate",0,INDEX(cropdata, MATCH(yieldsource,outputs,0), MATCH($F34,cropdatacrops,0)))</f>
        <v>8.6</v>
      </c>
      <c r="CB34" s="356">
        <f t="array" ref="CB34">IF(yieldsetting2="estimate",0,INDEX(cropdata, MATCH(yieldsource,outputs,0), MATCH($G34,cropdatacrops,0)))</f>
        <v>5.7</v>
      </c>
      <c r="CC34" s="356">
        <f t="array" ref="CC34">IF(yieldsetting2="estimate",0,INDEX(cropdata, MATCH(yieldsource,outputs,0), MATCH($H34,cropdatacrops,0)))</f>
        <v>3.5</v>
      </c>
      <c r="CD34" s="356">
        <f t="array" ref="CD34">IF(yieldsetting2="estimate",0,INDEX(cropdata, MATCH(yieldsource,outputs,0), MATCH($I34,cropdatacrops,0)))</f>
        <v>8.6</v>
      </c>
      <c r="CE34" s="356">
        <f t="array" ref="CE34">IF(yieldsetting2="estimate",0,INDEX(cropdata, MATCH(yieldsource,outputs,0), MATCH($J34,cropdatacrops,0)))</f>
        <v>5.7</v>
      </c>
      <c r="CF34" s="356">
        <f t="array" ref="CF34">IF(yieldsetting2="estimate",0,INDEX(cropdata, MATCH(yieldsource,outputs,0), MATCH($K34,cropdatacrops,0)))</f>
        <v>3.5</v>
      </c>
      <c r="CG34" s="154" t="str">
        <f t="shared" ref="CG34:CG55" si="47">yieldsetting2</f>
        <v>actual</v>
      </c>
      <c r="CH34" s="235">
        <f t="shared" si="27"/>
        <v>0.8</v>
      </c>
      <c r="CI34" s="235">
        <f t="shared" si="28"/>
        <v>0.72</v>
      </c>
      <c r="CJ34" s="154">
        <f t="shared" si="29"/>
        <v>0.46</v>
      </c>
      <c r="CK34" s="154">
        <f t="shared" si="30"/>
        <v>0.36</v>
      </c>
      <c r="CL34" s="154">
        <f t="shared" si="31"/>
        <v>0.38</v>
      </c>
      <c r="CM34" s="154">
        <f t="shared" si="32"/>
        <v>7.34</v>
      </c>
      <c r="CN34" s="154">
        <f t="shared" si="33"/>
        <v>0.36</v>
      </c>
      <c r="CO34" s="154">
        <f t="shared" si="34"/>
        <v>0.38</v>
      </c>
      <c r="CP34" s="154">
        <f t="shared" si="35"/>
        <v>7.34</v>
      </c>
      <c r="CQ34" s="154">
        <f t="shared" ref="CQ34:CV49" si="48">herbprice</f>
        <v>19.5</v>
      </c>
      <c r="CR34" s="154">
        <f t="shared" si="48"/>
        <v>19.5</v>
      </c>
      <c r="CS34" s="154">
        <f t="shared" si="48"/>
        <v>19.5</v>
      </c>
      <c r="CT34" s="154">
        <f t="shared" si="48"/>
        <v>19.5</v>
      </c>
      <c r="CU34" s="154">
        <f t="shared" si="48"/>
        <v>19.5</v>
      </c>
      <c r="CV34" s="154">
        <f t="shared" si="48"/>
        <v>19.5</v>
      </c>
      <c r="CW34" s="154">
        <f t="shared" ref="CW34:DB49" si="49">glyprice</f>
        <v>2.4300000000000002</v>
      </c>
      <c r="CX34" s="154">
        <f t="shared" si="49"/>
        <v>2.4300000000000002</v>
      </c>
      <c r="CY34" s="154">
        <f t="shared" si="49"/>
        <v>2.4300000000000002</v>
      </c>
      <c r="CZ34" s="154">
        <f t="shared" si="49"/>
        <v>2.4300000000000002</v>
      </c>
      <c r="DA34" s="154">
        <f t="shared" si="49"/>
        <v>2.4300000000000002</v>
      </c>
      <c r="DB34" s="154">
        <f t="shared" si="49"/>
        <v>2.4300000000000002</v>
      </c>
      <c r="DC34" s="154">
        <v>102</v>
      </c>
      <c r="DD34" s="154">
        <v>6</v>
      </c>
      <c r="DE34" s="154">
        <v>4</v>
      </c>
      <c r="DF34" s="154">
        <v>1400</v>
      </c>
      <c r="DG34" s="154">
        <v>125</v>
      </c>
      <c r="DH34" s="154">
        <f t="shared" si="38"/>
        <v>0.625</v>
      </c>
      <c r="DI34" s="154">
        <f t="shared" si="39"/>
        <v>10.08</v>
      </c>
    </row>
    <row r="35" spans="1:113" x14ac:dyDescent="0.2">
      <c r="A35" s="332" t="s">
        <v>1676</v>
      </c>
      <c r="B35" s="333" t="s">
        <v>497</v>
      </c>
      <c r="C35" s="333" t="s">
        <v>1674</v>
      </c>
      <c r="D35" s="233" t="str">
        <f>ECOMOD_input_estimate!$D35</f>
        <v>1.50</v>
      </c>
      <c r="E35" s="385">
        <f>ECOMOD_input_estimate!$E35</f>
        <v>6</v>
      </c>
      <c r="F35" s="386" t="str">
        <f>ECOMOD_input_estimate!$F35</f>
        <v>winterwheat</v>
      </c>
      <c r="G35" s="282" t="str">
        <f>ECOMOD_input_estimate!$G35</f>
        <v>springbarley</v>
      </c>
      <c r="H35" s="282" t="str">
        <f>ECOMOD_input_estimate!$H35</f>
        <v>wosr</v>
      </c>
      <c r="I35" s="282" t="str">
        <f>ECOMOD_input_estimate!I35</f>
        <v>winterwheat</v>
      </c>
      <c r="J35" s="282" t="str">
        <f>ECOMOD_input_estimate!$J35</f>
        <v>springbarley</v>
      </c>
      <c r="K35" s="282" t="str">
        <f>ECOMOD_input_estimate!$K35</f>
        <v>wosr</v>
      </c>
      <c r="L35" s="282" t="str">
        <f>ECOMOD_input_estimate!L35</f>
        <v>inversion</v>
      </c>
      <c r="M35" s="282" t="str">
        <f>ECOMOD_input_estimate!M35</f>
        <v>minimumtillage</v>
      </c>
      <c r="N35" s="282" t="str">
        <f>ECOMOD_input_estimate!N35</f>
        <v>directdrilling</v>
      </c>
      <c r="O35" s="387" t="str">
        <f>ECOMOD_input_estimate!O35</f>
        <v>lightcultivation</v>
      </c>
      <c r="P35" s="282" t="str">
        <f>ECOMOD_input_estimate!P35</f>
        <v>minimumtillage</v>
      </c>
      <c r="Q35" s="282" t="str">
        <f>ECOMOD_input_estimate!Q35</f>
        <v>directdrilling</v>
      </c>
      <c r="R35" s="389">
        <f>ECOMOD_input_estimate!R35</f>
        <v>200</v>
      </c>
      <c r="S35" s="389">
        <f>ECOMOD_input_estimate!S35</f>
        <v>200</v>
      </c>
      <c r="T35" s="391">
        <f>ECOMOD_input_estimate!T35</f>
        <v>3.2</v>
      </c>
      <c r="U35" s="389">
        <f>ECOMOD_input_estimate!U35</f>
        <v>200</v>
      </c>
      <c r="V35" s="389">
        <f>ECOMOD_input_estimate!V35</f>
        <v>200</v>
      </c>
      <c r="W35" s="393">
        <f>ECOMOD_input_estimate!W35</f>
        <v>3.2</v>
      </c>
      <c r="X35" s="282" t="str">
        <f>ECOMOD_input_estimate!X35</f>
        <v>late</v>
      </c>
      <c r="Y35" s="282" t="str">
        <f>ECOMOD_input_estimate!Y35</f>
        <v>late</v>
      </c>
      <c r="Z35" s="282" t="str">
        <f>ECOMOD_input_estimate!Z35</f>
        <v>no</v>
      </c>
      <c r="AA35" s="282" t="str">
        <f>ECOMOD_input_estimate!AA35</f>
        <v>late</v>
      </c>
      <c r="AB35" s="282" t="str">
        <f>ECOMOD_input_estimate!AB35</f>
        <v>late</v>
      </c>
      <c r="AC35" s="282" t="str">
        <f>ECOMOD_input_estimate!AC35</f>
        <v>no</v>
      </c>
      <c r="AD35" s="389">
        <f>ECOMOD_input_estimate!AD35</f>
        <v>220</v>
      </c>
      <c r="AE35" s="389">
        <f>ECOMOD_input_estimate!AE35</f>
        <v>110</v>
      </c>
      <c r="AF35" s="389">
        <f>ECOMOD_input_estimate!AF35</f>
        <v>180</v>
      </c>
      <c r="AG35" s="389">
        <f>ECOMOD_input_estimate!AG35</f>
        <v>220</v>
      </c>
      <c r="AH35" s="389">
        <f>ECOMOD_input_estimate!AH35</f>
        <v>110</v>
      </c>
      <c r="AI35" s="389">
        <f>ECOMOD_input_estimate!AI35</f>
        <v>180</v>
      </c>
      <c r="AJ35" s="389">
        <f>ECOMOD_input_estimate!AJ35</f>
        <v>67</v>
      </c>
      <c r="AK35" s="389">
        <f>ECOMOD_input_estimate!AK35</f>
        <v>44</v>
      </c>
      <c r="AL35" s="389">
        <f>ECOMOD_input_estimate!AL35</f>
        <v>49</v>
      </c>
      <c r="AM35" s="389">
        <f>ECOMOD_input_estimate!AM35</f>
        <v>67</v>
      </c>
      <c r="AN35" s="389">
        <f>ECOMOD_input_estimate!AN35</f>
        <v>44</v>
      </c>
      <c r="AO35" s="389">
        <f>ECOMOD_input_estimate!AO35</f>
        <v>49</v>
      </c>
      <c r="AP35" s="389">
        <f>ECOMOD_input_estimate!AP35</f>
        <v>48</v>
      </c>
      <c r="AQ35" s="389">
        <f>ECOMOD_input_estimate!AQ35</f>
        <v>32</v>
      </c>
      <c r="AR35" s="389">
        <f>ECOMOD_input_estimate!AR35</f>
        <v>39</v>
      </c>
      <c r="AS35" s="389">
        <f>ECOMOD_input_estimate!AS35</f>
        <v>48</v>
      </c>
      <c r="AT35" s="389">
        <f>ECOMOD_input_estimate!AT35</f>
        <v>32</v>
      </c>
      <c r="AU35" s="389">
        <f>ECOMOD_input_estimate!AU35</f>
        <v>39</v>
      </c>
      <c r="AV35" s="234">
        <f t="shared" si="43"/>
        <v>2.9</v>
      </c>
      <c r="AW35" s="234">
        <f t="shared" si="0"/>
        <v>0.4</v>
      </c>
      <c r="AX35" s="234">
        <f t="shared" si="1"/>
        <v>7.7</v>
      </c>
      <c r="AY35" s="234">
        <f t="shared" si="44"/>
        <v>2.9</v>
      </c>
      <c r="AZ35" s="234">
        <f t="shared" si="3"/>
        <v>0.4</v>
      </c>
      <c r="BA35" s="234">
        <f t="shared" si="4"/>
        <v>7.7</v>
      </c>
      <c r="BB35" s="234">
        <f t="shared" si="5"/>
        <v>4.3</v>
      </c>
      <c r="BC35" s="234">
        <f t="shared" si="6"/>
        <v>8</v>
      </c>
      <c r="BD35" s="234">
        <f t="shared" si="7"/>
        <v>0</v>
      </c>
      <c r="BE35" s="234">
        <f t="shared" si="45"/>
        <v>4.3</v>
      </c>
      <c r="BF35" s="234">
        <f t="shared" si="9"/>
        <v>8</v>
      </c>
      <c r="BG35" s="234">
        <f t="shared" si="10"/>
        <v>0</v>
      </c>
      <c r="BH35" s="234">
        <f t="shared" si="11"/>
        <v>5</v>
      </c>
      <c r="BI35" s="234">
        <f t="shared" si="12"/>
        <v>5</v>
      </c>
      <c r="BJ35" s="234">
        <f t="shared" si="13"/>
        <v>4</v>
      </c>
      <c r="BK35" s="234">
        <f t="shared" si="46"/>
        <v>5</v>
      </c>
      <c r="BL35" s="234">
        <f t="shared" si="15"/>
        <v>5</v>
      </c>
      <c r="BM35" s="234">
        <f t="shared" si="16"/>
        <v>4</v>
      </c>
      <c r="BN35" s="154" t="s">
        <v>483</v>
      </c>
      <c r="BO35" s="154" t="str">
        <f t="shared" si="17"/>
        <v>medium</v>
      </c>
      <c r="BP35" s="154" t="str">
        <f t="shared" si="18"/>
        <v>low</v>
      </c>
      <c r="BQ35" s="154" t="str">
        <f t="shared" si="19"/>
        <v>low</v>
      </c>
      <c r="BR35" s="154" t="s">
        <v>18</v>
      </c>
      <c r="BS35" s="154" t="s">
        <v>18</v>
      </c>
      <c r="BT35" s="154" t="s">
        <v>18</v>
      </c>
      <c r="BU35" s="154">
        <f t="shared" si="20"/>
        <v>150</v>
      </c>
      <c r="BV35" s="154">
        <f t="shared" si="21"/>
        <v>157</v>
      </c>
      <c r="BW35" s="154">
        <f t="shared" si="22"/>
        <v>335</v>
      </c>
      <c r="BX35" s="154">
        <f t="shared" si="23"/>
        <v>150</v>
      </c>
      <c r="BY35" s="154">
        <f t="shared" si="24"/>
        <v>157</v>
      </c>
      <c r="BZ35" s="154">
        <f t="shared" si="25"/>
        <v>335</v>
      </c>
      <c r="CA35" s="356">
        <f t="array" ref="CA35">IF(yieldsetting2="estimate",0,INDEX(cropdata, MATCH(yieldsource,outputs,0), MATCH($F35,cropdatacrops,0)))</f>
        <v>8.6</v>
      </c>
      <c r="CB35" s="356">
        <f t="array" ref="CB35">IF(yieldsetting2="estimate",0,INDEX(cropdata, MATCH(yieldsource,outputs,0), MATCH($G35,cropdatacrops,0)))</f>
        <v>5.7</v>
      </c>
      <c r="CC35" s="356">
        <f t="array" ref="CC35">IF(yieldsetting2="estimate",0,INDEX(cropdata, MATCH(yieldsource,outputs,0), MATCH($H35,cropdatacrops,0)))</f>
        <v>3.5</v>
      </c>
      <c r="CD35" s="356">
        <f t="array" ref="CD35">IF(yieldsetting2="estimate",0,INDEX(cropdata, MATCH(yieldsource,outputs,0), MATCH($I35,cropdatacrops,0)))</f>
        <v>8.6</v>
      </c>
      <c r="CE35" s="356">
        <f t="array" ref="CE35">IF(yieldsetting2="estimate",0,INDEX(cropdata, MATCH(yieldsource,outputs,0), MATCH($J35,cropdatacrops,0)))</f>
        <v>5.7</v>
      </c>
      <c r="CF35" s="356">
        <f t="array" ref="CF35">IF(yieldsetting2="estimate",0,INDEX(cropdata, MATCH(yieldsource,outputs,0), MATCH($K35,cropdatacrops,0)))</f>
        <v>3.5</v>
      </c>
      <c r="CG35" s="154" t="str">
        <f t="shared" si="47"/>
        <v>actual</v>
      </c>
      <c r="CH35" s="235">
        <f t="shared" si="27"/>
        <v>0.8</v>
      </c>
      <c r="CI35" s="235">
        <f t="shared" si="28"/>
        <v>0.72</v>
      </c>
      <c r="CJ35" s="154">
        <f t="shared" si="29"/>
        <v>0.46</v>
      </c>
      <c r="CK35" s="154">
        <f t="shared" si="30"/>
        <v>0.36</v>
      </c>
      <c r="CL35" s="154">
        <f t="shared" si="31"/>
        <v>0.38</v>
      </c>
      <c r="CM35" s="154">
        <f t="shared" si="32"/>
        <v>7.34</v>
      </c>
      <c r="CN35" s="154">
        <f t="shared" si="33"/>
        <v>0.36</v>
      </c>
      <c r="CO35" s="154">
        <f t="shared" si="34"/>
        <v>0.38</v>
      </c>
      <c r="CP35" s="154">
        <f t="shared" si="35"/>
        <v>7.34</v>
      </c>
      <c r="CQ35" s="154">
        <f t="shared" si="48"/>
        <v>19.5</v>
      </c>
      <c r="CR35" s="154">
        <f t="shared" si="48"/>
        <v>19.5</v>
      </c>
      <c r="CS35" s="154">
        <f t="shared" si="48"/>
        <v>19.5</v>
      </c>
      <c r="CT35" s="154">
        <f t="shared" si="48"/>
        <v>19.5</v>
      </c>
      <c r="CU35" s="154">
        <f t="shared" si="48"/>
        <v>19.5</v>
      </c>
      <c r="CV35" s="154">
        <f t="shared" si="48"/>
        <v>19.5</v>
      </c>
      <c r="CW35" s="154">
        <f t="shared" si="49"/>
        <v>2.4300000000000002</v>
      </c>
      <c r="CX35" s="154">
        <f t="shared" si="49"/>
        <v>2.4300000000000002</v>
      </c>
      <c r="CY35" s="154">
        <f t="shared" si="49"/>
        <v>2.4300000000000002</v>
      </c>
      <c r="CZ35" s="154">
        <f t="shared" si="49"/>
        <v>2.4300000000000002</v>
      </c>
      <c r="DA35" s="154">
        <f t="shared" si="49"/>
        <v>2.4300000000000002</v>
      </c>
      <c r="DB35" s="154">
        <f t="shared" si="49"/>
        <v>2.4300000000000002</v>
      </c>
      <c r="DC35" s="154">
        <v>102</v>
      </c>
      <c r="DD35" s="154">
        <v>6</v>
      </c>
      <c r="DE35" s="154">
        <v>4</v>
      </c>
      <c r="DF35" s="154">
        <v>1400</v>
      </c>
      <c r="DG35" s="154">
        <v>125</v>
      </c>
      <c r="DH35" s="154">
        <f t="shared" si="38"/>
        <v>0.625</v>
      </c>
      <c r="DI35" s="154">
        <f t="shared" si="39"/>
        <v>10.08</v>
      </c>
    </row>
    <row r="36" spans="1:113" x14ac:dyDescent="0.2">
      <c r="A36" s="332" t="s">
        <v>1685</v>
      </c>
      <c r="B36" s="333" t="s">
        <v>500</v>
      </c>
      <c r="C36" s="333" t="s">
        <v>1683</v>
      </c>
      <c r="D36" s="233" t="str">
        <f>ECOMOD_input_estimate!$D36</f>
        <v>0.75</v>
      </c>
      <c r="E36" s="385">
        <f>ECOMOD_input_estimate!$E36</f>
        <v>6</v>
      </c>
      <c r="F36" s="386" t="str">
        <f>ECOMOD_input_estimate!$F36</f>
        <v>winterwheat</v>
      </c>
      <c r="G36" s="282" t="str">
        <f>ECOMOD_input_estimate!$G36</f>
        <v>springbarley</v>
      </c>
      <c r="H36" s="282" t="str">
        <f>ECOMOD_input_estimate!$H36</f>
        <v>wosr</v>
      </c>
      <c r="I36" s="282" t="str">
        <f>ECOMOD_input_estimate!I36</f>
        <v>winterwheat</v>
      </c>
      <c r="J36" s="282" t="str">
        <f>ECOMOD_input_estimate!$J36</f>
        <v>springbarley</v>
      </c>
      <c r="K36" s="282" t="str">
        <f>ECOMOD_input_estimate!$K36</f>
        <v>wosr</v>
      </c>
      <c r="L36" s="282" t="str">
        <f>ECOMOD_input_estimate!L36</f>
        <v>inversion</v>
      </c>
      <c r="M36" s="282" t="str">
        <f>ECOMOD_input_estimate!M36</f>
        <v>minimumtillage</v>
      </c>
      <c r="N36" s="282" t="str">
        <f>ECOMOD_input_estimate!N36</f>
        <v>directdrilling</v>
      </c>
      <c r="O36" s="387" t="str">
        <f>ECOMOD_input_estimate!O36</f>
        <v>lightcultivation</v>
      </c>
      <c r="P36" s="282" t="str">
        <f>ECOMOD_input_estimate!P36</f>
        <v>minimumtillage</v>
      </c>
      <c r="Q36" s="282" t="str">
        <f>ECOMOD_input_estimate!Q36</f>
        <v>directdrilling</v>
      </c>
      <c r="R36" s="389">
        <f>ECOMOD_input_estimate!R36</f>
        <v>200</v>
      </c>
      <c r="S36" s="389">
        <f>ECOMOD_input_estimate!S36</f>
        <v>200</v>
      </c>
      <c r="T36" s="391">
        <f>ECOMOD_input_estimate!T36</f>
        <v>3.2</v>
      </c>
      <c r="U36" s="389">
        <f>ECOMOD_input_estimate!U36</f>
        <v>200</v>
      </c>
      <c r="V36" s="389">
        <f>ECOMOD_input_estimate!V36</f>
        <v>200</v>
      </c>
      <c r="W36" s="393">
        <f>ECOMOD_input_estimate!W36</f>
        <v>3.2</v>
      </c>
      <c r="X36" s="282" t="str">
        <f>ECOMOD_input_estimate!X36</f>
        <v>late</v>
      </c>
      <c r="Y36" s="282" t="str">
        <f>ECOMOD_input_estimate!Y36</f>
        <v>late</v>
      </c>
      <c r="Z36" s="282" t="str">
        <f>ECOMOD_input_estimate!Z36</f>
        <v>no</v>
      </c>
      <c r="AA36" s="282" t="str">
        <f>ECOMOD_input_estimate!AA36</f>
        <v>late</v>
      </c>
      <c r="AB36" s="282" t="str">
        <f>ECOMOD_input_estimate!AB36</f>
        <v>late</v>
      </c>
      <c r="AC36" s="282" t="str">
        <f>ECOMOD_input_estimate!AC36</f>
        <v>no</v>
      </c>
      <c r="AD36" s="389">
        <f>ECOMOD_input_estimate!AD36</f>
        <v>150</v>
      </c>
      <c r="AE36" s="389">
        <f>ECOMOD_input_estimate!AE36</f>
        <v>110</v>
      </c>
      <c r="AF36" s="389">
        <f>ECOMOD_input_estimate!AF36</f>
        <v>180</v>
      </c>
      <c r="AG36" s="389">
        <f>ECOMOD_input_estimate!AG36</f>
        <v>150</v>
      </c>
      <c r="AH36" s="389">
        <f>ECOMOD_input_estimate!AH36</f>
        <v>110</v>
      </c>
      <c r="AI36" s="389">
        <f>ECOMOD_input_estimate!AI36</f>
        <v>180</v>
      </c>
      <c r="AJ36" s="389">
        <f>ECOMOD_input_estimate!AJ36</f>
        <v>67</v>
      </c>
      <c r="AK36" s="389">
        <f>ECOMOD_input_estimate!AK36</f>
        <v>44</v>
      </c>
      <c r="AL36" s="389">
        <f>ECOMOD_input_estimate!AL36</f>
        <v>49</v>
      </c>
      <c r="AM36" s="389">
        <f>ECOMOD_input_estimate!AM36</f>
        <v>67</v>
      </c>
      <c r="AN36" s="389">
        <f>ECOMOD_input_estimate!AN36</f>
        <v>44</v>
      </c>
      <c r="AO36" s="389">
        <f>ECOMOD_input_estimate!AO36</f>
        <v>49</v>
      </c>
      <c r="AP36" s="389">
        <f>ECOMOD_input_estimate!AP36</f>
        <v>48</v>
      </c>
      <c r="AQ36" s="389">
        <f>ECOMOD_input_estimate!AQ36</f>
        <v>32</v>
      </c>
      <c r="AR36" s="389">
        <f>ECOMOD_input_estimate!AR36</f>
        <v>39</v>
      </c>
      <c r="AS36" s="389">
        <f>ECOMOD_input_estimate!AS36</f>
        <v>48</v>
      </c>
      <c r="AT36" s="389">
        <f>ECOMOD_input_estimate!AT36</f>
        <v>32</v>
      </c>
      <c r="AU36" s="389">
        <f>ECOMOD_input_estimate!AU36</f>
        <v>39</v>
      </c>
      <c r="AV36" s="234">
        <f t="shared" si="43"/>
        <v>2.9</v>
      </c>
      <c r="AW36" s="234">
        <f t="shared" si="0"/>
        <v>0.4</v>
      </c>
      <c r="AX36" s="234">
        <f t="shared" si="1"/>
        <v>7.7</v>
      </c>
      <c r="AY36" s="234">
        <f t="shared" si="44"/>
        <v>2.9</v>
      </c>
      <c r="AZ36" s="234">
        <f t="shared" si="3"/>
        <v>0.4</v>
      </c>
      <c r="BA36" s="234">
        <f t="shared" si="4"/>
        <v>7.7</v>
      </c>
      <c r="BB36" s="234">
        <f t="shared" si="5"/>
        <v>4.3</v>
      </c>
      <c r="BC36" s="234">
        <f t="shared" si="6"/>
        <v>8</v>
      </c>
      <c r="BD36" s="234">
        <f t="shared" si="7"/>
        <v>0</v>
      </c>
      <c r="BE36" s="234">
        <f t="shared" si="45"/>
        <v>4.3</v>
      </c>
      <c r="BF36" s="234">
        <f t="shared" si="9"/>
        <v>8</v>
      </c>
      <c r="BG36" s="234">
        <f t="shared" si="10"/>
        <v>0</v>
      </c>
      <c r="BH36" s="234">
        <f t="shared" si="11"/>
        <v>5</v>
      </c>
      <c r="BI36" s="234">
        <f t="shared" si="12"/>
        <v>5</v>
      </c>
      <c r="BJ36" s="234">
        <f t="shared" si="13"/>
        <v>4</v>
      </c>
      <c r="BK36" s="234">
        <f t="shared" si="46"/>
        <v>5</v>
      </c>
      <c r="BL36" s="234">
        <f t="shared" si="15"/>
        <v>5</v>
      </c>
      <c r="BM36" s="234">
        <f t="shared" si="16"/>
        <v>4</v>
      </c>
      <c r="BN36" s="154" t="s">
        <v>483</v>
      </c>
      <c r="BO36" s="154" t="str">
        <f t="shared" si="17"/>
        <v>low</v>
      </c>
      <c r="BP36" s="154" t="str">
        <f t="shared" si="18"/>
        <v>low</v>
      </c>
      <c r="BQ36" s="154" t="str">
        <f t="shared" si="19"/>
        <v>low</v>
      </c>
      <c r="BR36" s="154" t="s">
        <v>182</v>
      </c>
      <c r="BS36" s="154" t="s">
        <v>182</v>
      </c>
      <c r="BT36" s="154" t="s">
        <v>182</v>
      </c>
      <c r="BU36" s="154">
        <f t="shared" si="20"/>
        <v>150</v>
      </c>
      <c r="BV36" s="154">
        <f t="shared" si="21"/>
        <v>157</v>
      </c>
      <c r="BW36" s="154">
        <f t="shared" si="22"/>
        <v>335</v>
      </c>
      <c r="BX36" s="154">
        <f t="shared" si="23"/>
        <v>150</v>
      </c>
      <c r="BY36" s="154">
        <f t="shared" si="24"/>
        <v>157</v>
      </c>
      <c r="BZ36" s="154">
        <f t="shared" si="25"/>
        <v>335</v>
      </c>
      <c r="CA36" s="356">
        <f t="array" ref="CA36">IF(yieldsetting2="estimate",0,INDEX(cropdata, MATCH(yieldsource,outputs,0), MATCH($F36,cropdatacrops,0)))</f>
        <v>8.6</v>
      </c>
      <c r="CB36" s="356">
        <f t="array" ref="CB36">IF(yieldsetting2="estimate",0,INDEX(cropdata, MATCH(yieldsource,outputs,0), MATCH($G36,cropdatacrops,0)))</f>
        <v>5.7</v>
      </c>
      <c r="CC36" s="356">
        <f t="array" ref="CC36">IF(yieldsetting2="estimate",0,INDEX(cropdata, MATCH(yieldsource,outputs,0), MATCH($H36,cropdatacrops,0)))</f>
        <v>3.5</v>
      </c>
      <c r="CD36" s="356">
        <f t="array" ref="CD36">IF(yieldsetting2="estimate",0,INDEX(cropdata, MATCH(yieldsource,outputs,0), MATCH($I36,cropdatacrops,0)))</f>
        <v>8.6</v>
      </c>
      <c r="CE36" s="356">
        <f t="array" ref="CE36">IF(yieldsetting2="estimate",0,INDEX(cropdata, MATCH(yieldsource,outputs,0), MATCH($J36,cropdatacrops,0)))</f>
        <v>5.7</v>
      </c>
      <c r="CF36" s="356">
        <f t="array" ref="CF36">IF(yieldsetting2="estimate",0,INDEX(cropdata, MATCH(yieldsource,outputs,0), MATCH($K36,cropdatacrops,0)))</f>
        <v>3.5</v>
      </c>
      <c r="CG36" s="154" t="str">
        <f t="shared" si="47"/>
        <v>actual</v>
      </c>
      <c r="CH36" s="235">
        <f t="shared" si="27"/>
        <v>0.8</v>
      </c>
      <c r="CI36" s="235">
        <f t="shared" si="28"/>
        <v>0.72</v>
      </c>
      <c r="CJ36" s="154">
        <f t="shared" si="29"/>
        <v>0.46</v>
      </c>
      <c r="CK36" s="154">
        <f t="shared" si="30"/>
        <v>0.36</v>
      </c>
      <c r="CL36" s="154">
        <f t="shared" si="31"/>
        <v>0.38</v>
      </c>
      <c r="CM36" s="154">
        <f t="shared" si="32"/>
        <v>7.34</v>
      </c>
      <c r="CN36" s="154">
        <f t="shared" si="33"/>
        <v>0.36</v>
      </c>
      <c r="CO36" s="154">
        <f t="shared" si="34"/>
        <v>0.38</v>
      </c>
      <c r="CP36" s="154">
        <f t="shared" si="35"/>
        <v>7.34</v>
      </c>
      <c r="CQ36" s="154">
        <f t="shared" si="48"/>
        <v>19.5</v>
      </c>
      <c r="CR36" s="154">
        <f t="shared" si="48"/>
        <v>19.5</v>
      </c>
      <c r="CS36" s="154">
        <f t="shared" si="48"/>
        <v>19.5</v>
      </c>
      <c r="CT36" s="154">
        <f t="shared" si="48"/>
        <v>19.5</v>
      </c>
      <c r="CU36" s="154">
        <f t="shared" si="48"/>
        <v>19.5</v>
      </c>
      <c r="CV36" s="154">
        <f t="shared" si="48"/>
        <v>19.5</v>
      </c>
      <c r="CW36" s="154">
        <f t="shared" si="49"/>
        <v>2.4300000000000002</v>
      </c>
      <c r="CX36" s="154">
        <f t="shared" si="49"/>
        <v>2.4300000000000002</v>
      </c>
      <c r="CY36" s="154">
        <f t="shared" si="49"/>
        <v>2.4300000000000002</v>
      </c>
      <c r="CZ36" s="154">
        <f t="shared" si="49"/>
        <v>2.4300000000000002</v>
      </c>
      <c r="DA36" s="154">
        <f t="shared" si="49"/>
        <v>2.4300000000000002</v>
      </c>
      <c r="DB36" s="154">
        <f t="shared" si="49"/>
        <v>2.4300000000000002</v>
      </c>
      <c r="DC36" s="154">
        <v>102</v>
      </c>
      <c r="DD36" s="154">
        <v>6</v>
      </c>
      <c r="DE36" s="154">
        <v>4</v>
      </c>
      <c r="DF36" s="154">
        <v>1400</v>
      </c>
      <c r="DG36" s="154">
        <v>125</v>
      </c>
      <c r="DH36" s="154">
        <f t="shared" si="38"/>
        <v>0.625</v>
      </c>
      <c r="DI36" s="154">
        <f t="shared" si="39"/>
        <v>10.08</v>
      </c>
    </row>
    <row r="37" spans="1:113" x14ac:dyDescent="0.2">
      <c r="A37" s="332" t="s">
        <v>1686</v>
      </c>
      <c r="B37" s="333" t="s">
        <v>500</v>
      </c>
      <c r="C37" s="333" t="s">
        <v>1684</v>
      </c>
      <c r="D37" s="233" t="str">
        <f>ECOMOD_input_estimate!$D37</f>
        <v>0.75</v>
      </c>
      <c r="E37" s="385">
        <f>ECOMOD_input_estimate!$E37</f>
        <v>6</v>
      </c>
      <c r="F37" s="386" t="str">
        <f>ECOMOD_input_estimate!$F37</f>
        <v>winterwheat</v>
      </c>
      <c r="G37" s="282" t="str">
        <f>ECOMOD_input_estimate!$G37</f>
        <v>springbarley</v>
      </c>
      <c r="H37" s="282" t="str">
        <f>ECOMOD_input_estimate!$H37</f>
        <v>wosr</v>
      </c>
      <c r="I37" s="282" t="str">
        <f>ECOMOD_input_estimate!I37</f>
        <v>winterwheat</v>
      </c>
      <c r="J37" s="282" t="str">
        <f>ECOMOD_input_estimate!$J37</f>
        <v>springbarley</v>
      </c>
      <c r="K37" s="282" t="str">
        <f>ECOMOD_input_estimate!$K37</f>
        <v>wosr</v>
      </c>
      <c r="L37" s="282" t="str">
        <f>ECOMOD_input_estimate!L37</f>
        <v>inversion</v>
      </c>
      <c r="M37" s="282" t="str">
        <f>ECOMOD_input_estimate!M37</f>
        <v>minimumtillage</v>
      </c>
      <c r="N37" s="282" t="str">
        <f>ECOMOD_input_estimate!N37</f>
        <v>directdrilling</v>
      </c>
      <c r="O37" s="387" t="str">
        <f>ECOMOD_input_estimate!O37</f>
        <v>lightcultivation</v>
      </c>
      <c r="P37" s="282" t="str">
        <f>ECOMOD_input_estimate!P37</f>
        <v>minimumtillage</v>
      </c>
      <c r="Q37" s="282" t="str">
        <f>ECOMOD_input_estimate!Q37</f>
        <v>directdrilling</v>
      </c>
      <c r="R37" s="389">
        <f>ECOMOD_input_estimate!R37</f>
        <v>200</v>
      </c>
      <c r="S37" s="389">
        <f>ECOMOD_input_estimate!S37</f>
        <v>200</v>
      </c>
      <c r="T37" s="391">
        <f>ECOMOD_input_estimate!T37</f>
        <v>3.2</v>
      </c>
      <c r="U37" s="389">
        <f>ECOMOD_input_estimate!U37</f>
        <v>200</v>
      </c>
      <c r="V37" s="389">
        <f>ECOMOD_input_estimate!V37</f>
        <v>200</v>
      </c>
      <c r="W37" s="393">
        <f>ECOMOD_input_estimate!W37</f>
        <v>3.2</v>
      </c>
      <c r="X37" s="282" t="str">
        <f>ECOMOD_input_estimate!X37</f>
        <v>late</v>
      </c>
      <c r="Y37" s="282" t="str">
        <f>ECOMOD_input_estimate!Y37</f>
        <v>late</v>
      </c>
      <c r="Z37" s="282" t="str">
        <f>ECOMOD_input_estimate!Z37</f>
        <v>no</v>
      </c>
      <c r="AA37" s="282" t="str">
        <f>ECOMOD_input_estimate!AA37</f>
        <v>late</v>
      </c>
      <c r="AB37" s="282" t="str">
        <f>ECOMOD_input_estimate!AB37</f>
        <v>late</v>
      </c>
      <c r="AC37" s="282" t="str">
        <f>ECOMOD_input_estimate!AC37</f>
        <v>no</v>
      </c>
      <c r="AD37" s="389">
        <f>ECOMOD_input_estimate!AD37</f>
        <v>150</v>
      </c>
      <c r="AE37" s="389">
        <f>ECOMOD_input_estimate!AE37</f>
        <v>110</v>
      </c>
      <c r="AF37" s="389">
        <f>ECOMOD_input_estimate!AF37</f>
        <v>180</v>
      </c>
      <c r="AG37" s="389">
        <f>ECOMOD_input_estimate!AG37</f>
        <v>150</v>
      </c>
      <c r="AH37" s="389">
        <f>ECOMOD_input_estimate!AH37</f>
        <v>110</v>
      </c>
      <c r="AI37" s="389">
        <f>ECOMOD_input_estimate!AI37</f>
        <v>180</v>
      </c>
      <c r="AJ37" s="389">
        <f>ECOMOD_input_estimate!AJ37</f>
        <v>67</v>
      </c>
      <c r="AK37" s="389">
        <f>ECOMOD_input_estimate!AK37</f>
        <v>44</v>
      </c>
      <c r="AL37" s="389">
        <f>ECOMOD_input_estimate!AL37</f>
        <v>49</v>
      </c>
      <c r="AM37" s="389">
        <f>ECOMOD_input_estimate!AM37</f>
        <v>67</v>
      </c>
      <c r="AN37" s="389">
        <f>ECOMOD_input_estimate!AN37</f>
        <v>44</v>
      </c>
      <c r="AO37" s="389">
        <f>ECOMOD_input_estimate!AO37</f>
        <v>49</v>
      </c>
      <c r="AP37" s="389">
        <f>ECOMOD_input_estimate!AP37</f>
        <v>48</v>
      </c>
      <c r="AQ37" s="389">
        <f>ECOMOD_input_estimate!AQ37</f>
        <v>32</v>
      </c>
      <c r="AR37" s="389">
        <f>ECOMOD_input_estimate!AR37</f>
        <v>39</v>
      </c>
      <c r="AS37" s="389">
        <f>ECOMOD_input_estimate!AS37</f>
        <v>48</v>
      </c>
      <c r="AT37" s="389">
        <f>ECOMOD_input_estimate!AT37</f>
        <v>32</v>
      </c>
      <c r="AU37" s="389">
        <f>ECOMOD_input_estimate!AU37</f>
        <v>39</v>
      </c>
      <c r="AV37" s="234">
        <f t="shared" si="43"/>
        <v>2.9</v>
      </c>
      <c r="AW37" s="234">
        <f t="shared" si="0"/>
        <v>0.4</v>
      </c>
      <c r="AX37" s="234">
        <f t="shared" si="1"/>
        <v>7.7</v>
      </c>
      <c r="AY37" s="234">
        <f t="shared" si="44"/>
        <v>2.9</v>
      </c>
      <c r="AZ37" s="234">
        <f t="shared" si="3"/>
        <v>0.4</v>
      </c>
      <c r="BA37" s="234">
        <f t="shared" si="4"/>
        <v>7.7</v>
      </c>
      <c r="BB37" s="234">
        <f t="shared" si="5"/>
        <v>4.3</v>
      </c>
      <c r="BC37" s="234">
        <f t="shared" si="6"/>
        <v>8</v>
      </c>
      <c r="BD37" s="234">
        <f t="shared" si="7"/>
        <v>0</v>
      </c>
      <c r="BE37" s="234">
        <f t="shared" si="45"/>
        <v>4.3</v>
      </c>
      <c r="BF37" s="234">
        <f t="shared" si="9"/>
        <v>8</v>
      </c>
      <c r="BG37" s="234">
        <f t="shared" si="10"/>
        <v>0</v>
      </c>
      <c r="BH37" s="234">
        <f t="shared" si="11"/>
        <v>5</v>
      </c>
      <c r="BI37" s="234">
        <f t="shared" si="12"/>
        <v>5</v>
      </c>
      <c r="BJ37" s="234">
        <f t="shared" si="13"/>
        <v>4</v>
      </c>
      <c r="BK37" s="234">
        <f t="shared" si="46"/>
        <v>5</v>
      </c>
      <c r="BL37" s="234">
        <f t="shared" si="15"/>
        <v>5</v>
      </c>
      <c r="BM37" s="234">
        <f t="shared" si="16"/>
        <v>4</v>
      </c>
      <c r="BN37" s="154" t="s">
        <v>483</v>
      </c>
      <c r="BO37" s="154" t="str">
        <f t="shared" si="17"/>
        <v>medium</v>
      </c>
      <c r="BP37" s="154" t="str">
        <f t="shared" si="18"/>
        <v>low</v>
      </c>
      <c r="BQ37" s="154" t="str">
        <f t="shared" si="19"/>
        <v>low</v>
      </c>
      <c r="BR37" s="154" t="s">
        <v>183</v>
      </c>
      <c r="BS37" s="154" t="s">
        <v>183</v>
      </c>
      <c r="BT37" s="154" t="s">
        <v>183</v>
      </c>
      <c r="BU37" s="154">
        <f t="shared" si="20"/>
        <v>150</v>
      </c>
      <c r="BV37" s="154">
        <f t="shared" si="21"/>
        <v>157</v>
      </c>
      <c r="BW37" s="154">
        <f t="shared" si="22"/>
        <v>335</v>
      </c>
      <c r="BX37" s="154">
        <f t="shared" si="23"/>
        <v>150</v>
      </c>
      <c r="BY37" s="154">
        <f t="shared" si="24"/>
        <v>157</v>
      </c>
      <c r="BZ37" s="154">
        <f t="shared" si="25"/>
        <v>335</v>
      </c>
      <c r="CA37" s="356">
        <f t="array" ref="CA37">IF(yieldsetting2="estimate",0,INDEX(cropdata, MATCH(yieldsource,outputs,0), MATCH($F37,cropdatacrops,0)))</f>
        <v>8.6</v>
      </c>
      <c r="CB37" s="356">
        <f t="array" ref="CB37">IF(yieldsetting2="estimate",0,INDEX(cropdata, MATCH(yieldsource,outputs,0), MATCH($G37,cropdatacrops,0)))</f>
        <v>5.7</v>
      </c>
      <c r="CC37" s="356">
        <f t="array" ref="CC37">IF(yieldsetting2="estimate",0,INDEX(cropdata, MATCH(yieldsource,outputs,0), MATCH($H37,cropdatacrops,0)))</f>
        <v>3.5</v>
      </c>
      <c r="CD37" s="356">
        <f t="array" ref="CD37">IF(yieldsetting2="estimate",0,INDEX(cropdata, MATCH(yieldsource,outputs,0), MATCH($I37,cropdatacrops,0)))</f>
        <v>8.6</v>
      </c>
      <c r="CE37" s="356">
        <f t="array" ref="CE37">IF(yieldsetting2="estimate",0,INDEX(cropdata, MATCH(yieldsource,outputs,0), MATCH($J37,cropdatacrops,0)))</f>
        <v>5.7</v>
      </c>
      <c r="CF37" s="356">
        <f t="array" ref="CF37">IF(yieldsetting2="estimate",0,INDEX(cropdata, MATCH(yieldsource,outputs,0), MATCH($K37,cropdatacrops,0)))</f>
        <v>3.5</v>
      </c>
      <c r="CG37" s="154" t="str">
        <f t="shared" si="47"/>
        <v>actual</v>
      </c>
      <c r="CH37" s="235">
        <f t="shared" si="27"/>
        <v>0.8</v>
      </c>
      <c r="CI37" s="235">
        <f t="shared" si="28"/>
        <v>0.72</v>
      </c>
      <c r="CJ37" s="154">
        <f t="shared" si="29"/>
        <v>0.46</v>
      </c>
      <c r="CK37" s="154">
        <f t="shared" si="30"/>
        <v>0.36</v>
      </c>
      <c r="CL37" s="154">
        <f t="shared" si="31"/>
        <v>0.38</v>
      </c>
      <c r="CM37" s="154">
        <f t="shared" si="32"/>
        <v>7.34</v>
      </c>
      <c r="CN37" s="154">
        <f t="shared" si="33"/>
        <v>0.36</v>
      </c>
      <c r="CO37" s="154">
        <f t="shared" si="34"/>
        <v>0.38</v>
      </c>
      <c r="CP37" s="154">
        <f t="shared" si="35"/>
        <v>7.34</v>
      </c>
      <c r="CQ37" s="154">
        <f t="shared" si="48"/>
        <v>19.5</v>
      </c>
      <c r="CR37" s="154">
        <f t="shared" si="48"/>
        <v>19.5</v>
      </c>
      <c r="CS37" s="154">
        <f t="shared" si="48"/>
        <v>19.5</v>
      </c>
      <c r="CT37" s="154">
        <f t="shared" si="48"/>
        <v>19.5</v>
      </c>
      <c r="CU37" s="154">
        <f t="shared" si="48"/>
        <v>19.5</v>
      </c>
      <c r="CV37" s="154">
        <f t="shared" si="48"/>
        <v>19.5</v>
      </c>
      <c r="CW37" s="154">
        <f t="shared" si="49"/>
        <v>2.4300000000000002</v>
      </c>
      <c r="CX37" s="154">
        <f t="shared" si="49"/>
        <v>2.4300000000000002</v>
      </c>
      <c r="CY37" s="154">
        <f t="shared" si="49"/>
        <v>2.4300000000000002</v>
      </c>
      <c r="CZ37" s="154">
        <f t="shared" si="49"/>
        <v>2.4300000000000002</v>
      </c>
      <c r="DA37" s="154">
        <f t="shared" si="49"/>
        <v>2.4300000000000002</v>
      </c>
      <c r="DB37" s="154">
        <f t="shared" si="49"/>
        <v>2.4300000000000002</v>
      </c>
      <c r="DC37" s="154">
        <v>102</v>
      </c>
      <c r="DD37" s="154">
        <v>6</v>
      </c>
      <c r="DE37" s="154">
        <v>4</v>
      </c>
      <c r="DF37" s="154">
        <v>1400</v>
      </c>
      <c r="DG37" s="154">
        <v>125</v>
      </c>
      <c r="DH37" s="154">
        <f t="shared" si="38"/>
        <v>0.625</v>
      </c>
      <c r="DI37" s="154">
        <f t="shared" si="39"/>
        <v>10.08</v>
      </c>
    </row>
    <row r="38" spans="1:113" x14ac:dyDescent="0.2">
      <c r="A38" s="335" t="s">
        <v>1622</v>
      </c>
      <c r="B38" s="334" t="s">
        <v>504</v>
      </c>
      <c r="C38" s="334" t="s">
        <v>1618</v>
      </c>
      <c r="D38" s="233" t="str">
        <f>ECOMOD_input_estimate!$D38</f>
        <v>2.25</v>
      </c>
      <c r="E38" s="385">
        <f>ECOMOD_input_estimate!$E38</f>
        <v>6</v>
      </c>
      <c r="F38" s="386" t="str">
        <f>ECOMOD_input_estimate!$F38</f>
        <v>winterwheat</v>
      </c>
      <c r="G38" s="282" t="str">
        <f>ECOMOD_input_estimate!$G38</f>
        <v>wosr</v>
      </c>
      <c r="H38" s="282" t="str">
        <f>ECOMOD_input_estimate!$H38</f>
        <v>winterwheat</v>
      </c>
      <c r="I38" s="282" t="str">
        <f>ECOMOD_input_estimate!I38</f>
        <v>winterwheat</v>
      </c>
      <c r="J38" s="282" t="str">
        <f>ECOMOD_input_estimate!$J38</f>
        <v>wosr</v>
      </c>
      <c r="K38" s="282" t="str">
        <f>ECOMOD_input_estimate!$K38</f>
        <v>winterwheat</v>
      </c>
      <c r="L38" s="282" t="str">
        <f>ECOMOD_input_estimate!L38</f>
        <v>minimumtillage</v>
      </c>
      <c r="M38" s="282" t="str">
        <f>ECOMOD_input_estimate!M38</f>
        <v>subsoiling</v>
      </c>
      <c r="N38" s="282" t="str">
        <f>ECOMOD_input_estimate!N38</f>
        <v>minimumtillage</v>
      </c>
      <c r="O38" s="282" t="str">
        <f>ECOMOD_input_estimate!O38</f>
        <v>minimumtillage</v>
      </c>
      <c r="P38" s="282" t="str">
        <f>ECOMOD_input_estimate!P38</f>
        <v>subsoiling</v>
      </c>
      <c r="Q38" s="282" t="str">
        <f>ECOMOD_input_estimate!Q38</f>
        <v>minimumtillage</v>
      </c>
      <c r="R38" s="389">
        <f>ECOMOD_input_estimate!R38</f>
        <v>200</v>
      </c>
      <c r="S38" s="391">
        <f>ECOMOD_input_estimate!S38</f>
        <v>3.2</v>
      </c>
      <c r="T38" s="389">
        <f>ECOMOD_input_estimate!T38</f>
        <v>200</v>
      </c>
      <c r="U38" s="389">
        <f>ECOMOD_input_estimate!U38</f>
        <v>200</v>
      </c>
      <c r="V38" s="391">
        <f>ECOMOD_input_estimate!V38</f>
        <v>3.2</v>
      </c>
      <c r="W38" s="389">
        <f>ECOMOD_input_estimate!W38</f>
        <v>200</v>
      </c>
      <c r="X38" s="282" t="str">
        <f>ECOMOD_input_estimate!X38</f>
        <v>late</v>
      </c>
      <c r="Y38" s="282" t="str">
        <f>ECOMOD_input_estimate!Y38</f>
        <v>no</v>
      </c>
      <c r="Z38" s="282" t="str">
        <f>ECOMOD_input_estimate!Z38</f>
        <v>late</v>
      </c>
      <c r="AA38" s="282" t="str">
        <f>ECOMOD_input_estimate!AA38</f>
        <v>late</v>
      </c>
      <c r="AB38" s="282" t="str">
        <f>ECOMOD_input_estimate!AB38</f>
        <v>no</v>
      </c>
      <c r="AC38" s="282" t="str">
        <f>ECOMOD_input_estimate!AC38</f>
        <v>late</v>
      </c>
      <c r="AD38" s="389">
        <f>ECOMOD_input_estimate!AD38</f>
        <v>220</v>
      </c>
      <c r="AE38" s="389">
        <f>ECOMOD_input_estimate!AE38</f>
        <v>180</v>
      </c>
      <c r="AF38" s="389">
        <f>ECOMOD_input_estimate!AF38</f>
        <v>220</v>
      </c>
      <c r="AG38" s="389">
        <f>ECOMOD_input_estimate!AG38</f>
        <v>220</v>
      </c>
      <c r="AH38" s="389">
        <f>ECOMOD_input_estimate!AH38</f>
        <v>180</v>
      </c>
      <c r="AI38" s="389">
        <f>ECOMOD_input_estimate!AI38</f>
        <v>220</v>
      </c>
      <c r="AJ38" s="389">
        <f>ECOMOD_input_estimate!AJ38</f>
        <v>67</v>
      </c>
      <c r="AK38" s="389">
        <f>ECOMOD_input_estimate!AK38</f>
        <v>49</v>
      </c>
      <c r="AL38" s="389">
        <f>ECOMOD_input_estimate!AL38</f>
        <v>67</v>
      </c>
      <c r="AM38" s="389">
        <f>ECOMOD_input_estimate!AM38</f>
        <v>67</v>
      </c>
      <c r="AN38" s="389">
        <f>ECOMOD_input_estimate!AN38</f>
        <v>49</v>
      </c>
      <c r="AO38" s="389">
        <f>ECOMOD_input_estimate!AO38</f>
        <v>67</v>
      </c>
      <c r="AP38" s="389">
        <f>ECOMOD_input_estimate!AP38</f>
        <v>48</v>
      </c>
      <c r="AQ38" s="389">
        <f>ECOMOD_input_estimate!AQ38</f>
        <v>39</v>
      </c>
      <c r="AR38" s="389">
        <f>ECOMOD_input_estimate!AR38</f>
        <v>48</v>
      </c>
      <c r="AS38" s="389">
        <f>ECOMOD_input_estimate!AS38</f>
        <v>48</v>
      </c>
      <c r="AT38" s="389">
        <f>ECOMOD_input_estimate!AT38</f>
        <v>39</v>
      </c>
      <c r="AU38" s="389">
        <f>ECOMOD_input_estimate!AU38</f>
        <v>48</v>
      </c>
      <c r="AV38" s="234">
        <f t="shared" si="43"/>
        <v>5</v>
      </c>
      <c r="AW38" s="234">
        <f t="shared" si="0"/>
        <v>0</v>
      </c>
      <c r="AX38" s="234">
        <f t="shared" si="1"/>
        <v>5</v>
      </c>
      <c r="AY38" s="234">
        <f t="shared" si="44"/>
        <v>5</v>
      </c>
      <c r="AZ38" s="234">
        <f t="shared" si="3"/>
        <v>0</v>
      </c>
      <c r="BA38" s="234">
        <f t="shared" si="4"/>
        <v>5</v>
      </c>
      <c r="BB38" s="234">
        <f t="shared" si="5"/>
        <v>4</v>
      </c>
      <c r="BC38" s="234">
        <f t="shared" si="6"/>
        <v>0</v>
      </c>
      <c r="BD38" s="234">
        <f t="shared" si="7"/>
        <v>4</v>
      </c>
      <c r="BE38" s="234">
        <f t="shared" si="45"/>
        <v>4</v>
      </c>
      <c r="BF38" s="234">
        <f t="shared" si="9"/>
        <v>0</v>
      </c>
      <c r="BG38" s="234">
        <f t="shared" si="10"/>
        <v>4</v>
      </c>
      <c r="BH38" s="234">
        <f t="shared" si="11"/>
        <v>4</v>
      </c>
      <c r="BI38" s="234">
        <f t="shared" si="12"/>
        <v>0</v>
      </c>
      <c r="BJ38" s="234">
        <f t="shared" si="13"/>
        <v>4</v>
      </c>
      <c r="BK38" s="234">
        <f t="shared" si="46"/>
        <v>4</v>
      </c>
      <c r="BL38" s="234">
        <f t="shared" si="15"/>
        <v>0</v>
      </c>
      <c r="BM38" s="234">
        <f t="shared" si="16"/>
        <v>4</v>
      </c>
      <c r="BN38" s="154" t="s">
        <v>483</v>
      </c>
      <c r="BO38" s="154" t="str">
        <f t="shared" si="17"/>
        <v>low</v>
      </c>
      <c r="BP38" s="154" t="str">
        <f t="shared" si="18"/>
        <v>low</v>
      </c>
      <c r="BQ38" s="154" t="str">
        <f t="shared" si="19"/>
        <v>low</v>
      </c>
      <c r="BR38" s="154" t="s">
        <v>18</v>
      </c>
      <c r="BS38" s="154" t="s">
        <v>18</v>
      </c>
      <c r="BT38" s="154" t="s">
        <v>18</v>
      </c>
      <c r="BU38" s="154">
        <f t="shared" si="20"/>
        <v>150</v>
      </c>
      <c r="BV38" s="154">
        <f t="shared" si="21"/>
        <v>335</v>
      </c>
      <c r="BW38" s="154">
        <f t="shared" si="22"/>
        <v>150</v>
      </c>
      <c r="BX38" s="154">
        <f t="shared" si="23"/>
        <v>150</v>
      </c>
      <c r="BY38" s="154">
        <f t="shared" si="24"/>
        <v>335</v>
      </c>
      <c r="BZ38" s="154">
        <f t="shared" si="25"/>
        <v>150</v>
      </c>
      <c r="CA38" s="356">
        <f t="array" ref="CA38">IF(yieldsetting2="estimate",0,INDEX(cropdata, MATCH(yieldsource,outputs,0), MATCH($F38,cropdatacrops,0)))</f>
        <v>8.6</v>
      </c>
      <c r="CB38" s="356">
        <f t="array" ref="CB38">IF(yieldsetting2="estimate",0,INDEX(cropdata, MATCH(yieldsource,outputs,0), MATCH($G38,cropdatacrops,0)))</f>
        <v>3.5</v>
      </c>
      <c r="CC38" s="356">
        <f t="array" ref="CC38">IF(yieldsetting2="estimate",0,INDEX(cropdata, MATCH(yieldsource,outputs,0), MATCH($H38,cropdatacrops,0)))</f>
        <v>8.6</v>
      </c>
      <c r="CD38" s="356">
        <f t="array" ref="CD38">IF(yieldsetting2="estimate",0,INDEX(cropdata, MATCH(yieldsource,outputs,0), MATCH($I38,cropdatacrops,0)))</f>
        <v>8.6</v>
      </c>
      <c r="CE38" s="356">
        <f t="array" ref="CE38">IF(yieldsetting2="estimate",0,INDEX(cropdata, MATCH(yieldsource,outputs,0), MATCH($J38,cropdatacrops,0)))</f>
        <v>3.5</v>
      </c>
      <c r="CF38" s="356">
        <f t="array" ref="CF38">IF(yieldsetting2="estimate",0,INDEX(cropdata, MATCH(yieldsource,outputs,0), MATCH($K38,cropdatacrops,0)))</f>
        <v>8.6</v>
      </c>
      <c r="CG38" s="154" t="str">
        <f t="shared" si="47"/>
        <v>actual</v>
      </c>
      <c r="CH38" s="235">
        <f t="shared" si="27"/>
        <v>0.8</v>
      </c>
      <c r="CI38" s="235">
        <f t="shared" si="28"/>
        <v>0.72</v>
      </c>
      <c r="CJ38" s="154">
        <f t="shared" si="29"/>
        <v>0.46</v>
      </c>
      <c r="CK38" s="154">
        <f t="shared" si="30"/>
        <v>0.36</v>
      </c>
      <c r="CL38" s="154">
        <f t="shared" si="31"/>
        <v>7.34</v>
      </c>
      <c r="CM38" s="154">
        <f t="shared" si="32"/>
        <v>0.36</v>
      </c>
      <c r="CN38" s="154">
        <f t="shared" si="33"/>
        <v>0.36</v>
      </c>
      <c r="CO38" s="154">
        <f t="shared" si="34"/>
        <v>7.34</v>
      </c>
      <c r="CP38" s="154">
        <f t="shared" si="35"/>
        <v>0.36</v>
      </c>
      <c r="CQ38" s="154">
        <f t="shared" si="48"/>
        <v>19.5</v>
      </c>
      <c r="CR38" s="154">
        <f t="shared" si="48"/>
        <v>19.5</v>
      </c>
      <c r="CS38" s="154">
        <f t="shared" si="48"/>
        <v>19.5</v>
      </c>
      <c r="CT38" s="154">
        <f t="shared" si="48"/>
        <v>19.5</v>
      </c>
      <c r="CU38" s="154">
        <f t="shared" si="48"/>
        <v>19.5</v>
      </c>
      <c r="CV38" s="154">
        <f t="shared" si="48"/>
        <v>19.5</v>
      </c>
      <c r="CW38" s="154">
        <f t="shared" si="49"/>
        <v>2.4300000000000002</v>
      </c>
      <c r="CX38" s="154">
        <f t="shared" si="49"/>
        <v>2.4300000000000002</v>
      </c>
      <c r="CY38" s="154">
        <f t="shared" si="49"/>
        <v>2.4300000000000002</v>
      </c>
      <c r="CZ38" s="154">
        <f t="shared" si="49"/>
        <v>2.4300000000000002</v>
      </c>
      <c r="DA38" s="154">
        <f t="shared" si="49"/>
        <v>2.4300000000000002</v>
      </c>
      <c r="DB38" s="154">
        <f t="shared" si="49"/>
        <v>2.4300000000000002</v>
      </c>
      <c r="DC38" s="154">
        <v>102</v>
      </c>
      <c r="DD38" s="154">
        <v>6</v>
      </c>
      <c r="DE38" s="154">
        <v>4</v>
      </c>
      <c r="DF38" s="154">
        <v>1400</v>
      </c>
      <c r="DG38" s="154">
        <v>125</v>
      </c>
      <c r="DH38" s="154">
        <f t="shared" si="38"/>
        <v>0.625</v>
      </c>
      <c r="DI38" s="154">
        <f t="shared" si="39"/>
        <v>10.08</v>
      </c>
    </row>
    <row r="39" spans="1:113" x14ac:dyDescent="0.2">
      <c r="A39" s="335" t="s">
        <v>1623</v>
      </c>
      <c r="B39" s="334" t="s">
        <v>504</v>
      </c>
      <c r="C39" s="334" t="s">
        <v>1619</v>
      </c>
      <c r="D39" s="233" t="str">
        <f>ECOMOD_input_estimate!$D39</f>
        <v>2.25</v>
      </c>
      <c r="E39" s="385">
        <f>ECOMOD_input_estimate!$E39</f>
        <v>6</v>
      </c>
      <c r="F39" s="386" t="str">
        <f>ECOMOD_input_estimate!$F39</f>
        <v>winterwheat</v>
      </c>
      <c r="G39" s="282" t="str">
        <f>ECOMOD_input_estimate!$G39</f>
        <v>wosr</v>
      </c>
      <c r="H39" s="282" t="str">
        <f>ECOMOD_input_estimate!$H39</f>
        <v>winterwheat</v>
      </c>
      <c r="I39" s="282" t="str">
        <f>ECOMOD_input_estimate!I39</f>
        <v>winterwheat</v>
      </c>
      <c r="J39" s="282" t="str">
        <f>ECOMOD_input_estimate!$J39</f>
        <v>wosr</v>
      </c>
      <c r="K39" s="282" t="str">
        <f>ECOMOD_input_estimate!$K39</f>
        <v>winterwheat</v>
      </c>
      <c r="L39" s="282" t="str">
        <f>ECOMOD_input_estimate!L39</f>
        <v>minimumtillage</v>
      </c>
      <c r="M39" s="282" t="str">
        <f>ECOMOD_input_estimate!M39</f>
        <v>subsoiling</v>
      </c>
      <c r="N39" s="282" t="str">
        <f>ECOMOD_input_estimate!N39</f>
        <v>minimumtillage</v>
      </c>
      <c r="O39" s="282" t="str">
        <f>ECOMOD_input_estimate!O39</f>
        <v>minimumtillage</v>
      </c>
      <c r="P39" s="282" t="str">
        <f>ECOMOD_input_estimate!P39</f>
        <v>subsoiling</v>
      </c>
      <c r="Q39" s="282" t="str">
        <f>ECOMOD_input_estimate!Q39</f>
        <v>minimumtillage</v>
      </c>
      <c r="R39" s="389">
        <f>ECOMOD_input_estimate!R39</f>
        <v>200</v>
      </c>
      <c r="S39" s="391">
        <f>ECOMOD_input_estimate!S39</f>
        <v>3.2</v>
      </c>
      <c r="T39" s="389">
        <f>ECOMOD_input_estimate!T39</f>
        <v>200</v>
      </c>
      <c r="U39" s="389">
        <f>ECOMOD_input_estimate!U39</f>
        <v>200</v>
      </c>
      <c r="V39" s="391">
        <f>ECOMOD_input_estimate!V39</f>
        <v>3.2</v>
      </c>
      <c r="W39" s="389">
        <f>ECOMOD_input_estimate!W39</f>
        <v>200</v>
      </c>
      <c r="X39" s="282" t="str">
        <f>ECOMOD_input_estimate!X39</f>
        <v>late</v>
      </c>
      <c r="Y39" s="282" t="str">
        <f>ECOMOD_input_estimate!Y39</f>
        <v>no</v>
      </c>
      <c r="Z39" s="282" t="str">
        <f>ECOMOD_input_estimate!Z39</f>
        <v>late</v>
      </c>
      <c r="AA39" s="282" t="str">
        <f>ECOMOD_input_estimate!AA39</f>
        <v>late</v>
      </c>
      <c r="AB39" s="282" t="str">
        <f>ECOMOD_input_estimate!AB39</f>
        <v>no</v>
      </c>
      <c r="AC39" s="282" t="str">
        <f>ECOMOD_input_estimate!AC39</f>
        <v>late</v>
      </c>
      <c r="AD39" s="389">
        <f>ECOMOD_input_estimate!AD39</f>
        <v>220</v>
      </c>
      <c r="AE39" s="389">
        <f>ECOMOD_input_estimate!AE39</f>
        <v>180</v>
      </c>
      <c r="AF39" s="389">
        <f>ECOMOD_input_estimate!AF39</f>
        <v>220</v>
      </c>
      <c r="AG39" s="389">
        <f>ECOMOD_input_estimate!AG39</f>
        <v>220</v>
      </c>
      <c r="AH39" s="389">
        <f>ECOMOD_input_estimate!AH39</f>
        <v>180</v>
      </c>
      <c r="AI39" s="389">
        <f>ECOMOD_input_estimate!AI39</f>
        <v>220</v>
      </c>
      <c r="AJ39" s="389">
        <f>ECOMOD_input_estimate!AJ39</f>
        <v>67</v>
      </c>
      <c r="AK39" s="389">
        <f>ECOMOD_input_estimate!AK39</f>
        <v>49</v>
      </c>
      <c r="AL39" s="389">
        <f>ECOMOD_input_estimate!AL39</f>
        <v>67</v>
      </c>
      <c r="AM39" s="389">
        <f>ECOMOD_input_estimate!AM39</f>
        <v>67</v>
      </c>
      <c r="AN39" s="389">
        <f>ECOMOD_input_estimate!AN39</f>
        <v>49</v>
      </c>
      <c r="AO39" s="389">
        <f>ECOMOD_input_estimate!AO39</f>
        <v>67</v>
      </c>
      <c r="AP39" s="389">
        <f>ECOMOD_input_estimate!AP39</f>
        <v>48</v>
      </c>
      <c r="AQ39" s="389">
        <f>ECOMOD_input_estimate!AQ39</f>
        <v>39</v>
      </c>
      <c r="AR39" s="389">
        <f>ECOMOD_input_estimate!AR39</f>
        <v>48</v>
      </c>
      <c r="AS39" s="389">
        <f>ECOMOD_input_estimate!AS39</f>
        <v>48</v>
      </c>
      <c r="AT39" s="389">
        <f>ECOMOD_input_estimate!AT39</f>
        <v>39</v>
      </c>
      <c r="AU39" s="389">
        <f>ECOMOD_input_estimate!AU39</f>
        <v>48</v>
      </c>
      <c r="AV39" s="234">
        <f t="shared" si="43"/>
        <v>5</v>
      </c>
      <c r="AW39" s="234">
        <f t="shared" si="0"/>
        <v>0</v>
      </c>
      <c r="AX39" s="234">
        <f t="shared" si="1"/>
        <v>5</v>
      </c>
      <c r="AY39" s="234">
        <f t="shared" si="44"/>
        <v>5</v>
      </c>
      <c r="AZ39" s="234">
        <f t="shared" si="3"/>
        <v>0</v>
      </c>
      <c r="BA39" s="234">
        <f t="shared" si="4"/>
        <v>5</v>
      </c>
      <c r="BB39" s="234">
        <f t="shared" si="5"/>
        <v>4</v>
      </c>
      <c r="BC39" s="234">
        <f t="shared" si="6"/>
        <v>0</v>
      </c>
      <c r="BD39" s="234">
        <f t="shared" si="7"/>
        <v>4</v>
      </c>
      <c r="BE39" s="234">
        <f t="shared" si="45"/>
        <v>4</v>
      </c>
      <c r="BF39" s="234">
        <f t="shared" si="9"/>
        <v>0</v>
      </c>
      <c r="BG39" s="234">
        <f t="shared" si="10"/>
        <v>4</v>
      </c>
      <c r="BH39" s="234">
        <f t="shared" si="11"/>
        <v>4</v>
      </c>
      <c r="BI39" s="234">
        <f t="shared" si="12"/>
        <v>0</v>
      </c>
      <c r="BJ39" s="234">
        <f t="shared" si="13"/>
        <v>4</v>
      </c>
      <c r="BK39" s="234">
        <f t="shared" si="46"/>
        <v>4</v>
      </c>
      <c r="BL39" s="234">
        <f t="shared" si="15"/>
        <v>0</v>
      </c>
      <c r="BM39" s="234">
        <f t="shared" si="16"/>
        <v>4</v>
      </c>
      <c r="BN39" s="154" t="s">
        <v>483</v>
      </c>
      <c r="BO39" s="154" t="str">
        <f t="shared" si="17"/>
        <v>medium</v>
      </c>
      <c r="BP39" s="154" t="str">
        <f t="shared" si="18"/>
        <v>low</v>
      </c>
      <c r="BQ39" s="154" t="str">
        <f t="shared" si="19"/>
        <v>low</v>
      </c>
      <c r="BR39" s="154" t="s">
        <v>182</v>
      </c>
      <c r="BS39" s="154" t="s">
        <v>182</v>
      </c>
      <c r="BT39" s="154" t="s">
        <v>182</v>
      </c>
      <c r="BU39" s="154">
        <f t="shared" si="20"/>
        <v>150</v>
      </c>
      <c r="BV39" s="154">
        <f t="shared" si="21"/>
        <v>335</v>
      </c>
      <c r="BW39" s="154">
        <f t="shared" si="22"/>
        <v>150</v>
      </c>
      <c r="BX39" s="154">
        <f t="shared" si="23"/>
        <v>150</v>
      </c>
      <c r="BY39" s="154">
        <f t="shared" si="24"/>
        <v>335</v>
      </c>
      <c r="BZ39" s="154">
        <f t="shared" si="25"/>
        <v>150</v>
      </c>
      <c r="CA39" s="356">
        <f t="array" ref="CA39">IF(yieldsetting2="estimate",0,INDEX(cropdata, MATCH(yieldsource,outputs,0), MATCH($F39,cropdatacrops,0)))</f>
        <v>8.6</v>
      </c>
      <c r="CB39" s="356">
        <f t="array" ref="CB39">IF(yieldsetting2="estimate",0,INDEX(cropdata, MATCH(yieldsource,outputs,0), MATCH($G39,cropdatacrops,0)))</f>
        <v>3.5</v>
      </c>
      <c r="CC39" s="356">
        <f t="array" ref="CC39">IF(yieldsetting2="estimate",0,INDEX(cropdata, MATCH(yieldsource,outputs,0), MATCH($H39,cropdatacrops,0)))</f>
        <v>8.6</v>
      </c>
      <c r="CD39" s="356">
        <f t="array" ref="CD39">IF(yieldsetting2="estimate",0,INDEX(cropdata, MATCH(yieldsource,outputs,0), MATCH($I39,cropdatacrops,0)))</f>
        <v>8.6</v>
      </c>
      <c r="CE39" s="356">
        <f t="array" ref="CE39">IF(yieldsetting2="estimate",0,INDEX(cropdata, MATCH(yieldsource,outputs,0), MATCH($J39,cropdatacrops,0)))</f>
        <v>3.5</v>
      </c>
      <c r="CF39" s="356">
        <f t="array" ref="CF39">IF(yieldsetting2="estimate",0,INDEX(cropdata, MATCH(yieldsource,outputs,0), MATCH($K39,cropdatacrops,0)))</f>
        <v>8.6</v>
      </c>
      <c r="CG39" s="154" t="str">
        <f t="shared" si="47"/>
        <v>actual</v>
      </c>
      <c r="CH39" s="235">
        <f t="shared" si="27"/>
        <v>0.8</v>
      </c>
      <c r="CI39" s="235">
        <f t="shared" si="28"/>
        <v>0.72</v>
      </c>
      <c r="CJ39" s="154">
        <f t="shared" si="29"/>
        <v>0.46</v>
      </c>
      <c r="CK39" s="154">
        <f t="shared" si="30"/>
        <v>0.36</v>
      </c>
      <c r="CL39" s="154">
        <f t="shared" si="31"/>
        <v>7.34</v>
      </c>
      <c r="CM39" s="154">
        <f t="shared" si="32"/>
        <v>0.36</v>
      </c>
      <c r="CN39" s="154">
        <f t="shared" si="33"/>
        <v>0.36</v>
      </c>
      <c r="CO39" s="154">
        <f t="shared" si="34"/>
        <v>7.34</v>
      </c>
      <c r="CP39" s="154">
        <f t="shared" si="35"/>
        <v>0.36</v>
      </c>
      <c r="CQ39" s="154">
        <f t="shared" si="48"/>
        <v>19.5</v>
      </c>
      <c r="CR39" s="154">
        <f t="shared" si="48"/>
        <v>19.5</v>
      </c>
      <c r="CS39" s="154">
        <f t="shared" si="48"/>
        <v>19.5</v>
      </c>
      <c r="CT39" s="154">
        <f t="shared" si="48"/>
        <v>19.5</v>
      </c>
      <c r="CU39" s="154">
        <f t="shared" si="48"/>
        <v>19.5</v>
      </c>
      <c r="CV39" s="154">
        <f t="shared" si="48"/>
        <v>19.5</v>
      </c>
      <c r="CW39" s="154">
        <f t="shared" si="49"/>
        <v>2.4300000000000002</v>
      </c>
      <c r="CX39" s="154">
        <f t="shared" si="49"/>
        <v>2.4300000000000002</v>
      </c>
      <c r="CY39" s="154">
        <f t="shared" si="49"/>
        <v>2.4300000000000002</v>
      </c>
      <c r="CZ39" s="154">
        <f t="shared" si="49"/>
        <v>2.4300000000000002</v>
      </c>
      <c r="DA39" s="154">
        <f t="shared" si="49"/>
        <v>2.4300000000000002</v>
      </c>
      <c r="DB39" s="154">
        <f t="shared" si="49"/>
        <v>2.4300000000000002</v>
      </c>
      <c r="DC39" s="154">
        <v>102</v>
      </c>
      <c r="DD39" s="154">
        <v>6</v>
      </c>
      <c r="DE39" s="154">
        <v>4</v>
      </c>
      <c r="DF39" s="154">
        <v>1400</v>
      </c>
      <c r="DG39" s="154">
        <v>125</v>
      </c>
      <c r="DH39" s="154">
        <f t="shared" si="38"/>
        <v>0.625</v>
      </c>
      <c r="DI39" s="154">
        <f t="shared" si="39"/>
        <v>10.08</v>
      </c>
    </row>
    <row r="40" spans="1:113" x14ac:dyDescent="0.2">
      <c r="A40" s="335" t="s">
        <v>1624</v>
      </c>
      <c r="B40" s="334" t="s">
        <v>507</v>
      </c>
      <c r="C40" s="334" t="s">
        <v>1620</v>
      </c>
      <c r="D40" s="233" t="str">
        <f>ECOMOD_input_estimate!$D40</f>
        <v>1.50</v>
      </c>
      <c r="E40" s="385">
        <f>ECOMOD_input_estimate!$E40</f>
        <v>6</v>
      </c>
      <c r="F40" s="386" t="str">
        <f>ECOMOD_input_estimate!$F40</f>
        <v>winterwheat</v>
      </c>
      <c r="G40" s="282" t="str">
        <f>ECOMOD_input_estimate!$G40</f>
        <v>wosr</v>
      </c>
      <c r="H40" s="282" t="str">
        <f>ECOMOD_input_estimate!$H40</f>
        <v>winterwheat</v>
      </c>
      <c r="I40" s="282" t="str">
        <f>ECOMOD_input_estimate!I40</f>
        <v>winterwheat</v>
      </c>
      <c r="J40" s="282" t="str">
        <f>ECOMOD_input_estimate!$J40</f>
        <v>wosr</v>
      </c>
      <c r="K40" s="282" t="str">
        <f>ECOMOD_input_estimate!$K40</f>
        <v>winterwheat</v>
      </c>
      <c r="L40" s="282" t="str">
        <f>ECOMOD_input_estimate!L40</f>
        <v>minimumtillage</v>
      </c>
      <c r="M40" s="282" t="str">
        <f>ECOMOD_input_estimate!M40</f>
        <v>subsoiling</v>
      </c>
      <c r="N40" s="282" t="str">
        <f>ECOMOD_input_estimate!N40</f>
        <v>minimumtillage</v>
      </c>
      <c r="O40" s="282" t="str">
        <f>ECOMOD_input_estimate!O40</f>
        <v>minimumtillage</v>
      </c>
      <c r="P40" s="282" t="str">
        <f>ECOMOD_input_estimate!P40</f>
        <v>subsoiling</v>
      </c>
      <c r="Q40" s="282" t="str">
        <f>ECOMOD_input_estimate!Q40</f>
        <v>minimumtillage</v>
      </c>
      <c r="R40" s="389">
        <f>ECOMOD_input_estimate!R40</f>
        <v>200</v>
      </c>
      <c r="S40" s="391">
        <f>ECOMOD_input_estimate!S40</f>
        <v>3.2</v>
      </c>
      <c r="T40" s="389">
        <f>ECOMOD_input_estimate!T40</f>
        <v>200</v>
      </c>
      <c r="U40" s="389">
        <f>ECOMOD_input_estimate!U40</f>
        <v>200</v>
      </c>
      <c r="V40" s="391">
        <f>ECOMOD_input_estimate!V40</f>
        <v>3.2</v>
      </c>
      <c r="W40" s="389">
        <f>ECOMOD_input_estimate!W40</f>
        <v>200</v>
      </c>
      <c r="X40" s="282" t="str">
        <f>ECOMOD_input_estimate!X40</f>
        <v>late</v>
      </c>
      <c r="Y40" s="282" t="str">
        <f>ECOMOD_input_estimate!Y40</f>
        <v>no</v>
      </c>
      <c r="Z40" s="282" t="str">
        <f>ECOMOD_input_estimate!Z40</f>
        <v>late</v>
      </c>
      <c r="AA40" s="282" t="str">
        <f>ECOMOD_input_estimate!AA40</f>
        <v>late</v>
      </c>
      <c r="AB40" s="282" t="str">
        <f>ECOMOD_input_estimate!AB40</f>
        <v>no</v>
      </c>
      <c r="AC40" s="282" t="str">
        <f>ECOMOD_input_estimate!AC40</f>
        <v>late</v>
      </c>
      <c r="AD40" s="389">
        <f>ECOMOD_input_estimate!AD40</f>
        <v>220</v>
      </c>
      <c r="AE40" s="389">
        <f>ECOMOD_input_estimate!AE40</f>
        <v>180</v>
      </c>
      <c r="AF40" s="389">
        <f>ECOMOD_input_estimate!AF40</f>
        <v>220</v>
      </c>
      <c r="AG40" s="389">
        <f>ECOMOD_input_estimate!AG40</f>
        <v>220</v>
      </c>
      <c r="AH40" s="389">
        <f>ECOMOD_input_estimate!AH40</f>
        <v>180</v>
      </c>
      <c r="AI40" s="389">
        <f>ECOMOD_input_estimate!AI40</f>
        <v>220</v>
      </c>
      <c r="AJ40" s="389">
        <f>ECOMOD_input_estimate!AJ40</f>
        <v>67</v>
      </c>
      <c r="AK40" s="389">
        <f>ECOMOD_input_estimate!AK40</f>
        <v>49</v>
      </c>
      <c r="AL40" s="389">
        <f>ECOMOD_input_estimate!AL40</f>
        <v>67</v>
      </c>
      <c r="AM40" s="389">
        <f>ECOMOD_input_estimate!AM40</f>
        <v>67</v>
      </c>
      <c r="AN40" s="389">
        <f>ECOMOD_input_estimate!AN40</f>
        <v>49</v>
      </c>
      <c r="AO40" s="389">
        <f>ECOMOD_input_estimate!AO40</f>
        <v>67</v>
      </c>
      <c r="AP40" s="389">
        <f>ECOMOD_input_estimate!AP40</f>
        <v>48</v>
      </c>
      <c r="AQ40" s="389">
        <f>ECOMOD_input_estimate!AQ40</f>
        <v>39</v>
      </c>
      <c r="AR40" s="389">
        <f>ECOMOD_input_estimate!AR40</f>
        <v>48</v>
      </c>
      <c r="AS40" s="389">
        <f>ECOMOD_input_estimate!AS40</f>
        <v>48</v>
      </c>
      <c r="AT40" s="389">
        <f>ECOMOD_input_estimate!AT40</f>
        <v>39</v>
      </c>
      <c r="AU40" s="389">
        <f>ECOMOD_input_estimate!AU40</f>
        <v>48</v>
      </c>
      <c r="AV40" s="234">
        <f t="shared" si="43"/>
        <v>5</v>
      </c>
      <c r="AW40" s="234">
        <f t="shared" si="0"/>
        <v>0</v>
      </c>
      <c r="AX40" s="234">
        <f t="shared" si="1"/>
        <v>5</v>
      </c>
      <c r="AY40" s="234">
        <f t="shared" si="44"/>
        <v>5</v>
      </c>
      <c r="AZ40" s="234">
        <f t="shared" si="3"/>
        <v>0</v>
      </c>
      <c r="BA40" s="234">
        <f t="shared" si="4"/>
        <v>5</v>
      </c>
      <c r="BB40" s="234">
        <f t="shared" si="5"/>
        <v>4</v>
      </c>
      <c r="BC40" s="234">
        <f t="shared" si="6"/>
        <v>0</v>
      </c>
      <c r="BD40" s="234">
        <f t="shared" si="7"/>
        <v>4</v>
      </c>
      <c r="BE40" s="234">
        <f t="shared" si="45"/>
        <v>4</v>
      </c>
      <c r="BF40" s="234">
        <f t="shared" si="9"/>
        <v>0</v>
      </c>
      <c r="BG40" s="234">
        <f t="shared" si="10"/>
        <v>4</v>
      </c>
      <c r="BH40" s="234">
        <f t="shared" si="11"/>
        <v>4</v>
      </c>
      <c r="BI40" s="234">
        <f t="shared" si="12"/>
        <v>0</v>
      </c>
      <c r="BJ40" s="234">
        <f t="shared" si="13"/>
        <v>4</v>
      </c>
      <c r="BK40" s="234">
        <f t="shared" si="46"/>
        <v>4</v>
      </c>
      <c r="BL40" s="234">
        <f t="shared" si="15"/>
        <v>0</v>
      </c>
      <c r="BM40" s="234">
        <f t="shared" si="16"/>
        <v>4</v>
      </c>
      <c r="BN40" s="154" t="s">
        <v>483</v>
      </c>
      <c r="BO40" s="154" t="str">
        <f t="shared" si="17"/>
        <v>low</v>
      </c>
      <c r="BP40" s="154" t="str">
        <f t="shared" si="18"/>
        <v>low</v>
      </c>
      <c r="BQ40" s="154" t="str">
        <f t="shared" si="19"/>
        <v>low</v>
      </c>
      <c r="BR40" s="154" t="s">
        <v>183</v>
      </c>
      <c r="BS40" s="154" t="s">
        <v>183</v>
      </c>
      <c r="BT40" s="154" t="s">
        <v>183</v>
      </c>
      <c r="BU40" s="154">
        <f t="shared" si="20"/>
        <v>150</v>
      </c>
      <c r="BV40" s="154">
        <f t="shared" si="21"/>
        <v>335</v>
      </c>
      <c r="BW40" s="154">
        <f t="shared" si="22"/>
        <v>150</v>
      </c>
      <c r="BX40" s="154">
        <f t="shared" si="23"/>
        <v>150</v>
      </c>
      <c r="BY40" s="154">
        <f t="shared" si="24"/>
        <v>335</v>
      </c>
      <c r="BZ40" s="154">
        <f t="shared" si="25"/>
        <v>150</v>
      </c>
      <c r="CA40" s="356">
        <f t="array" ref="CA40">IF(yieldsetting2="estimate",0,INDEX(cropdata, MATCH(yieldsource,outputs,0), MATCH($F40,cropdatacrops,0)))</f>
        <v>8.6</v>
      </c>
      <c r="CB40" s="356">
        <f t="array" ref="CB40">IF(yieldsetting2="estimate",0,INDEX(cropdata, MATCH(yieldsource,outputs,0), MATCH($G40,cropdatacrops,0)))</f>
        <v>3.5</v>
      </c>
      <c r="CC40" s="356">
        <f t="array" ref="CC40">IF(yieldsetting2="estimate",0,INDEX(cropdata, MATCH(yieldsource,outputs,0), MATCH($H40,cropdatacrops,0)))</f>
        <v>8.6</v>
      </c>
      <c r="CD40" s="356">
        <f t="array" ref="CD40">IF(yieldsetting2="estimate",0,INDEX(cropdata, MATCH(yieldsource,outputs,0), MATCH($I40,cropdatacrops,0)))</f>
        <v>8.6</v>
      </c>
      <c r="CE40" s="356">
        <f t="array" ref="CE40">IF(yieldsetting2="estimate",0,INDEX(cropdata, MATCH(yieldsource,outputs,0), MATCH($J40,cropdatacrops,0)))</f>
        <v>3.5</v>
      </c>
      <c r="CF40" s="356">
        <f t="array" ref="CF40">IF(yieldsetting2="estimate",0,INDEX(cropdata, MATCH(yieldsource,outputs,0), MATCH($K40,cropdatacrops,0)))</f>
        <v>8.6</v>
      </c>
      <c r="CG40" s="154" t="str">
        <f t="shared" si="47"/>
        <v>actual</v>
      </c>
      <c r="CH40" s="235">
        <f t="shared" si="27"/>
        <v>0.8</v>
      </c>
      <c r="CI40" s="235">
        <f t="shared" si="28"/>
        <v>0.72</v>
      </c>
      <c r="CJ40" s="154">
        <f t="shared" si="29"/>
        <v>0.46</v>
      </c>
      <c r="CK40" s="154">
        <f t="shared" si="30"/>
        <v>0.36</v>
      </c>
      <c r="CL40" s="154">
        <f t="shared" si="31"/>
        <v>7.34</v>
      </c>
      <c r="CM40" s="154">
        <f t="shared" si="32"/>
        <v>0.36</v>
      </c>
      <c r="CN40" s="154">
        <f t="shared" si="33"/>
        <v>0.36</v>
      </c>
      <c r="CO40" s="154">
        <f t="shared" si="34"/>
        <v>7.34</v>
      </c>
      <c r="CP40" s="154">
        <f t="shared" si="35"/>
        <v>0.36</v>
      </c>
      <c r="CQ40" s="154">
        <f t="shared" si="48"/>
        <v>19.5</v>
      </c>
      <c r="CR40" s="154">
        <f t="shared" si="48"/>
        <v>19.5</v>
      </c>
      <c r="CS40" s="154">
        <f t="shared" si="48"/>
        <v>19.5</v>
      </c>
      <c r="CT40" s="154">
        <f t="shared" si="48"/>
        <v>19.5</v>
      </c>
      <c r="CU40" s="154">
        <f t="shared" si="48"/>
        <v>19.5</v>
      </c>
      <c r="CV40" s="154">
        <f t="shared" si="48"/>
        <v>19.5</v>
      </c>
      <c r="CW40" s="154">
        <f t="shared" si="49"/>
        <v>2.4300000000000002</v>
      </c>
      <c r="CX40" s="154">
        <f t="shared" si="49"/>
        <v>2.4300000000000002</v>
      </c>
      <c r="CY40" s="154">
        <f t="shared" si="49"/>
        <v>2.4300000000000002</v>
      </c>
      <c r="CZ40" s="154">
        <f t="shared" si="49"/>
        <v>2.4300000000000002</v>
      </c>
      <c r="DA40" s="154">
        <f t="shared" si="49"/>
        <v>2.4300000000000002</v>
      </c>
      <c r="DB40" s="154">
        <f t="shared" si="49"/>
        <v>2.4300000000000002</v>
      </c>
      <c r="DC40" s="154">
        <v>102</v>
      </c>
      <c r="DD40" s="154">
        <v>6</v>
      </c>
      <c r="DE40" s="154">
        <v>4</v>
      </c>
      <c r="DF40" s="154">
        <v>1400</v>
      </c>
      <c r="DG40" s="154">
        <v>125</v>
      </c>
      <c r="DH40" s="154">
        <f t="shared" si="38"/>
        <v>0.625</v>
      </c>
      <c r="DI40" s="154">
        <f t="shared" si="39"/>
        <v>10.08</v>
      </c>
    </row>
    <row r="41" spans="1:113" x14ac:dyDescent="0.2">
      <c r="A41" s="335" t="s">
        <v>1625</v>
      </c>
      <c r="B41" s="334" t="s">
        <v>507</v>
      </c>
      <c r="C41" s="334" t="s">
        <v>1621</v>
      </c>
      <c r="D41" s="233" t="str">
        <f>ECOMOD_input_estimate!$D41</f>
        <v>1.50</v>
      </c>
      <c r="E41" s="385">
        <f>ECOMOD_input_estimate!$E41</f>
        <v>6</v>
      </c>
      <c r="F41" s="386" t="str">
        <f>ECOMOD_input_estimate!$F41</f>
        <v>winterwheat</v>
      </c>
      <c r="G41" s="282" t="str">
        <f>ECOMOD_input_estimate!$G41</f>
        <v>wosr</v>
      </c>
      <c r="H41" s="282" t="str">
        <f>ECOMOD_input_estimate!$H41</f>
        <v>winterwheat</v>
      </c>
      <c r="I41" s="282" t="str">
        <f>ECOMOD_input_estimate!I41</f>
        <v>winterwheat</v>
      </c>
      <c r="J41" s="282" t="str">
        <f>ECOMOD_input_estimate!$J41</f>
        <v>wosr</v>
      </c>
      <c r="K41" s="282" t="str">
        <f>ECOMOD_input_estimate!$K41</f>
        <v>winterwheat</v>
      </c>
      <c r="L41" s="282" t="str">
        <f>ECOMOD_input_estimate!L41</f>
        <v>minimumtillage</v>
      </c>
      <c r="M41" s="282" t="str">
        <f>ECOMOD_input_estimate!M41</f>
        <v>subsoiling</v>
      </c>
      <c r="N41" s="282" t="str">
        <f>ECOMOD_input_estimate!N41</f>
        <v>minimumtillage</v>
      </c>
      <c r="O41" s="282" t="str">
        <f>ECOMOD_input_estimate!O41</f>
        <v>minimumtillage</v>
      </c>
      <c r="P41" s="282" t="str">
        <f>ECOMOD_input_estimate!P41</f>
        <v>subsoiling</v>
      </c>
      <c r="Q41" s="282" t="str">
        <f>ECOMOD_input_estimate!Q41</f>
        <v>minimumtillage</v>
      </c>
      <c r="R41" s="389">
        <f>ECOMOD_input_estimate!R41</f>
        <v>200</v>
      </c>
      <c r="S41" s="391">
        <f>ECOMOD_input_estimate!S41</f>
        <v>3.2</v>
      </c>
      <c r="T41" s="389">
        <f>ECOMOD_input_estimate!T41</f>
        <v>200</v>
      </c>
      <c r="U41" s="389">
        <f>ECOMOD_input_estimate!U41</f>
        <v>200</v>
      </c>
      <c r="V41" s="391">
        <f>ECOMOD_input_estimate!V41</f>
        <v>3.2</v>
      </c>
      <c r="W41" s="389">
        <f>ECOMOD_input_estimate!W41</f>
        <v>200</v>
      </c>
      <c r="X41" s="282" t="str">
        <f>ECOMOD_input_estimate!X41</f>
        <v>late</v>
      </c>
      <c r="Y41" s="282" t="str">
        <f>ECOMOD_input_estimate!Y41</f>
        <v>no</v>
      </c>
      <c r="Z41" s="282" t="str">
        <f>ECOMOD_input_estimate!Z41</f>
        <v>late</v>
      </c>
      <c r="AA41" s="282" t="str">
        <f>ECOMOD_input_estimate!AA41</f>
        <v>late</v>
      </c>
      <c r="AB41" s="282" t="str">
        <f>ECOMOD_input_estimate!AB41</f>
        <v>no</v>
      </c>
      <c r="AC41" s="282" t="str">
        <f>ECOMOD_input_estimate!AC41</f>
        <v>late</v>
      </c>
      <c r="AD41" s="389">
        <f>ECOMOD_input_estimate!AD41</f>
        <v>220</v>
      </c>
      <c r="AE41" s="389">
        <f>ECOMOD_input_estimate!AE41</f>
        <v>180</v>
      </c>
      <c r="AF41" s="389">
        <f>ECOMOD_input_estimate!AF41</f>
        <v>220</v>
      </c>
      <c r="AG41" s="389">
        <f>ECOMOD_input_estimate!AG41</f>
        <v>220</v>
      </c>
      <c r="AH41" s="389">
        <f>ECOMOD_input_estimate!AH41</f>
        <v>180</v>
      </c>
      <c r="AI41" s="389">
        <f>ECOMOD_input_estimate!AI41</f>
        <v>220</v>
      </c>
      <c r="AJ41" s="389">
        <f>ECOMOD_input_estimate!AJ41</f>
        <v>67</v>
      </c>
      <c r="AK41" s="389">
        <f>ECOMOD_input_estimate!AK41</f>
        <v>49</v>
      </c>
      <c r="AL41" s="389">
        <f>ECOMOD_input_estimate!AL41</f>
        <v>67</v>
      </c>
      <c r="AM41" s="389">
        <f>ECOMOD_input_estimate!AM41</f>
        <v>67</v>
      </c>
      <c r="AN41" s="389">
        <f>ECOMOD_input_estimate!AN41</f>
        <v>49</v>
      </c>
      <c r="AO41" s="389">
        <f>ECOMOD_input_estimate!AO41</f>
        <v>67</v>
      </c>
      <c r="AP41" s="389">
        <f>ECOMOD_input_estimate!AP41</f>
        <v>48</v>
      </c>
      <c r="AQ41" s="389">
        <f>ECOMOD_input_estimate!AQ41</f>
        <v>39</v>
      </c>
      <c r="AR41" s="389">
        <f>ECOMOD_input_estimate!AR41</f>
        <v>48</v>
      </c>
      <c r="AS41" s="389">
        <f>ECOMOD_input_estimate!AS41</f>
        <v>48</v>
      </c>
      <c r="AT41" s="389">
        <f>ECOMOD_input_estimate!AT41</f>
        <v>39</v>
      </c>
      <c r="AU41" s="389">
        <f>ECOMOD_input_estimate!AU41</f>
        <v>48</v>
      </c>
      <c r="AV41" s="234">
        <f t="shared" si="43"/>
        <v>5</v>
      </c>
      <c r="AW41" s="234">
        <f t="shared" si="0"/>
        <v>0</v>
      </c>
      <c r="AX41" s="234">
        <f t="shared" si="1"/>
        <v>5</v>
      </c>
      <c r="AY41" s="234">
        <f t="shared" si="44"/>
        <v>5</v>
      </c>
      <c r="AZ41" s="234">
        <f t="shared" si="3"/>
        <v>0</v>
      </c>
      <c r="BA41" s="234">
        <f t="shared" si="4"/>
        <v>5</v>
      </c>
      <c r="BB41" s="234">
        <f t="shared" si="5"/>
        <v>4</v>
      </c>
      <c r="BC41" s="234">
        <f t="shared" si="6"/>
        <v>0</v>
      </c>
      <c r="BD41" s="234">
        <f t="shared" si="7"/>
        <v>4</v>
      </c>
      <c r="BE41" s="234">
        <f t="shared" si="45"/>
        <v>4</v>
      </c>
      <c r="BF41" s="234">
        <f t="shared" si="9"/>
        <v>0</v>
      </c>
      <c r="BG41" s="234">
        <f t="shared" si="10"/>
        <v>4</v>
      </c>
      <c r="BH41" s="234">
        <f t="shared" si="11"/>
        <v>4</v>
      </c>
      <c r="BI41" s="234">
        <f t="shared" si="12"/>
        <v>0</v>
      </c>
      <c r="BJ41" s="234">
        <f t="shared" si="13"/>
        <v>4</v>
      </c>
      <c r="BK41" s="234">
        <f t="shared" si="46"/>
        <v>4</v>
      </c>
      <c r="BL41" s="234">
        <f t="shared" si="15"/>
        <v>0</v>
      </c>
      <c r="BM41" s="234">
        <f t="shared" si="16"/>
        <v>4</v>
      </c>
      <c r="BN41" s="154" t="s">
        <v>483</v>
      </c>
      <c r="BO41" s="154" t="str">
        <f t="shared" si="17"/>
        <v>medium</v>
      </c>
      <c r="BP41" s="154" t="str">
        <f t="shared" si="18"/>
        <v>low</v>
      </c>
      <c r="BQ41" s="154" t="str">
        <f t="shared" si="19"/>
        <v>low</v>
      </c>
      <c r="BR41" s="154" t="s">
        <v>18</v>
      </c>
      <c r="BS41" s="154" t="s">
        <v>18</v>
      </c>
      <c r="BT41" s="154" t="s">
        <v>18</v>
      </c>
      <c r="BU41" s="154">
        <f t="shared" si="20"/>
        <v>150</v>
      </c>
      <c r="BV41" s="154">
        <f t="shared" si="21"/>
        <v>335</v>
      </c>
      <c r="BW41" s="154">
        <f t="shared" si="22"/>
        <v>150</v>
      </c>
      <c r="BX41" s="154">
        <f t="shared" si="23"/>
        <v>150</v>
      </c>
      <c r="BY41" s="154">
        <f t="shared" si="24"/>
        <v>335</v>
      </c>
      <c r="BZ41" s="154">
        <f t="shared" si="25"/>
        <v>150</v>
      </c>
      <c r="CA41" s="356">
        <f t="array" ref="CA41">IF(yieldsetting2="estimate",0,INDEX(cropdata, MATCH(yieldsource,outputs,0), MATCH($F41,cropdatacrops,0)))</f>
        <v>8.6</v>
      </c>
      <c r="CB41" s="356">
        <f t="array" ref="CB41">IF(yieldsetting2="estimate",0,INDEX(cropdata, MATCH(yieldsource,outputs,0), MATCH($G41,cropdatacrops,0)))</f>
        <v>3.5</v>
      </c>
      <c r="CC41" s="356">
        <f t="array" ref="CC41">IF(yieldsetting2="estimate",0,INDEX(cropdata, MATCH(yieldsource,outputs,0), MATCH($H41,cropdatacrops,0)))</f>
        <v>8.6</v>
      </c>
      <c r="CD41" s="356">
        <f t="array" ref="CD41">IF(yieldsetting2="estimate",0,INDEX(cropdata, MATCH(yieldsource,outputs,0), MATCH($I41,cropdatacrops,0)))</f>
        <v>8.6</v>
      </c>
      <c r="CE41" s="356">
        <f t="array" ref="CE41">IF(yieldsetting2="estimate",0,INDEX(cropdata, MATCH(yieldsource,outputs,0), MATCH($J41,cropdatacrops,0)))</f>
        <v>3.5</v>
      </c>
      <c r="CF41" s="356">
        <f t="array" ref="CF41">IF(yieldsetting2="estimate",0,INDEX(cropdata, MATCH(yieldsource,outputs,0), MATCH($K41,cropdatacrops,0)))</f>
        <v>8.6</v>
      </c>
      <c r="CG41" s="154" t="str">
        <f t="shared" si="47"/>
        <v>actual</v>
      </c>
      <c r="CH41" s="235">
        <f t="shared" si="27"/>
        <v>0.8</v>
      </c>
      <c r="CI41" s="235">
        <f t="shared" si="28"/>
        <v>0.72</v>
      </c>
      <c r="CJ41" s="154">
        <f t="shared" si="29"/>
        <v>0.46</v>
      </c>
      <c r="CK41" s="154">
        <f t="shared" si="30"/>
        <v>0.36</v>
      </c>
      <c r="CL41" s="154">
        <f t="shared" si="31"/>
        <v>7.34</v>
      </c>
      <c r="CM41" s="154">
        <f t="shared" si="32"/>
        <v>0.36</v>
      </c>
      <c r="CN41" s="154">
        <f t="shared" si="33"/>
        <v>0.36</v>
      </c>
      <c r="CO41" s="154">
        <f t="shared" si="34"/>
        <v>7.34</v>
      </c>
      <c r="CP41" s="154">
        <f t="shared" si="35"/>
        <v>0.36</v>
      </c>
      <c r="CQ41" s="154">
        <f t="shared" si="48"/>
        <v>19.5</v>
      </c>
      <c r="CR41" s="154">
        <f t="shared" si="48"/>
        <v>19.5</v>
      </c>
      <c r="CS41" s="154">
        <f t="shared" si="48"/>
        <v>19.5</v>
      </c>
      <c r="CT41" s="154">
        <f t="shared" si="48"/>
        <v>19.5</v>
      </c>
      <c r="CU41" s="154">
        <f t="shared" si="48"/>
        <v>19.5</v>
      </c>
      <c r="CV41" s="154">
        <f t="shared" si="48"/>
        <v>19.5</v>
      </c>
      <c r="CW41" s="154">
        <f t="shared" si="49"/>
        <v>2.4300000000000002</v>
      </c>
      <c r="CX41" s="154">
        <f t="shared" si="49"/>
        <v>2.4300000000000002</v>
      </c>
      <c r="CY41" s="154">
        <f t="shared" si="49"/>
        <v>2.4300000000000002</v>
      </c>
      <c r="CZ41" s="154">
        <f t="shared" si="49"/>
        <v>2.4300000000000002</v>
      </c>
      <c r="DA41" s="154">
        <f t="shared" si="49"/>
        <v>2.4300000000000002</v>
      </c>
      <c r="DB41" s="154">
        <f t="shared" si="49"/>
        <v>2.4300000000000002</v>
      </c>
      <c r="DC41" s="154">
        <v>102</v>
      </c>
      <c r="DD41" s="154">
        <v>6</v>
      </c>
      <c r="DE41" s="154">
        <v>4</v>
      </c>
      <c r="DF41" s="154">
        <v>1400</v>
      </c>
      <c r="DG41" s="154">
        <v>125</v>
      </c>
      <c r="DH41" s="154">
        <f t="shared" si="38"/>
        <v>0.625</v>
      </c>
      <c r="DI41" s="154">
        <f t="shared" si="39"/>
        <v>10.08</v>
      </c>
    </row>
    <row r="42" spans="1:113" x14ac:dyDescent="0.2">
      <c r="A42" s="335" t="s">
        <v>1631</v>
      </c>
      <c r="B42" s="334" t="s">
        <v>510</v>
      </c>
      <c r="C42" s="334" t="s">
        <v>1630</v>
      </c>
      <c r="D42" s="233" t="str">
        <f>ECOMOD_input_estimate!$D42</f>
        <v>0.75</v>
      </c>
      <c r="E42" s="385">
        <f>ECOMOD_input_estimate!$E42</f>
        <v>6</v>
      </c>
      <c r="F42" s="386" t="str">
        <f>ECOMOD_input_estimate!$F42</f>
        <v>winterwheat</v>
      </c>
      <c r="G42" s="282" t="str">
        <f>ECOMOD_input_estimate!$G42</f>
        <v>wosr</v>
      </c>
      <c r="H42" s="282" t="str">
        <f>ECOMOD_input_estimate!$H42</f>
        <v>winterwheat</v>
      </c>
      <c r="I42" s="282" t="str">
        <f>ECOMOD_input_estimate!I42</f>
        <v>winterwheat</v>
      </c>
      <c r="J42" s="282" t="str">
        <f>ECOMOD_input_estimate!$J42</f>
        <v>wosr</v>
      </c>
      <c r="K42" s="282" t="str">
        <f>ECOMOD_input_estimate!$K42</f>
        <v>winterwheat</v>
      </c>
      <c r="L42" s="282" t="str">
        <f>ECOMOD_input_estimate!L42</f>
        <v>minimumtillage</v>
      </c>
      <c r="M42" s="282" t="str">
        <f>ECOMOD_input_estimate!M42</f>
        <v>subsoiling</v>
      </c>
      <c r="N42" s="282" t="str">
        <f>ECOMOD_input_estimate!N42</f>
        <v>minimumtillage</v>
      </c>
      <c r="O42" s="282" t="str">
        <f>ECOMOD_input_estimate!O42</f>
        <v>minimumtillage</v>
      </c>
      <c r="P42" s="282" t="str">
        <f>ECOMOD_input_estimate!P42</f>
        <v>subsoiling</v>
      </c>
      <c r="Q42" s="282" t="str">
        <f>ECOMOD_input_estimate!Q42</f>
        <v>minimumtillage</v>
      </c>
      <c r="R42" s="389">
        <f>ECOMOD_input_estimate!R42</f>
        <v>200</v>
      </c>
      <c r="S42" s="391">
        <f>ECOMOD_input_estimate!S42</f>
        <v>3.2</v>
      </c>
      <c r="T42" s="389">
        <f>ECOMOD_input_estimate!T42</f>
        <v>200</v>
      </c>
      <c r="U42" s="389">
        <f>ECOMOD_input_estimate!U42</f>
        <v>200</v>
      </c>
      <c r="V42" s="391">
        <f>ECOMOD_input_estimate!V42</f>
        <v>3.2</v>
      </c>
      <c r="W42" s="389">
        <f>ECOMOD_input_estimate!W42</f>
        <v>200</v>
      </c>
      <c r="X42" s="282" t="str">
        <f>ECOMOD_input_estimate!X42</f>
        <v>late</v>
      </c>
      <c r="Y42" s="282" t="str">
        <f>ECOMOD_input_estimate!Y42</f>
        <v>no</v>
      </c>
      <c r="Z42" s="282" t="str">
        <f>ECOMOD_input_estimate!Z42</f>
        <v>late</v>
      </c>
      <c r="AA42" s="282" t="str">
        <f>ECOMOD_input_estimate!AA42</f>
        <v>late</v>
      </c>
      <c r="AB42" s="282" t="str">
        <f>ECOMOD_input_estimate!AB42</f>
        <v>no</v>
      </c>
      <c r="AC42" s="282" t="str">
        <f>ECOMOD_input_estimate!AC42</f>
        <v>late</v>
      </c>
      <c r="AD42" s="389">
        <f>ECOMOD_input_estimate!AD42</f>
        <v>150</v>
      </c>
      <c r="AE42" s="389">
        <f>ECOMOD_input_estimate!AE42</f>
        <v>180</v>
      </c>
      <c r="AF42" s="389">
        <f>ECOMOD_input_estimate!AF42</f>
        <v>150</v>
      </c>
      <c r="AG42" s="389">
        <f>ECOMOD_input_estimate!AG42</f>
        <v>150</v>
      </c>
      <c r="AH42" s="389">
        <f>ECOMOD_input_estimate!AH42</f>
        <v>180</v>
      </c>
      <c r="AI42" s="389">
        <f>ECOMOD_input_estimate!AI42</f>
        <v>150</v>
      </c>
      <c r="AJ42" s="389">
        <f>ECOMOD_input_estimate!AJ42</f>
        <v>67</v>
      </c>
      <c r="AK42" s="389">
        <f>ECOMOD_input_estimate!AK42</f>
        <v>49</v>
      </c>
      <c r="AL42" s="389">
        <f>ECOMOD_input_estimate!AL42</f>
        <v>67</v>
      </c>
      <c r="AM42" s="389">
        <f>ECOMOD_input_estimate!AM42</f>
        <v>67</v>
      </c>
      <c r="AN42" s="389">
        <f>ECOMOD_input_estimate!AN42</f>
        <v>49</v>
      </c>
      <c r="AO42" s="389">
        <f>ECOMOD_input_estimate!AO42</f>
        <v>67</v>
      </c>
      <c r="AP42" s="389">
        <f>ECOMOD_input_estimate!AP42</f>
        <v>48</v>
      </c>
      <c r="AQ42" s="389">
        <f>ECOMOD_input_estimate!AQ42</f>
        <v>39</v>
      </c>
      <c r="AR42" s="389">
        <f>ECOMOD_input_estimate!AR42</f>
        <v>48</v>
      </c>
      <c r="AS42" s="389">
        <f>ECOMOD_input_estimate!AS42</f>
        <v>48</v>
      </c>
      <c r="AT42" s="389">
        <f>ECOMOD_input_estimate!AT42</f>
        <v>39</v>
      </c>
      <c r="AU42" s="389">
        <f>ECOMOD_input_estimate!AU42</f>
        <v>48</v>
      </c>
      <c r="AV42" s="234">
        <f t="shared" si="43"/>
        <v>5</v>
      </c>
      <c r="AW42" s="234">
        <f t="shared" si="0"/>
        <v>0</v>
      </c>
      <c r="AX42" s="234">
        <f t="shared" si="1"/>
        <v>5</v>
      </c>
      <c r="AY42" s="234">
        <f t="shared" si="44"/>
        <v>5</v>
      </c>
      <c r="AZ42" s="234">
        <f t="shared" si="3"/>
        <v>0</v>
      </c>
      <c r="BA42" s="234">
        <f t="shared" si="4"/>
        <v>5</v>
      </c>
      <c r="BB42" s="234">
        <f t="shared" si="5"/>
        <v>4</v>
      </c>
      <c r="BC42" s="234">
        <f t="shared" si="6"/>
        <v>0</v>
      </c>
      <c r="BD42" s="234">
        <f t="shared" si="7"/>
        <v>4</v>
      </c>
      <c r="BE42" s="234">
        <f t="shared" si="45"/>
        <v>4</v>
      </c>
      <c r="BF42" s="234">
        <f t="shared" si="9"/>
        <v>0</v>
      </c>
      <c r="BG42" s="234">
        <f t="shared" si="10"/>
        <v>4</v>
      </c>
      <c r="BH42" s="234">
        <f t="shared" si="11"/>
        <v>4</v>
      </c>
      <c r="BI42" s="234">
        <f t="shared" si="12"/>
        <v>0</v>
      </c>
      <c r="BJ42" s="234">
        <f t="shared" si="13"/>
        <v>4</v>
      </c>
      <c r="BK42" s="234">
        <f t="shared" si="46"/>
        <v>4</v>
      </c>
      <c r="BL42" s="234">
        <f t="shared" si="15"/>
        <v>0</v>
      </c>
      <c r="BM42" s="234">
        <f t="shared" si="16"/>
        <v>4</v>
      </c>
      <c r="BN42" s="154" t="s">
        <v>483</v>
      </c>
      <c r="BO42" s="154" t="str">
        <f t="shared" si="17"/>
        <v>low</v>
      </c>
      <c r="BP42" s="154" t="str">
        <f t="shared" si="18"/>
        <v>low</v>
      </c>
      <c r="BQ42" s="154" t="str">
        <f t="shared" si="19"/>
        <v>low</v>
      </c>
      <c r="BR42" s="154" t="s">
        <v>182</v>
      </c>
      <c r="BS42" s="154" t="s">
        <v>182</v>
      </c>
      <c r="BT42" s="154" t="s">
        <v>182</v>
      </c>
      <c r="BU42" s="154">
        <f t="shared" si="20"/>
        <v>150</v>
      </c>
      <c r="BV42" s="154">
        <f t="shared" si="21"/>
        <v>335</v>
      </c>
      <c r="BW42" s="154">
        <f t="shared" si="22"/>
        <v>150</v>
      </c>
      <c r="BX42" s="154">
        <f t="shared" si="23"/>
        <v>150</v>
      </c>
      <c r="BY42" s="154">
        <f t="shared" si="24"/>
        <v>335</v>
      </c>
      <c r="BZ42" s="154">
        <f t="shared" si="25"/>
        <v>150</v>
      </c>
      <c r="CA42" s="356">
        <f t="array" ref="CA42">IF(yieldsetting2="estimate",0,INDEX(cropdata, MATCH(yieldsource,outputs,0), MATCH($F42,cropdatacrops,0)))</f>
        <v>8.6</v>
      </c>
      <c r="CB42" s="356">
        <f t="array" ref="CB42">IF(yieldsetting2="estimate",0,INDEX(cropdata, MATCH(yieldsource,outputs,0), MATCH($G42,cropdatacrops,0)))</f>
        <v>3.5</v>
      </c>
      <c r="CC42" s="356">
        <f t="array" ref="CC42">IF(yieldsetting2="estimate",0,INDEX(cropdata, MATCH(yieldsource,outputs,0), MATCH($H42,cropdatacrops,0)))</f>
        <v>8.6</v>
      </c>
      <c r="CD42" s="356">
        <f t="array" ref="CD42">IF(yieldsetting2="estimate",0,INDEX(cropdata, MATCH(yieldsource,outputs,0), MATCH($I42,cropdatacrops,0)))</f>
        <v>8.6</v>
      </c>
      <c r="CE42" s="356">
        <f t="array" ref="CE42">IF(yieldsetting2="estimate",0,INDEX(cropdata, MATCH(yieldsource,outputs,0), MATCH($J42,cropdatacrops,0)))</f>
        <v>3.5</v>
      </c>
      <c r="CF42" s="356">
        <f t="array" ref="CF42">IF(yieldsetting2="estimate",0,INDEX(cropdata, MATCH(yieldsource,outputs,0), MATCH($K42,cropdatacrops,0)))</f>
        <v>8.6</v>
      </c>
      <c r="CG42" s="154" t="str">
        <f t="shared" si="47"/>
        <v>actual</v>
      </c>
      <c r="CH42" s="235">
        <f t="shared" si="27"/>
        <v>0.8</v>
      </c>
      <c r="CI42" s="235">
        <f t="shared" si="28"/>
        <v>0.72</v>
      </c>
      <c r="CJ42" s="154">
        <f t="shared" si="29"/>
        <v>0.46</v>
      </c>
      <c r="CK42" s="154">
        <f t="shared" si="30"/>
        <v>0.36</v>
      </c>
      <c r="CL42" s="154">
        <f t="shared" si="31"/>
        <v>7.34</v>
      </c>
      <c r="CM42" s="154">
        <f t="shared" si="32"/>
        <v>0.36</v>
      </c>
      <c r="CN42" s="154">
        <f t="shared" si="33"/>
        <v>0.36</v>
      </c>
      <c r="CO42" s="154">
        <f t="shared" si="34"/>
        <v>7.34</v>
      </c>
      <c r="CP42" s="154">
        <f t="shared" si="35"/>
        <v>0.36</v>
      </c>
      <c r="CQ42" s="154">
        <f t="shared" si="48"/>
        <v>19.5</v>
      </c>
      <c r="CR42" s="154">
        <f t="shared" si="48"/>
        <v>19.5</v>
      </c>
      <c r="CS42" s="154">
        <f t="shared" si="48"/>
        <v>19.5</v>
      </c>
      <c r="CT42" s="154">
        <f t="shared" si="48"/>
        <v>19.5</v>
      </c>
      <c r="CU42" s="154">
        <f t="shared" si="48"/>
        <v>19.5</v>
      </c>
      <c r="CV42" s="154">
        <f t="shared" si="48"/>
        <v>19.5</v>
      </c>
      <c r="CW42" s="154">
        <f t="shared" si="49"/>
        <v>2.4300000000000002</v>
      </c>
      <c r="CX42" s="154">
        <f t="shared" si="49"/>
        <v>2.4300000000000002</v>
      </c>
      <c r="CY42" s="154">
        <f t="shared" si="49"/>
        <v>2.4300000000000002</v>
      </c>
      <c r="CZ42" s="154">
        <f t="shared" si="49"/>
        <v>2.4300000000000002</v>
      </c>
      <c r="DA42" s="154">
        <f t="shared" si="49"/>
        <v>2.4300000000000002</v>
      </c>
      <c r="DB42" s="154">
        <f t="shared" si="49"/>
        <v>2.4300000000000002</v>
      </c>
      <c r="DC42" s="154">
        <v>102</v>
      </c>
      <c r="DD42" s="154">
        <v>6</v>
      </c>
      <c r="DE42" s="154">
        <v>4</v>
      </c>
      <c r="DF42" s="154">
        <v>1400</v>
      </c>
      <c r="DG42" s="154">
        <v>125</v>
      </c>
      <c r="DH42" s="154">
        <f t="shared" si="38"/>
        <v>0.625</v>
      </c>
      <c r="DI42" s="154">
        <f t="shared" si="39"/>
        <v>10.08</v>
      </c>
    </row>
    <row r="43" spans="1:113" x14ac:dyDescent="0.2">
      <c r="A43" s="335" t="s">
        <v>1633</v>
      </c>
      <c r="B43" s="334" t="s">
        <v>510</v>
      </c>
      <c r="C43" s="334" t="s">
        <v>1632</v>
      </c>
      <c r="D43" s="233" t="str">
        <f>ECOMOD_input_estimate!$D43</f>
        <v>0.75</v>
      </c>
      <c r="E43" s="385">
        <f>ECOMOD_input_estimate!$E43</f>
        <v>6</v>
      </c>
      <c r="F43" s="386" t="str">
        <f>ECOMOD_input_estimate!$F43</f>
        <v>winterwheat</v>
      </c>
      <c r="G43" s="282" t="str">
        <f>ECOMOD_input_estimate!$G43</f>
        <v>wosr</v>
      </c>
      <c r="H43" s="282" t="str">
        <f>ECOMOD_input_estimate!$H43</f>
        <v>winterwheat</v>
      </c>
      <c r="I43" s="282" t="str">
        <f>ECOMOD_input_estimate!I43</f>
        <v>winterwheat</v>
      </c>
      <c r="J43" s="282" t="str">
        <f>ECOMOD_input_estimate!$J43</f>
        <v>wosr</v>
      </c>
      <c r="K43" s="282" t="str">
        <f>ECOMOD_input_estimate!$K43</f>
        <v>winterwheat</v>
      </c>
      <c r="L43" s="282" t="str">
        <f>ECOMOD_input_estimate!L43</f>
        <v>minimumtillage</v>
      </c>
      <c r="M43" s="282" t="str">
        <f>ECOMOD_input_estimate!M43</f>
        <v>subsoiling</v>
      </c>
      <c r="N43" s="282" t="str">
        <f>ECOMOD_input_estimate!N43</f>
        <v>minimumtillage</v>
      </c>
      <c r="O43" s="282" t="str">
        <f>ECOMOD_input_estimate!O43</f>
        <v>minimumtillage</v>
      </c>
      <c r="P43" s="282" t="str">
        <f>ECOMOD_input_estimate!P43</f>
        <v>subsoiling</v>
      </c>
      <c r="Q43" s="282" t="str">
        <f>ECOMOD_input_estimate!Q43</f>
        <v>minimumtillage</v>
      </c>
      <c r="R43" s="389">
        <f>ECOMOD_input_estimate!R43</f>
        <v>200</v>
      </c>
      <c r="S43" s="391">
        <f>ECOMOD_input_estimate!S43</f>
        <v>3.2</v>
      </c>
      <c r="T43" s="389">
        <f>ECOMOD_input_estimate!T43</f>
        <v>200</v>
      </c>
      <c r="U43" s="389">
        <f>ECOMOD_input_estimate!U43</f>
        <v>200</v>
      </c>
      <c r="V43" s="391">
        <f>ECOMOD_input_estimate!V43</f>
        <v>3.2</v>
      </c>
      <c r="W43" s="389">
        <f>ECOMOD_input_estimate!W43</f>
        <v>200</v>
      </c>
      <c r="X43" s="282" t="str">
        <f>ECOMOD_input_estimate!X43</f>
        <v>late</v>
      </c>
      <c r="Y43" s="282" t="str">
        <f>ECOMOD_input_estimate!Y43</f>
        <v>no</v>
      </c>
      <c r="Z43" s="282" t="str">
        <f>ECOMOD_input_estimate!Z43</f>
        <v>late</v>
      </c>
      <c r="AA43" s="282" t="str">
        <f>ECOMOD_input_estimate!AA43</f>
        <v>late</v>
      </c>
      <c r="AB43" s="282" t="str">
        <f>ECOMOD_input_estimate!AB43</f>
        <v>no</v>
      </c>
      <c r="AC43" s="282" t="str">
        <f>ECOMOD_input_estimate!AC43</f>
        <v>late</v>
      </c>
      <c r="AD43" s="389">
        <f>ECOMOD_input_estimate!AD43</f>
        <v>150</v>
      </c>
      <c r="AE43" s="389">
        <f>ECOMOD_input_estimate!AE43</f>
        <v>180</v>
      </c>
      <c r="AF43" s="389">
        <f>ECOMOD_input_estimate!AF43</f>
        <v>150</v>
      </c>
      <c r="AG43" s="389">
        <f>ECOMOD_input_estimate!AG43</f>
        <v>150</v>
      </c>
      <c r="AH43" s="389">
        <f>ECOMOD_input_estimate!AH43</f>
        <v>180</v>
      </c>
      <c r="AI43" s="389">
        <f>ECOMOD_input_estimate!AI43</f>
        <v>150</v>
      </c>
      <c r="AJ43" s="389">
        <f>ECOMOD_input_estimate!AJ43</f>
        <v>67</v>
      </c>
      <c r="AK43" s="389">
        <f>ECOMOD_input_estimate!AK43</f>
        <v>49</v>
      </c>
      <c r="AL43" s="389">
        <f>ECOMOD_input_estimate!AL43</f>
        <v>67</v>
      </c>
      <c r="AM43" s="389">
        <f>ECOMOD_input_estimate!AM43</f>
        <v>67</v>
      </c>
      <c r="AN43" s="389">
        <f>ECOMOD_input_estimate!AN43</f>
        <v>49</v>
      </c>
      <c r="AO43" s="389">
        <f>ECOMOD_input_estimate!AO43</f>
        <v>67</v>
      </c>
      <c r="AP43" s="389">
        <f>ECOMOD_input_estimate!AP43</f>
        <v>48</v>
      </c>
      <c r="AQ43" s="389">
        <f>ECOMOD_input_estimate!AQ43</f>
        <v>39</v>
      </c>
      <c r="AR43" s="389">
        <f>ECOMOD_input_estimate!AR43</f>
        <v>48</v>
      </c>
      <c r="AS43" s="389">
        <f>ECOMOD_input_estimate!AS43</f>
        <v>48</v>
      </c>
      <c r="AT43" s="389">
        <f>ECOMOD_input_estimate!AT43</f>
        <v>39</v>
      </c>
      <c r="AU43" s="389">
        <f>ECOMOD_input_estimate!AU43</f>
        <v>48</v>
      </c>
      <c r="AV43" s="234">
        <f t="shared" si="43"/>
        <v>5</v>
      </c>
      <c r="AW43" s="234">
        <f t="shared" si="0"/>
        <v>0</v>
      </c>
      <c r="AX43" s="234">
        <f t="shared" si="1"/>
        <v>5</v>
      </c>
      <c r="AY43" s="234">
        <f t="shared" si="44"/>
        <v>5</v>
      </c>
      <c r="AZ43" s="234">
        <f t="shared" si="3"/>
        <v>0</v>
      </c>
      <c r="BA43" s="234">
        <f t="shared" si="4"/>
        <v>5</v>
      </c>
      <c r="BB43" s="234">
        <f t="shared" si="5"/>
        <v>4</v>
      </c>
      <c r="BC43" s="234">
        <f t="shared" si="6"/>
        <v>0</v>
      </c>
      <c r="BD43" s="234">
        <f t="shared" si="7"/>
        <v>4</v>
      </c>
      <c r="BE43" s="234">
        <f t="shared" si="45"/>
        <v>4</v>
      </c>
      <c r="BF43" s="234">
        <f t="shared" si="9"/>
        <v>0</v>
      </c>
      <c r="BG43" s="234">
        <f t="shared" si="10"/>
        <v>4</v>
      </c>
      <c r="BH43" s="234">
        <f t="shared" si="11"/>
        <v>4</v>
      </c>
      <c r="BI43" s="234">
        <f t="shared" si="12"/>
        <v>0</v>
      </c>
      <c r="BJ43" s="234">
        <f t="shared" si="13"/>
        <v>4</v>
      </c>
      <c r="BK43" s="234">
        <f t="shared" si="46"/>
        <v>4</v>
      </c>
      <c r="BL43" s="234">
        <f t="shared" si="15"/>
        <v>0</v>
      </c>
      <c r="BM43" s="234">
        <f t="shared" si="16"/>
        <v>4</v>
      </c>
      <c r="BN43" s="154" t="s">
        <v>483</v>
      </c>
      <c r="BO43" s="154" t="str">
        <f t="shared" si="17"/>
        <v>medium</v>
      </c>
      <c r="BP43" s="154" t="str">
        <f t="shared" si="18"/>
        <v>low</v>
      </c>
      <c r="BQ43" s="154" t="str">
        <f t="shared" si="19"/>
        <v>low</v>
      </c>
      <c r="BR43" s="154" t="s">
        <v>183</v>
      </c>
      <c r="BS43" s="154" t="s">
        <v>183</v>
      </c>
      <c r="BT43" s="154" t="s">
        <v>183</v>
      </c>
      <c r="BU43" s="154">
        <f t="shared" si="20"/>
        <v>150</v>
      </c>
      <c r="BV43" s="154">
        <f t="shared" si="21"/>
        <v>335</v>
      </c>
      <c r="BW43" s="154">
        <f t="shared" si="22"/>
        <v>150</v>
      </c>
      <c r="BX43" s="154">
        <f t="shared" si="23"/>
        <v>150</v>
      </c>
      <c r="BY43" s="154">
        <f t="shared" si="24"/>
        <v>335</v>
      </c>
      <c r="BZ43" s="154">
        <f t="shared" si="25"/>
        <v>150</v>
      </c>
      <c r="CA43" s="356">
        <f t="array" ref="CA43">IF(yieldsetting2="estimate",0,INDEX(cropdata, MATCH(yieldsource,outputs,0), MATCH($F43,cropdatacrops,0)))</f>
        <v>8.6</v>
      </c>
      <c r="CB43" s="356">
        <f t="array" ref="CB43">IF(yieldsetting2="estimate",0,INDEX(cropdata, MATCH(yieldsource,outputs,0), MATCH($G43,cropdatacrops,0)))</f>
        <v>3.5</v>
      </c>
      <c r="CC43" s="356">
        <f t="array" ref="CC43">IF(yieldsetting2="estimate",0,INDEX(cropdata, MATCH(yieldsource,outputs,0), MATCH($H43,cropdatacrops,0)))</f>
        <v>8.6</v>
      </c>
      <c r="CD43" s="356">
        <f t="array" ref="CD43">IF(yieldsetting2="estimate",0,INDEX(cropdata, MATCH(yieldsource,outputs,0), MATCH($I43,cropdatacrops,0)))</f>
        <v>8.6</v>
      </c>
      <c r="CE43" s="356">
        <f t="array" ref="CE43">IF(yieldsetting2="estimate",0,INDEX(cropdata, MATCH(yieldsource,outputs,0), MATCH($J43,cropdatacrops,0)))</f>
        <v>3.5</v>
      </c>
      <c r="CF43" s="356">
        <f t="array" ref="CF43">IF(yieldsetting2="estimate",0,INDEX(cropdata, MATCH(yieldsource,outputs,0), MATCH($K43,cropdatacrops,0)))</f>
        <v>8.6</v>
      </c>
      <c r="CG43" s="154" t="str">
        <f t="shared" si="47"/>
        <v>actual</v>
      </c>
      <c r="CH43" s="235">
        <f t="shared" si="27"/>
        <v>0.8</v>
      </c>
      <c r="CI43" s="235">
        <f t="shared" si="28"/>
        <v>0.72</v>
      </c>
      <c r="CJ43" s="154">
        <f t="shared" si="29"/>
        <v>0.46</v>
      </c>
      <c r="CK43" s="154">
        <f t="shared" si="30"/>
        <v>0.36</v>
      </c>
      <c r="CL43" s="154">
        <f t="shared" si="31"/>
        <v>7.34</v>
      </c>
      <c r="CM43" s="154">
        <f t="shared" si="32"/>
        <v>0.36</v>
      </c>
      <c r="CN43" s="154">
        <f t="shared" si="33"/>
        <v>0.36</v>
      </c>
      <c r="CO43" s="154">
        <f t="shared" si="34"/>
        <v>7.34</v>
      </c>
      <c r="CP43" s="154">
        <f t="shared" si="35"/>
        <v>0.36</v>
      </c>
      <c r="CQ43" s="154">
        <f t="shared" si="48"/>
        <v>19.5</v>
      </c>
      <c r="CR43" s="154">
        <f t="shared" si="48"/>
        <v>19.5</v>
      </c>
      <c r="CS43" s="154">
        <f t="shared" si="48"/>
        <v>19.5</v>
      </c>
      <c r="CT43" s="154">
        <f t="shared" si="48"/>
        <v>19.5</v>
      </c>
      <c r="CU43" s="154">
        <f t="shared" si="48"/>
        <v>19.5</v>
      </c>
      <c r="CV43" s="154">
        <f t="shared" si="48"/>
        <v>19.5</v>
      </c>
      <c r="CW43" s="154">
        <f t="shared" si="49"/>
        <v>2.4300000000000002</v>
      </c>
      <c r="CX43" s="154">
        <f t="shared" si="49"/>
        <v>2.4300000000000002</v>
      </c>
      <c r="CY43" s="154">
        <f t="shared" si="49"/>
        <v>2.4300000000000002</v>
      </c>
      <c r="CZ43" s="154">
        <f t="shared" si="49"/>
        <v>2.4300000000000002</v>
      </c>
      <c r="DA43" s="154">
        <f t="shared" si="49"/>
        <v>2.4300000000000002</v>
      </c>
      <c r="DB43" s="154">
        <f t="shared" si="49"/>
        <v>2.4300000000000002</v>
      </c>
      <c r="DC43" s="154">
        <v>102</v>
      </c>
      <c r="DD43" s="154">
        <v>6</v>
      </c>
      <c r="DE43" s="154">
        <v>4</v>
      </c>
      <c r="DF43" s="154">
        <v>1400</v>
      </c>
      <c r="DG43" s="154">
        <v>125</v>
      </c>
      <c r="DH43" s="154">
        <f t="shared" si="38"/>
        <v>0.625</v>
      </c>
      <c r="DI43" s="154">
        <f t="shared" si="39"/>
        <v>10.08</v>
      </c>
    </row>
    <row r="44" spans="1:113" x14ac:dyDescent="0.2">
      <c r="A44" s="335" t="s">
        <v>1643</v>
      </c>
      <c r="B44" s="334" t="s">
        <v>486</v>
      </c>
      <c r="C44" s="334" t="s">
        <v>1641</v>
      </c>
      <c r="D44" s="233" t="str">
        <f>ECOMOD_input_estimate!$D44</f>
        <v>2.25</v>
      </c>
      <c r="E44" s="385">
        <f>ECOMOD_input_estimate!$E44</f>
        <v>6</v>
      </c>
      <c r="F44" s="386" t="str">
        <f>ECOMOD_input_estimate!$F44</f>
        <v>winterwheat</v>
      </c>
      <c r="G44" s="282" t="str">
        <f>ECOMOD_input_estimate!$G44</f>
        <v>winterbarley</v>
      </c>
      <c r="H44" s="282" t="str">
        <f>ECOMOD_input_estimate!$H44</f>
        <v>wosr</v>
      </c>
      <c r="I44" s="282" t="str">
        <f>ECOMOD_input_estimate!I44</f>
        <v>winterwheat</v>
      </c>
      <c r="J44" s="282" t="str">
        <f>ECOMOD_input_estimate!$J44</f>
        <v>springbeans</v>
      </c>
      <c r="K44" s="282" t="str">
        <f>ECOMOD_input_estimate!$K44</f>
        <v>winterwheat</v>
      </c>
      <c r="L44" s="282" t="str">
        <f>ECOMOD_input_estimate!L44</f>
        <v>lightcultivation</v>
      </c>
      <c r="M44" s="282" t="str">
        <f>ECOMOD_input_estimate!M44</f>
        <v>lightcultivation</v>
      </c>
      <c r="N44" s="282" t="str">
        <f>ECOMOD_input_estimate!N44</f>
        <v>subsoiling</v>
      </c>
      <c r="O44" s="282" t="str">
        <f>ECOMOD_input_estimate!O44</f>
        <v>lightcultivation</v>
      </c>
      <c r="P44" s="282" t="str">
        <f>ECOMOD_input_estimate!P44</f>
        <v>lightcultivation</v>
      </c>
      <c r="Q44" s="282" t="str">
        <f>ECOMOD_input_estimate!Q44</f>
        <v>lightcultivation</v>
      </c>
      <c r="R44" s="389">
        <f>ECOMOD_input_estimate!R44</f>
        <v>190</v>
      </c>
      <c r="S44" s="389">
        <f>ECOMOD_input_estimate!S44</f>
        <v>195</v>
      </c>
      <c r="T44" s="391">
        <f>ECOMOD_input_estimate!T44</f>
        <v>3.2</v>
      </c>
      <c r="U44" s="389">
        <f>ECOMOD_input_estimate!U44</f>
        <v>190</v>
      </c>
      <c r="V44" s="389">
        <f>ECOMOD_input_estimate!V44</f>
        <v>305</v>
      </c>
      <c r="W44" s="389">
        <f>ECOMOD_input_estimate!W44</f>
        <v>190</v>
      </c>
      <c r="X44" s="282" t="str">
        <f>ECOMOD_input_estimate!X44</f>
        <v>no</v>
      </c>
      <c r="Y44" s="282" t="str">
        <f>ECOMOD_input_estimate!Y44</f>
        <v>no</v>
      </c>
      <c r="Z44" s="282" t="str">
        <f>ECOMOD_input_estimate!Z44</f>
        <v>no</v>
      </c>
      <c r="AA44" s="282" t="str">
        <f>ECOMOD_input_estimate!AA44</f>
        <v>no</v>
      </c>
      <c r="AB44" s="282" t="str">
        <f>ECOMOD_input_estimate!AB44</f>
        <v>no</v>
      </c>
      <c r="AC44" s="282" t="str">
        <f>ECOMOD_input_estimate!AC44</f>
        <v>no</v>
      </c>
      <c r="AD44" s="389">
        <f>ECOMOD_input_estimate!AD44</f>
        <v>220</v>
      </c>
      <c r="AE44" s="389">
        <f>ECOMOD_input_estimate!AE44</f>
        <v>190</v>
      </c>
      <c r="AF44" s="389">
        <f>ECOMOD_input_estimate!AF44</f>
        <v>180</v>
      </c>
      <c r="AG44" s="389">
        <f>ECOMOD_input_estimate!AG44</f>
        <v>220</v>
      </c>
      <c r="AH44" s="389">
        <f>ECOMOD_input_estimate!AH44</f>
        <v>0</v>
      </c>
      <c r="AI44" s="389">
        <f>ECOMOD_input_estimate!AI44</f>
        <v>220</v>
      </c>
      <c r="AJ44" s="389">
        <f>ECOMOD_input_estimate!AJ44</f>
        <v>67</v>
      </c>
      <c r="AK44" s="389">
        <f>ECOMOD_input_estimate!AK44</f>
        <v>58</v>
      </c>
      <c r="AL44" s="389">
        <f>ECOMOD_input_estimate!AL44</f>
        <v>49</v>
      </c>
      <c r="AM44" s="389">
        <f>ECOMOD_input_estimate!AM44</f>
        <v>67</v>
      </c>
      <c r="AN44" s="389">
        <f>ECOMOD_input_estimate!AN44</f>
        <v>43</v>
      </c>
      <c r="AO44" s="389">
        <f>ECOMOD_input_estimate!AO44</f>
        <v>67</v>
      </c>
      <c r="AP44" s="389">
        <f>ECOMOD_input_estimate!AP44</f>
        <v>48</v>
      </c>
      <c r="AQ44" s="389">
        <f>ECOMOD_input_estimate!AQ44</f>
        <v>41</v>
      </c>
      <c r="AR44" s="389">
        <f>ECOMOD_input_estimate!AR44</f>
        <v>39</v>
      </c>
      <c r="AS44" s="389">
        <f>ECOMOD_input_estimate!AS44</f>
        <v>48</v>
      </c>
      <c r="AT44" s="389">
        <f>ECOMOD_input_estimate!AT44</f>
        <v>47</v>
      </c>
      <c r="AU44" s="389">
        <f>ECOMOD_input_estimate!AU44</f>
        <v>48</v>
      </c>
      <c r="AV44" s="234">
        <f t="shared" si="43"/>
        <v>1</v>
      </c>
      <c r="AW44" s="234">
        <f t="shared" si="0"/>
        <v>0.4</v>
      </c>
      <c r="AX44" s="234">
        <f t="shared" si="1"/>
        <v>2</v>
      </c>
      <c r="AY44" s="345">
        <v>4.4000000000000004</v>
      </c>
      <c r="AZ44" s="234">
        <f t="shared" si="3"/>
        <v>4</v>
      </c>
      <c r="BA44" s="234">
        <f t="shared" si="4"/>
        <v>1</v>
      </c>
      <c r="BB44" s="234">
        <f t="shared" si="5"/>
        <v>3</v>
      </c>
      <c r="BC44" s="234">
        <f t="shared" si="6"/>
        <v>3</v>
      </c>
      <c r="BD44" s="234">
        <f t="shared" si="7"/>
        <v>0</v>
      </c>
      <c r="BE44" s="234">
        <f t="shared" si="45"/>
        <v>3</v>
      </c>
      <c r="BF44" s="234">
        <f t="shared" si="9"/>
        <v>6</v>
      </c>
      <c r="BG44" s="234">
        <f t="shared" si="10"/>
        <v>3</v>
      </c>
      <c r="BH44" s="234">
        <f t="shared" si="11"/>
        <v>3</v>
      </c>
      <c r="BI44" s="234">
        <f t="shared" si="12"/>
        <v>2</v>
      </c>
      <c r="BJ44" s="234">
        <f t="shared" si="13"/>
        <v>2</v>
      </c>
      <c r="BK44" s="234">
        <f t="shared" si="46"/>
        <v>3</v>
      </c>
      <c r="BL44" s="234">
        <f t="shared" si="15"/>
        <v>3</v>
      </c>
      <c r="BM44" s="234">
        <f t="shared" si="16"/>
        <v>3</v>
      </c>
      <c r="BN44" s="154" t="s">
        <v>483</v>
      </c>
      <c r="BO44" s="154" t="str">
        <f t="shared" si="17"/>
        <v>low</v>
      </c>
      <c r="BP44" s="154" t="str">
        <f t="shared" si="18"/>
        <v>low</v>
      </c>
      <c r="BQ44" s="154" t="str">
        <f t="shared" si="19"/>
        <v>low</v>
      </c>
      <c r="BR44" s="154" t="s">
        <v>18</v>
      </c>
      <c r="BS44" s="154" t="s">
        <v>18</v>
      </c>
      <c r="BT44" s="154" t="s">
        <v>18</v>
      </c>
      <c r="BU44" s="154">
        <f t="shared" si="20"/>
        <v>150</v>
      </c>
      <c r="BV44" s="154">
        <f t="shared" si="21"/>
        <v>138</v>
      </c>
      <c r="BW44" s="154">
        <f t="shared" si="22"/>
        <v>335</v>
      </c>
      <c r="BX44" s="154">
        <f t="shared" si="23"/>
        <v>150</v>
      </c>
      <c r="BY44" s="154">
        <f t="shared" si="24"/>
        <v>185</v>
      </c>
      <c r="BZ44" s="154">
        <f t="shared" si="25"/>
        <v>150</v>
      </c>
      <c r="CA44" s="356">
        <f t="array" ref="CA44">IF(yieldsetting2="estimate",0,INDEX(cropdata, MATCH(yieldsource,outputs,0), MATCH($F44,cropdatacrops,0)))</f>
        <v>8.6</v>
      </c>
      <c r="CB44" s="356">
        <f t="array" ref="CB44">IF(yieldsetting2="estimate",0,INDEX(cropdata, MATCH(yieldsource,outputs,0), MATCH($G44,cropdatacrops,0)))</f>
        <v>7.4</v>
      </c>
      <c r="CC44" s="356">
        <f t="array" ref="CC44">IF(yieldsetting2="estimate",0,INDEX(cropdata, MATCH(yieldsource,outputs,0), MATCH($H44,cropdatacrops,0)))</f>
        <v>3.5</v>
      </c>
      <c r="CD44" s="356">
        <f t="array" ref="CD44">IF(yieldsetting2="estimate",0,INDEX(cropdata, MATCH(yieldsource,outputs,0), MATCH($I44,cropdatacrops,0)))</f>
        <v>8.6</v>
      </c>
      <c r="CE44" s="356">
        <f t="array" ref="CE44">IF(yieldsetting2="estimate",0,INDEX(cropdata, MATCH(yieldsource,outputs,0), MATCH($J44,cropdatacrops,0)))</f>
        <v>3.9</v>
      </c>
      <c r="CF44" s="356">
        <f t="array" ref="CF44">IF(yieldsetting2="estimate",0,INDEX(cropdata, MATCH(yieldsource,outputs,0), MATCH($K44,cropdatacrops,0)))</f>
        <v>8.6</v>
      </c>
      <c r="CG44" s="154" t="str">
        <f t="shared" si="47"/>
        <v>actual</v>
      </c>
      <c r="CH44" s="235">
        <f t="shared" si="27"/>
        <v>0.8</v>
      </c>
      <c r="CI44" s="235">
        <f t="shared" si="28"/>
        <v>0.72</v>
      </c>
      <c r="CJ44" s="154">
        <f t="shared" si="29"/>
        <v>0.46</v>
      </c>
      <c r="CK44" s="154">
        <f t="shared" si="30"/>
        <v>0.36</v>
      </c>
      <c r="CL44" s="154">
        <f t="shared" si="31"/>
        <v>0.36</v>
      </c>
      <c r="CM44" s="154">
        <f t="shared" si="32"/>
        <v>7.34</v>
      </c>
      <c r="CN44" s="154">
        <f t="shared" si="33"/>
        <v>0.36</v>
      </c>
      <c r="CO44" s="154">
        <f t="shared" si="34"/>
        <v>0.38</v>
      </c>
      <c r="CP44" s="154">
        <f t="shared" si="35"/>
        <v>0.36</v>
      </c>
      <c r="CQ44" s="154">
        <f t="shared" si="48"/>
        <v>19.5</v>
      </c>
      <c r="CR44" s="154">
        <f t="shared" si="48"/>
        <v>19.5</v>
      </c>
      <c r="CS44" s="154">
        <f t="shared" si="48"/>
        <v>19.5</v>
      </c>
      <c r="CT44" s="154">
        <f t="shared" si="48"/>
        <v>19.5</v>
      </c>
      <c r="CU44" s="154">
        <f t="shared" si="48"/>
        <v>19.5</v>
      </c>
      <c r="CV44" s="154">
        <f t="shared" si="48"/>
        <v>19.5</v>
      </c>
      <c r="CW44" s="154">
        <f t="shared" si="49"/>
        <v>2.4300000000000002</v>
      </c>
      <c r="CX44" s="154">
        <f t="shared" si="49"/>
        <v>2.4300000000000002</v>
      </c>
      <c r="CY44" s="154">
        <f t="shared" si="49"/>
        <v>2.4300000000000002</v>
      </c>
      <c r="CZ44" s="154">
        <f t="shared" si="49"/>
        <v>2.4300000000000002</v>
      </c>
      <c r="DA44" s="154">
        <f t="shared" si="49"/>
        <v>2.4300000000000002</v>
      </c>
      <c r="DB44" s="154">
        <f t="shared" si="49"/>
        <v>2.4300000000000002</v>
      </c>
      <c r="DC44" s="154">
        <v>102</v>
      </c>
      <c r="DD44" s="154">
        <v>6</v>
      </c>
      <c r="DE44" s="154">
        <v>4</v>
      </c>
      <c r="DF44" s="154">
        <v>1400</v>
      </c>
      <c r="DG44" s="154">
        <v>125</v>
      </c>
      <c r="DH44" s="154">
        <f t="shared" si="38"/>
        <v>0.625</v>
      </c>
      <c r="DI44" s="154">
        <f t="shared" si="39"/>
        <v>10.08</v>
      </c>
    </row>
    <row r="45" spans="1:113" x14ac:dyDescent="0.2">
      <c r="A45" s="335" t="s">
        <v>1644</v>
      </c>
      <c r="B45" s="334" t="s">
        <v>486</v>
      </c>
      <c r="C45" s="334" t="s">
        <v>1642</v>
      </c>
      <c r="D45" s="233" t="str">
        <f>ECOMOD_input_estimate!$D45</f>
        <v>2.25</v>
      </c>
      <c r="E45" s="385">
        <f>ECOMOD_input_estimate!$E45</f>
        <v>6</v>
      </c>
      <c r="F45" s="386" t="str">
        <f>ECOMOD_input_estimate!$F45</f>
        <v>winterwheat</v>
      </c>
      <c r="G45" s="282" t="str">
        <f>ECOMOD_input_estimate!$G45</f>
        <v>winterbarley</v>
      </c>
      <c r="H45" s="282" t="str">
        <f>ECOMOD_input_estimate!$H45</f>
        <v>wosr</v>
      </c>
      <c r="I45" s="282" t="str">
        <f>ECOMOD_input_estimate!I45</f>
        <v>winterwheat</v>
      </c>
      <c r="J45" s="282" t="str">
        <f>ECOMOD_input_estimate!$J45</f>
        <v>springbeans</v>
      </c>
      <c r="K45" s="282" t="str">
        <f>ECOMOD_input_estimate!$K45</f>
        <v>winterwheat</v>
      </c>
      <c r="L45" s="282" t="str">
        <f>ECOMOD_input_estimate!L45</f>
        <v>lightcultivation</v>
      </c>
      <c r="M45" s="282" t="str">
        <f>ECOMOD_input_estimate!M45</f>
        <v>lightcultivation</v>
      </c>
      <c r="N45" s="282" t="str">
        <f>ECOMOD_input_estimate!N45</f>
        <v>subsoiling</v>
      </c>
      <c r="O45" s="282" t="str">
        <f>ECOMOD_input_estimate!O45</f>
        <v>lightcultivation</v>
      </c>
      <c r="P45" s="282" t="str">
        <f>ECOMOD_input_estimate!P45</f>
        <v>lightcultivation</v>
      </c>
      <c r="Q45" s="282" t="str">
        <f>ECOMOD_input_estimate!Q45</f>
        <v>lightcultivation</v>
      </c>
      <c r="R45" s="389">
        <f>ECOMOD_input_estimate!R45</f>
        <v>190</v>
      </c>
      <c r="S45" s="389">
        <f>ECOMOD_input_estimate!S45</f>
        <v>195</v>
      </c>
      <c r="T45" s="391">
        <f>ECOMOD_input_estimate!T45</f>
        <v>3.2</v>
      </c>
      <c r="U45" s="389">
        <f>ECOMOD_input_estimate!U45</f>
        <v>190</v>
      </c>
      <c r="V45" s="389">
        <f>ECOMOD_input_estimate!V45</f>
        <v>305</v>
      </c>
      <c r="W45" s="389">
        <f>ECOMOD_input_estimate!W45</f>
        <v>190</v>
      </c>
      <c r="X45" s="282" t="str">
        <f>ECOMOD_input_estimate!X45</f>
        <v>no</v>
      </c>
      <c r="Y45" s="282" t="str">
        <f>ECOMOD_input_estimate!Y45</f>
        <v>no</v>
      </c>
      <c r="Z45" s="282" t="str">
        <f>ECOMOD_input_estimate!Z45</f>
        <v>no</v>
      </c>
      <c r="AA45" s="282" t="str">
        <f>ECOMOD_input_estimate!AA45</f>
        <v>no</v>
      </c>
      <c r="AB45" s="282" t="str">
        <f>ECOMOD_input_estimate!AB45</f>
        <v>no</v>
      </c>
      <c r="AC45" s="282" t="str">
        <f>ECOMOD_input_estimate!AC45</f>
        <v>no</v>
      </c>
      <c r="AD45" s="389">
        <f>ECOMOD_input_estimate!AD45</f>
        <v>220</v>
      </c>
      <c r="AE45" s="389">
        <f>ECOMOD_input_estimate!AE45</f>
        <v>190</v>
      </c>
      <c r="AF45" s="389">
        <f>ECOMOD_input_estimate!AF45</f>
        <v>180</v>
      </c>
      <c r="AG45" s="389">
        <f>ECOMOD_input_estimate!AG45</f>
        <v>220</v>
      </c>
      <c r="AH45" s="389">
        <f>ECOMOD_input_estimate!AH45</f>
        <v>0</v>
      </c>
      <c r="AI45" s="389">
        <f>ECOMOD_input_estimate!AI45</f>
        <v>220</v>
      </c>
      <c r="AJ45" s="389">
        <f>ECOMOD_input_estimate!AJ45</f>
        <v>67</v>
      </c>
      <c r="AK45" s="389">
        <f>ECOMOD_input_estimate!AK45</f>
        <v>58</v>
      </c>
      <c r="AL45" s="389">
        <f>ECOMOD_input_estimate!AL45</f>
        <v>49</v>
      </c>
      <c r="AM45" s="389">
        <f>ECOMOD_input_estimate!AM45</f>
        <v>67</v>
      </c>
      <c r="AN45" s="389">
        <f>ECOMOD_input_estimate!AN45</f>
        <v>43</v>
      </c>
      <c r="AO45" s="389">
        <f>ECOMOD_input_estimate!AO45</f>
        <v>67</v>
      </c>
      <c r="AP45" s="389">
        <f>ECOMOD_input_estimate!AP45</f>
        <v>48</v>
      </c>
      <c r="AQ45" s="389">
        <f>ECOMOD_input_estimate!AQ45</f>
        <v>41</v>
      </c>
      <c r="AR45" s="389">
        <f>ECOMOD_input_estimate!AR45</f>
        <v>39</v>
      </c>
      <c r="AS45" s="389">
        <f>ECOMOD_input_estimate!AS45</f>
        <v>48</v>
      </c>
      <c r="AT45" s="389">
        <f>ECOMOD_input_estimate!AT45</f>
        <v>47</v>
      </c>
      <c r="AU45" s="389">
        <f>ECOMOD_input_estimate!AU45</f>
        <v>48</v>
      </c>
      <c r="AV45" s="234">
        <f t="shared" si="43"/>
        <v>1</v>
      </c>
      <c r="AW45" s="234">
        <f t="shared" si="0"/>
        <v>0.4</v>
      </c>
      <c r="AX45" s="234">
        <f t="shared" si="1"/>
        <v>2</v>
      </c>
      <c r="AY45" s="345">
        <v>4.4000000000000004</v>
      </c>
      <c r="AZ45" s="234">
        <f t="shared" si="3"/>
        <v>4</v>
      </c>
      <c r="BA45" s="234">
        <f t="shared" si="4"/>
        <v>1</v>
      </c>
      <c r="BB45" s="234">
        <f t="shared" si="5"/>
        <v>3</v>
      </c>
      <c r="BC45" s="234">
        <f t="shared" si="6"/>
        <v>3</v>
      </c>
      <c r="BD45" s="234">
        <f t="shared" si="7"/>
        <v>0</v>
      </c>
      <c r="BE45" s="234">
        <f t="shared" si="45"/>
        <v>3</v>
      </c>
      <c r="BF45" s="234">
        <f t="shared" si="9"/>
        <v>6</v>
      </c>
      <c r="BG45" s="234">
        <f t="shared" si="10"/>
        <v>3</v>
      </c>
      <c r="BH45" s="234">
        <f t="shared" si="11"/>
        <v>3</v>
      </c>
      <c r="BI45" s="234">
        <f t="shared" si="12"/>
        <v>2</v>
      </c>
      <c r="BJ45" s="234">
        <f t="shared" si="13"/>
        <v>2</v>
      </c>
      <c r="BK45" s="234">
        <f t="shared" si="46"/>
        <v>3</v>
      </c>
      <c r="BL45" s="234">
        <f t="shared" si="15"/>
        <v>3</v>
      </c>
      <c r="BM45" s="234">
        <f t="shared" si="16"/>
        <v>3</v>
      </c>
      <c r="BN45" s="154" t="s">
        <v>483</v>
      </c>
      <c r="BO45" s="154" t="str">
        <f t="shared" si="17"/>
        <v>medium</v>
      </c>
      <c r="BP45" s="154" t="str">
        <f t="shared" si="18"/>
        <v>low</v>
      </c>
      <c r="BQ45" s="154" t="str">
        <f t="shared" si="19"/>
        <v>low</v>
      </c>
      <c r="BR45" s="154" t="s">
        <v>182</v>
      </c>
      <c r="BS45" s="154" t="s">
        <v>182</v>
      </c>
      <c r="BT45" s="154" t="s">
        <v>182</v>
      </c>
      <c r="BU45" s="154">
        <f t="shared" si="20"/>
        <v>150</v>
      </c>
      <c r="BV45" s="154">
        <f t="shared" si="21"/>
        <v>138</v>
      </c>
      <c r="BW45" s="154">
        <f t="shared" si="22"/>
        <v>335</v>
      </c>
      <c r="BX45" s="154">
        <f t="shared" si="23"/>
        <v>150</v>
      </c>
      <c r="BY45" s="154">
        <f t="shared" si="24"/>
        <v>185</v>
      </c>
      <c r="BZ45" s="154">
        <f t="shared" si="25"/>
        <v>150</v>
      </c>
      <c r="CA45" s="356">
        <f t="array" ref="CA45">IF(yieldsetting2="estimate",0,INDEX(cropdata, MATCH(yieldsource,outputs,0), MATCH($F45,cropdatacrops,0)))</f>
        <v>8.6</v>
      </c>
      <c r="CB45" s="356">
        <f t="array" ref="CB45">IF(yieldsetting2="estimate",0,INDEX(cropdata, MATCH(yieldsource,outputs,0), MATCH($G45,cropdatacrops,0)))</f>
        <v>7.4</v>
      </c>
      <c r="CC45" s="356">
        <f t="array" ref="CC45">IF(yieldsetting2="estimate",0,INDEX(cropdata, MATCH(yieldsource,outputs,0), MATCH($H45,cropdatacrops,0)))</f>
        <v>3.5</v>
      </c>
      <c r="CD45" s="356">
        <f t="array" ref="CD45">IF(yieldsetting2="estimate",0,INDEX(cropdata, MATCH(yieldsource,outputs,0), MATCH($I45,cropdatacrops,0)))</f>
        <v>8.6</v>
      </c>
      <c r="CE45" s="356">
        <f t="array" ref="CE45">IF(yieldsetting2="estimate",0,INDEX(cropdata, MATCH(yieldsource,outputs,0), MATCH($J45,cropdatacrops,0)))</f>
        <v>3.9</v>
      </c>
      <c r="CF45" s="356">
        <f t="array" ref="CF45">IF(yieldsetting2="estimate",0,INDEX(cropdata, MATCH(yieldsource,outputs,0), MATCH($K45,cropdatacrops,0)))</f>
        <v>8.6</v>
      </c>
      <c r="CG45" s="154" t="str">
        <f t="shared" si="47"/>
        <v>actual</v>
      </c>
      <c r="CH45" s="235">
        <f t="shared" si="27"/>
        <v>0.8</v>
      </c>
      <c r="CI45" s="235">
        <f t="shared" si="28"/>
        <v>0.72</v>
      </c>
      <c r="CJ45" s="154">
        <f t="shared" si="29"/>
        <v>0.46</v>
      </c>
      <c r="CK45" s="154">
        <f t="shared" si="30"/>
        <v>0.36</v>
      </c>
      <c r="CL45" s="154">
        <f t="shared" si="31"/>
        <v>0.36</v>
      </c>
      <c r="CM45" s="154">
        <f t="shared" si="32"/>
        <v>7.34</v>
      </c>
      <c r="CN45" s="154">
        <f t="shared" si="33"/>
        <v>0.36</v>
      </c>
      <c r="CO45" s="154">
        <f t="shared" si="34"/>
        <v>0.38</v>
      </c>
      <c r="CP45" s="154">
        <f t="shared" si="35"/>
        <v>0.36</v>
      </c>
      <c r="CQ45" s="154">
        <f t="shared" si="48"/>
        <v>19.5</v>
      </c>
      <c r="CR45" s="154">
        <f t="shared" si="48"/>
        <v>19.5</v>
      </c>
      <c r="CS45" s="154">
        <f t="shared" si="48"/>
        <v>19.5</v>
      </c>
      <c r="CT45" s="154">
        <f t="shared" si="48"/>
        <v>19.5</v>
      </c>
      <c r="CU45" s="154">
        <f t="shared" si="48"/>
        <v>19.5</v>
      </c>
      <c r="CV45" s="154">
        <f t="shared" si="48"/>
        <v>19.5</v>
      </c>
      <c r="CW45" s="154">
        <f t="shared" si="49"/>
        <v>2.4300000000000002</v>
      </c>
      <c r="CX45" s="154">
        <f t="shared" si="49"/>
        <v>2.4300000000000002</v>
      </c>
      <c r="CY45" s="154">
        <f t="shared" si="49"/>
        <v>2.4300000000000002</v>
      </c>
      <c r="CZ45" s="154">
        <f t="shared" si="49"/>
        <v>2.4300000000000002</v>
      </c>
      <c r="DA45" s="154">
        <f t="shared" si="49"/>
        <v>2.4300000000000002</v>
      </c>
      <c r="DB45" s="154">
        <f t="shared" si="49"/>
        <v>2.4300000000000002</v>
      </c>
      <c r="DC45" s="154">
        <v>102</v>
      </c>
      <c r="DD45" s="154">
        <v>6</v>
      </c>
      <c r="DE45" s="154">
        <v>4</v>
      </c>
      <c r="DF45" s="154">
        <v>1400</v>
      </c>
      <c r="DG45" s="154">
        <v>125</v>
      </c>
      <c r="DH45" s="154">
        <f t="shared" si="38"/>
        <v>0.625</v>
      </c>
      <c r="DI45" s="154">
        <f t="shared" si="39"/>
        <v>10.08</v>
      </c>
    </row>
    <row r="46" spans="1:113" x14ac:dyDescent="0.2">
      <c r="A46" s="335" t="s">
        <v>1651</v>
      </c>
      <c r="B46" s="334" t="s">
        <v>489</v>
      </c>
      <c r="C46" s="334" t="s">
        <v>1649</v>
      </c>
      <c r="D46" s="233" t="str">
        <f>ECOMOD_input_estimate!$D46</f>
        <v>1.50</v>
      </c>
      <c r="E46" s="385">
        <f>ECOMOD_input_estimate!$E46</f>
        <v>6</v>
      </c>
      <c r="F46" s="386" t="str">
        <f>ECOMOD_input_estimate!$F46</f>
        <v>winterwheat</v>
      </c>
      <c r="G46" s="282" t="str">
        <f>ECOMOD_input_estimate!$G46</f>
        <v>winterbarley</v>
      </c>
      <c r="H46" s="282" t="str">
        <f>ECOMOD_input_estimate!$H46</f>
        <v>wosr</v>
      </c>
      <c r="I46" s="282" t="str">
        <f>ECOMOD_input_estimate!I46</f>
        <v>winterwheat</v>
      </c>
      <c r="J46" s="282" t="str">
        <f>ECOMOD_input_estimate!$J46</f>
        <v>springbeans</v>
      </c>
      <c r="K46" s="282" t="str">
        <f>ECOMOD_input_estimate!$K46</f>
        <v>winterwheat</v>
      </c>
      <c r="L46" s="282" t="str">
        <f>ECOMOD_input_estimate!L46</f>
        <v>lightcultivation</v>
      </c>
      <c r="M46" s="282" t="str">
        <f>ECOMOD_input_estimate!M46</f>
        <v>lightcultivation</v>
      </c>
      <c r="N46" s="282" t="str">
        <f>ECOMOD_input_estimate!N46</f>
        <v>subsoiling</v>
      </c>
      <c r="O46" s="282" t="str">
        <f>ECOMOD_input_estimate!O46</f>
        <v>lightcultivation</v>
      </c>
      <c r="P46" s="282" t="str">
        <f>ECOMOD_input_estimate!P46</f>
        <v>lightcultivation</v>
      </c>
      <c r="Q46" s="282" t="str">
        <f>ECOMOD_input_estimate!Q46</f>
        <v>lightcultivation</v>
      </c>
      <c r="R46" s="389">
        <f>ECOMOD_input_estimate!R46</f>
        <v>190</v>
      </c>
      <c r="S46" s="389">
        <f>ECOMOD_input_estimate!S46</f>
        <v>195</v>
      </c>
      <c r="T46" s="391">
        <f>ECOMOD_input_estimate!T46</f>
        <v>3.2</v>
      </c>
      <c r="U46" s="389">
        <f>ECOMOD_input_estimate!U46</f>
        <v>190</v>
      </c>
      <c r="V46" s="389">
        <f>ECOMOD_input_estimate!V46</f>
        <v>305</v>
      </c>
      <c r="W46" s="389">
        <f>ECOMOD_input_estimate!W46</f>
        <v>190</v>
      </c>
      <c r="X46" s="282" t="str">
        <f>ECOMOD_input_estimate!X46</f>
        <v>no</v>
      </c>
      <c r="Y46" s="282" t="str">
        <f>ECOMOD_input_estimate!Y46</f>
        <v>no</v>
      </c>
      <c r="Z46" s="282" t="str">
        <f>ECOMOD_input_estimate!Z46</f>
        <v>no</v>
      </c>
      <c r="AA46" s="282" t="str">
        <f>ECOMOD_input_estimate!AA46</f>
        <v>no</v>
      </c>
      <c r="AB46" s="282" t="str">
        <f>ECOMOD_input_estimate!AB46</f>
        <v>no</v>
      </c>
      <c r="AC46" s="282" t="str">
        <f>ECOMOD_input_estimate!AC46</f>
        <v>no</v>
      </c>
      <c r="AD46" s="389">
        <f>ECOMOD_input_estimate!AD46</f>
        <v>220</v>
      </c>
      <c r="AE46" s="389">
        <f>ECOMOD_input_estimate!AE46</f>
        <v>190</v>
      </c>
      <c r="AF46" s="389">
        <f>ECOMOD_input_estimate!AF46</f>
        <v>180</v>
      </c>
      <c r="AG46" s="389">
        <f>ECOMOD_input_estimate!AG46</f>
        <v>220</v>
      </c>
      <c r="AH46" s="389">
        <f>ECOMOD_input_estimate!AH46</f>
        <v>0</v>
      </c>
      <c r="AI46" s="389">
        <f>ECOMOD_input_estimate!AI46</f>
        <v>220</v>
      </c>
      <c r="AJ46" s="389">
        <f>ECOMOD_input_estimate!AJ46</f>
        <v>67</v>
      </c>
      <c r="AK46" s="389">
        <f>ECOMOD_input_estimate!AK46</f>
        <v>58</v>
      </c>
      <c r="AL46" s="389">
        <f>ECOMOD_input_estimate!AL46</f>
        <v>49</v>
      </c>
      <c r="AM46" s="389">
        <f>ECOMOD_input_estimate!AM46</f>
        <v>67</v>
      </c>
      <c r="AN46" s="389">
        <f>ECOMOD_input_estimate!AN46</f>
        <v>43</v>
      </c>
      <c r="AO46" s="389">
        <f>ECOMOD_input_estimate!AO46</f>
        <v>67</v>
      </c>
      <c r="AP46" s="389">
        <f>ECOMOD_input_estimate!AP46</f>
        <v>48</v>
      </c>
      <c r="AQ46" s="389">
        <f>ECOMOD_input_estimate!AQ46</f>
        <v>41</v>
      </c>
      <c r="AR46" s="389">
        <f>ECOMOD_input_estimate!AR46</f>
        <v>39</v>
      </c>
      <c r="AS46" s="389">
        <f>ECOMOD_input_estimate!AS46</f>
        <v>48</v>
      </c>
      <c r="AT46" s="389">
        <f>ECOMOD_input_estimate!AT46</f>
        <v>47</v>
      </c>
      <c r="AU46" s="389">
        <f>ECOMOD_input_estimate!AU46</f>
        <v>48</v>
      </c>
      <c r="AV46" s="234">
        <f t="shared" si="43"/>
        <v>1</v>
      </c>
      <c r="AW46" s="234">
        <f t="shared" si="0"/>
        <v>0.4</v>
      </c>
      <c r="AX46" s="234">
        <f t="shared" si="1"/>
        <v>2</v>
      </c>
      <c r="AY46" s="345">
        <v>4.4000000000000004</v>
      </c>
      <c r="AZ46" s="234">
        <f t="shared" si="3"/>
        <v>4</v>
      </c>
      <c r="BA46" s="234">
        <f t="shared" si="4"/>
        <v>1</v>
      </c>
      <c r="BB46" s="234">
        <f t="shared" si="5"/>
        <v>3</v>
      </c>
      <c r="BC46" s="234">
        <f t="shared" si="6"/>
        <v>3</v>
      </c>
      <c r="BD46" s="234">
        <f t="shared" si="7"/>
        <v>0</v>
      </c>
      <c r="BE46" s="234">
        <f t="shared" si="45"/>
        <v>3</v>
      </c>
      <c r="BF46" s="234">
        <f t="shared" si="9"/>
        <v>6</v>
      </c>
      <c r="BG46" s="234">
        <f t="shared" si="10"/>
        <v>3</v>
      </c>
      <c r="BH46" s="234">
        <f t="shared" si="11"/>
        <v>3</v>
      </c>
      <c r="BI46" s="234">
        <f t="shared" si="12"/>
        <v>2</v>
      </c>
      <c r="BJ46" s="234">
        <f t="shared" si="13"/>
        <v>2</v>
      </c>
      <c r="BK46" s="234">
        <f t="shared" si="46"/>
        <v>3</v>
      </c>
      <c r="BL46" s="234">
        <f t="shared" si="15"/>
        <v>3</v>
      </c>
      <c r="BM46" s="234">
        <f t="shared" si="16"/>
        <v>3</v>
      </c>
      <c r="BN46" s="154" t="s">
        <v>483</v>
      </c>
      <c r="BO46" s="154" t="str">
        <f t="shared" si="17"/>
        <v>low</v>
      </c>
      <c r="BP46" s="154" t="str">
        <f t="shared" si="18"/>
        <v>low</v>
      </c>
      <c r="BQ46" s="154" t="str">
        <f t="shared" si="19"/>
        <v>low</v>
      </c>
      <c r="BR46" s="154" t="s">
        <v>183</v>
      </c>
      <c r="BS46" s="154" t="s">
        <v>183</v>
      </c>
      <c r="BT46" s="154" t="s">
        <v>183</v>
      </c>
      <c r="BU46" s="154">
        <f t="shared" si="20"/>
        <v>150</v>
      </c>
      <c r="BV46" s="154">
        <f t="shared" si="21"/>
        <v>138</v>
      </c>
      <c r="BW46" s="154">
        <f t="shared" si="22"/>
        <v>335</v>
      </c>
      <c r="BX46" s="154">
        <f t="shared" si="23"/>
        <v>150</v>
      </c>
      <c r="BY46" s="154">
        <f t="shared" si="24"/>
        <v>185</v>
      </c>
      <c r="BZ46" s="154">
        <f t="shared" si="25"/>
        <v>150</v>
      </c>
      <c r="CA46" s="356">
        <f t="array" ref="CA46">IF(yieldsetting2="estimate",0,INDEX(cropdata, MATCH(yieldsource,outputs,0), MATCH($F46,cropdatacrops,0)))</f>
        <v>8.6</v>
      </c>
      <c r="CB46" s="356">
        <f t="array" ref="CB46">IF(yieldsetting2="estimate",0,INDEX(cropdata, MATCH(yieldsource,outputs,0), MATCH($G46,cropdatacrops,0)))</f>
        <v>7.4</v>
      </c>
      <c r="CC46" s="356">
        <f t="array" ref="CC46">IF(yieldsetting2="estimate",0,INDEX(cropdata, MATCH(yieldsource,outputs,0), MATCH($H46,cropdatacrops,0)))</f>
        <v>3.5</v>
      </c>
      <c r="CD46" s="356">
        <f t="array" ref="CD46">IF(yieldsetting2="estimate",0,INDEX(cropdata, MATCH(yieldsource,outputs,0), MATCH($I46,cropdatacrops,0)))</f>
        <v>8.6</v>
      </c>
      <c r="CE46" s="356">
        <f t="array" ref="CE46">IF(yieldsetting2="estimate",0,INDEX(cropdata, MATCH(yieldsource,outputs,0), MATCH($J46,cropdatacrops,0)))</f>
        <v>3.9</v>
      </c>
      <c r="CF46" s="356">
        <f t="array" ref="CF46">IF(yieldsetting2="estimate",0,INDEX(cropdata, MATCH(yieldsource,outputs,0), MATCH($K46,cropdatacrops,0)))</f>
        <v>8.6</v>
      </c>
      <c r="CG46" s="154" t="str">
        <f t="shared" si="47"/>
        <v>actual</v>
      </c>
      <c r="CH46" s="235">
        <f t="shared" si="27"/>
        <v>0.8</v>
      </c>
      <c r="CI46" s="235">
        <f t="shared" si="28"/>
        <v>0.72</v>
      </c>
      <c r="CJ46" s="154">
        <f t="shared" si="29"/>
        <v>0.46</v>
      </c>
      <c r="CK46" s="154">
        <f t="shared" si="30"/>
        <v>0.36</v>
      </c>
      <c r="CL46" s="154">
        <f t="shared" si="31"/>
        <v>0.36</v>
      </c>
      <c r="CM46" s="154">
        <f t="shared" si="32"/>
        <v>7.34</v>
      </c>
      <c r="CN46" s="154">
        <f t="shared" si="33"/>
        <v>0.36</v>
      </c>
      <c r="CO46" s="154">
        <f t="shared" si="34"/>
        <v>0.38</v>
      </c>
      <c r="CP46" s="154">
        <f t="shared" si="35"/>
        <v>0.36</v>
      </c>
      <c r="CQ46" s="154">
        <f t="shared" si="48"/>
        <v>19.5</v>
      </c>
      <c r="CR46" s="154">
        <f t="shared" si="48"/>
        <v>19.5</v>
      </c>
      <c r="CS46" s="154">
        <f t="shared" si="48"/>
        <v>19.5</v>
      </c>
      <c r="CT46" s="154">
        <f t="shared" si="48"/>
        <v>19.5</v>
      </c>
      <c r="CU46" s="154">
        <f t="shared" si="48"/>
        <v>19.5</v>
      </c>
      <c r="CV46" s="154">
        <f t="shared" si="48"/>
        <v>19.5</v>
      </c>
      <c r="CW46" s="154">
        <f t="shared" si="49"/>
        <v>2.4300000000000002</v>
      </c>
      <c r="CX46" s="154">
        <f t="shared" si="49"/>
        <v>2.4300000000000002</v>
      </c>
      <c r="CY46" s="154">
        <f t="shared" si="49"/>
        <v>2.4300000000000002</v>
      </c>
      <c r="CZ46" s="154">
        <f t="shared" si="49"/>
        <v>2.4300000000000002</v>
      </c>
      <c r="DA46" s="154">
        <f t="shared" si="49"/>
        <v>2.4300000000000002</v>
      </c>
      <c r="DB46" s="154">
        <f t="shared" si="49"/>
        <v>2.4300000000000002</v>
      </c>
      <c r="DC46" s="154">
        <v>102</v>
      </c>
      <c r="DD46" s="154">
        <v>6</v>
      </c>
      <c r="DE46" s="154">
        <v>4</v>
      </c>
      <c r="DF46" s="154">
        <v>1400</v>
      </c>
      <c r="DG46" s="154">
        <v>125</v>
      </c>
      <c r="DH46" s="154">
        <f t="shared" si="38"/>
        <v>0.625</v>
      </c>
      <c r="DI46" s="154">
        <f t="shared" si="39"/>
        <v>10.08</v>
      </c>
    </row>
    <row r="47" spans="1:113" x14ac:dyDescent="0.2">
      <c r="A47" s="335" t="s">
        <v>1652</v>
      </c>
      <c r="B47" s="334" t="s">
        <v>489</v>
      </c>
      <c r="C47" s="334" t="s">
        <v>1650</v>
      </c>
      <c r="D47" s="233" t="str">
        <f>ECOMOD_input_estimate!$D47</f>
        <v>1.50</v>
      </c>
      <c r="E47" s="385">
        <f>ECOMOD_input_estimate!$E47</f>
        <v>6</v>
      </c>
      <c r="F47" s="386" t="str">
        <f>ECOMOD_input_estimate!$F47</f>
        <v>winterwheat</v>
      </c>
      <c r="G47" s="282" t="str">
        <f>ECOMOD_input_estimate!$G47</f>
        <v>winterbarley</v>
      </c>
      <c r="H47" s="282" t="str">
        <f>ECOMOD_input_estimate!$H47</f>
        <v>wosr</v>
      </c>
      <c r="I47" s="282" t="str">
        <f>ECOMOD_input_estimate!I47</f>
        <v>winterwheat</v>
      </c>
      <c r="J47" s="282" t="str">
        <f>ECOMOD_input_estimate!$J47</f>
        <v>springbeans</v>
      </c>
      <c r="K47" s="282" t="str">
        <f>ECOMOD_input_estimate!$K47</f>
        <v>winterwheat</v>
      </c>
      <c r="L47" s="282" t="str">
        <f>ECOMOD_input_estimate!L47</f>
        <v>lightcultivation</v>
      </c>
      <c r="M47" s="282" t="str">
        <f>ECOMOD_input_estimate!M47</f>
        <v>lightcultivation</v>
      </c>
      <c r="N47" s="282" t="str">
        <f>ECOMOD_input_estimate!N47</f>
        <v>subsoiling</v>
      </c>
      <c r="O47" s="282" t="str">
        <f>ECOMOD_input_estimate!O47</f>
        <v>lightcultivation</v>
      </c>
      <c r="P47" s="282" t="str">
        <f>ECOMOD_input_estimate!P47</f>
        <v>lightcultivation</v>
      </c>
      <c r="Q47" s="282" t="str">
        <f>ECOMOD_input_estimate!Q47</f>
        <v>lightcultivation</v>
      </c>
      <c r="R47" s="389">
        <f>ECOMOD_input_estimate!R47</f>
        <v>190</v>
      </c>
      <c r="S47" s="389">
        <f>ECOMOD_input_estimate!S47</f>
        <v>195</v>
      </c>
      <c r="T47" s="391">
        <f>ECOMOD_input_estimate!T47</f>
        <v>3.2</v>
      </c>
      <c r="U47" s="389">
        <f>ECOMOD_input_estimate!U47</f>
        <v>190</v>
      </c>
      <c r="V47" s="389">
        <f>ECOMOD_input_estimate!V47</f>
        <v>305</v>
      </c>
      <c r="W47" s="389">
        <f>ECOMOD_input_estimate!W47</f>
        <v>190</v>
      </c>
      <c r="X47" s="282" t="str">
        <f>ECOMOD_input_estimate!X47</f>
        <v>no</v>
      </c>
      <c r="Y47" s="282" t="str">
        <f>ECOMOD_input_estimate!Y47</f>
        <v>no</v>
      </c>
      <c r="Z47" s="282" t="str">
        <f>ECOMOD_input_estimate!Z47</f>
        <v>no</v>
      </c>
      <c r="AA47" s="282" t="str">
        <f>ECOMOD_input_estimate!AA47</f>
        <v>no</v>
      </c>
      <c r="AB47" s="282" t="str">
        <f>ECOMOD_input_estimate!AB47</f>
        <v>no</v>
      </c>
      <c r="AC47" s="282" t="str">
        <f>ECOMOD_input_estimate!AC47</f>
        <v>no</v>
      </c>
      <c r="AD47" s="389">
        <f>ECOMOD_input_estimate!AD47</f>
        <v>220</v>
      </c>
      <c r="AE47" s="389">
        <f>ECOMOD_input_estimate!AE47</f>
        <v>190</v>
      </c>
      <c r="AF47" s="389">
        <f>ECOMOD_input_estimate!AF47</f>
        <v>180</v>
      </c>
      <c r="AG47" s="389">
        <f>ECOMOD_input_estimate!AG47</f>
        <v>220</v>
      </c>
      <c r="AH47" s="389">
        <f>ECOMOD_input_estimate!AH47</f>
        <v>0</v>
      </c>
      <c r="AI47" s="389">
        <f>ECOMOD_input_estimate!AI47</f>
        <v>220</v>
      </c>
      <c r="AJ47" s="389">
        <f>ECOMOD_input_estimate!AJ47</f>
        <v>67</v>
      </c>
      <c r="AK47" s="389">
        <f>ECOMOD_input_estimate!AK47</f>
        <v>58</v>
      </c>
      <c r="AL47" s="389">
        <f>ECOMOD_input_estimate!AL47</f>
        <v>49</v>
      </c>
      <c r="AM47" s="389">
        <f>ECOMOD_input_estimate!AM47</f>
        <v>67</v>
      </c>
      <c r="AN47" s="389">
        <f>ECOMOD_input_estimate!AN47</f>
        <v>43</v>
      </c>
      <c r="AO47" s="389">
        <f>ECOMOD_input_estimate!AO47</f>
        <v>67</v>
      </c>
      <c r="AP47" s="389">
        <f>ECOMOD_input_estimate!AP47</f>
        <v>48</v>
      </c>
      <c r="AQ47" s="389">
        <f>ECOMOD_input_estimate!AQ47</f>
        <v>41</v>
      </c>
      <c r="AR47" s="389">
        <f>ECOMOD_input_estimate!AR47</f>
        <v>39</v>
      </c>
      <c r="AS47" s="389">
        <f>ECOMOD_input_estimate!AS47</f>
        <v>48</v>
      </c>
      <c r="AT47" s="389">
        <f>ECOMOD_input_estimate!AT47</f>
        <v>47</v>
      </c>
      <c r="AU47" s="389">
        <f>ECOMOD_input_estimate!AU47</f>
        <v>48</v>
      </c>
      <c r="AV47" s="234">
        <f t="shared" si="43"/>
        <v>1</v>
      </c>
      <c r="AW47" s="234">
        <f t="shared" si="0"/>
        <v>0.4</v>
      </c>
      <c r="AX47" s="234">
        <f t="shared" si="1"/>
        <v>2</v>
      </c>
      <c r="AY47" s="345">
        <v>4.4000000000000004</v>
      </c>
      <c r="AZ47" s="234">
        <f t="shared" si="3"/>
        <v>4</v>
      </c>
      <c r="BA47" s="234">
        <f t="shared" si="4"/>
        <v>1</v>
      </c>
      <c r="BB47" s="234">
        <f t="shared" si="5"/>
        <v>3</v>
      </c>
      <c r="BC47" s="234">
        <f t="shared" si="6"/>
        <v>3</v>
      </c>
      <c r="BD47" s="234">
        <f t="shared" si="7"/>
        <v>0</v>
      </c>
      <c r="BE47" s="234">
        <f t="shared" si="45"/>
        <v>3</v>
      </c>
      <c r="BF47" s="234">
        <f t="shared" si="9"/>
        <v>6</v>
      </c>
      <c r="BG47" s="234">
        <f t="shared" si="10"/>
        <v>3</v>
      </c>
      <c r="BH47" s="234">
        <f t="shared" si="11"/>
        <v>3</v>
      </c>
      <c r="BI47" s="234">
        <f t="shared" si="12"/>
        <v>2</v>
      </c>
      <c r="BJ47" s="234">
        <f t="shared" si="13"/>
        <v>2</v>
      </c>
      <c r="BK47" s="234">
        <f t="shared" si="46"/>
        <v>3</v>
      </c>
      <c r="BL47" s="234">
        <f t="shared" si="15"/>
        <v>3</v>
      </c>
      <c r="BM47" s="234">
        <f t="shared" si="16"/>
        <v>3</v>
      </c>
      <c r="BN47" s="154" t="s">
        <v>483</v>
      </c>
      <c r="BO47" s="154" t="str">
        <f t="shared" si="17"/>
        <v>medium</v>
      </c>
      <c r="BP47" s="154" t="str">
        <f t="shared" si="18"/>
        <v>low</v>
      </c>
      <c r="BQ47" s="154" t="str">
        <f t="shared" si="19"/>
        <v>low</v>
      </c>
      <c r="BR47" s="154" t="s">
        <v>18</v>
      </c>
      <c r="BS47" s="154" t="s">
        <v>18</v>
      </c>
      <c r="BT47" s="154" t="s">
        <v>18</v>
      </c>
      <c r="BU47" s="154">
        <f t="shared" si="20"/>
        <v>150</v>
      </c>
      <c r="BV47" s="154">
        <f t="shared" si="21"/>
        <v>138</v>
      </c>
      <c r="BW47" s="154">
        <f t="shared" si="22"/>
        <v>335</v>
      </c>
      <c r="BX47" s="154">
        <f t="shared" si="23"/>
        <v>150</v>
      </c>
      <c r="BY47" s="154">
        <f t="shared" si="24"/>
        <v>185</v>
      </c>
      <c r="BZ47" s="154">
        <f t="shared" si="25"/>
        <v>150</v>
      </c>
      <c r="CA47" s="356">
        <f t="array" ref="CA47">IF(yieldsetting2="estimate",0,INDEX(cropdata, MATCH(yieldsource,outputs,0), MATCH($F47,cropdatacrops,0)))</f>
        <v>8.6</v>
      </c>
      <c r="CB47" s="356">
        <f t="array" ref="CB47">IF(yieldsetting2="estimate",0,INDEX(cropdata, MATCH(yieldsource,outputs,0), MATCH($G47,cropdatacrops,0)))</f>
        <v>7.4</v>
      </c>
      <c r="CC47" s="356">
        <f t="array" ref="CC47">IF(yieldsetting2="estimate",0,INDEX(cropdata, MATCH(yieldsource,outputs,0), MATCH($H47,cropdatacrops,0)))</f>
        <v>3.5</v>
      </c>
      <c r="CD47" s="356">
        <f t="array" ref="CD47">IF(yieldsetting2="estimate",0,INDEX(cropdata, MATCH(yieldsource,outputs,0), MATCH($I47,cropdatacrops,0)))</f>
        <v>8.6</v>
      </c>
      <c r="CE47" s="356">
        <f t="array" ref="CE47">IF(yieldsetting2="estimate",0,INDEX(cropdata, MATCH(yieldsource,outputs,0), MATCH($J47,cropdatacrops,0)))</f>
        <v>3.9</v>
      </c>
      <c r="CF47" s="356">
        <f t="array" ref="CF47">IF(yieldsetting2="estimate",0,INDEX(cropdata, MATCH(yieldsource,outputs,0), MATCH($K47,cropdatacrops,0)))</f>
        <v>8.6</v>
      </c>
      <c r="CG47" s="154" t="str">
        <f t="shared" si="47"/>
        <v>actual</v>
      </c>
      <c r="CH47" s="235">
        <f t="shared" si="27"/>
        <v>0.8</v>
      </c>
      <c r="CI47" s="235">
        <f t="shared" si="28"/>
        <v>0.72</v>
      </c>
      <c r="CJ47" s="154">
        <f t="shared" si="29"/>
        <v>0.46</v>
      </c>
      <c r="CK47" s="154">
        <f t="shared" si="30"/>
        <v>0.36</v>
      </c>
      <c r="CL47" s="154">
        <f t="shared" si="31"/>
        <v>0.36</v>
      </c>
      <c r="CM47" s="154">
        <f t="shared" si="32"/>
        <v>7.34</v>
      </c>
      <c r="CN47" s="154">
        <f t="shared" si="33"/>
        <v>0.36</v>
      </c>
      <c r="CO47" s="154">
        <f t="shared" si="34"/>
        <v>0.38</v>
      </c>
      <c r="CP47" s="154">
        <f t="shared" si="35"/>
        <v>0.36</v>
      </c>
      <c r="CQ47" s="154">
        <f t="shared" si="48"/>
        <v>19.5</v>
      </c>
      <c r="CR47" s="154">
        <f t="shared" si="48"/>
        <v>19.5</v>
      </c>
      <c r="CS47" s="154">
        <f t="shared" si="48"/>
        <v>19.5</v>
      </c>
      <c r="CT47" s="154">
        <f t="shared" si="48"/>
        <v>19.5</v>
      </c>
      <c r="CU47" s="154">
        <f t="shared" si="48"/>
        <v>19.5</v>
      </c>
      <c r="CV47" s="154">
        <f t="shared" si="48"/>
        <v>19.5</v>
      </c>
      <c r="CW47" s="154">
        <f t="shared" si="49"/>
        <v>2.4300000000000002</v>
      </c>
      <c r="CX47" s="154">
        <f t="shared" si="49"/>
        <v>2.4300000000000002</v>
      </c>
      <c r="CY47" s="154">
        <f t="shared" si="49"/>
        <v>2.4300000000000002</v>
      </c>
      <c r="CZ47" s="154">
        <f t="shared" si="49"/>
        <v>2.4300000000000002</v>
      </c>
      <c r="DA47" s="154">
        <f t="shared" si="49"/>
        <v>2.4300000000000002</v>
      </c>
      <c r="DB47" s="154">
        <f t="shared" si="49"/>
        <v>2.4300000000000002</v>
      </c>
      <c r="DC47" s="154">
        <v>102</v>
      </c>
      <c r="DD47" s="154">
        <v>6</v>
      </c>
      <c r="DE47" s="154">
        <v>4</v>
      </c>
      <c r="DF47" s="154">
        <v>1400</v>
      </c>
      <c r="DG47" s="154">
        <v>125</v>
      </c>
      <c r="DH47" s="154">
        <f t="shared" si="38"/>
        <v>0.625</v>
      </c>
      <c r="DI47" s="154">
        <f t="shared" si="39"/>
        <v>10.08</v>
      </c>
    </row>
    <row r="48" spans="1:113" x14ac:dyDescent="0.2">
      <c r="A48" s="335" t="s">
        <v>1660</v>
      </c>
      <c r="B48" s="334" t="s">
        <v>492</v>
      </c>
      <c r="C48" s="334" t="s">
        <v>1659</v>
      </c>
      <c r="D48" s="233" t="str">
        <f>ECOMOD_input_estimate!$D48</f>
        <v>0.75</v>
      </c>
      <c r="E48" s="385">
        <f>ECOMOD_input_estimate!$E48</f>
        <v>6</v>
      </c>
      <c r="F48" s="386" t="str">
        <f>ECOMOD_input_estimate!$F48</f>
        <v>winterwheat</v>
      </c>
      <c r="G48" s="282" t="str">
        <f>ECOMOD_input_estimate!$G48</f>
        <v>winterbarley</v>
      </c>
      <c r="H48" s="282" t="str">
        <f>ECOMOD_input_estimate!$H48</f>
        <v>wosr</v>
      </c>
      <c r="I48" s="282" t="str">
        <f>ECOMOD_input_estimate!I48</f>
        <v>winterwheat</v>
      </c>
      <c r="J48" s="282" t="str">
        <f>ECOMOD_input_estimate!$J48</f>
        <v>driedpeas</v>
      </c>
      <c r="K48" s="282" t="str">
        <f>ECOMOD_input_estimate!$K48</f>
        <v>winterwheat</v>
      </c>
      <c r="L48" s="282" t="str">
        <f>ECOMOD_input_estimate!L48</f>
        <v>lightcultivation</v>
      </c>
      <c r="M48" s="282" t="str">
        <f>ECOMOD_input_estimate!M48</f>
        <v>lightcultivation</v>
      </c>
      <c r="N48" s="282" t="str">
        <f>ECOMOD_input_estimate!N48</f>
        <v>subsoiling</v>
      </c>
      <c r="O48" s="282" t="str">
        <f>ECOMOD_input_estimate!O48</f>
        <v>lightcultivation</v>
      </c>
      <c r="P48" s="282" t="str">
        <f>ECOMOD_input_estimate!P48</f>
        <v>lightcultivation</v>
      </c>
      <c r="Q48" s="282" t="str">
        <f>ECOMOD_input_estimate!Q48</f>
        <v>lightcultivation</v>
      </c>
      <c r="R48" s="389">
        <f>ECOMOD_input_estimate!R48</f>
        <v>190</v>
      </c>
      <c r="S48" s="389">
        <f>ECOMOD_input_estimate!S48</f>
        <v>195</v>
      </c>
      <c r="T48" s="391">
        <f>ECOMOD_input_estimate!T48</f>
        <v>3.2</v>
      </c>
      <c r="U48" s="389">
        <f>ECOMOD_input_estimate!U48</f>
        <v>190</v>
      </c>
      <c r="V48" s="389">
        <f>ECOMOD_input_estimate!V48</f>
        <v>300</v>
      </c>
      <c r="W48" s="389">
        <f>ECOMOD_input_estimate!W48</f>
        <v>190</v>
      </c>
      <c r="X48" s="282" t="str">
        <f>ECOMOD_input_estimate!X48</f>
        <v>no</v>
      </c>
      <c r="Y48" s="282" t="str">
        <f>ECOMOD_input_estimate!Y48</f>
        <v>no</v>
      </c>
      <c r="Z48" s="282" t="str">
        <f>ECOMOD_input_estimate!Z48</f>
        <v>no</v>
      </c>
      <c r="AA48" s="282" t="str">
        <f>ECOMOD_input_estimate!AA48</f>
        <v>no</v>
      </c>
      <c r="AB48" s="282" t="str">
        <f>ECOMOD_input_estimate!AB48</f>
        <v>no</v>
      </c>
      <c r="AC48" s="282" t="str">
        <f>ECOMOD_input_estimate!AC48</f>
        <v>no</v>
      </c>
      <c r="AD48" s="389">
        <f>ECOMOD_input_estimate!AD48</f>
        <v>150</v>
      </c>
      <c r="AE48" s="389">
        <f>ECOMOD_input_estimate!AE48</f>
        <v>190</v>
      </c>
      <c r="AF48" s="389">
        <f>ECOMOD_input_estimate!AF48</f>
        <v>180</v>
      </c>
      <c r="AG48" s="389">
        <f>ECOMOD_input_estimate!AG48</f>
        <v>150</v>
      </c>
      <c r="AH48" s="389">
        <f>ECOMOD_input_estimate!AH48</f>
        <v>0</v>
      </c>
      <c r="AI48" s="389">
        <f>ECOMOD_input_estimate!AI48</f>
        <v>150</v>
      </c>
      <c r="AJ48" s="389">
        <f>ECOMOD_input_estimate!AJ48</f>
        <v>67</v>
      </c>
      <c r="AK48" s="389">
        <f>ECOMOD_input_estimate!AK48</f>
        <v>58</v>
      </c>
      <c r="AL48" s="389">
        <f>ECOMOD_input_estimate!AL48</f>
        <v>49</v>
      </c>
      <c r="AM48" s="389">
        <f>ECOMOD_input_estimate!AM48</f>
        <v>67</v>
      </c>
      <c r="AN48" s="389">
        <f>ECOMOD_input_estimate!AN48</f>
        <v>35</v>
      </c>
      <c r="AO48" s="389">
        <f>ECOMOD_input_estimate!AO48</f>
        <v>67</v>
      </c>
      <c r="AP48" s="389">
        <f>ECOMOD_input_estimate!AP48</f>
        <v>48</v>
      </c>
      <c r="AQ48" s="389">
        <f>ECOMOD_input_estimate!AQ48</f>
        <v>41</v>
      </c>
      <c r="AR48" s="389">
        <f>ECOMOD_input_estimate!AR48</f>
        <v>39</v>
      </c>
      <c r="AS48" s="389">
        <f>ECOMOD_input_estimate!AS48</f>
        <v>48</v>
      </c>
      <c r="AT48" s="389">
        <f>ECOMOD_input_estimate!AT48</f>
        <v>40</v>
      </c>
      <c r="AU48" s="389">
        <f>ECOMOD_input_estimate!AU48</f>
        <v>48</v>
      </c>
      <c r="AV48" s="234">
        <f t="shared" si="43"/>
        <v>1</v>
      </c>
      <c r="AW48" s="234">
        <f t="shared" si="0"/>
        <v>0.4</v>
      </c>
      <c r="AX48" s="234">
        <f t="shared" si="1"/>
        <v>2</v>
      </c>
      <c r="AY48" s="345">
        <v>4.4000000000000004</v>
      </c>
      <c r="AZ48" s="234">
        <f t="shared" si="3"/>
        <v>4</v>
      </c>
      <c r="BA48" s="234">
        <f t="shared" si="4"/>
        <v>1</v>
      </c>
      <c r="BB48" s="234">
        <f t="shared" si="5"/>
        <v>3</v>
      </c>
      <c r="BC48" s="234">
        <f t="shared" si="6"/>
        <v>3</v>
      </c>
      <c r="BD48" s="234">
        <f t="shared" si="7"/>
        <v>0</v>
      </c>
      <c r="BE48" s="234">
        <f t="shared" si="45"/>
        <v>3</v>
      </c>
      <c r="BF48" s="234">
        <f t="shared" si="9"/>
        <v>6</v>
      </c>
      <c r="BG48" s="234">
        <f t="shared" si="10"/>
        <v>3</v>
      </c>
      <c r="BH48" s="234">
        <f t="shared" si="11"/>
        <v>3</v>
      </c>
      <c r="BI48" s="234">
        <f t="shared" si="12"/>
        <v>2</v>
      </c>
      <c r="BJ48" s="234">
        <f t="shared" si="13"/>
        <v>2</v>
      </c>
      <c r="BK48" s="234">
        <f t="shared" si="46"/>
        <v>3</v>
      </c>
      <c r="BL48" s="234">
        <f t="shared" si="15"/>
        <v>3</v>
      </c>
      <c r="BM48" s="234">
        <f t="shared" si="16"/>
        <v>3</v>
      </c>
      <c r="BN48" s="154" t="s">
        <v>483</v>
      </c>
      <c r="BO48" s="154" t="str">
        <f t="shared" si="17"/>
        <v>low</v>
      </c>
      <c r="BP48" s="154" t="str">
        <f t="shared" si="18"/>
        <v>low</v>
      </c>
      <c r="BQ48" s="154" t="str">
        <f t="shared" si="19"/>
        <v>low</v>
      </c>
      <c r="BR48" s="154" t="s">
        <v>182</v>
      </c>
      <c r="BS48" s="154" t="s">
        <v>182</v>
      </c>
      <c r="BT48" s="154" t="s">
        <v>182</v>
      </c>
      <c r="BU48" s="154">
        <f t="shared" si="20"/>
        <v>150</v>
      </c>
      <c r="BV48" s="154">
        <f t="shared" si="21"/>
        <v>138</v>
      </c>
      <c r="BW48" s="154">
        <f t="shared" si="22"/>
        <v>335</v>
      </c>
      <c r="BX48" s="154">
        <f t="shared" si="23"/>
        <v>150</v>
      </c>
      <c r="BY48" s="154">
        <f t="shared" si="24"/>
        <v>225</v>
      </c>
      <c r="BZ48" s="154">
        <f t="shared" si="25"/>
        <v>150</v>
      </c>
      <c r="CA48" s="356">
        <f t="array" ref="CA48">IF(yieldsetting2="estimate",0,INDEX(cropdata, MATCH(yieldsource,outputs,0), MATCH($F48,cropdatacrops,0)))</f>
        <v>8.6</v>
      </c>
      <c r="CB48" s="356">
        <f t="array" ref="CB48">IF(yieldsetting2="estimate",0,INDEX(cropdata, MATCH(yieldsource,outputs,0), MATCH($G48,cropdatacrops,0)))</f>
        <v>7.4</v>
      </c>
      <c r="CC48" s="356">
        <f t="array" ref="CC48">IF(yieldsetting2="estimate",0,INDEX(cropdata, MATCH(yieldsource,outputs,0), MATCH($H48,cropdatacrops,0)))</f>
        <v>3.5</v>
      </c>
      <c r="CD48" s="356">
        <f t="array" ref="CD48">IF(yieldsetting2="estimate",0,INDEX(cropdata, MATCH(yieldsource,outputs,0), MATCH($I48,cropdatacrops,0)))</f>
        <v>8.6</v>
      </c>
      <c r="CE48" s="356">
        <f t="array" ref="CE48">IF(yieldsetting2="estimate",0,INDEX(cropdata, MATCH(yieldsource,outputs,0), MATCH($J48,cropdatacrops,0)))</f>
        <v>4</v>
      </c>
      <c r="CF48" s="356">
        <f t="array" ref="CF48">IF(yieldsetting2="estimate",0,INDEX(cropdata, MATCH(yieldsource,outputs,0), MATCH($K48,cropdatacrops,0)))</f>
        <v>8.6</v>
      </c>
      <c r="CG48" s="154" t="str">
        <f t="shared" si="47"/>
        <v>actual</v>
      </c>
      <c r="CH48" s="235">
        <f t="shared" si="27"/>
        <v>0.8</v>
      </c>
      <c r="CI48" s="235">
        <f t="shared" si="28"/>
        <v>0.72</v>
      </c>
      <c r="CJ48" s="154">
        <f t="shared" si="29"/>
        <v>0.46</v>
      </c>
      <c r="CK48" s="154">
        <f t="shared" si="30"/>
        <v>0.36</v>
      </c>
      <c r="CL48" s="154">
        <f t="shared" si="31"/>
        <v>0.36</v>
      </c>
      <c r="CM48" s="154">
        <f t="shared" si="32"/>
        <v>7.34</v>
      </c>
      <c r="CN48" s="154">
        <f t="shared" si="33"/>
        <v>0.36</v>
      </c>
      <c r="CO48" s="154">
        <f t="shared" si="34"/>
        <v>0.47</v>
      </c>
      <c r="CP48" s="154">
        <f t="shared" si="35"/>
        <v>0.36</v>
      </c>
      <c r="CQ48" s="154">
        <f t="shared" si="48"/>
        <v>19.5</v>
      </c>
      <c r="CR48" s="154">
        <f t="shared" si="48"/>
        <v>19.5</v>
      </c>
      <c r="CS48" s="154">
        <f t="shared" si="48"/>
        <v>19.5</v>
      </c>
      <c r="CT48" s="154">
        <f t="shared" si="48"/>
        <v>19.5</v>
      </c>
      <c r="CU48" s="154">
        <f t="shared" si="48"/>
        <v>19.5</v>
      </c>
      <c r="CV48" s="154">
        <f t="shared" si="48"/>
        <v>19.5</v>
      </c>
      <c r="CW48" s="154">
        <f t="shared" si="49"/>
        <v>2.4300000000000002</v>
      </c>
      <c r="CX48" s="154">
        <f t="shared" si="49"/>
        <v>2.4300000000000002</v>
      </c>
      <c r="CY48" s="154">
        <f t="shared" si="49"/>
        <v>2.4300000000000002</v>
      </c>
      <c r="CZ48" s="154">
        <f t="shared" si="49"/>
        <v>2.4300000000000002</v>
      </c>
      <c r="DA48" s="154">
        <f t="shared" si="49"/>
        <v>2.4300000000000002</v>
      </c>
      <c r="DB48" s="154">
        <f t="shared" si="49"/>
        <v>2.4300000000000002</v>
      </c>
      <c r="DC48" s="154">
        <v>102</v>
      </c>
      <c r="DD48" s="154">
        <v>6</v>
      </c>
      <c r="DE48" s="154">
        <v>4</v>
      </c>
      <c r="DF48" s="154">
        <v>1400</v>
      </c>
      <c r="DG48" s="154">
        <v>125</v>
      </c>
      <c r="DH48" s="154">
        <f t="shared" si="38"/>
        <v>0.625</v>
      </c>
      <c r="DI48" s="154">
        <f t="shared" si="39"/>
        <v>10.08</v>
      </c>
    </row>
    <row r="49" spans="1:113" x14ac:dyDescent="0.2">
      <c r="A49" s="335" t="s">
        <v>1661</v>
      </c>
      <c r="B49" s="334" t="s">
        <v>492</v>
      </c>
      <c r="C49" s="334" t="s">
        <v>1638</v>
      </c>
      <c r="D49" s="233" t="str">
        <f>ECOMOD_input_estimate!$D49</f>
        <v>0.75</v>
      </c>
      <c r="E49" s="385">
        <f>ECOMOD_input_estimate!$E49</f>
        <v>6</v>
      </c>
      <c r="F49" s="386" t="str">
        <f>ECOMOD_input_estimate!$F49</f>
        <v>winterwheat</v>
      </c>
      <c r="G49" s="282" t="str">
        <f>ECOMOD_input_estimate!$G49</f>
        <v>winterbarley</v>
      </c>
      <c r="H49" s="282" t="str">
        <f>ECOMOD_input_estimate!$H49</f>
        <v>wosr</v>
      </c>
      <c r="I49" s="282" t="str">
        <f>ECOMOD_input_estimate!I49</f>
        <v>winterwheat</v>
      </c>
      <c r="J49" s="282" t="str">
        <f>ECOMOD_input_estimate!$J49</f>
        <v>driedpeas</v>
      </c>
      <c r="K49" s="282" t="str">
        <f>ECOMOD_input_estimate!$K49</f>
        <v>winterwheat</v>
      </c>
      <c r="L49" s="282" t="str">
        <f>ECOMOD_input_estimate!L49</f>
        <v>lightcultivation</v>
      </c>
      <c r="M49" s="282" t="str">
        <f>ECOMOD_input_estimate!M49</f>
        <v>lightcultivation</v>
      </c>
      <c r="N49" s="282" t="str">
        <f>ECOMOD_input_estimate!N49</f>
        <v>subsoiling</v>
      </c>
      <c r="O49" s="282" t="str">
        <f>ECOMOD_input_estimate!O49</f>
        <v>lightcultivation</v>
      </c>
      <c r="P49" s="282" t="str">
        <f>ECOMOD_input_estimate!P49</f>
        <v>lightcultivation</v>
      </c>
      <c r="Q49" s="282" t="str">
        <f>ECOMOD_input_estimate!Q49</f>
        <v>lightcultivation</v>
      </c>
      <c r="R49" s="389">
        <f>ECOMOD_input_estimate!R49</f>
        <v>190</v>
      </c>
      <c r="S49" s="389">
        <f>ECOMOD_input_estimate!S49</f>
        <v>195</v>
      </c>
      <c r="T49" s="391">
        <f>ECOMOD_input_estimate!T49</f>
        <v>3.2</v>
      </c>
      <c r="U49" s="389">
        <f>ECOMOD_input_estimate!U49</f>
        <v>190</v>
      </c>
      <c r="V49" s="389">
        <f>ECOMOD_input_estimate!V49</f>
        <v>300</v>
      </c>
      <c r="W49" s="389">
        <f>ECOMOD_input_estimate!W49</f>
        <v>190</v>
      </c>
      <c r="X49" s="282" t="str">
        <f>ECOMOD_input_estimate!X49</f>
        <v>no</v>
      </c>
      <c r="Y49" s="282" t="str">
        <f>ECOMOD_input_estimate!Y49</f>
        <v>no</v>
      </c>
      <c r="Z49" s="282" t="str">
        <f>ECOMOD_input_estimate!Z49</f>
        <v>no</v>
      </c>
      <c r="AA49" s="282" t="str">
        <f>ECOMOD_input_estimate!AA49</f>
        <v>no</v>
      </c>
      <c r="AB49" s="282" t="str">
        <f>ECOMOD_input_estimate!AB49</f>
        <v>no</v>
      </c>
      <c r="AC49" s="282" t="str">
        <f>ECOMOD_input_estimate!AC49</f>
        <v>no</v>
      </c>
      <c r="AD49" s="389">
        <f>ECOMOD_input_estimate!AD49</f>
        <v>150</v>
      </c>
      <c r="AE49" s="389">
        <f>ECOMOD_input_estimate!AE49</f>
        <v>190</v>
      </c>
      <c r="AF49" s="389">
        <f>ECOMOD_input_estimate!AF49</f>
        <v>180</v>
      </c>
      <c r="AG49" s="389">
        <f>ECOMOD_input_estimate!AG49</f>
        <v>150</v>
      </c>
      <c r="AH49" s="389">
        <f>ECOMOD_input_estimate!AH49</f>
        <v>0</v>
      </c>
      <c r="AI49" s="389">
        <f>ECOMOD_input_estimate!AI49</f>
        <v>150</v>
      </c>
      <c r="AJ49" s="389">
        <f>ECOMOD_input_estimate!AJ49</f>
        <v>67</v>
      </c>
      <c r="AK49" s="389">
        <f>ECOMOD_input_estimate!AK49</f>
        <v>58</v>
      </c>
      <c r="AL49" s="389">
        <f>ECOMOD_input_estimate!AL49</f>
        <v>49</v>
      </c>
      <c r="AM49" s="389">
        <f>ECOMOD_input_estimate!AM49</f>
        <v>67</v>
      </c>
      <c r="AN49" s="389">
        <f>ECOMOD_input_estimate!AN49</f>
        <v>35</v>
      </c>
      <c r="AO49" s="389">
        <f>ECOMOD_input_estimate!AO49</f>
        <v>67</v>
      </c>
      <c r="AP49" s="389">
        <f>ECOMOD_input_estimate!AP49</f>
        <v>48</v>
      </c>
      <c r="AQ49" s="389">
        <f>ECOMOD_input_estimate!AQ49</f>
        <v>41</v>
      </c>
      <c r="AR49" s="389">
        <f>ECOMOD_input_estimate!AR49</f>
        <v>39</v>
      </c>
      <c r="AS49" s="389">
        <f>ECOMOD_input_estimate!AS49</f>
        <v>48</v>
      </c>
      <c r="AT49" s="389">
        <f>ECOMOD_input_estimate!AT49</f>
        <v>40</v>
      </c>
      <c r="AU49" s="389">
        <f>ECOMOD_input_estimate!AU49</f>
        <v>48</v>
      </c>
      <c r="AV49" s="234">
        <f t="shared" si="43"/>
        <v>1</v>
      </c>
      <c r="AW49" s="234">
        <f t="shared" si="0"/>
        <v>0.4</v>
      </c>
      <c r="AX49" s="234">
        <f t="shared" si="1"/>
        <v>2</v>
      </c>
      <c r="AY49" s="345">
        <v>4.4000000000000004</v>
      </c>
      <c r="AZ49" s="234">
        <f t="shared" si="3"/>
        <v>4</v>
      </c>
      <c r="BA49" s="234">
        <f t="shared" si="4"/>
        <v>1</v>
      </c>
      <c r="BB49" s="234">
        <f t="shared" si="5"/>
        <v>3</v>
      </c>
      <c r="BC49" s="234">
        <f t="shared" si="6"/>
        <v>3</v>
      </c>
      <c r="BD49" s="234">
        <f t="shared" si="7"/>
        <v>0</v>
      </c>
      <c r="BE49" s="234">
        <f t="shared" si="45"/>
        <v>3</v>
      </c>
      <c r="BF49" s="234">
        <f t="shared" si="9"/>
        <v>6</v>
      </c>
      <c r="BG49" s="234">
        <f t="shared" si="10"/>
        <v>3</v>
      </c>
      <c r="BH49" s="234">
        <f t="shared" si="11"/>
        <v>3</v>
      </c>
      <c r="BI49" s="234">
        <f t="shared" si="12"/>
        <v>2</v>
      </c>
      <c r="BJ49" s="234">
        <f t="shared" si="13"/>
        <v>2</v>
      </c>
      <c r="BK49" s="234">
        <f t="shared" si="46"/>
        <v>3</v>
      </c>
      <c r="BL49" s="234">
        <f t="shared" si="15"/>
        <v>3</v>
      </c>
      <c r="BM49" s="234">
        <f t="shared" si="16"/>
        <v>3</v>
      </c>
      <c r="BN49" s="154" t="s">
        <v>483</v>
      </c>
      <c r="BO49" s="154" t="str">
        <f t="shared" si="17"/>
        <v>medium</v>
      </c>
      <c r="BP49" s="154" t="str">
        <f t="shared" si="18"/>
        <v>low</v>
      </c>
      <c r="BQ49" s="154" t="str">
        <f t="shared" si="19"/>
        <v>low</v>
      </c>
      <c r="BR49" s="154" t="s">
        <v>183</v>
      </c>
      <c r="BS49" s="154" t="s">
        <v>183</v>
      </c>
      <c r="BT49" s="154" t="s">
        <v>183</v>
      </c>
      <c r="BU49" s="154">
        <f t="shared" si="20"/>
        <v>150</v>
      </c>
      <c r="BV49" s="154">
        <f t="shared" si="21"/>
        <v>138</v>
      </c>
      <c r="BW49" s="154">
        <f t="shared" si="22"/>
        <v>335</v>
      </c>
      <c r="BX49" s="154">
        <f t="shared" si="23"/>
        <v>150</v>
      </c>
      <c r="BY49" s="154">
        <f t="shared" si="24"/>
        <v>225</v>
      </c>
      <c r="BZ49" s="154">
        <f t="shared" si="25"/>
        <v>150</v>
      </c>
      <c r="CA49" s="356">
        <f t="array" ref="CA49">IF(yieldsetting2="estimate",0,INDEX(cropdata, MATCH(yieldsource,outputs,0), MATCH($F49,cropdatacrops,0)))</f>
        <v>8.6</v>
      </c>
      <c r="CB49" s="356">
        <f t="array" ref="CB49">IF(yieldsetting2="estimate",0,INDEX(cropdata, MATCH(yieldsource,outputs,0), MATCH($G49,cropdatacrops,0)))</f>
        <v>7.4</v>
      </c>
      <c r="CC49" s="356">
        <f t="array" ref="CC49">IF(yieldsetting2="estimate",0,INDEX(cropdata, MATCH(yieldsource,outputs,0), MATCH($H49,cropdatacrops,0)))</f>
        <v>3.5</v>
      </c>
      <c r="CD49" s="356">
        <f t="array" ref="CD49">IF(yieldsetting2="estimate",0,INDEX(cropdata, MATCH(yieldsource,outputs,0), MATCH($I49,cropdatacrops,0)))</f>
        <v>8.6</v>
      </c>
      <c r="CE49" s="356">
        <f t="array" ref="CE49">IF(yieldsetting2="estimate",0,INDEX(cropdata, MATCH(yieldsource,outputs,0), MATCH($J49,cropdatacrops,0)))</f>
        <v>4</v>
      </c>
      <c r="CF49" s="356">
        <f t="array" ref="CF49">IF(yieldsetting2="estimate",0,INDEX(cropdata, MATCH(yieldsource,outputs,0), MATCH($K49,cropdatacrops,0)))</f>
        <v>8.6</v>
      </c>
      <c r="CG49" s="154" t="str">
        <f t="shared" si="47"/>
        <v>actual</v>
      </c>
      <c r="CH49" s="235">
        <f t="shared" si="27"/>
        <v>0.8</v>
      </c>
      <c r="CI49" s="235">
        <f t="shared" si="28"/>
        <v>0.72</v>
      </c>
      <c r="CJ49" s="154">
        <f t="shared" si="29"/>
        <v>0.46</v>
      </c>
      <c r="CK49" s="154">
        <f t="shared" si="30"/>
        <v>0.36</v>
      </c>
      <c r="CL49" s="154">
        <f t="shared" si="31"/>
        <v>0.36</v>
      </c>
      <c r="CM49" s="154">
        <f t="shared" si="32"/>
        <v>7.34</v>
      </c>
      <c r="CN49" s="154">
        <f t="shared" si="33"/>
        <v>0.36</v>
      </c>
      <c r="CO49" s="154">
        <f t="shared" si="34"/>
        <v>0.47</v>
      </c>
      <c r="CP49" s="154">
        <f t="shared" si="35"/>
        <v>0.36</v>
      </c>
      <c r="CQ49" s="154">
        <f t="shared" si="48"/>
        <v>19.5</v>
      </c>
      <c r="CR49" s="154">
        <f t="shared" si="48"/>
        <v>19.5</v>
      </c>
      <c r="CS49" s="154">
        <f t="shared" si="48"/>
        <v>19.5</v>
      </c>
      <c r="CT49" s="154">
        <f t="shared" si="48"/>
        <v>19.5</v>
      </c>
      <c r="CU49" s="154">
        <f t="shared" si="48"/>
        <v>19.5</v>
      </c>
      <c r="CV49" s="154">
        <f t="shared" si="48"/>
        <v>19.5</v>
      </c>
      <c r="CW49" s="154">
        <f t="shared" si="49"/>
        <v>2.4300000000000002</v>
      </c>
      <c r="CX49" s="154">
        <f t="shared" si="49"/>
        <v>2.4300000000000002</v>
      </c>
      <c r="CY49" s="154">
        <f t="shared" si="49"/>
        <v>2.4300000000000002</v>
      </c>
      <c r="CZ49" s="154">
        <f t="shared" si="49"/>
        <v>2.4300000000000002</v>
      </c>
      <c r="DA49" s="154">
        <f t="shared" si="49"/>
        <v>2.4300000000000002</v>
      </c>
      <c r="DB49" s="154">
        <f t="shared" si="49"/>
        <v>2.4300000000000002</v>
      </c>
      <c r="DC49" s="154">
        <v>102</v>
      </c>
      <c r="DD49" s="154">
        <v>6</v>
      </c>
      <c r="DE49" s="154">
        <v>4</v>
      </c>
      <c r="DF49" s="154">
        <v>1400</v>
      </c>
      <c r="DG49" s="154">
        <v>125</v>
      </c>
      <c r="DH49" s="154">
        <f t="shared" si="38"/>
        <v>0.625</v>
      </c>
      <c r="DI49" s="154">
        <f t="shared" si="39"/>
        <v>10.08</v>
      </c>
    </row>
    <row r="50" spans="1:113" x14ac:dyDescent="0.2">
      <c r="A50" s="335" t="s">
        <v>1669</v>
      </c>
      <c r="B50" s="334" t="s">
        <v>495</v>
      </c>
      <c r="C50" s="334" t="s">
        <v>1667</v>
      </c>
      <c r="D50" s="233" t="str">
        <f>ECOMOD_input_estimate!$D50</f>
        <v>2.25</v>
      </c>
      <c r="E50" s="385">
        <f>ECOMOD_input_estimate!$E50</f>
        <v>6</v>
      </c>
      <c r="F50" s="386" t="str">
        <f>ECOMOD_input_estimate!$F50</f>
        <v>winterwheat</v>
      </c>
      <c r="G50" s="282" t="str">
        <f>ECOMOD_input_estimate!$G50</f>
        <v>winterbarley</v>
      </c>
      <c r="H50" s="282" t="str">
        <f>ECOMOD_input_estimate!$H50</f>
        <v>wosr</v>
      </c>
      <c r="I50" s="282" t="str">
        <f>ECOMOD_input_estimate!I50</f>
        <v>winterwheat</v>
      </c>
      <c r="J50" s="282" t="str">
        <f>ECOMOD_input_estimate!$J50</f>
        <v>springbeans</v>
      </c>
      <c r="K50" s="282" t="str">
        <f>ECOMOD_input_estimate!$K50</f>
        <v>winterwheat</v>
      </c>
      <c r="L50" s="282" t="str">
        <f>ECOMOD_input_estimate!L50</f>
        <v>lightcultivation</v>
      </c>
      <c r="M50" s="282" t="str">
        <f>ECOMOD_input_estimate!M50</f>
        <v>lightcultivation</v>
      </c>
      <c r="N50" s="282" t="str">
        <f>ECOMOD_input_estimate!N50</f>
        <v>subsoiling</v>
      </c>
      <c r="O50" s="282" t="str">
        <f>ECOMOD_input_estimate!O50</f>
        <v>lightcultivation</v>
      </c>
      <c r="P50" s="282" t="str">
        <f>ECOMOD_input_estimate!P50</f>
        <v>lightcultivation</v>
      </c>
      <c r="Q50" s="282" t="str">
        <f>ECOMOD_input_estimate!Q50</f>
        <v>lightcultivation</v>
      </c>
      <c r="R50" s="389">
        <f>ECOMOD_input_estimate!R50</f>
        <v>190</v>
      </c>
      <c r="S50" s="389">
        <f>ECOMOD_input_estimate!S50</f>
        <v>195</v>
      </c>
      <c r="T50" s="391">
        <f>ECOMOD_input_estimate!T50</f>
        <v>3.2</v>
      </c>
      <c r="U50" s="389">
        <f>ECOMOD_input_estimate!U50</f>
        <v>190</v>
      </c>
      <c r="V50" s="389">
        <f>ECOMOD_input_estimate!V50</f>
        <v>305</v>
      </c>
      <c r="W50" s="389">
        <f>ECOMOD_input_estimate!W50</f>
        <v>190</v>
      </c>
      <c r="X50" s="282" t="str">
        <f>ECOMOD_input_estimate!X50</f>
        <v>no</v>
      </c>
      <c r="Y50" s="282" t="str">
        <f>ECOMOD_input_estimate!Y50</f>
        <v>no</v>
      </c>
      <c r="Z50" s="282" t="str">
        <f>ECOMOD_input_estimate!Z50</f>
        <v>no</v>
      </c>
      <c r="AA50" s="282" t="str">
        <f>ECOMOD_input_estimate!AA50</f>
        <v>no</v>
      </c>
      <c r="AB50" s="282" t="str">
        <f>ECOMOD_input_estimate!AB50</f>
        <v>no</v>
      </c>
      <c r="AC50" s="282" t="str">
        <f>ECOMOD_input_estimate!AC50</f>
        <v>no</v>
      </c>
      <c r="AD50" s="389">
        <f>ECOMOD_input_estimate!AD50</f>
        <v>220</v>
      </c>
      <c r="AE50" s="389">
        <f>ECOMOD_input_estimate!AE50</f>
        <v>190</v>
      </c>
      <c r="AF50" s="389">
        <f>ECOMOD_input_estimate!AF50</f>
        <v>180</v>
      </c>
      <c r="AG50" s="389">
        <f>ECOMOD_input_estimate!AG50</f>
        <v>220</v>
      </c>
      <c r="AH50" s="389">
        <f>ECOMOD_input_estimate!AH50</f>
        <v>0</v>
      </c>
      <c r="AI50" s="389">
        <f>ECOMOD_input_estimate!AI50</f>
        <v>220</v>
      </c>
      <c r="AJ50" s="389">
        <f>ECOMOD_input_estimate!AJ50</f>
        <v>67</v>
      </c>
      <c r="AK50" s="389">
        <f>ECOMOD_input_estimate!AK50</f>
        <v>58</v>
      </c>
      <c r="AL50" s="389">
        <f>ECOMOD_input_estimate!AL50</f>
        <v>49</v>
      </c>
      <c r="AM50" s="389">
        <f>ECOMOD_input_estimate!AM50</f>
        <v>67</v>
      </c>
      <c r="AN50" s="389">
        <f>ECOMOD_input_estimate!AN50</f>
        <v>43</v>
      </c>
      <c r="AO50" s="389">
        <f>ECOMOD_input_estimate!AO50</f>
        <v>67</v>
      </c>
      <c r="AP50" s="389">
        <f>ECOMOD_input_estimate!AP50</f>
        <v>48</v>
      </c>
      <c r="AQ50" s="389">
        <f>ECOMOD_input_estimate!AQ50</f>
        <v>41</v>
      </c>
      <c r="AR50" s="389">
        <f>ECOMOD_input_estimate!AR50</f>
        <v>39</v>
      </c>
      <c r="AS50" s="389">
        <f>ECOMOD_input_estimate!AS50</f>
        <v>48</v>
      </c>
      <c r="AT50" s="389">
        <f>ECOMOD_input_estimate!AT50</f>
        <v>47</v>
      </c>
      <c r="AU50" s="389">
        <f>ECOMOD_input_estimate!AU50</f>
        <v>48</v>
      </c>
      <c r="AV50" s="234">
        <f t="shared" si="43"/>
        <v>1</v>
      </c>
      <c r="AW50" s="234">
        <f t="shared" si="0"/>
        <v>0.4</v>
      </c>
      <c r="AX50" s="234">
        <f t="shared" si="1"/>
        <v>2</v>
      </c>
      <c r="AY50" s="345">
        <v>4.4000000000000004</v>
      </c>
      <c r="AZ50" s="234">
        <f t="shared" si="3"/>
        <v>4</v>
      </c>
      <c r="BA50" s="234">
        <f t="shared" si="4"/>
        <v>1</v>
      </c>
      <c r="BB50" s="234">
        <f t="shared" si="5"/>
        <v>3</v>
      </c>
      <c r="BC50" s="234">
        <f t="shared" si="6"/>
        <v>3</v>
      </c>
      <c r="BD50" s="234">
        <f t="shared" si="7"/>
        <v>0</v>
      </c>
      <c r="BE50" s="234">
        <f t="shared" si="45"/>
        <v>3</v>
      </c>
      <c r="BF50" s="234">
        <f t="shared" si="9"/>
        <v>6</v>
      </c>
      <c r="BG50" s="234">
        <f t="shared" si="10"/>
        <v>3</v>
      </c>
      <c r="BH50" s="234">
        <f t="shared" si="11"/>
        <v>3</v>
      </c>
      <c r="BI50" s="234">
        <f t="shared" si="12"/>
        <v>2</v>
      </c>
      <c r="BJ50" s="234">
        <f t="shared" si="13"/>
        <v>2</v>
      </c>
      <c r="BK50" s="234">
        <f t="shared" si="46"/>
        <v>3</v>
      </c>
      <c r="BL50" s="234">
        <f t="shared" si="15"/>
        <v>3</v>
      </c>
      <c r="BM50" s="234">
        <f t="shared" si="16"/>
        <v>3</v>
      </c>
      <c r="BN50" s="154" t="s">
        <v>483</v>
      </c>
      <c r="BO50" s="154" t="str">
        <f t="shared" si="17"/>
        <v>low</v>
      </c>
      <c r="BP50" s="154" t="str">
        <f t="shared" si="18"/>
        <v>low</v>
      </c>
      <c r="BQ50" s="154" t="str">
        <f t="shared" si="19"/>
        <v>low</v>
      </c>
      <c r="BR50" s="154" t="s">
        <v>18</v>
      </c>
      <c r="BS50" s="154" t="s">
        <v>18</v>
      </c>
      <c r="BT50" s="154" t="s">
        <v>18</v>
      </c>
      <c r="BU50" s="154">
        <f t="shared" si="20"/>
        <v>150</v>
      </c>
      <c r="BV50" s="154">
        <f t="shared" si="21"/>
        <v>138</v>
      </c>
      <c r="BW50" s="154">
        <f t="shared" si="22"/>
        <v>335</v>
      </c>
      <c r="BX50" s="154">
        <f t="shared" si="23"/>
        <v>150</v>
      </c>
      <c r="BY50" s="154">
        <f t="shared" si="24"/>
        <v>185</v>
      </c>
      <c r="BZ50" s="154">
        <f t="shared" si="25"/>
        <v>150</v>
      </c>
      <c r="CA50" s="356">
        <f t="array" ref="CA50">IF(yieldsetting2="estimate",0,INDEX(cropdata, MATCH(yieldsource,outputs,0), MATCH($F50,cropdatacrops,0)))</f>
        <v>8.6</v>
      </c>
      <c r="CB50" s="356">
        <f t="array" ref="CB50">IF(yieldsetting2="estimate",0,INDEX(cropdata, MATCH(yieldsource,outputs,0), MATCH($G50,cropdatacrops,0)))</f>
        <v>7.4</v>
      </c>
      <c r="CC50" s="356">
        <f t="array" ref="CC50">IF(yieldsetting2="estimate",0,INDEX(cropdata, MATCH(yieldsource,outputs,0), MATCH($H50,cropdatacrops,0)))</f>
        <v>3.5</v>
      </c>
      <c r="CD50" s="356">
        <f t="array" ref="CD50">IF(yieldsetting2="estimate",0,INDEX(cropdata, MATCH(yieldsource,outputs,0), MATCH($I50,cropdatacrops,0)))</f>
        <v>8.6</v>
      </c>
      <c r="CE50" s="356">
        <f t="array" ref="CE50">IF(yieldsetting2="estimate",0,INDEX(cropdata, MATCH(yieldsource,outputs,0), MATCH($J50,cropdatacrops,0)))</f>
        <v>3.9</v>
      </c>
      <c r="CF50" s="356">
        <f t="array" ref="CF50">IF(yieldsetting2="estimate",0,INDEX(cropdata, MATCH(yieldsource,outputs,0), MATCH($K50,cropdatacrops,0)))</f>
        <v>8.6</v>
      </c>
      <c r="CG50" s="154" t="str">
        <f t="shared" si="47"/>
        <v>actual</v>
      </c>
      <c r="CH50" s="235">
        <f t="shared" si="27"/>
        <v>0.8</v>
      </c>
      <c r="CI50" s="235">
        <f t="shared" si="28"/>
        <v>0.72</v>
      </c>
      <c r="CJ50" s="154">
        <f t="shared" si="29"/>
        <v>0.46</v>
      </c>
      <c r="CK50" s="154">
        <f t="shared" si="30"/>
        <v>0.36</v>
      </c>
      <c r="CL50" s="154">
        <f t="shared" si="31"/>
        <v>0.36</v>
      </c>
      <c r="CM50" s="154">
        <f t="shared" si="32"/>
        <v>7.34</v>
      </c>
      <c r="CN50" s="154">
        <f t="shared" si="33"/>
        <v>0.36</v>
      </c>
      <c r="CO50" s="154">
        <f t="shared" si="34"/>
        <v>0.38</v>
      </c>
      <c r="CP50" s="154">
        <f t="shared" si="35"/>
        <v>0.36</v>
      </c>
      <c r="CQ50" s="154">
        <f t="shared" ref="CQ50:CV55" si="50">herbprice</f>
        <v>19.5</v>
      </c>
      <c r="CR50" s="154">
        <f t="shared" si="50"/>
        <v>19.5</v>
      </c>
      <c r="CS50" s="154">
        <f t="shared" si="50"/>
        <v>19.5</v>
      </c>
      <c r="CT50" s="154">
        <f t="shared" si="50"/>
        <v>19.5</v>
      </c>
      <c r="CU50" s="154">
        <f t="shared" si="50"/>
        <v>19.5</v>
      </c>
      <c r="CV50" s="154">
        <f t="shared" si="50"/>
        <v>19.5</v>
      </c>
      <c r="CW50" s="154">
        <f t="shared" ref="CW50:DB55" si="51">glyprice</f>
        <v>2.4300000000000002</v>
      </c>
      <c r="CX50" s="154">
        <f t="shared" si="51"/>
        <v>2.4300000000000002</v>
      </c>
      <c r="CY50" s="154">
        <f t="shared" si="51"/>
        <v>2.4300000000000002</v>
      </c>
      <c r="CZ50" s="154">
        <f t="shared" si="51"/>
        <v>2.4300000000000002</v>
      </c>
      <c r="DA50" s="154">
        <f t="shared" si="51"/>
        <v>2.4300000000000002</v>
      </c>
      <c r="DB50" s="154">
        <f t="shared" si="51"/>
        <v>2.4300000000000002</v>
      </c>
      <c r="DC50" s="154">
        <v>102</v>
      </c>
      <c r="DD50" s="154">
        <v>6</v>
      </c>
      <c r="DE50" s="154">
        <v>4</v>
      </c>
      <c r="DF50" s="154">
        <v>1400</v>
      </c>
      <c r="DG50" s="154">
        <v>125</v>
      </c>
      <c r="DH50" s="154">
        <f t="shared" si="38"/>
        <v>0.625</v>
      </c>
      <c r="DI50" s="154">
        <f t="shared" si="39"/>
        <v>10.08</v>
      </c>
    </row>
    <row r="51" spans="1:113" x14ac:dyDescent="0.2">
      <c r="A51" s="335" t="s">
        <v>1670</v>
      </c>
      <c r="B51" s="334" t="s">
        <v>495</v>
      </c>
      <c r="C51" s="334" t="s">
        <v>1668</v>
      </c>
      <c r="D51" s="233" t="str">
        <f>ECOMOD_input_estimate!$D51</f>
        <v>2.25</v>
      </c>
      <c r="E51" s="385">
        <f>ECOMOD_input_estimate!$E51</f>
        <v>6</v>
      </c>
      <c r="F51" s="386" t="str">
        <f>ECOMOD_input_estimate!$F51</f>
        <v>winterwheat</v>
      </c>
      <c r="G51" s="282" t="str">
        <f>ECOMOD_input_estimate!$G51</f>
        <v>winterbarley</v>
      </c>
      <c r="H51" s="282" t="str">
        <f>ECOMOD_input_estimate!$H51</f>
        <v>wosr</v>
      </c>
      <c r="I51" s="282" t="str">
        <f>ECOMOD_input_estimate!I51</f>
        <v>winterwheat</v>
      </c>
      <c r="J51" s="282" t="str">
        <f>ECOMOD_input_estimate!$J51</f>
        <v>springbeans</v>
      </c>
      <c r="K51" s="282" t="str">
        <f>ECOMOD_input_estimate!$K51</f>
        <v>winterwheat</v>
      </c>
      <c r="L51" s="282" t="str">
        <f>ECOMOD_input_estimate!L51</f>
        <v>lightcultivation</v>
      </c>
      <c r="M51" s="282" t="str">
        <f>ECOMOD_input_estimate!M51</f>
        <v>lightcultivation</v>
      </c>
      <c r="N51" s="282" t="str">
        <f>ECOMOD_input_estimate!N51</f>
        <v>subsoiling</v>
      </c>
      <c r="O51" s="282" t="str">
        <f>ECOMOD_input_estimate!O51</f>
        <v>lightcultivation</v>
      </c>
      <c r="P51" s="282" t="str">
        <f>ECOMOD_input_estimate!P51</f>
        <v>lightcultivation</v>
      </c>
      <c r="Q51" s="282" t="str">
        <f>ECOMOD_input_estimate!Q51</f>
        <v>lightcultivation</v>
      </c>
      <c r="R51" s="389">
        <f>ECOMOD_input_estimate!R51</f>
        <v>190</v>
      </c>
      <c r="S51" s="389">
        <f>ECOMOD_input_estimate!S51</f>
        <v>195</v>
      </c>
      <c r="T51" s="391">
        <f>ECOMOD_input_estimate!T51</f>
        <v>3.2</v>
      </c>
      <c r="U51" s="389">
        <f>ECOMOD_input_estimate!U51</f>
        <v>190</v>
      </c>
      <c r="V51" s="389">
        <f>ECOMOD_input_estimate!V51</f>
        <v>305</v>
      </c>
      <c r="W51" s="389">
        <f>ECOMOD_input_estimate!W51</f>
        <v>190</v>
      </c>
      <c r="X51" s="282" t="str">
        <f>ECOMOD_input_estimate!X51</f>
        <v>no</v>
      </c>
      <c r="Y51" s="282" t="str">
        <f>ECOMOD_input_estimate!Y51</f>
        <v>no</v>
      </c>
      <c r="Z51" s="282" t="str">
        <f>ECOMOD_input_estimate!Z51</f>
        <v>no</v>
      </c>
      <c r="AA51" s="282" t="str">
        <f>ECOMOD_input_estimate!AA51</f>
        <v>no</v>
      </c>
      <c r="AB51" s="282" t="str">
        <f>ECOMOD_input_estimate!AB51</f>
        <v>no</v>
      </c>
      <c r="AC51" s="282" t="str">
        <f>ECOMOD_input_estimate!AC51</f>
        <v>no</v>
      </c>
      <c r="AD51" s="389">
        <f>ECOMOD_input_estimate!AD51</f>
        <v>220</v>
      </c>
      <c r="AE51" s="389">
        <f>ECOMOD_input_estimate!AE51</f>
        <v>190</v>
      </c>
      <c r="AF51" s="389">
        <f>ECOMOD_input_estimate!AF51</f>
        <v>180</v>
      </c>
      <c r="AG51" s="389">
        <f>ECOMOD_input_estimate!AG51</f>
        <v>220</v>
      </c>
      <c r="AH51" s="389">
        <f>ECOMOD_input_estimate!AH51</f>
        <v>0</v>
      </c>
      <c r="AI51" s="389">
        <f>ECOMOD_input_estimate!AI51</f>
        <v>220</v>
      </c>
      <c r="AJ51" s="389">
        <f>ECOMOD_input_estimate!AJ51</f>
        <v>67</v>
      </c>
      <c r="AK51" s="389">
        <f>ECOMOD_input_estimate!AK51</f>
        <v>58</v>
      </c>
      <c r="AL51" s="389">
        <f>ECOMOD_input_estimate!AL51</f>
        <v>49</v>
      </c>
      <c r="AM51" s="389">
        <f>ECOMOD_input_estimate!AM51</f>
        <v>67</v>
      </c>
      <c r="AN51" s="389">
        <f>ECOMOD_input_estimate!AN51</f>
        <v>43</v>
      </c>
      <c r="AO51" s="389">
        <f>ECOMOD_input_estimate!AO51</f>
        <v>67</v>
      </c>
      <c r="AP51" s="389">
        <f>ECOMOD_input_estimate!AP51</f>
        <v>48</v>
      </c>
      <c r="AQ51" s="389">
        <f>ECOMOD_input_estimate!AQ51</f>
        <v>41</v>
      </c>
      <c r="AR51" s="389">
        <f>ECOMOD_input_estimate!AR51</f>
        <v>39</v>
      </c>
      <c r="AS51" s="389">
        <f>ECOMOD_input_estimate!AS51</f>
        <v>48</v>
      </c>
      <c r="AT51" s="389">
        <f>ECOMOD_input_estimate!AT51</f>
        <v>47</v>
      </c>
      <c r="AU51" s="389">
        <f>ECOMOD_input_estimate!AU51</f>
        <v>48</v>
      </c>
      <c r="AV51" s="234">
        <f t="shared" si="43"/>
        <v>1</v>
      </c>
      <c r="AW51" s="234">
        <f t="shared" si="0"/>
        <v>0.4</v>
      </c>
      <c r="AX51" s="234">
        <f t="shared" si="1"/>
        <v>2</v>
      </c>
      <c r="AY51" s="345">
        <v>4.4000000000000004</v>
      </c>
      <c r="AZ51" s="234">
        <f t="shared" si="3"/>
        <v>4</v>
      </c>
      <c r="BA51" s="234">
        <f t="shared" si="4"/>
        <v>1</v>
      </c>
      <c r="BB51" s="234">
        <f t="shared" si="5"/>
        <v>3</v>
      </c>
      <c r="BC51" s="234">
        <f t="shared" si="6"/>
        <v>3</v>
      </c>
      <c r="BD51" s="234">
        <f t="shared" si="7"/>
        <v>0</v>
      </c>
      <c r="BE51" s="234">
        <f t="shared" si="45"/>
        <v>3</v>
      </c>
      <c r="BF51" s="234">
        <f t="shared" si="9"/>
        <v>6</v>
      </c>
      <c r="BG51" s="234">
        <f t="shared" si="10"/>
        <v>3</v>
      </c>
      <c r="BH51" s="234">
        <f t="shared" si="11"/>
        <v>3</v>
      </c>
      <c r="BI51" s="234">
        <f t="shared" si="12"/>
        <v>2</v>
      </c>
      <c r="BJ51" s="234">
        <f t="shared" si="13"/>
        <v>2</v>
      </c>
      <c r="BK51" s="234">
        <f t="shared" si="46"/>
        <v>3</v>
      </c>
      <c r="BL51" s="234">
        <f t="shared" si="15"/>
        <v>3</v>
      </c>
      <c r="BM51" s="234">
        <f t="shared" si="16"/>
        <v>3</v>
      </c>
      <c r="BN51" s="154" t="s">
        <v>483</v>
      </c>
      <c r="BO51" s="154" t="str">
        <f t="shared" si="17"/>
        <v>medium</v>
      </c>
      <c r="BP51" s="154" t="str">
        <f t="shared" si="18"/>
        <v>low</v>
      </c>
      <c r="BQ51" s="154" t="str">
        <f t="shared" si="19"/>
        <v>low</v>
      </c>
      <c r="BR51" s="154" t="s">
        <v>182</v>
      </c>
      <c r="BS51" s="154" t="s">
        <v>182</v>
      </c>
      <c r="BT51" s="154" t="s">
        <v>182</v>
      </c>
      <c r="BU51" s="154">
        <f t="shared" si="20"/>
        <v>150</v>
      </c>
      <c r="BV51" s="154">
        <f t="shared" si="21"/>
        <v>138</v>
      </c>
      <c r="BW51" s="154">
        <f t="shared" si="22"/>
        <v>335</v>
      </c>
      <c r="BX51" s="154">
        <f t="shared" si="23"/>
        <v>150</v>
      </c>
      <c r="BY51" s="154">
        <f t="shared" si="24"/>
        <v>185</v>
      </c>
      <c r="BZ51" s="154">
        <f t="shared" si="25"/>
        <v>150</v>
      </c>
      <c r="CA51" s="356">
        <f t="array" ref="CA51">IF(yieldsetting2="estimate",0,INDEX(cropdata, MATCH(yieldsource,outputs,0), MATCH($F51,cropdatacrops,0)))</f>
        <v>8.6</v>
      </c>
      <c r="CB51" s="356">
        <f t="array" ref="CB51">IF(yieldsetting2="estimate",0,INDEX(cropdata, MATCH(yieldsource,outputs,0), MATCH($G51,cropdatacrops,0)))</f>
        <v>7.4</v>
      </c>
      <c r="CC51" s="356">
        <f t="array" ref="CC51">IF(yieldsetting2="estimate",0,INDEX(cropdata, MATCH(yieldsource,outputs,0), MATCH($H51,cropdatacrops,0)))</f>
        <v>3.5</v>
      </c>
      <c r="CD51" s="356">
        <f t="array" ref="CD51">IF(yieldsetting2="estimate",0,INDEX(cropdata, MATCH(yieldsource,outputs,0), MATCH($I51,cropdatacrops,0)))</f>
        <v>8.6</v>
      </c>
      <c r="CE51" s="356">
        <f t="array" ref="CE51">IF(yieldsetting2="estimate",0,INDEX(cropdata, MATCH(yieldsource,outputs,0), MATCH($J51,cropdatacrops,0)))</f>
        <v>3.9</v>
      </c>
      <c r="CF51" s="356">
        <f t="array" ref="CF51">IF(yieldsetting2="estimate",0,INDEX(cropdata, MATCH(yieldsource,outputs,0), MATCH($K51,cropdatacrops,0)))</f>
        <v>8.6</v>
      </c>
      <c r="CG51" s="154" t="str">
        <f t="shared" si="47"/>
        <v>actual</v>
      </c>
      <c r="CH51" s="235">
        <f t="shared" si="27"/>
        <v>0.8</v>
      </c>
      <c r="CI51" s="235">
        <f t="shared" si="28"/>
        <v>0.72</v>
      </c>
      <c r="CJ51" s="154">
        <f t="shared" si="29"/>
        <v>0.46</v>
      </c>
      <c r="CK51" s="154">
        <f t="shared" si="30"/>
        <v>0.36</v>
      </c>
      <c r="CL51" s="154">
        <f t="shared" si="31"/>
        <v>0.36</v>
      </c>
      <c r="CM51" s="154">
        <f t="shared" si="32"/>
        <v>7.34</v>
      </c>
      <c r="CN51" s="154">
        <f t="shared" si="33"/>
        <v>0.36</v>
      </c>
      <c r="CO51" s="154">
        <f t="shared" si="34"/>
        <v>0.38</v>
      </c>
      <c r="CP51" s="154">
        <f t="shared" si="35"/>
        <v>0.36</v>
      </c>
      <c r="CQ51" s="154">
        <f t="shared" si="50"/>
        <v>19.5</v>
      </c>
      <c r="CR51" s="154">
        <f t="shared" si="50"/>
        <v>19.5</v>
      </c>
      <c r="CS51" s="154">
        <f t="shared" si="50"/>
        <v>19.5</v>
      </c>
      <c r="CT51" s="154">
        <f t="shared" si="50"/>
        <v>19.5</v>
      </c>
      <c r="CU51" s="154">
        <f t="shared" si="50"/>
        <v>19.5</v>
      </c>
      <c r="CV51" s="154">
        <f t="shared" si="50"/>
        <v>19.5</v>
      </c>
      <c r="CW51" s="154">
        <f t="shared" si="51"/>
        <v>2.4300000000000002</v>
      </c>
      <c r="CX51" s="154">
        <f t="shared" si="51"/>
        <v>2.4300000000000002</v>
      </c>
      <c r="CY51" s="154">
        <f t="shared" si="51"/>
        <v>2.4300000000000002</v>
      </c>
      <c r="CZ51" s="154">
        <f t="shared" si="51"/>
        <v>2.4300000000000002</v>
      </c>
      <c r="DA51" s="154">
        <f t="shared" si="51"/>
        <v>2.4300000000000002</v>
      </c>
      <c r="DB51" s="154">
        <f t="shared" si="51"/>
        <v>2.4300000000000002</v>
      </c>
      <c r="DC51" s="154">
        <v>102</v>
      </c>
      <c r="DD51" s="154">
        <v>6</v>
      </c>
      <c r="DE51" s="154">
        <v>4</v>
      </c>
      <c r="DF51" s="154">
        <v>1400</v>
      </c>
      <c r="DG51" s="154">
        <v>125</v>
      </c>
      <c r="DH51" s="154">
        <f t="shared" si="38"/>
        <v>0.625</v>
      </c>
      <c r="DI51" s="154">
        <f t="shared" si="39"/>
        <v>10.08</v>
      </c>
    </row>
    <row r="52" spans="1:113" x14ac:dyDescent="0.2">
      <c r="A52" s="335" t="s">
        <v>1679</v>
      </c>
      <c r="B52" s="334" t="s">
        <v>498</v>
      </c>
      <c r="C52" s="334" t="s">
        <v>1677</v>
      </c>
      <c r="D52" s="233" t="str">
        <f>ECOMOD_input_estimate!$D52</f>
        <v>1.50</v>
      </c>
      <c r="E52" s="385">
        <f>ECOMOD_input_estimate!$E52</f>
        <v>6</v>
      </c>
      <c r="F52" s="386" t="str">
        <f>ECOMOD_input_estimate!$F52</f>
        <v>winterwheat</v>
      </c>
      <c r="G52" s="282" t="str">
        <f>ECOMOD_input_estimate!$G52</f>
        <v>winterbarley</v>
      </c>
      <c r="H52" s="282" t="str">
        <f>ECOMOD_input_estimate!$H52</f>
        <v>wosr</v>
      </c>
      <c r="I52" s="282" t="str">
        <f>ECOMOD_input_estimate!I52</f>
        <v>winterwheat</v>
      </c>
      <c r="J52" s="282" t="str">
        <f>ECOMOD_input_estimate!$J52</f>
        <v>springbeans</v>
      </c>
      <c r="K52" s="282" t="str">
        <f>ECOMOD_input_estimate!$K52</f>
        <v>winterwheat</v>
      </c>
      <c r="L52" s="282" t="str">
        <f>ECOMOD_input_estimate!L52</f>
        <v>lightcultivation</v>
      </c>
      <c r="M52" s="282" t="str">
        <f>ECOMOD_input_estimate!M52</f>
        <v>lightcultivation</v>
      </c>
      <c r="N52" s="282" t="str">
        <f>ECOMOD_input_estimate!N52</f>
        <v>subsoiling</v>
      </c>
      <c r="O52" s="282" t="str">
        <f>ECOMOD_input_estimate!O52</f>
        <v>lightcultivation</v>
      </c>
      <c r="P52" s="282" t="str">
        <f>ECOMOD_input_estimate!P52</f>
        <v>lightcultivation</v>
      </c>
      <c r="Q52" s="282" t="str">
        <f>ECOMOD_input_estimate!Q52</f>
        <v>lightcultivation</v>
      </c>
      <c r="R52" s="389">
        <f>ECOMOD_input_estimate!R52</f>
        <v>190</v>
      </c>
      <c r="S52" s="389">
        <f>ECOMOD_input_estimate!S52</f>
        <v>195</v>
      </c>
      <c r="T52" s="391">
        <f>ECOMOD_input_estimate!T52</f>
        <v>3.2</v>
      </c>
      <c r="U52" s="389">
        <f>ECOMOD_input_estimate!U52</f>
        <v>190</v>
      </c>
      <c r="V52" s="389">
        <f>ECOMOD_input_estimate!V52</f>
        <v>305</v>
      </c>
      <c r="W52" s="389">
        <f>ECOMOD_input_estimate!W52</f>
        <v>190</v>
      </c>
      <c r="X52" s="282" t="str">
        <f>ECOMOD_input_estimate!X52</f>
        <v>no</v>
      </c>
      <c r="Y52" s="282" t="str">
        <f>ECOMOD_input_estimate!Y52</f>
        <v>no</v>
      </c>
      <c r="Z52" s="282" t="str">
        <f>ECOMOD_input_estimate!Z52</f>
        <v>no</v>
      </c>
      <c r="AA52" s="282" t="str">
        <f>ECOMOD_input_estimate!AA52</f>
        <v>no</v>
      </c>
      <c r="AB52" s="282" t="str">
        <f>ECOMOD_input_estimate!AB52</f>
        <v>no</v>
      </c>
      <c r="AC52" s="282" t="str">
        <f>ECOMOD_input_estimate!AC52</f>
        <v>no</v>
      </c>
      <c r="AD52" s="389">
        <f>ECOMOD_input_estimate!AD52</f>
        <v>220</v>
      </c>
      <c r="AE52" s="389">
        <f>ECOMOD_input_estimate!AE52</f>
        <v>190</v>
      </c>
      <c r="AF52" s="389">
        <f>ECOMOD_input_estimate!AF52</f>
        <v>180</v>
      </c>
      <c r="AG52" s="389">
        <f>ECOMOD_input_estimate!AG52</f>
        <v>220</v>
      </c>
      <c r="AH52" s="389">
        <f>ECOMOD_input_estimate!AH52</f>
        <v>0</v>
      </c>
      <c r="AI52" s="389">
        <f>ECOMOD_input_estimate!AI52</f>
        <v>220</v>
      </c>
      <c r="AJ52" s="389">
        <f>ECOMOD_input_estimate!AJ52</f>
        <v>67</v>
      </c>
      <c r="AK52" s="389">
        <f>ECOMOD_input_estimate!AK52</f>
        <v>58</v>
      </c>
      <c r="AL52" s="389">
        <f>ECOMOD_input_estimate!AL52</f>
        <v>49</v>
      </c>
      <c r="AM52" s="389">
        <f>ECOMOD_input_estimate!AM52</f>
        <v>67</v>
      </c>
      <c r="AN52" s="389">
        <f>ECOMOD_input_estimate!AN52</f>
        <v>43</v>
      </c>
      <c r="AO52" s="389">
        <f>ECOMOD_input_estimate!AO52</f>
        <v>67</v>
      </c>
      <c r="AP52" s="389">
        <f>ECOMOD_input_estimate!AP52</f>
        <v>48</v>
      </c>
      <c r="AQ52" s="389">
        <f>ECOMOD_input_estimate!AQ52</f>
        <v>41</v>
      </c>
      <c r="AR52" s="389">
        <f>ECOMOD_input_estimate!AR52</f>
        <v>39</v>
      </c>
      <c r="AS52" s="389">
        <f>ECOMOD_input_estimate!AS52</f>
        <v>48</v>
      </c>
      <c r="AT52" s="389">
        <f>ECOMOD_input_estimate!AT52</f>
        <v>47</v>
      </c>
      <c r="AU52" s="389">
        <f>ECOMOD_input_estimate!AU52</f>
        <v>48</v>
      </c>
      <c r="AV52" s="234">
        <f t="shared" si="43"/>
        <v>1</v>
      </c>
      <c r="AW52" s="234">
        <f t="shared" si="0"/>
        <v>0.4</v>
      </c>
      <c r="AX52" s="234">
        <f t="shared" si="1"/>
        <v>2</v>
      </c>
      <c r="AY52" s="345">
        <v>4.4000000000000004</v>
      </c>
      <c r="AZ52" s="234">
        <f t="shared" si="3"/>
        <v>4</v>
      </c>
      <c r="BA52" s="234">
        <f t="shared" si="4"/>
        <v>1</v>
      </c>
      <c r="BB52" s="234">
        <f t="shared" si="5"/>
        <v>3</v>
      </c>
      <c r="BC52" s="234">
        <f t="shared" si="6"/>
        <v>3</v>
      </c>
      <c r="BD52" s="234">
        <f t="shared" si="7"/>
        <v>0</v>
      </c>
      <c r="BE52" s="234">
        <f t="shared" si="45"/>
        <v>3</v>
      </c>
      <c r="BF52" s="234">
        <f t="shared" si="9"/>
        <v>6</v>
      </c>
      <c r="BG52" s="234">
        <f t="shared" si="10"/>
        <v>3</v>
      </c>
      <c r="BH52" s="234">
        <f t="shared" si="11"/>
        <v>3</v>
      </c>
      <c r="BI52" s="234">
        <f t="shared" si="12"/>
        <v>2</v>
      </c>
      <c r="BJ52" s="234">
        <f t="shared" si="13"/>
        <v>2</v>
      </c>
      <c r="BK52" s="234">
        <f t="shared" si="46"/>
        <v>3</v>
      </c>
      <c r="BL52" s="234">
        <f t="shared" si="15"/>
        <v>3</v>
      </c>
      <c r="BM52" s="234">
        <f t="shared" si="16"/>
        <v>3</v>
      </c>
      <c r="BN52" s="154" t="s">
        <v>483</v>
      </c>
      <c r="BO52" s="154" t="str">
        <f t="shared" si="17"/>
        <v>low</v>
      </c>
      <c r="BP52" s="154" t="str">
        <f t="shared" si="18"/>
        <v>low</v>
      </c>
      <c r="BQ52" s="154" t="str">
        <f t="shared" si="19"/>
        <v>low</v>
      </c>
      <c r="BR52" s="154" t="s">
        <v>183</v>
      </c>
      <c r="BS52" s="154" t="s">
        <v>183</v>
      </c>
      <c r="BT52" s="154" t="s">
        <v>183</v>
      </c>
      <c r="BU52" s="154">
        <f t="shared" si="20"/>
        <v>150</v>
      </c>
      <c r="BV52" s="154">
        <f t="shared" si="21"/>
        <v>138</v>
      </c>
      <c r="BW52" s="154">
        <f t="shared" si="22"/>
        <v>335</v>
      </c>
      <c r="BX52" s="154">
        <f t="shared" si="23"/>
        <v>150</v>
      </c>
      <c r="BY52" s="154">
        <f t="shared" si="24"/>
        <v>185</v>
      </c>
      <c r="BZ52" s="154">
        <f t="shared" si="25"/>
        <v>150</v>
      </c>
      <c r="CA52" s="356">
        <f t="array" ref="CA52">IF(yieldsetting2="estimate",0,INDEX(cropdata, MATCH(yieldsource,outputs,0), MATCH($F52,cropdatacrops,0)))</f>
        <v>8.6</v>
      </c>
      <c r="CB52" s="356">
        <f t="array" ref="CB52">IF(yieldsetting2="estimate",0,INDEX(cropdata, MATCH(yieldsource,outputs,0), MATCH($G52,cropdatacrops,0)))</f>
        <v>7.4</v>
      </c>
      <c r="CC52" s="356">
        <f t="array" ref="CC52">IF(yieldsetting2="estimate",0,INDEX(cropdata, MATCH(yieldsource,outputs,0), MATCH($H52,cropdatacrops,0)))</f>
        <v>3.5</v>
      </c>
      <c r="CD52" s="356">
        <f t="array" ref="CD52">IF(yieldsetting2="estimate",0,INDEX(cropdata, MATCH(yieldsource,outputs,0), MATCH($I52,cropdatacrops,0)))</f>
        <v>8.6</v>
      </c>
      <c r="CE52" s="356">
        <f t="array" ref="CE52">IF(yieldsetting2="estimate",0,INDEX(cropdata, MATCH(yieldsource,outputs,0), MATCH($J52,cropdatacrops,0)))</f>
        <v>3.9</v>
      </c>
      <c r="CF52" s="356">
        <f t="array" ref="CF52">IF(yieldsetting2="estimate",0,INDEX(cropdata, MATCH(yieldsource,outputs,0), MATCH($K52,cropdatacrops,0)))</f>
        <v>8.6</v>
      </c>
      <c r="CG52" s="154" t="str">
        <f t="shared" si="47"/>
        <v>actual</v>
      </c>
      <c r="CH52" s="235">
        <f t="shared" si="27"/>
        <v>0.8</v>
      </c>
      <c r="CI52" s="235">
        <f t="shared" si="28"/>
        <v>0.72</v>
      </c>
      <c r="CJ52" s="154">
        <f t="shared" si="29"/>
        <v>0.46</v>
      </c>
      <c r="CK52" s="154">
        <f t="shared" si="30"/>
        <v>0.36</v>
      </c>
      <c r="CL52" s="154">
        <f t="shared" si="31"/>
        <v>0.36</v>
      </c>
      <c r="CM52" s="154">
        <f t="shared" si="32"/>
        <v>7.34</v>
      </c>
      <c r="CN52" s="154">
        <f t="shared" si="33"/>
        <v>0.36</v>
      </c>
      <c r="CO52" s="154">
        <f t="shared" si="34"/>
        <v>0.38</v>
      </c>
      <c r="CP52" s="154">
        <f t="shared" si="35"/>
        <v>0.36</v>
      </c>
      <c r="CQ52" s="154">
        <f t="shared" si="50"/>
        <v>19.5</v>
      </c>
      <c r="CR52" s="154">
        <f t="shared" si="50"/>
        <v>19.5</v>
      </c>
      <c r="CS52" s="154">
        <f t="shared" si="50"/>
        <v>19.5</v>
      </c>
      <c r="CT52" s="154">
        <f t="shared" si="50"/>
        <v>19.5</v>
      </c>
      <c r="CU52" s="154">
        <f t="shared" si="50"/>
        <v>19.5</v>
      </c>
      <c r="CV52" s="154">
        <f t="shared" si="50"/>
        <v>19.5</v>
      </c>
      <c r="CW52" s="154">
        <f t="shared" si="51"/>
        <v>2.4300000000000002</v>
      </c>
      <c r="CX52" s="154">
        <f t="shared" si="51"/>
        <v>2.4300000000000002</v>
      </c>
      <c r="CY52" s="154">
        <f t="shared" si="51"/>
        <v>2.4300000000000002</v>
      </c>
      <c r="CZ52" s="154">
        <f t="shared" si="51"/>
        <v>2.4300000000000002</v>
      </c>
      <c r="DA52" s="154">
        <f t="shared" si="51"/>
        <v>2.4300000000000002</v>
      </c>
      <c r="DB52" s="154">
        <f t="shared" si="51"/>
        <v>2.4300000000000002</v>
      </c>
      <c r="DC52" s="154">
        <v>102</v>
      </c>
      <c r="DD52" s="154">
        <v>6</v>
      </c>
      <c r="DE52" s="154">
        <v>4</v>
      </c>
      <c r="DF52" s="154">
        <v>1400</v>
      </c>
      <c r="DG52" s="154">
        <v>125</v>
      </c>
      <c r="DH52" s="154">
        <f t="shared" si="38"/>
        <v>0.625</v>
      </c>
      <c r="DI52" s="154">
        <f t="shared" si="39"/>
        <v>10.08</v>
      </c>
    </row>
    <row r="53" spans="1:113" x14ac:dyDescent="0.2">
      <c r="A53" s="335" t="s">
        <v>1680</v>
      </c>
      <c r="B53" s="334" t="s">
        <v>498</v>
      </c>
      <c r="C53" s="334" t="s">
        <v>1678</v>
      </c>
      <c r="D53" s="233" t="str">
        <f>ECOMOD_input_estimate!$D53</f>
        <v>1.50</v>
      </c>
      <c r="E53" s="385">
        <f>ECOMOD_input_estimate!$E53</f>
        <v>6</v>
      </c>
      <c r="F53" s="386" t="str">
        <f>ECOMOD_input_estimate!$F53</f>
        <v>winterwheat</v>
      </c>
      <c r="G53" s="282" t="str">
        <f>ECOMOD_input_estimate!$G53</f>
        <v>winterbarley</v>
      </c>
      <c r="H53" s="282" t="str">
        <f>ECOMOD_input_estimate!$H53</f>
        <v>wosr</v>
      </c>
      <c r="I53" s="282" t="str">
        <f>ECOMOD_input_estimate!I53</f>
        <v>winterwheat</v>
      </c>
      <c r="J53" s="282" t="str">
        <f>ECOMOD_input_estimate!$J53</f>
        <v>springbeans</v>
      </c>
      <c r="K53" s="282" t="str">
        <f>ECOMOD_input_estimate!$K53</f>
        <v>winterwheat</v>
      </c>
      <c r="L53" s="282" t="str">
        <f>ECOMOD_input_estimate!L53</f>
        <v>lightcultivation</v>
      </c>
      <c r="M53" s="282" t="str">
        <f>ECOMOD_input_estimate!M53</f>
        <v>lightcultivation</v>
      </c>
      <c r="N53" s="282" t="str">
        <f>ECOMOD_input_estimate!N53</f>
        <v>subsoiling</v>
      </c>
      <c r="O53" s="282" t="str">
        <f>ECOMOD_input_estimate!O53</f>
        <v>lightcultivation</v>
      </c>
      <c r="P53" s="282" t="str">
        <f>ECOMOD_input_estimate!P53</f>
        <v>lightcultivation</v>
      </c>
      <c r="Q53" s="282" t="str">
        <f>ECOMOD_input_estimate!Q53</f>
        <v>lightcultivation</v>
      </c>
      <c r="R53" s="389">
        <f>ECOMOD_input_estimate!R53</f>
        <v>190</v>
      </c>
      <c r="S53" s="389">
        <f>ECOMOD_input_estimate!S53</f>
        <v>195</v>
      </c>
      <c r="T53" s="391">
        <f>ECOMOD_input_estimate!T53</f>
        <v>3.2</v>
      </c>
      <c r="U53" s="389">
        <f>ECOMOD_input_estimate!U53</f>
        <v>190</v>
      </c>
      <c r="V53" s="389">
        <f>ECOMOD_input_estimate!V53</f>
        <v>305</v>
      </c>
      <c r="W53" s="389">
        <f>ECOMOD_input_estimate!W53</f>
        <v>190</v>
      </c>
      <c r="X53" s="282" t="str">
        <f>ECOMOD_input_estimate!X53</f>
        <v>no</v>
      </c>
      <c r="Y53" s="282" t="str">
        <f>ECOMOD_input_estimate!Y53</f>
        <v>no</v>
      </c>
      <c r="Z53" s="282" t="str">
        <f>ECOMOD_input_estimate!Z53</f>
        <v>no</v>
      </c>
      <c r="AA53" s="282" t="str">
        <f>ECOMOD_input_estimate!AA53</f>
        <v>no</v>
      </c>
      <c r="AB53" s="282" t="str">
        <f>ECOMOD_input_estimate!AB53</f>
        <v>no</v>
      </c>
      <c r="AC53" s="282" t="str">
        <f>ECOMOD_input_estimate!AC53</f>
        <v>no</v>
      </c>
      <c r="AD53" s="389">
        <f>ECOMOD_input_estimate!AD53</f>
        <v>220</v>
      </c>
      <c r="AE53" s="389">
        <f>ECOMOD_input_estimate!AE53</f>
        <v>190</v>
      </c>
      <c r="AF53" s="389">
        <f>ECOMOD_input_estimate!AF53</f>
        <v>180</v>
      </c>
      <c r="AG53" s="389">
        <f>ECOMOD_input_estimate!AG53</f>
        <v>220</v>
      </c>
      <c r="AH53" s="389">
        <f>ECOMOD_input_estimate!AH53</f>
        <v>0</v>
      </c>
      <c r="AI53" s="389">
        <f>ECOMOD_input_estimate!AI53</f>
        <v>220</v>
      </c>
      <c r="AJ53" s="389">
        <f>ECOMOD_input_estimate!AJ53</f>
        <v>67</v>
      </c>
      <c r="AK53" s="389">
        <f>ECOMOD_input_estimate!AK53</f>
        <v>58</v>
      </c>
      <c r="AL53" s="389">
        <f>ECOMOD_input_estimate!AL53</f>
        <v>49</v>
      </c>
      <c r="AM53" s="389">
        <f>ECOMOD_input_estimate!AM53</f>
        <v>67</v>
      </c>
      <c r="AN53" s="389">
        <f>ECOMOD_input_estimate!AN53</f>
        <v>43</v>
      </c>
      <c r="AO53" s="389">
        <f>ECOMOD_input_estimate!AO53</f>
        <v>67</v>
      </c>
      <c r="AP53" s="389">
        <f>ECOMOD_input_estimate!AP53</f>
        <v>48</v>
      </c>
      <c r="AQ53" s="389">
        <f>ECOMOD_input_estimate!AQ53</f>
        <v>41</v>
      </c>
      <c r="AR53" s="389">
        <f>ECOMOD_input_estimate!AR53</f>
        <v>39</v>
      </c>
      <c r="AS53" s="389">
        <f>ECOMOD_input_estimate!AS53</f>
        <v>48</v>
      </c>
      <c r="AT53" s="389">
        <f>ECOMOD_input_estimate!AT53</f>
        <v>47</v>
      </c>
      <c r="AU53" s="389">
        <f>ECOMOD_input_estimate!AU53</f>
        <v>48</v>
      </c>
      <c r="AV53" s="234">
        <f t="shared" si="43"/>
        <v>1</v>
      </c>
      <c r="AW53" s="234">
        <f t="shared" si="0"/>
        <v>0.4</v>
      </c>
      <c r="AX53" s="234">
        <f t="shared" si="1"/>
        <v>2</v>
      </c>
      <c r="AY53" s="345">
        <v>4.4000000000000004</v>
      </c>
      <c r="AZ53" s="234">
        <f t="shared" si="3"/>
        <v>4</v>
      </c>
      <c r="BA53" s="234">
        <f t="shared" si="4"/>
        <v>1</v>
      </c>
      <c r="BB53" s="234">
        <f t="shared" si="5"/>
        <v>3</v>
      </c>
      <c r="BC53" s="234">
        <f t="shared" si="6"/>
        <v>3</v>
      </c>
      <c r="BD53" s="234">
        <f t="shared" si="7"/>
        <v>0</v>
      </c>
      <c r="BE53" s="234">
        <f t="shared" si="45"/>
        <v>3</v>
      </c>
      <c r="BF53" s="234">
        <f t="shared" si="9"/>
        <v>6</v>
      </c>
      <c r="BG53" s="234">
        <f t="shared" si="10"/>
        <v>3</v>
      </c>
      <c r="BH53" s="234">
        <f t="shared" si="11"/>
        <v>3</v>
      </c>
      <c r="BI53" s="234">
        <f t="shared" si="12"/>
        <v>2</v>
      </c>
      <c r="BJ53" s="234">
        <f t="shared" si="13"/>
        <v>2</v>
      </c>
      <c r="BK53" s="234">
        <f t="shared" si="46"/>
        <v>3</v>
      </c>
      <c r="BL53" s="234">
        <f t="shared" si="15"/>
        <v>3</v>
      </c>
      <c r="BM53" s="234">
        <f t="shared" si="16"/>
        <v>3</v>
      </c>
      <c r="BN53" s="154" t="s">
        <v>483</v>
      </c>
      <c r="BO53" s="154" t="str">
        <f t="shared" si="17"/>
        <v>medium</v>
      </c>
      <c r="BP53" s="154" t="str">
        <f t="shared" si="18"/>
        <v>low</v>
      </c>
      <c r="BQ53" s="154" t="str">
        <f t="shared" si="19"/>
        <v>low</v>
      </c>
      <c r="BR53" s="154" t="s">
        <v>18</v>
      </c>
      <c r="BS53" s="154" t="s">
        <v>18</v>
      </c>
      <c r="BT53" s="154" t="s">
        <v>18</v>
      </c>
      <c r="BU53" s="154">
        <f t="shared" si="20"/>
        <v>150</v>
      </c>
      <c r="BV53" s="154">
        <f t="shared" si="21"/>
        <v>138</v>
      </c>
      <c r="BW53" s="154">
        <f t="shared" si="22"/>
        <v>335</v>
      </c>
      <c r="BX53" s="154">
        <f t="shared" si="23"/>
        <v>150</v>
      </c>
      <c r="BY53" s="154">
        <f t="shared" si="24"/>
        <v>185</v>
      </c>
      <c r="BZ53" s="154">
        <f t="shared" si="25"/>
        <v>150</v>
      </c>
      <c r="CA53" s="356">
        <f t="array" ref="CA53">IF(yieldsetting2="estimate",0,INDEX(cropdata, MATCH(yieldsource,outputs,0), MATCH($F53,cropdatacrops,0)))</f>
        <v>8.6</v>
      </c>
      <c r="CB53" s="356">
        <f t="array" ref="CB53">IF(yieldsetting2="estimate",0,INDEX(cropdata, MATCH(yieldsource,outputs,0), MATCH($G53,cropdatacrops,0)))</f>
        <v>7.4</v>
      </c>
      <c r="CC53" s="356">
        <f t="array" ref="CC53">IF(yieldsetting2="estimate",0,INDEX(cropdata, MATCH(yieldsource,outputs,0), MATCH($H53,cropdatacrops,0)))</f>
        <v>3.5</v>
      </c>
      <c r="CD53" s="356">
        <f t="array" ref="CD53">IF(yieldsetting2="estimate",0,INDEX(cropdata, MATCH(yieldsource,outputs,0), MATCH($I53,cropdatacrops,0)))</f>
        <v>8.6</v>
      </c>
      <c r="CE53" s="356">
        <f t="array" ref="CE53">IF(yieldsetting2="estimate",0,INDEX(cropdata, MATCH(yieldsource,outputs,0), MATCH($J53,cropdatacrops,0)))</f>
        <v>3.9</v>
      </c>
      <c r="CF53" s="356">
        <f t="array" ref="CF53">IF(yieldsetting2="estimate",0,INDEX(cropdata, MATCH(yieldsource,outputs,0), MATCH($K53,cropdatacrops,0)))</f>
        <v>8.6</v>
      </c>
      <c r="CG53" s="154" t="str">
        <f t="shared" si="47"/>
        <v>actual</v>
      </c>
      <c r="CH53" s="235">
        <f t="shared" si="27"/>
        <v>0.8</v>
      </c>
      <c r="CI53" s="235">
        <f t="shared" si="28"/>
        <v>0.72</v>
      </c>
      <c r="CJ53" s="154">
        <f t="shared" si="29"/>
        <v>0.46</v>
      </c>
      <c r="CK53" s="154">
        <f t="shared" si="30"/>
        <v>0.36</v>
      </c>
      <c r="CL53" s="154">
        <f t="shared" si="31"/>
        <v>0.36</v>
      </c>
      <c r="CM53" s="154">
        <f t="shared" si="32"/>
        <v>7.34</v>
      </c>
      <c r="CN53" s="154">
        <f t="shared" si="33"/>
        <v>0.36</v>
      </c>
      <c r="CO53" s="154">
        <f t="shared" si="34"/>
        <v>0.38</v>
      </c>
      <c r="CP53" s="154">
        <f t="shared" si="35"/>
        <v>0.36</v>
      </c>
      <c r="CQ53" s="154">
        <f t="shared" si="50"/>
        <v>19.5</v>
      </c>
      <c r="CR53" s="154">
        <f t="shared" si="50"/>
        <v>19.5</v>
      </c>
      <c r="CS53" s="154">
        <f t="shared" si="50"/>
        <v>19.5</v>
      </c>
      <c r="CT53" s="154">
        <f t="shared" si="50"/>
        <v>19.5</v>
      </c>
      <c r="CU53" s="154">
        <f t="shared" si="50"/>
        <v>19.5</v>
      </c>
      <c r="CV53" s="154">
        <f t="shared" si="50"/>
        <v>19.5</v>
      </c>
      <c r="CW53" s="154">
        <f t="shared" si="51"/>
        <v>2.4300000000000002</v>
      </c>
      <c r="CX53" s="154">
        <f t="shared" si="51"/>
        <v>2.4300000000000002</v>
      </c>
      <c r="CY53" s="154">
        <f t="shared" si="51"/>
        <v>2.4300000000000002</v>
      </c>
      <c r="CZ53" s="154">
        <f t="shared" si="51"/>
        <v>2.4300000000000002</v>
      </c>
      <c r="DA53" s="154">
        <f t="shared" si="51"/>
        <v>2.4300000000000002</v>
      </c>
      <c r="DB53" s="154">
        <f t="shared" si="51"/>
        <v>2.4300000000000002</v>
      </c>
      <c r="DC53" s="154">
        <v>102</v>
      </c>
      <c r="DD53" s="154">
        <v>6</v>
      </c>
      <c r="DE53" s="154">
        <v>4</v>
      </c>
      <c r="DF53" s="154">
        <v>1400</v>
      </c>
      <c r="DG53" s="154">
        <v>125</v>
      </c>
      <c r="DH53" s="154">
        <f t="shared" si="38"/>
        <v>0.625</v>
      </c>
      <c r="DI53" s="154">
        <f t="shared" si="39"/>
        <v>10.08</v>
      </c>
    </row>
    <row r="54" spans="1:113" x14ac:dyDescent="0.2">
      <c r="A54" s="335" t="s">
        <v>1688</v>
      </c>
      <c r="B54" s="334" t="s">
        <v>501</v>
      </c>
      <c r="C54" s="334" t="s">
        <v>1687</v>
      </c>
      <c r="D54" s="233" t="str">
        <f>ECOMOD_input_estimate!$D54</f>
        <v>0.75</v>
      </c>
      <c r="E54" s="385">
        <f>ECOMOD_input_estimate!$E54</f>
        <v>6</v>
      </c>
      <c r="F54" s="386" t="str">
        <f>ECOMOD_input_estimate!$F54</f>
        <v>winterwheat</v>
      </c>
      <c r="G54" s="282" t="str">
        <f>ECOMOD_input_estimate!$G54</f>
        <v>winterbarley</v>
      </c>
      <c r="H54" s="282" t="str">
        <f>ECOMOD_input_estimate!$H54</f>
        <v>wosr</v>
      </c>
      <c r="I54" s="282" t="str">
        <f>ECOMOD_input_estimate!I54</f>
        <v>winterwheat</v>
      </c>
      <c r="J54" s="282" t="str">
        <f>ECOMOD_input_estimate!$J54</f>
        <v>driedpeas</v>
      </c>
      <c r="K54" s="282" t="str">
        <f>ECOMOD_input_estimate!$K54</f>
        <v>winterwheat</v>
      </c>
      <c r="L54" s="282" t="str">
        <f>ECOMOD_input_estimate!L54</f>
        <v>lightcultivation</v>
      </c>
      <c r="M54" s="282" t="str">
        <f>ECOMOD_input_estimate!M54</f>
        <v>lightcultivation</v>
      </c>
      <c r="N54" s="282" t="str">
        <f>ECOMOD_input_estimate!N54</f>
        <v>subsoiling</v>
      </c>
      <c r="O54" s="282" t="str">
        <f>ECOMOD_input_estimate!O54</f>
        <v>lightcultivation</v>
      </c>
      <c r="P54" s="282" t="str">
        <f>ECOMOD_input_estimate!P54</f>
        <v>lightcultivation</v>
      </c>
      <c r="Q54" s="282" t="str">
        <f>ECOMOD_input_estimate!Q54</f>
        <v>lightcultivation</v>
      </c>
      <c r="R54" s="389">
        <f>ECOMOD_input_estimate!R54</f>
        <v>190</v>
      </c>
      <c r="S54" s="389">
        <f>ECOMOD_input_estimate!S54</f>
        <v>195</v>
      </c>
      <c r="T54" s="391">
        <f>ECOMOD_input_estimate!T54</f>
        <v>3.2</v>
      </c>
      <c r="U54" s="389">
        <f>ECOMOD_input_estimate!U54</f>
        <v>190</v>
      </c>
      <c r="V54" s="389">
        <f>ECOMOD_input_estimate!V54</f>
        <v>300</v>
      </c>
      <c r="W54" s="389">
        <f>ECOMOD_input_estimate!W54</f>
        <v>190</v>
      </c>
      <c r="X54" s="282" t="str">
        <f>ECOMOD_input_estimate!X54</f>
        <v>no</v>
      </c>
      <c r="Y54" s="282" t="str">
        <f>ECOMOD_input_estimate!Y54</f>
        <v>no</v>
      </c>
      <c r="Z54" s="282" t="str">
        <f>ECOMOD_input_estimate!Z54</f>
        <v>no</v>
      </c>
      <c r="AA54" s="282" t="str">
        <f>ECOMOD_input_estimate!AA54</f>
        <v>no</v>
      </c>
      <c r="AB54" s="282" t="str">
        <f>ECOMOD_input_estimate!AB54</f>
        <v>no</v>
      </c>
      <c r="AC54" s="282" t="str">
        <f>ECOMOD_input_estimate!AC54</f>
        <v>no</v>
      </c>
      <c r="AD54" s="389">
        <f>ECOMOD_input_estimate!AD54</f>
        <v>150</v>
      </c>
      <c r="AE54" s="389">
        <f>ECOMOD_input_estimate!AE54</f>
        <v>190</v>
      </c>
      <c r="AF54" s="389">
        <f>ECOMOD_input_estimate!AF54</f>
        <v>180</v>
      </c>
      <c r="AG54" s="389">
        <f>ECOMOD_input_estimate!AG54</f>
        <v>150</v>
      </c>
      <c r="AH54" s="389">
        <f>ECOMOD_input_estimate!AH54</f>
        <v>0</v>
      </c>
      <c r="AI54" s="389">
        <f>ECOMOD_input_estimate!AI54</f>
        <v>150</v>
      </c>
      <c r="AJ54" s="389">
        <f>ECOMOD_input_estimate!AJ54</f>
        <v>67</v>
      </c>
      <c r="AK54" s="389">
        <f>ECOMOD_input_estimate!AK54</f>
        <v>58</v>
      </c>
      <c r="AL54" s="389">
        <f>ECOMOD_input_estimate!AL54</f>
        <v>49</v>
      </c>
      <c r="AM54" s="389">
        <f>ECOMOD_input_estimate!AM54</f>
        <v>67</v>
      </c>
      <c r="AN54" s="389">
        <f>ECOMOD_input_estimate!AN54</f>
        <v>35</v>
      </c>
      <c r="AO54" s="389">
        <f>ECOMOD_input_estimate!AO54</f>
        <v>67</v>
      </c>
      <c r="AP54" s="389">
        <f>ECOMOD_input_estimate!AP54</f>
        <v>48</v>
      </c>
      <c r="AQ54" s="389">
        <f>ECOMOD_input_estimate!AQ54</f>
        <v>41</v>
      </c>
      <c r="AR54" s="389">
        <f>ECOMOD_input_estimate!AR54</f>
        <v>39</v>
      </c>
      <c r="AS54" s="389">
        <f>ECOMOD_input_estimate!AS54</f>
        <v>48</v>
      </c>
      <c r="AT54" s="389">
        <f>ECOMOD_input_estimate!AT54</f>
        <v>40</v>
      </c>
      <c r="AU54" s="389">
        <f>ECOMOD_input_estimate!AU54</f>
        <v>48</v>
      </c>
      <c r="AV54" s="234">
        <f t="shared" si="43"/>
        <v>1</v>
      </c>
      <c r="AW54" s="234">
        <f t="shared" si="0"/>
        <v>0.4</v>
      </c>
      <c r="AX54" s="234">
        <f t="shared" si="1"/>
        <v>2</v>
      </c>
      <c r="AY54" s="345">
        <v>4.4000000000000004</v>
      </c>
      <c r="AZ54" s="234">
        <f t="shared" si="3"/>
        <v>4</v>
      </c>
      <c r="BA54" s="234">
        <f t="shared" si="4"/>
        <v>1</v>
      </c>
      <c r="BB54" s="234">
        <f t="shared" si="5"/>
        <v>3</v>
      </c>
      <c r="BC54" s="234">
        <f t="shared" si="6"/>
        <v>3</v>
      </c>
      <c r="BD54" s="234">
        <f t="shared" si="7"/>
        <v>0</v>
      </c>
      <c r="BE54" s="234">
        <f t="shared" si="45"/>
        <v>3</v>
      </c>
      <c r="BF54" s="234">
        <f t="shared" si="9"/>
        <v>6</v>
      </c>
      <c r="BG54" s="234">
        <f t="shared" si="10"/>
        <v>3</v>
      </c>
      <c r="BH54" s="234">
        <f t="shared" si="11"/>
        <v>3</v>
      </c>
      <c r="BI54" s="234">
        <f t="shared" si="12"/>
        <v>2</v>
      </c>
      <c r="BJ54" s="234">
        <f t="shared" si="13"/>
        <v>2</v>
      </c>
      <c r="BK54" s="234">
        <f t="shared" si="46"/>
        <v>3</v>
      </c>
      <c r="BL54" s="234">
        <f t="shared" si="15"/>
        <v>3</v>
      </c>
      <c r="BM54" s="234">
        <f t="shared" si="16"/>
        <v>3</v>
      </c>
      <c r="BN54" s="154" t="s">
        <v>483</v>
      </c>
      <c r="BO54" s="154" t="str">
        <f t="shared" si="17"/>
        <v>low</v>
      </c>
      <c r="BP54" s="154" t="str">
        <f t="shared" si="18"/>
        <v>low</v>
      </c>
      <c r="BQ54" s="154" t="str">
        <f t="shared" si="19"/>
        <v>low</v>
      </c>
      <c r="BR54" s="154" t="s">
        <v>182</v>
      </c>
      <c r="BS54" s="154" t="s">
        <v>182</v>
      </c>
      <c r="BT54" s="154" t="s">
        <v>182</v>
      </c>
      <c r="BU54" s="154">
        <f t="shared" si="20"/>
        <v>150</v>
      </c>
      <c r="BV54" s="154">
        <f t="shared" si="21"/>
        <v>138</v>
      </c>
      <c r="BW54" s="154">
        <f t="shared" si="22"/>
        <v>335</v>
      </c>
      <c r="BX54" s="154">
        <f t="shared" si="23"/>
        <v>150</v>
      </c>
      <c r="BY54" s="154">
        <f t="shared" si="24"/>
        <v>225</v>
      </c>
      <c r="BZ54" s="154">
        <f t="shared" si="25"/>
        <v>150</v>
      </c>
      <c r="CA54" s="356">
        <f t="array" ref="CA54">IF(yieldsetting2="estimate",0,INDEX(cropdata, MATCH(yieldsource,outputs,0), MATCH($F54,cropdatacrops,0)))</f>
        <v>8.6</v>
      </c>
      <c r="CB54" s="356">
        <f t="array" ref="CB54">IF(yieldsetting2="estimate",0,INDEX(cropdata, MATCH(yieldsource,outputs,0), MATCH($G54,cropdatacrops,0)))</f>
        <v>7.4</v>
      </c>
      <c r="CC54" s="356">
        <f t="array" ref="CC54">IF(yieldsetting2="estimate",0,INDEX(cropdata, MATCH(yieldsource,outputs,0), MATCH($H54,cropdatacrops,0)))</f>
        <v>3.5</v>
      </c>
      <c r="CD54" s="356">
        <f t="array" ref="CD54">IF(yieldsetting2="estimate",0,INDEX(cropdata, MATCH(yieldsource,outputs,0), MATCH($I54,cropdatacrops,0)))</f>
        <v>8.6</v>
      </c>
      <c r="CE54" s="356">
        <f t="array" ref="CE54">IF(yieldsetting2="estimate",0,INDEX(cropdata, MATCH(yieldsource,outputs,0), MATCH($J54,cropdatacrops,0)))</f>
        <v>4</v>
      </c>
      <c r="CF54" s="356">
        <f t="array" ref="CF54">IF(yieldsetting2="estimate",0,INDEX(cropdata, MATCH(yieldsource,outputs,0), MATCH($K54,cropdatacrops,0)))</f>
        <v>8.6</v>
      </c>
      <c r="CG54" s="154" t="str">
        <f t="shared" si="47"/>
        <v>actual</v>
      </c>
      <c r="CH54" s="235">
        <f t="shared" si="27"/>
        <v>0.8</v>
      </c>
      <c r="CI54" s="235">
        <f t="shared" si="28"/>
        <v>0.72</v>
      </c>
      <c r="CJ54" s="154">
        <f t="shared" si="29"/>
        <v>0.46</v>
      </c>
      <c r="CK54" s="154">
        <f t="shared" si="30"/>
        <v>0.36</v>
      </c>
      <c r="CL54" s="154">
        <f t="shared" si="31"/>
        <v>0.36</v>
      </c>
      <c r="CM54" s="154">
        <f t="shared" si="32"/>
        <v>7.34</v>
      </c>
      <c r="CN54" s="154">
        <f t="shared" si="33"/>
        <v>0.36</v>
      </c>
      <c r="CO54" s="154">
        <f t="shared" si="34"/>
        <v>0.47</v>
      </c>
      <c r="CP54" s="154">
        <f t="shared" si="35"/>
        <v>0.36</v>
      </c>
      <c r="CQ54" s="154">
        <f t="shared" si="50"/>
        <v>19.5</v>
      </c>
      <c r="CR54" s="154">
        <f t="shared" si="50"/>
        <v>19.5</v>
      </c>
      <c r="CS54" s="154">
        <f t="shared" si="50"/>
        <v>19.5</v>
      </c>
      <c r="CT54" s="154">
        <f t="shared" si="50"/>
        <v>19.5</v>
      </c>
      <c r="CU54" s="154">
        <f t="shared" si="50"/>
        <v>19.5</v>
      </c>
      <c r="CV54" s="154">
        <f t="shared" si="50"/>
        <v>19.5</v>
      </c>
      <c r="CW54" s="154">
        <f t="shared" si="51"/>
        <v>2.4300000000000002</v>
      </c>
      <c r="CX54" s="154">
        <f t="shared" si="51"/>
        <v>2.4300000000000002</v>
      </c>
      <c r="CY54" s="154">
        <f t="shared" si="51"/>
        <v>2.4300000000000002</v>
      </c>
      <c r="CZ54" s="154">
        <f t="shared" si="51"/>
        <v>2.4300000000000002</v>
      </c>
      <c r="DA54" s="154">
        <f t="shared" si="51"/>
        <v>2.4300000000000002</v>
      </c>
      <c r="DB54" s="154">
        <f t="shared" si="51"/>
        <v>2.4300000000000002</v>
      </c>
      <c r="DC54" s="154">
        <v>102</v>
      </c>
      <c r="DD54" s="154">
        <v>6</v>
      </c>
      <c r="DE54" s="154">
        <v>4</v>
      </c>
      <c r="DF54" s="154">
        <v>1400</v>
      </c>
      <c r="DG54" s="154">
        <v>125</v>
      </c>
      <c r="DH54" s="154">
        <f t="shared" si="38"/>
        <v>0.625</v>
      </c>
      <c r="DI54" s="154">
        <f t="shared" si="39"/>
        <v>10.08</v>
      </c>
    </row>
    <row r="55" spans="1:113" x14ac:dyDescent="0.2">
      <c r="A55" s="335" t="s">
        <v>1689</v>
      </c>
      <c r="B55" s="334" t="s">
        <v>501</v>
      </c>
      <c r="C55" s="334" t="s">
        <v>1640</v>
      </c>
      <c r="D55" s="233" t="str">
        <f>ECOMOD_input_estimate!$D55</f>
        <v>0.75</v>
      </c>
      <c r="E55" s="385">
        <f>ECOMOD_input_estimate!$E55</f>
        <v>6</v>
      </c>
      <c r="F55" s="386" t="str">
        <f>ECOMOD_input_estimate!$F55</f>
        <v>winterwheat</v>
      </c>
      <c r="G55" s="282" t="str">
        <f>ECOMOD_input_estimate!$G55</f>
        <v>winterbarley</v>
      </c>
      <c r="H55" s="282" t="str">
        <f>ECOMOD_input_estimate!$H55</f>
        <v>wosr</v>
      </c>
      <c r="I55" s="282" t="str">
        <f>ECOMOD_input_estimate!I55</f>
        <v>winterwheat</v>
      </c>
      <c r="J55" s="282" t="str">
        <f>ECOMOD_input_estimate!$J55</f>
        <v>driedpeas</v>
      </c>
      <c r="K55" s="282" t="str">
        <f>ECOMOD_input_estimate!$K55</f>
        <v>winterwheat</v>
      </c>
      <c r="L55" s="282" t="str">
        <f>ECOMOD_input_estimate!L55</f>
        <v>lightcultivation</v>
      </c>
      <c r="M55" s="282" t="str">
        <f>ECOMOD_input_estimate!M55</f>
        <v>lightcultivation</v>
      </c>
      <c r="N55" s="282" t="str">
        <f>ECOMOD_input_estimate!N55</f>
        <v>subsoiling</v>
      </c>
      <c r="O55" s="282" t="str">
        <f>ECOMOD_input_estimate!O55</f>
        <v>lightcultivation</v>
      </c>
      <c r="P55" s="282" t="str">
        <f>ECOMOD_input_estimate!P55</f>
        <v>lightcultivation</v>
      </c>
      <c r="Q55" s="282" t="str">
        <f>ECOMOD_input_estimate!Q55</f>
        <v>lightcultivation</v>
      </c>
      <c r="R55" s="389">
        <f>ECOMOD_input_estimate!R55</f>
        <v>190</v>
      </c>
      <c r="S55" s="389">
        <f>ECOMOD_input_estimate!S55</f>
        <v>195</v>
      </c>
      <c r="T55" s="391">
        <f>ECOMOD_input_estimate!T55</f>
        <v>3.2</v>
      </c>
      <c r="U55" s="389">
        <f>ECOMOD_input_estimate!U55</f>
        <v>190</v>
      </c>
      <c r="V55" s="389">
        <f>ECOMOD_input_estimate!V55</f>
        <v>300</v>
      </c>
      <c r="W55" s="389">
        <f>ECOMOD_input_estimate!W55</f>
        <v>190</v>
      </c>
      <c r="X55" s="282" t="str">
        <f>ECOMOD_input_estimate!X55</f>
        <v>no</v>
      </c>
      <c r="Y55" s="282" t="str">
        <f>ECOMOD_input_estimate!Y55</f>
        <v>no</v>
      </c>
      <c r="Z55" s="282" t="str">
        <f>ECOMOD_input_estimate!Z55</f>
        <v>no</v>
      </c>
      <c r="AA55" s="282" t="str">
        <f>ECOMOD_input_estimate!AA55</f>
        <v>no</v>
      </c>
      <c r="AB55" s="282" t="str">
        <f>ECOMOD_input_estimate!AB55</f>
        <v>no</v>
      </c>
      <c r="AC55" s="282" t="str">
        <f>ECOMOD_input_estimate!AC55</f>
        <v>no</v>
      </c>
      <c r="AD55" s="389">
        <f>ECOMOD_input_estimate!AD55</f>
        <v>150</v>
      </c>
      <c r="AE55" s="389">
        <f>ECOMOD_input_estimate!AE55</f>
        <v>190</v>
      </c>
      <c r="AF55" s="389">
        <f>ECOMOD_input_estimate!AF55</f>
        <v>180</v>
      </c>
      <c r="AG55" s="389">
        <f>ECOMOD_input_estimate!AG55</f>
        <v>150</v>
      </c>
      <c r="AH55" s="389">
        <f>ECOMOD_input_estimate!AH55</f>
        <v>0</v>
      </c>
      <c r="AI55" s="389">
        <f>ECOMOD_input_estimate!AI55</f>
        <v>150</v>
      </c>
      <c r="AJ55" s="389">
        <f>ECOMOD_input_estimate!AJ55</f>
        <v>67</v>
      </c>
      <c r="AK55" s="389">
        <f>ECOMOD_input_estimate!AK55</f>
        <v>58</v>
      </c>
      <c r="AL55" s="389">
        <f>ECOMOD_input_estimate!AL55</f>
        <v>49</v>
      </c>
      <c r="AM55" s="389">
        <f>ECOMOD_input_estimate!AM55</f>
        <v>67</v>
      </c>
      <c r="AN55" s="389">
        <f>ECOMOD_input_estimate!AN55</f>
        <v>35</v>
      </c>
      <c r="AO55" s="389">
        <f>ECOMOD_input_estimate!AO55</f>
        <v>67</v>
      </c>
      <c r="AP55" s="389">
        <f>ECOMOD_input_estimate!AP55</f>
        <v>48</v>
      </c>
      <c r="AQ55" s="389">
        <f>ECOMOD_input_estimate!AQ55</f>
        <v>41</v>
      </c>
      <c r="AR55" s="389">
        <f>ECOMOD_input_estimate!AR55</f>
        <v>39</v>
      </c>
      <c r="AS55" s="389">
        <f>ECOMOD_input_estimate!AS55</f>
        <v>48</v>
      </c>
      <c r="AT55" s="389">
        <f>ECOMOD_input_estimate!AT55</f>
        <v>40</v>
      </c>
      <c r="AU55" s="389">
        <f>ECOMOD_input_estimate!AU55</f>
        <v>48</v>
      </c>
      <c r="AV55" s="234">
        <f t="shared" si="43"/>
        <v>1</v>
      </c>
      <c r="AW55" s="234">
        <f t="shared" si="0"/>
        <v>0.4</v>
      </c>
      <c r="AX55" s="234">
        <f t="shared" si="1"/>
        <v>2</v>
      </c>
      <c r="AY55" s="345">
        <v>4.4000000000000004</v>
      </c>
      <c r="AZ55" s="234">
        <f t="shared" si="3"/>
        <v>4</v>
      </c>
      <c r="BA55" s="234">
        <f t="shared" si="4"/>
        <v>1</v>
      </c>
      <c r="BB55" s="234">
        <f t="shared" si="5"/>
        <v>3</v>
      </c>
      <c r="BC55" s="234">
        <f t="shared" si="6"/>
        <v>3</v>
      </c>
      <c r="BD55" s="234">
        <f t="shared" si="7"/>
        <v>0</v>
      </c>
      <c r="BE55" s="234">
        <f t="shared" si="45"/>
        <v>3</v>
      </c>
      <c r="BF55" s="234">
        <f t="shared" si="9"/>
        <v>6</v>
      </c>
      <c r="BG55" s="234">
        <f t="shared" si="10"/>
        <v>3</v>
      </c>
      <c r="BH55" s="234">
        <f t="shared" si="11"/>
        <v>3</v>
      </c>
      <c r="BI55" s="234">
        <f t="shared" si="12"/>
        <v>2</v>
      </c>
      <c r="BJ55" s="234">
        <f t="shared" si="13"/>
        <v>2</v>
      </c>
      <c r="BK55" s="234">
        <f t="shared" si="46"/>
        <v>3</v>
      </c>
      <c r="BL55" s="234">
        <f t="shared" si="15"/>
        <v>3</v>
      </c>
      <c r="BM55" s="234">
        <f t="shared" si="16"/>
        <v>3</v>
      </c>
      <c r="BN55" s="154" t="s">
        <v>483</v>
      </c>
      <c r="BO55" s="154" t="str">
        <f t="shared" si="17"/>
        <v>medium</v>
      </c>
      <c r="BP55" s="154" t="str">
        <f t="shared" si="18"/>
        <v>low</v>
      </c>
      <c r="BQ55" s="154" t="str">
        <f t="shared" si="19"/>
        <v>low</v>
      </c>
      <c r="BR55" s="154" t="s">
        <v>183</v>
      </c>
      <c r="BS55" s="154" t="s">
        <v>183</v>
      </c>
      <c r="BT55" s="154" t="s">
        <v>183</v>
      </c>
      <c r="BU55" s="154">
        <f t="shared" si="20"/>
        <v>150</v>
      </c>
      <c r="BV55" s="154">
        <f t="shared" si="21"/>
        <v>138</v>
      </c>
      <c r="BW55" s="154">
        <f t="shared" si="22"/>
        <v>335</v>
      </c>
      <c r="BX55" s="154">
        <f t="shared" si="23"/>
        <v>150</v>
      </c>
      <c r="BY55" s="154">
        <f t="shared" si="24"/>
        <v>225</v>
      </c>
      <c r="BZ55" s="154">
        <f t="shared" si="25"/>
        <v>150</v>
      </c>
      <c r="CA55" s="356">
        <f t="array" ref="CA55">IF(yieldsetting2="estimate",0,INDEX(cropdata, MATCH(yieldsource,outputs,0), MATCH($F55,cropdatacrops,0)))</f>
        <v>8.6</v>
      </c>
      <c r="CB55" s="356">
        <f t="array" ref="CB55">IF(yieldsetting2="estimate",0,INDEX(cropdata, MATCH(yieldsource,outputs,0), MATCH($G55,cropdatacrops,0)))</f>
        <v>7.4</v>
      </c>
      <c r="CC55" s="356">
        <f t="array" ref="CC55">IF(yieldsetting2="estimate",0,INDEX(cropdata, MATCH(yieldsource,outputs,0), MATCH($H55,cropdatacrops,0)))</f>
        <v>3.5</v>
      </c>
      <c r="CD55" s="356">
        <f t="array" ref="CD55">IF(yieldsetting2="estimate",0,INDEX(cropdata, MATCH(yieldsource,outputs,0), MATCH($I55,cropdatacrops,0)))</f>
        <v>8.6</v>
      </c>
      <c r="CE55" s="356">
        <f t="array" ref="CE55">IF(yieldsetting2="estimate",0,INDEX(cropdata, MATCH(yieldsource,outputs,0), MATCH($J55,cropdatacrops,0)))</f>
        <v>4</v>
      </c>
      <c r="CF55" s="356">
        <f t="array" ref="CF55">IF(yieldsetting2="estimate",0,INDEX(cropdata, MATCH(yieldsource,outputs,0), MATCH($K55,cropdatacrops,0)))</f>
        <v>8.6</v>
      </c>
      <c r="CG55" s="154" t="str">
        <f t="shared" si="47"/>
        <v>actual</v>
      </c>
      <c r="CH55" s="235">
        <f t="shared" si="27"/>
        <v>0.8</v>
      </c>
      <c r="CI55" s="235">
        <f t="shared" si="28"/>
        <v>0.72</v>
      </c>
      <c r="CJ55" s="154">
        <f t="shared" si="29"/>
        <v>0.46</v>
      </c>
      <c r="CK55" s="154">
        <f t="shared" si="30"/>
        <v>0.36</v>
      </c>
      <c r="CL55" s="154">
        <f t="shared" si="31"/>
        <v>0.36</v>
      </c>
      <c r="CM55" s="154">
        <f t="shared" si="32"/>
        <v>7.34</v>
      </c>
      <c r="CN55" s="154">
        <f t="shared" si="33"/>
        <v>0.36</v>
      </c>
      <c r="CO55" s="154">
        <f t="shared" si="34"/>
        <v>0.47</v>
      </c>
      <c r="CP55" s="154">
        <f t="shared" si="35"/>
        <v>0.36</v>
      </c>
      <c r="CQ55" s="154">
        <f t="shared" si="50"/>
        <v>19.5</v>
      </c>
      <c r="CR55" s="154">
        <f t="shared" si="50"/>
        <v>19.5</v>
      </c>
      <c r="CS55" s="154">
        <f t="shared" si="50"/>
        <v>19.5</v>
      </c>
      <c r="CT55" s="154">
        <f t="shared" si="50"/>
        <v>19.5</v>
      </c>
      <c r="CU55" s="154">
        <f t="shared" si="50"/>
        <v>19.5</v>
      </c>
      <c r="CV55" s="154">
        <f t="shared" si="50"/>
        <v>19.5</v>
      </c>
      <c r="CW55" s="154">
        <f t="shared" si="51"/>
        <v>2.4300000000000002</v>
      </c>
      <c r="CX55" s="154">
        <f t="shared" si="51"/>
        <v>2.4300000000000002</v>
      </c>
      <c r="CY55" s="154">
        <f t="shared" si="51"/>
        <v>2.4300000000000002</v>
      </c>
      <c r="CZ55" s="154">
        <f t="shared" si="51"/>
        <v>2.4300000000000002</v>
      </c>
      <c r="DA55" s="154">
        <f t="shared" si="51"/>
        <v>2.4300000000000002</v>
      </c>
      <c r="DB55" s="154">
        <f t="shared" si="51"/>
        <v>2.4300000000000002</v>
      </c>
      <c r="DC55" s="154">
        <v>102</v>
      </c>
      <c r="DD55" s="154">
        <v>6</v>
      </c>
      <c r="DE55" s="154">
        <v>4</v>
      </c>
      <c r="DF55" s="154">
        <v>1400</v>
      </c>
      <c r="DG55" s="154">
        <v>125</v>
      </c>
      <c r="DH55" s="154">
        <f t="shared" si="38"/>
        <v>0.625</v>
      </c>
      <c r="DI55" s="154">
        <f t="shared" si="39"/>
        <v>10.08</v>
      </c>
    </row>
    <row r="57" spans="1:113" x14ac:dyDescent="0.2">
      <c r="X57" s="237"/>
    </row>
  </sheetData>
  <pageMargins left="0.7" right="0.7" top="0.75" bottom="0.75" header="0.3" footer="0.3"/>
  <pageSetup paperSize="9" orientation="portrait" horizontalDpi="4294967293" verticalDpi="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A75D9-A328-402D-A375-DD8E6FD2BF8B}">
  <dimension ref="A1:AD38"/>
  <sheetViews>
    <sheetView topLeftCell="B1" workbookViewId="0">
      <pane xSplit="3" ySplit="8" topLeftCell="E12" activePane="bottomRight" state="frozen"/>
      <selection activeCell="B1" sqref="B1"/>
      <selection pane="topRight" activeCell="E1" sqref="E1"/>
      <selection pane="bottomLeft" activeCell="B9" sqref="B9"/>
      <selection pane="bottomRight" activeCell="AB23" sqref="AB23"/>
    </sheetView>
  </sheetViews>
  <sheetFormatPr baseColWidth="10" defaultColWidth="11.83203125" defaultRowHeight="20.25" customHeight="1" x14ac:dyDescent="0.2"/>
  <cols>
    <col min="1" max="1" width="9.5" style="52" customWidth="1"/>
    <col min="2" max="2" width="3.83203125" style="52" customWidth="1"/>
    <col min="3" max="3" width="3.5" style="52" customWidth="1"/>
    <col min="4" max="4" width="28.5" style="52" customWidth="1"/>
    <col min="5" max="5" width="11.83203125" style="52"/>
    <col min="6" max="6" width="8.1640625" style="363" customWidth="1"/>
    <col min="7" max="7" width="12.5" style="52" bestFit="1" customWidth="1"/>
    <col min="8" max="8" width="12" style="52" bestFit="1" customWidth="1"/>
    <col min="9" max="9" width="12.5" style="52" bestFit="1" customWidth="1"/>
    <col min="10" max="10" width="12" style="52" bestFit="1" customWidth="1"/>
    <col min="11" max="11" width="12.1640625" style="52" bestFit="1" customWidth="1"/>
    <col min="12" max="12" width="11.6640625" style="52" bestFit="1" customWidth="1"/>
    <col min="13" max="13" width="13.5" style="52" bestFit="1" customWidth="1"/>
    <col min="14" max="15" width="6.83203125" style="52" customWidth="1"/>
    <col min="16" max="16" width="9.83203125" style="52" bestFit="1" customWidth="1"/>
    <col min="17" max="17" width="8.5" style="52" bestFit="1" customWidth="1"/>
    <col min="18" max="18" width="13.5" style="52" bestFit="1" customWidth="1"/>
    <col min="19" max="19" width="13.1640625" style="52" bestFit="1" customWidth="1"/>
    <col min="20" max="20" width="9.83203125" style="52" bestFit="1" customWidth="1"/>
    <col min="21" max="21" width="10.1640625" style="52" bestFit="1" customWidth="1"/>
    <col min="22" max="22" width="6.33203125" style="52" bestFit="1" customWidth="1"/>
    <col min="23" max="23" width="3.83203125" style="52" customWidth="1"/>
    <col min="24" max="24" width="4.6640625" style="52" customWidth="1"/>
    <col min="25" max="25" width="4" style="52" customWidth="1"/>
    <col min="26" max="26" width="17.6640625" style="52" customWidth="1"/>
    <col min="27" max="16384" width="11.83203125" style="52"/>
  </cols>
  <sheetData>
    <row r="1" spans="1:27" ht="8" customHeight="1" x14ac:dyDescent="0.2">
      <c r="A1" s="185"/>
      <c r="B1" s="185"/>
      <c r="C1" s="185"/>
      <c r="D1" s="185"/>
      <c r="E1" s="185"/>
      <c r="F1" s="362"/>
      <c r="G1" s="185"/>
      <c r="H1" s="185"/>
      <c r="I1" s="185"/>
      <c r="J1" s="185"/>
      <c r="K1" s="185"/>
      <c r="L1" s="185"/>
      <c r="M1" s="185"/>
      <c r="N1" s="185"/>
      <c r="O1" s="185"/>
      <c r="P1" s="185"/>
      <c r="Q1" s="185"/>
      <c r="R1" s="185"/>
      <c r="S1" s="185"/>
      <c r="T1" s="185"/>
      <c r="U1" s="185"/>
      <c r="V1" s="185"/>
      <c r="W1" s="185"/>
      <c r="X1" s="185"/>
    </row>
    <row r="2" spans="1:27" ht="16" x14ac:dyDescent="0.2">
      <c r="A2" s="185"/>
      <c r="C2" s="51" t="s">
        <v>656</v>
      </c>
      <c r="D2" s="186"/>
      <c r="E2" s="186"/>
      <c r="F2" s="347"/>
      <c r="G2" s="186"/>
      <c r="H2" s="186"/>
      <c r="I2" s="186"/>
      <c r="J2" s="186"/>
      <c r="K2" s="186"/>
      <c r="L2" s="186"/>
      <c r="M2" s="186"/>
      <c r="N2" s="186"/>
      <c r="O2" s="186"/>
      <c r="X2" s="185"/>
    </row>
    <row r="3" spans="1:27" ht="15" customHeight="1" x14ac:dyDescent="0.2">
      <c r="A3" s="185"/>
      <c r="C3" s="186" t="s">
        <v>657</v>
      </c>
      <c r="D3" s="186"/>
      <c r="E3" s="186"/>
      <c r="F3" s="347"/>
      <c r="G3" s="186"/>
      <c r="H3" s="186"/>
      <c r="I3" s="186"/>
      <c r="J3" s="186"/>
      <c r="K3" s="186"/>
      <c r="L3" s="186"/>
      <c r="M3" s="186"/>
      <c r="N3" s="186"/>
      <c r="O3" s="186"/>
      <c r="X3" s="185"/>
    </row>
    <row r="4" spans="1:27" ht="15" customHeight="1" x14ac:dyDescent="0.2">
      <c r="A4" s="185"/>
      <c r="C4" s="186" t="s">
        <v>658</v>
      </c>
      <c r="D4" s="186"/>
      <c r="E4" s="186"/>
      <c r="F4" s="347"/>
      <c r="G4" s="186"/>
      <c r="H4" s="186"/>
      <c r="I4" s="186"/>
      <c r="J4" s="186"/>
      <c r="K4" s="186"/>
      <c r="L4" s="186"/>
      <c r="M4" s="186"/>
      <c r="N4" s="186"/>
      <c r="O4" s="186"/>
      <c r="X4" s="185"/>
    </row>
    <row r="5" spans="1:27" ht="15" customHeight="1" x14ac:dyDescent="0.2">
      <c r="A5" s="185"/>
      <c r="C5" s="186" t="s">
        <v>659</v>
      </c>
      <c r="D5" s="186"/>
      <c r="E5" s="186"/>
      <c r="F5" s="347"/>
      <c r="G5" s="186"/>
      <c r="H5" s="186"/>
      <c r="I5" s="186"/>
      <c r="J5" s="186"/>
      <c r="K5" s="186"/>
      <c r="L5" s="186"/>
      <c r="M5" s="186"/>
      <c r="N5" s="186"/>
      <c r="O5" s="186"/>
      <c r="X5" s="185"/>
    </row>
    <row r="6" spans="1:27" ht="15" customHeight="1" x14ac:dyDescent="0.2">
      <c r="A6" s="185"/>
      <c r="C6" s="420" t="s">
        <v>660</v>
      </c>
      <c r="D6" s="420"/>
      <c r="E6" s="420"/>
      <c r="F6" s="420"/>
      <c r="G6" s="420"/>
      <c r="H6" s="420"/>
      <c r="I6" s="420"/>
      <c r="J6" s="420"/>
      <c r="K6" s="420"/>
      <c r="L6" s="420"/>
      <c r="M6" s="420"/>
      <c r="N6" s="346"/>
      <c r="O6" s="186"/>
      <c r="X6" s="185"/>
    </row>
    <row r="7" spans="1:27" ht="11.75" customHeight="1" x14ac:dyDescent="0.2">
      <c r="A7" s="185"/>
      <c r="J7" s="187"/>
      <c r="X7" s="185"/>
    </row>
    <row r="8" spans="1:27" s="189" customFormat="1" ht="16" thickBot="1" x14ac:dyDescent="0.25">
      <c r="A8" s="188"/>
      <c r="C8" s="190"/>
      <c r="D8" s="190" t="s">
        <v>661</v>
      </c>
      <c r="E8" s="190" t="s">
        <v>662</v>
      </c>
      <c r="F8" s="361" t="s">
        <v>1713</v>
      </c>
      <c r="G8" s="191" t="s">
        <v>281</v>
      </c>
      <c r="H8" s="191" t="s">
        <v>282</v>
      </c>
      <c r="I8" s="191" t="s">
        <v>250</v>
      </c>
      <c r="J8" s="191" t="s">
        <v>247</v>
      </c>
      <c r="K8" s="191" t="s">
        <v>283</v>
      </c>
      <c r="L8" s="191" t="s">
        <v>252</v>
      </c>
      <c r="M8" s="191" t="s">
        <v>284</v>
      </c>
      <c r="N8" s="191" t="s">
        <v>195</v>
      </c>
      <c r="O8" s="191" t="s">
        <v>285</v>
      </c>
      <c r="P8" s="191" t="s">
        <v>272</v>
      </c>
      <c r="Q8" s="191" t="s">
        <v>246</v>
      </c>
      <c r="R8" s="191" t="s">
        <v>286</v>
      </c>
      <c r="S8" s="191" t="s">
        <v>269</v>
      </c>
      <c r="T8" s="191" t="s">
        <v>253</v>
      </c>
      <c r="U8" s="191" t="s">
        <v>270</v>
      </c>
      <c r="V8" s="191" t="s">
        <v>303</v>
      </c>
      <c r="X8" s="188"/>
    </row>
    <row r="9" spans="1:27" ht="20.25" customHeight="1" thickTop="1" x14ac:dyDescent="0.2">
      <c r="A9" s="185"/>
      <c r="C9" s="416" t="s">
        <v>671</v>
      </c>
      <c r="D9" s="192" t="s">
        <v>672</v>
      </c>
      <c r="E9" s="58" t="s">
        <v>673</v>
      </c>
      <c r="F9" s="364"/>
      <c r="G9" s="250">
        <v>220</v>
      </c>
      <c r="H9" s="250">
        <v>180</v>
      </c>
      <c r="I9" s="250">
        <v>170</v>
      </c>
      <c r="J9" s="250">
        <v>140</v>
      </c>
      <c r="K9" s="250">
        <v>0</v>
      </c>
      <c r="L9" s="250">
        <v>0</v>
      </c>
      <c r="M9" s="250">
        <v>220</v>
      </c>
      <c r="N9" s="250">
        <v>190</v>
      </c>
      <c r="O9" s="250">
        <v>120</v>
      </c>
      <c r="P9" s="250">
        <v>120</v>
      </c>
      <c r="Q9" s="250">
        <v>0</v>
      </c>
      <c r="R9" s="250">
        <v>90</v>
      </c>
      <c r="S9" s="250">
        <v>80</v>
      </c>
      <c r="T9" s="250">
        <v>0</v>
      </c>
      <c r="U9" s="250"/>
      <c r="V9" s="250"/>
      <c r="X9" s="185"/>
      <c r="AA9" s="25"/>
    </row>
    <row r="10" spans="1:27" ht="20.25" customHeight="1" x14ac:dyDescent="0.2">
      <c r="A10" s="185"/>
      <c r="C10" s="416"/>
      <c r="D10" s="193" t="s">
        <v>1698</v>
      </c>
      <c r="E10" s="60" t="s">
        <v>674</v>
      </c>
      <c r="F10" s="365"/>
      <c r="G10" s="247">
        <v>67</v>
      </c>
      <c r="H10" s="247">
        <v>48</v>
      </c>
      <c r="I10" s="247">
        <v>58</v>
      </c>
      <c r="J10" s="247">
        <v>44</v>
      </c>
      <c r="K10" s="247">
        <v>46</v>
      </c>
      <c r="L10" s="247">
        <v>43</v>
      </c>
      <c r="M10" s="247">
        <v>45</v>
      </c>
      <c r="N10" s="247">
        <v>49</v>
      </c>
      <c r="O10" s="247">
        <v>32</v>
      </c>
      <c r="P10" s="247">
        <v>65</v>
      </c>
      <c r="Q10" s="247">
        <v>0</v>
      </c>
      <c r="R10" s="247">
        <v>32</v>
      </c>
      <c r="S10" s="247">
        <v>30</v>
      </c>
      <c r="T10" s="247">
        <v>35</v>
      </c>
      <c r="U10" s="247">
        <v>43</v>
      </c>
      <c r="V10" s="247">
        <v>75</v>
      </c>
      <c r="X10" s="185"/>
      <c r="Z10" s="353" t="s">
        <v>1700</v>
      </c>
      <c r="AA10" s="354"/>
    </row>
    <row r="11" spans="1:27" s="351" customFormat="1" ht="20.25" customHeight="1" x14ac:dyDescent="0.2">
      <c r="A11" s="350"/>
      <c r="C11" s="416"/>
      <c r="D11" s="348" t="s">
        <v>1697</v>
      </c>
      <c r="E11" s="349" t="s">
        <v>674</v>
      </c>
      <c r="F11" s="366"/>
      <c r="G11" s="349">
        <v>70</v>
      </c>
      <c r="H11" s="349">
        <v>45</v>
      </c>
      <c r="I11" s="349"/>
      <c r="J11" s="349"/>
      <c r="K11" s="349"/>
      <c r="L11" s="349"/>
      <c r="M11" s="349"/>
      <c r="N11" s="349">
        <v>55</v>
      </c>
      <c r="O11" s="349"/>
      <c r="P11" s="349"/>
      <c r="Q11" s="349">
        <v>0</v>
      </c>
      <c r="R11" s="349"/>
      <c r="S11" s="349">
        <v>35</v>
      </c>
      <c r="T11" s="349"/>
      <c r="U11" s="349">
        <v>45</v>
      </c>
      <c r="V11" s="349">
        <v>75</v>
      </c>
      <c r="X11" s="350"/>
      <c r="Z11" s="153" t="s">
        <v>1698</v>
      </c>
      <c r="AA11" s="352"/>
    </row>
    <row r="12" spans="1:27" s="351" customFormat="1" ht="20.25" customHeight="1" x14ac:dyDescent="0.2">
      <c r="A12" s="350"/>
      <c r="C12" s="416"/>
      <c r="D12" s="348" t="s">
        <v>1699</v>
      </c>
      <c r="E12" s="349" t="s">
        <v>674</v>
      </c>
      <c r="F12" s="366"/>
      <c r="G12" s="349">
        <v>80</v>
      </c>
      <c r="H12" s="349">
        <v>80</v>
      </c>
      <c r="I12" s="349">
        <v>80</v>
      </c>
      <c r="J12" s="349">
        <v>75</v>
      </c>
      <c r="K12" s="349">
        <v>70</v>
      </c>
      <c r="L12" s="349">
        <v>70</v>
      </c>
      <c r="M12" s="349">
        <v>210</v>
      </c>
      <c r="N12" s="349">
        <v>80</v>
      </c>
      <c r="O12" s="349">
        <v>60</v>
      </c>
      <c r="P12" s="349">
        <v>80</v>
      </c>
      <c r="Q12" s="349">
        <v>0</v>
      </c>
      <c r="R12" s="349">
        <v>80</v>
      </c>
      <c r="S12" s="349">
        <v>60</v>
      </c>
      <c r="T12" s="349">
        <v>70</v>
      </c>
      <c r="U12" s="349">
        <v>80</v>
      </c>
      <c r="V12" s="349">
        <v>85</v>
      </c>
      <c r="X12" s="350"/>
      <c r="AA12" s="352"/>
    </row>
    <row r="13" spans="1:27" ht="20.25" customHeight="1" x14ac:dyDescent="0.2">
      <c r="A13" s="185"/>
      <c r="C13" s="416"/>
      <c r="D13" s="193" t="s">
        <v>1702</v>
      </c>
      <c r="E13" s="60" t="s">
        <v>675</v>
      </c>
      <c r="F13" s="365"/>
      <c r="G13" s="247">
        <v>48</v>
      </c>
      <c r="H13" s="247">
        <v>34</v>
      </c>
      <c r="I13" s="247">
        <v>41</v>
      </c>
      <c r="J13" s="247">
        <v>32</v>
      </c>
      <c r="K13" s="247">
        <v>50</v>
      </c>
      <c r="L13" s="247">
        <v>47</v>
      </c>
      <c r="M13" s="247">
        <v>261</v>
      </c>
      <c r="N13" s="247">
        <v>39</v>
      </c>
      <c r="O13" s="247">
        <v>25</v>
      </c>
      <c r="P13" s="247">
        <v>131</v>
      </c>
      <c r="Q13" s="247">
        <v>0</v>
      </c>
      <c r="R13" s="247">
        <v>25</v>
      </c>
      <c r="S13" s="247">
        <v>10</v>
      </c>
      <c r="T13" s="247">
        <v>40</v>
      </c>
      <c r="U13" s="247">
        <v>31</v>
      </c>
      <c r="V13" s="247">
        <v>180</v>
      </c>
      <c r="X13" s="185"/>
      <c r="Z13" s="353" t="s">
        <v>1701</v>
      </c>
      <c r="AA13" s="354"/>
    </row>
    <row r="14" spans="1:27" ht="20.25" customHeight="1" x14ac:dyDescent="0.2">
      <c r="A14" s="185"/>
      <c r="C14" s="416"/>
      <c r="D14" s="348" t="s">
        <v>1704</v>
      </c>
      <c r="E14" s="349" t="s">
        <v>674</v>
      </c>
      <c r="F14" s="366"/>
      <c r="G14" s="349">
        <v>50</v>
      </c>
      <c r="H14" s="349">
        <v>30</v>
      </c>
      <c r="I14" s="349"/>
      <c r="J14" s="349"/>
      <c r="K14" s="349"/>
      <c r="L14" s="349"/>
      <c r="M14" s="349"/>
      <c r="N14" s="349">
        <v>45</v>
      </c>
      <c r="O14" s="349"/>
      <c r="P14" s="349"/>
      <c r="Q14" s="349">
        <v>0</v>
      </c>
      <c r="R14" s="349"/>
      <c r="S14" s="349">
        <v>31</v>
      </c>
      <c r="T14" s="349"/>
      <c r="U14" s="349">
        <v>30</v>
      </c>
      <c r="V14" s="349">
        <v>180</v>
      </c>
      <c r="X14" s="185"/>
      <c r="Z14" s="52" t="s">
        <v>1702</v>
      </c>
      <c r="AA14" s="25"/>
    </row>
    <row r="15" spans="1:27" ht="20.25" customHeight="1" x14ac:dyDescent="0.2">
      <c r="A15" s="185"/>
      <c r="C15" s="416"/>
      <c r="D15" s="348" t="s">
        <v>1703</v>
      </c>
      <c r="E15" s="349" t="s">
        <v>674</v>
      </c>
      <c r="F15" s="366"/>
      <c r="G15" s="349">
        <v>75</v>
      </c>
      <c r="H15" s="349">
        <v>65</v>
      </c>
      <c r="I15" s="349">
        <v>65</v>
      </c>
      <c r="J15" s="349">
        <v>60</v>
      </c>
      <c r="K15" s="349">
        <v>70</v>
      </c>
      <c r="L15" s="349">
        <v>70</v>
      </c>
      <c r="M15" s="349">
        <v>330</v>
      </c>
      <c r="N15" s="349">
        <v>70</v>
      </c>
      <c r="O15" s="349">
        <v>50</v>
      </c>
      <c r="P15" s="349">
        <v>130</v>
      </c>
      <c r="Q15" s="349">
        <v>0</v>
      </c>
      <c r="R15" s="349">
        <v>70</v>
      </c>
      <c r="S15" s="349">
        <v>50</v>
      </c>
      <c r="T15" s="349">
        <v>70</v>
      </c>
      <c r="U15" s="349">
        <v>65</v>
      </c>
      <c r="V15" s="349"/>
      <c r="X15" s="185"/>
      <c r="AA15" s="25"/>
    </row>
    <row r="16" spans="1:27" ht="20.25" customHeight="1" x14ac:dyDescent="0.2">
      <c r="A16" s="185"/>
      <c r="C16" s="416"/>
      <c r="D16" s="193" t="s">
        <v>676</v>
      </c>
      <c r="E16" s="60" t="s">
        <v>677</v>
      </c>
      <c r="F16" s="367">
        <v>0.8</v>
      </c>
      <c r="G16" s="251"/>
      <c r="H16" s="251"/>
      <c r="I16" s="251"/>
      <c r="J16" s="251"/>
      <c r="K16" s="251"/>
      <c r="L16" s="251"/>
      <c r="M16" s="251"/>
      <c r="N16" s="251"/>
      <c r="O16" s="251"/>
      <c r="P16" s="251"/>
      <c r="Q16" s="251"/>
      <c r="R16" s="251"/>
      <c r="S16" s="251"/>
      <c r="T16" s="251"/>
      <c r="U16" s="251"/>
      <c r="V16" s="251"/>
      <c r="X16" s="185"/>
      <c r="Z16" s="353" t="s">
        <v>1710</v>
      </c>
      <c r="AA16" s="354"/>
    </row>
    <row r="17" spans="1:30" ht="20.25" customHeight="1" x14ac:dyDescent="0.2">
      <c r="A17" s="185"/>
      <c r="C17" s="416"/>
      <c r="D17" s="193" t="s">
        <v>678</v>
      </c>
      <c r="E17" s="60" t="s">
        <v>677</v>
      </c>
      <c r="F17" s="367">
        <v>0.72</v>
      </c>
      <c r="G17" s="251"/>
      <c r="H17" s="251"/>
      <c r="I17" s="251"/>
      <c r="J17" s="251"/>
      <c r="K17" s="251"/>
      <c r="L17" s="251"/>
      <c r="M17" s="251"/>
      <c r="N17" s="251"/>
      <c r="O17" s="251"/>
      <c r="P17" s="251"/>
      <c r="Q17" s="251"/>
      <c r="R17" s="251"/>
      <c r="S17" s="251"/>
      <c r="T17" s="251"/>
      <c r="U17" s="251"/>
      <c r="V17" s="251"/>
      <c r="X17" s="185"/>
      <c r="Z17" s="52" t="s">
        <v>484</v>
      </c>
      <c r="AA17" s="25" t="s">
        <v>1751</v>
      </c>
      <c r="AD17" s="52" t="s">
        <v>484</v>
      </c>
    </row>
    <row r="18" spans="1:30" ht="20.25" customHeight="1" x14ac:dyDescent="0.2">
      <c r="A18" s="185"/>
      <c r="C18" s="416"/>
      <c r="D18" s="193" t="s">
        <v>679</v>
      </c>
      <c r="E18" s="60" t="s">
        <v>677</v>
      </c>
      <c r="F18" s="368">
        <v>0.46</v>
      </c>
      <c r="G18" s="247"/>
      <c r="H18" s="247"/>
      <c r="I18" s="247"/>
      <c r="J18" s="247"/>
      <c r="K18" s="247"/>
      <c r="L18" s="247"/>
      <c r="M18" s="247"/>
      <c r="N18" s="247"/>
      <c r="O18" s="247"/>
      <c r="P18" s="247"/>
      <c r="Q18" s="247"/>
      <c r="R18" s="247"/>
      <c r="S18" s="247"/>
      <c r="T18" s="247"/>
      <c r="U18" s="247"/>
      <c r="V18" s="247"/>
      <c r="X18" s="185"/>
      <c r="Z18" s="52" t="s">
        <v>1705</v>
      </c>
      <c r="AA18" s="25" t="s">
        <v>1752</v>
      </c>
      <c r="AD18" s="52" t="s">
        <v>1705</v>
      </c>
    </row>
    <row r="19" spans="1:30" ht="20.25" customHeight="1" x14ac:dyDescent="0.2">
      <c r="A19" s="185"/>
      <c r="C19" s="416"/>
      <c r="D19" s="193" t="s">
        <v>680</v>
      </c>
      <c r="E19" s="60" t="s">
        <v>681</v>
      </c>
      <c r="F19" s="365"/>
      <c r="G19" s="247">
        <v>175</v>
      </c>
      <c r="H19" s="247">
        <v>200</v>
      </c>
      <c r="I19" s="247">
        <v>175</v>
      </c>
      <c r="J19" s="247">
        <v>175</v>
      </c>
      <c r="K19" s="247">
        <v>250</v>
      </c>
      <c r="L19" s="247">
        <v>250</v>
      </c>
      <c r="M19" s="247">
        <v>3000</v>
      </c>
      <c r="N19" s="247">
        <v>5</v>
      </c>
      <c r="O19" s="247">
        <v>7</v>
      </c>
      <c r="P19" s="248">
        <v>1.1499999999999999</v>
      </c>
      <c r="Q19" s="247">
        <v>0</v>
      </c>
      <c r="R19" s="249">
        <v>45</v>
      </c>
      <c r="S19" s="247">
        <v>45</v>
      </c>
      <c r="T19" s="247">
        <v>200</v>
      </c>
      <c r="U19" s="247"/>
      <c r="V19" s="247"/>
      <c r="X19" s="185"/>
      <c r="Z19" s="353" t="s">
        <v>1711</v>
      </c>
      <c r="AA19" s="354"/>
    </row>
    <row r="20" spans="1:30" ht="20.25" customHeight="1" x14ac:dyDescent="0.2">
      <c r="A20" s="185"/>
      <c r="C20" s="416"/>
      <c r="D20" s="193" t="s">
        <v>1712</v>
      </c>
      <c r="E20" s="60" t="s">
        <v>677</v>
      </c>
      <c r="F20" s="365"/>
      <c r="G20" s="251">
        <v>0.36</v>
      </c>
      <c r="H20" s="251">
        <v>0.4</v>
      </c>
      <c r="I20" s="251">
        <v>0.36</v>
      </c>
      <c r="J20" s="251">
        <v>0.38</v>
      </c>
      <c r="K20" s="251">
        <v>0.36</v>
      </c>
      <c r="L20" s="251">
        <v>0.38</v>
      </c>
      <c r="M20" s="251">
        <v>0.26</v>
      </c>
      <c r="N20" s="251">
        <v>7.34</v>
      </c>
      <c r="O20" s="251">
        <v>7.64</v>
      </c>
      <c r="P20" s="248">
        <v>175</v>
      </c>
      <c r="Q20" s="247">
        <v>0</v>
      </c>
      <c r="R20" s="251">
        <v>2.1</v>
      </c>
      <c r="S20" s="251">
        <v>1.6</v>
      </c>
      <c r="T20" s="247">
        <v>0.47</v>
      </c>
      <c r="U20" s="247">
        <v>0.38</v>
      </c>
      <c r="V20" s="247">
        <v>4.75</v>
      </c>
      <c r="X20" s="185"/>
      <c r="Z20" s="52" t="s">
        <v>1708</v>
      </c>
      <c r="AA20" s="25"/>
    </row>
    <row r="21" spans="1:30" ht="20.25" customHeight="1" x14ac:dyDescent="0.2">
      <c r="A21" s="185"/>
      <c r="C21" s="416"/>
      <c r="D21" s="194" t="s">
        <v>682</v>
      </c>
      <c r="E21" s="60" t="s">
        <v>683</v>
      </c>
      <c r="F21" s="365"/>
      <c r="G21" s="247">
        <v>3.5</v>
      </c>
      <c r="H21" s="247">
        <v>3.5</v>
      </c>
      <c r="I21" s="247">
        <v>3.5</v>
      </c>
      <c r="J21" s="247">
        <v>3.5</v>
      </c>
      <c r="K21" s="247">
        <v>3.5</v>
      </c>
      <c r="L21" s="247">
        <v>3.5</v>
      </c>
      <c r="M21" s="247">
        <v>3.5</v>
      </c>
      <c r="N21" s="247">
        <v>3.5</v>
      </c>
      <c r="O21" s="247">
        <v>3.5</v>
      </c>
      <c r="P21" s="247">
        <v>3.5</v>
      </c>
      <c r="Q21" s="247">
        <v>3.5</v>
      </c>
      <c r="R21" s="247">
        <v>3.5</v>
      </c>
      <c r="S21" s="247">
        <v>3.5</v>
      </c>
      <c r="T21" s="247">
        <v>3.5</v>
      </c>
      <c r="U21" s="247"/>
      <c r="V21" s="247"/>
      <c r="X21" s="185"/>
      <c r="AA21" s="25"/>
    </row>
    <row r="22" spans="1:30" ht="19.75" customHeight="1" x14ac:dyDescent="0.2">
      <c r="A22" s="185"/>
      <c r="C22" s="416"/>
      <c r="D22" s="194" t="s">
        <v>684</v>
      </c>
      <c r="E22" s="60" t="s">
        <v>685</v>
      </c>
      <c r="F22" s="368">
        <v>19.5</v>
      </c>
      <c r="G22" s="247"/>
      <c r="H22" s="247"/>
      <c r="I22" s="247"/>
      <c r="J22" s="247"/>
      <c r="K22" s="247"/>
      <c r="L22" s="247"/>
      <c r="M22" s="247"/>
      <c r="N22" s="247"/>
      <c r="O22" s="247"/>
      <c r="P22" s="247"/>
      <c r="Q22" s="247"/>
      <c r="R22" s="247"/>
      <c r="S22" s="247"/>
      <c r="T22" s="247"/>
      <c r="U22" s="247"/>
      <c r="V22" s="247"/>
      <c r="X22" s="185"/>
      <c r="AA22" s="25"/>
    </row>
    <row r="23" spans="1:30" ht="20.25" customHeight="1" x14ac:dyDescent="0.2">
      <c r="A23" s="185"/>
      <c r="C23" s="416"/>
      <c r="D23" s="193" t="s">
        <v>171</v>
      </c>
      <c r="E23" s="60" t="s">
        <v>683</v>
      </c>
      <c r="F23" s="365"/>
      <c r="G23" s="247">
        <v>5</v>
      </c>
      <c r="H23" s="247">
        <v>5</v>
      </c>
      <c r="I23" s="247">
        <v>5</v>
      </c>
      <c r="J23" s="247">
        <v>5</v>
      </c>
      <c r="K23" s="247">
        <v>5</v>
      </c>
      <c r="L23" s="247">
        <v>5</v>
      </c>
      <c r="M23" s="247">
        <v>5</v>
      </c>
      <c r="N23" s="247">
        <v>5</v>
      </c>
      <c r="O23" s="247">
        <v>5</v>
      </c>
      <c r="P23" s="247">
        <v>5</v>
      </c>
      <c r="Q23" s="247">
        <v>5</v>
      </c>
      <c r="R23" s="247">
        <v>5</v>
      </c>
      <c r="S23" s="247">
        <v>5</v>
      </c>
      <c r="T23" s="247">
        <v>5</v>
      </c>
      <c r="U23" s="247"/>
      <c r="V23" s="247"/>
      <c r="X23" s="185"/>
      <c r="AA23" s="25"/>
    </row>
    <row r="24" spans="1:30" ht="20.25" customHeight="1" x14ac:dyDescent="0.2">
      <c r="A24" s="185"/>
      <c r="C24" s="416"/>
      <c r="D24" s="193" t="s">
        <v>686</v>
      </c>
      <c r="E24" s="60" t="s">
        <v>685</v>
      </c>
      <c r="F24" s="368">
        <v>2.4300000000000002</v>
      </c>
      <c r="G24" s="247"/>
      <c r="H24" s="247"/>
      <c r="I24" s="247"/>
      <c r="J24" s="247"/>
      <c r="K24" s="247"/>
      <c r="L24" s="247"/>
      <c r="M24" s="247"/>
      <c r="N24" s="247"/>
      <c r="O24" s="247"/>
      <c r="P24" s="247"/>
      <c r="Q24" s="247"/>
      <c r="R24" s="247"/>
      <c r="S24" s="247"/>
      <c r="T24" s="247"/>
      <c r="U24" s="247"/>
      <c r="V24" s="247"/>
      <c r="X24" s="185"/>
      <c r="AA24" s="25"/>
    </row>
    <row r="25" spans="1:30" ht="20.25" customHeight="1" x14ac:dyDescent="0.2">
      <c r="A25" s="185"/>
      <c r="C25" s="416"/>
      <c r="D25" s="193" t="s">
        <v>687</v>
      </c>
      <c r="E25" s="60" t="s">
        <v>688</v>
      </c>
      <c r="F25" s="365"/>
      <c r="G25" s="252" t="s">
        <v>689</v>
      </c>
      <c r="H25" s="252" t="s">
        <v>689</v>
      </c>
      <c r="I25" s="252" t="s">
        <v>689</v>
      </c>
      <c r="J25" s="252" t="s">
        <v>689</v>
      </c>
      <c r="K25" s="252" t="s">
        <v>689</v>
      </c>
      <c r="L25" s="252" t="s">
        <v>689</v>
      </c>
      <c r="M25" s="252" t="s">
        <v>689</v>
      </c>
      <c r="N25" s="252" t="s">
        <v>689</v>
      </c>
      <c r="O25" s="252"/>
      <c r="P25" s="251">
        <v>4.75</v>
      </c>
      <c r="Q25" s="252" t="s">
        <v>689</v>
      </c>
      <c r="R25" s="252" t="s">
        <v>689</v>
      </c>
      <c r="S25" s="252" t="s">
        <v>689</v>
      </c>
      <c r="T25" s="252" t="s">
        <v>689</v>
      </c>
      <c r="U25" s="252"/>
      <c r="V25" s="252"/>
      <c r="X25" s="185"/>
      <c r="AA25" s="25"/>
    </row>
    <row r="26" spans="1:30" ht="20.75" customHeight="1" thickBot="1" x14ac:dyDescent="0.25">
      <c r="A26" s="185"/>
      <c r="C26" s="417"/>
      <c r="D26" s="195" t="s">
        <v>690</v>
      </c>
      <c r="E26" s="196" t="s">
        <v>691</v>
      </c>
      <c r="F26" s="369"/>
      <c r="G26" s="253">
        <v>182</v>
      </c>
      <c r="H26" s="253">
        <v>100</v>
      </c>
      <c r="I26" s="253">
        <v>158</v>
      </c>
      <c r="J26" s="253">
        <v>151</v>
      </c>
      <c r="K26" s="253">
        <v>91</v>
      </c>
      <c r="L26" s="253">
        <v>81</v>
      </c>
      <c r="M26" s="253">
        <v>2215</v>
      </c>
      <c r="N26" s="253">
        <v>192</v>
      </c>
      <c r="O26" s="253">
        <v>140</v>
      </c>
      <c r="P26" s="253">
        <v>488</v>
      </c>
      <c r="Q26" s="254">
        <v>0</v>
      </c>
      <c r="R26" s="254">
        <v>88</v>
      </c>
      <c r="S26" s="254">
        <v>53</v>
      </c>
      <c r="T26" s="254">
        <v>155</v>
      </c>
      <c r="U26" s="254"/>
      <c r="V26" s="254"/>
      <c r="X26" s="185"/>
      <c r="AA26" s="25"/>
    </row>
    <row r="27" spans="1:30" ht="20.25" customHeight="1" thickTop="1" x14ac:dyDescent="0.2">
      <c r="A27" s="185"/>
      <c r="C27" s="418" t="s">
        <v>692</v>
      </c>
      <c r="D27" s="192" t="s">
        <v>1709</v>
      </c>
      <c r="E27" s="58" t="s">
        <v>693</v>
      </c>
      <c r="F27" s="364"/>
      <c r="G27" s="255">
        <f>IFERROR((11.841-(9.211*(0.9907^(G9)))-(0.0075*(G9)))*(0.743+0.1714*('[1]Soil | Fuel | Labour | Subsidy'!$M$5))*0.947,0)</f>
        <v>9.9978000926824588</v>
      </c>
      <c r="H27" s="255">
        <f>IFERROR((5.885-(2.893*(0.984^(H9))))*(0.73+0.18*('[1]Soil | Fuel | Labour | Subsidy'!$M$5)),0)</f>
        <v>6.7570817598351915</v>
      </c>
      <c r="I27" s="255">
        <f>IFERROR((((12.967-(10.029*(0.993^(I9)))-(0.0147*(I9)))*(0.76+0.16*('[1]Soil | Fuel | Labour | Subsidy'!$M$5)))*0.89),0)</f>
        <v>7.6704278999468229</v>
      </c>
      <c r="J27" s="255">
        <f>IFERROR(((19.98-(18.164*(0.9952^(J9)))-(0.0364*(J9)))*(0.887+0.075*('[1]Soil | Fuel | Labour | Subsidy'!$M$5)))*1.02,0)</f>
        <v>6.1626340354615694</v>
      </c>
      <c r="K27" s="255">
        <f>IFERROR((((0.95+1.3625*('[1]Soil | Fuel | Labour | Subsidy'!$M$5))*1.1)*1.05),0)</f>
        <v>5.031468750000001</v>
      </c>
      <c r="L27" s="255">
        <f>IFERROR(((0.7+1.25*('[1]Soil | Fuel | Labour | Subsidy'!$M$5))*1.05)*1.2,0)</f>
        <v>4.8195000000000006</v>
      </c>
      <c r="M27" s="255">
        <f>IFERROR((44.507-(29.135*(0.992^M9)))*1.16,0)</f>
        <v>45.854597195176169</v>
      </c>
      <c r="N27" s="255">
        <f>IFERROR(((3.35+(-0.623*(0.01^(N9)))-0.000324*(N9))*(0.655+0.23*('[1]Soil | Fuel | Labour | Subsidy'!$M$5)))*0.87,0)</f>
        <v>3.5189596440000002</v>
      </c>
      <c r="O27" s="255">
        <f>(2.317-(1.139*(0.984^(O9))))</f>
        <v>2.1525872339694678</v>
      </c>
      <c r="P27" s="255">
        <f>IFERROR((((54.543-(0.05*37.82*(0.984^(P9)))))*1.3),0)</f>
        <v>70.55104846116518</v>
      </c>
      <c r="Q27" s="250">
        <v>0</v>
      </c>
      <c r="R27" s="255">
        <f>0.75+0.45*1.5*('[1]Soil | Fuel | Labour | Subsidy'!$M$5)</f>
        <v>2.4375</v>
      </c>
      <c r="S27" s="255">
        <f>((0.75+0.45*1.5*('[1]Soil | Fuel | Labour | Subsidy'!$M$5))*0.8)</f>
        <v>1.9500000000000002</v>
      </c>
      <c r="T27" s="255">
        <f>(2.48+3.475*('[1]Soil | Fuel | Labour | Subsidy'!$M$5)-(1.2875*('[1]Soil | Fuel | Labour | Subsidy'!$M$5)^2))</f>
        <v>3.1206250000000004</v>
      </c>
      <c r="U27" s="255">
        <v>6.3</v>
      </c>
      <c r="V27" s="255">
        <v>7.5</v>
      </c>
      <c r="X27" s="185"/>
      <c r="AA27" s="25"/>
    </row>
    <row r="28" spans="1:30" s="351" customFormat="1" ht="20.25" customHeight="1" x14ac:dyDescent="0.2">
      <c r="A28" s="350"/>
      <c r="C28" s="416"/>
      <c r="D28" s="358" t="s">
        <v>1707</v>
      </c>
      <c r="E28" s="359" t="s">
        <v>693</v>
      </c>
      <c r="F28" s="370"/>
      <c r="G28" s="360">
        <v>10</v>
      </c>
      <c r="H28" s="360">
        <v>7</v>
      </c>
      <c r="I28" s="360">
        <v>8.5</v>
      </c>
      <c r="J28" s="360">
        <v>6.5</v>
      </c>
      <c r="K28" s="360">
        <v>4.75</v>
      </c>
      <c r="L28" s="360">
        <v>4.5</v>
      </c>
      <c r="M28" s="360">
        <v>51.5</v>
      </c>
      <c r="N28" s="360">
        <v>4</v>
      </c>
      <c r="O28" s="360">
        <v>2.5</v>
      </c>
      <c r="P28" s="360">
        <v>89.5</v>
      </c>
      <c r="Q28" s="359">
        <v>0</v>
      </c>
      <c r="R28" s="360">
        <v>2.25</v>
      </c>
      <c r="S28" s="360">
        <v>2</v>
      </c>
      <c r="T28" s="360">
        <v>4.5</v>
      </c>
      <c r="U28" s="360">
        <v>6.25</v>
      </c>
      <c r="V28" s="360">
        <v>7.5</v>
      </c>
      <c r="X28" s="350"/>
      <c r="AA28" s="352"/>
    </row>
    <row r="29" spans="1:30" s="351" customFormat="1" ht="20.25" customHeight="1" x14ac:dyDescent="0.2">
      <c r="A29" s="350"/>
      <c r="C29" s="416"/>
      <c r="D29" s="358" t="s">
        <v>1708</v>
      </c>
      <c r="E29" s="359" t="s">
        <v>693</v>
      </c>
      <c r="F29" s="370"/>
      <c r="G29" s="360">
        <v>8.6</v>
      </c>
      <c r="H29" s="360">
        <v>6.1</v>
      </c>
      <c r="I29" s="360">
        <v>7.4</v>
      </c>
      <c r="J29" s="360">
        <v>5.7</v>
      </c>
      <c r="K29" s="360">
        <v>4.2</v>
      </c>
      <c r="L29" s="360">
        <v>3.9</v>
      </c>
      <c r="M29" s="360">
        <v>45</v>
      </c>
      <c r="N29" s="360">
        <v>3.5</v>
      </c>
      <c r="O29" s="360">
        <v>2.25</v>
      </c>
      <c r="P29" s="360">
        <v>78</v>
      </c>
      <c r="Q29" s="359">
        <v>0</v>
      </c>
      <c r="R29" s="360">
        <v>2</v>
      </c>
      <c r="S29" s="360">
        <v>1.75</v>
      </c>
      <c r="T29" s="360">
        <v>4</v>
      </c>
      <c r="U29" s="360">
        <v>5.5</v>
      </c>
      <c r="V29" s="360">
        <v>7.5</v>
      </c>
      <c r="X29" s="350"/>
      <c r="AA29" s="352"/>
    </row>
    <row r="30" spans="1:30" s="351" customFormat="1" ht="20.25" customHeight="1" x14ac:dyDescent="0.2">
      <c r="A30" s="350"/>
      <c r="C30" s="416"/>
      <c r="D30" s="358" t="s">
        <v>1706</v>
      </c>
      <c r="E30" s="359" t="s">
        <v>693</v>
      </c>
      <c r="F30" s="370"/>
      <c r="G30" s="360">
        <v>9.1</v>
      </c>
      <c r="H30" s="360">
        <v>6.25</v>
      </c>
      <c r="I30" s="360">
        <v>7.4</v>
      </c>
      <c r="J30" s="360">
        <v>6</v>
      </c>
      <c r="K30" s="360">
        <v>4.2</v>
      </c>
      <c r="L30" s="360">
        <v>4</v>
      </c>
      <c r="M30" s="360">
        <v>45</v>
      </c>
      <c r="N30" s="360">
        <v>3.75</v>
      </c>
      <c r="O30" s="360">
        <v>2.2999999999999998</v>
      </c>
      <c r="P30" s="360">
        <v>77.099999999999994</v>
      </c>
      <c r="Q30" s="359">
        <v>0</v>
      </c>
      <c r="R30" s="360">
        <v>2.7</v>
      </c>
      <c r="S30" s="360">
        <v>2</v>
      </c>
      <c r="T30" s="360">
        <v>3.8</v>
      </c>
      <c r="U30" s="360">
        <v>5.5</v>
      </c>
      <c r="V30" s="360">
        <v>7.5</v>
      </c>
      <c r="X30" s="350"/>
      <c r="AA30" s="352"/>
    </row>
    <row r="31" spans="1:30" ht="20.25" customHeight="1" x14ac:dyDescent="0.2">
      <c r="A31" s="185"/>
      <c r="C31" s="416"/>
      <c r="D31" s="193" t="s">
        <v>694</v>
      </c>
      <c r="E31" s="60" t="s">
        <v>688</v>
      </c>
      <c r="F31" s="365"/>
      <c r="G31" s="249">
        <v>150</v>
      </c>
      <c r="H31" s="249">
        <v>162</v>
      </c>
      <c r="I31" s="249">
        <v>138</v>
      </c>
      <c r="J31" s="249">
        <v>157</v>
      </c>
      <c r="K31" s="249">
        <v>180</v>
      </c>
      <c r="L31" s="249">
        <v>185</v>
      </c>
      <c r="M31" s="249">
        <v>145</v>
      </c>
      <c r="N31" s="249">
        <v>335</v>
      </c>
      <c r="O31" s="249">
        <v>335</v>
      </c>
      <c r="P31" s="251">
        <v>27.16</v>
      </c>
      <c r="Q31" s="249">
        <v>0</v>
      </c>
      <c r="R31" s="247">
        <v>380</v>
      </c>
      <c r="S31" s="247">
        <v>380</v>
      </c>
      <c r="T31" s="247">
        <v>225</v>
      </c>
      <c r="U31" s="247">
        <v>140</v>
      </c>
      <c r="V31" s="247">
        <v>165</v>
      </c>
      <c r="X31" s="185"/>
      <c r="AA31" s="25"/>
    </row>
    <row r="32" spans="1:30" ht="20.25" customHeight="1" x14ac:dyDescent="0.2">
      <c r="A32" s="185"/>
      <c r="C32" s="416"/>
      <c r="D32" s="193" t="s">
        <v>695</v>
      </c>
      <c r="E32" s="60" t="s">
        <v>693</v>
      </c>
      <c r="F32" s="365"/>
      <c r="G32" s="251">
        <f>G27*0.5</f>
        <v>4.9989000463412294</v>
      </c>
      <c r="H32" s="251">
        <f>H27*0.5</f>
        <v>3.3785408799175958</v>
      </c>
      <c r="I32" s="251">
        <f t="shared" ref="I32:J32" si="0">I27*0.5</f>
        <v>3.8352139499734115</v>
      </c>
      <c r="J32" s="251">
        <f t="shared" si="0"/>
        <v>3.0813170177307847</v>
      </c>
      <c r="K32" s="252" t="s">
        <v>689</v>
      </c>
      <c r="L32" s="252" t="s">
        <v>689</v>
      </c>
      <c r="M32" s="252" t="s">
        <v>689</v>
      </c>
      <c r="N32" s="252" t="s">
        <v>689</v>
      </c>
      <c r="O32" s="252" t="s">
        <v>689</v>
      </c>
      <c r="P32" s="252" t="s">
        <v>689</v>
      </c>
      <c r="Q32" s="252" t="s">
        <v>689</v>
      </c>
      <c r="R32" s="252" t="s">
        <v>689</v>
      </c>
      <c r="S32" s="252" t="s">
        <v>689</v>
      </c>
      <c r="T32" s="252" t="s">
        <v>689</v>
      </c>
      <c r="U32" s="252"/>
      <c r="V32" s="252"/>
      <c r="X32" s="185"/>
    </row>
    <row r="33" spans="1:24" ht="20.25" customHeight="1" x14ac:dyDescent="0.2">
      <c r="A33" s="185"/>
      <c r="C33" s="416"/>
      <c r="D33" s="193" t="s">
        <v>696</v>
      </c>
      <c r="E33" s="60" t="s">
        <v>688</v>
      </c>
      <c r="F33" s="365"/>
      <c r="G33" s="247">
        <v>65</v>
      </c>
      <c r="H33" s="247">
        <v>65</v>
      </c>
      <c r="I33" s="256">
        <v>65</v>
      </c>
      <c r="J33" s="256">
        <v>65</v>
      </c>
      <c r="K33" s="252" t="s">
        <v>689</v>
      </c>
      <c r="L33" s="252" t="s">
        <v>689</v>
      </c>
      <c r="M33" s="252" t="s">
        <v>689</v>
      </c>
      <c r="N33" s="252" t="s">
        <v>689</v>
      </c>
      <c r="O33" s="252" t="s">
        <v>689</v>
      </c>
      <c r="P33" s="252" t="s">
        <v>689</v>
      </c>
      <c r="Q33" s="252" t="s">
        <v>689</v>
      </c>
      <c r="R33" s="252" t="s">
        <v>689</v>
      </c>
      <c r="S33" s="252" t="s">
        <v>689</v>
      </c>
      <c r="T33" s="252" t="s">
        <v>689</v>
      </c>
      <c r="U33" s="252"/>
      <c r="V33" s="252"/>
      <c r="X33" s="185"/>
    </row>
    <row r="34" spans="1:24" ht="20.25" customHeight="1" x14ac:dyDescent="0.2">
      <c r="A34" s="185"/>
      <c r="C34" s="416"/>
      <c r="D34" s="193" t="s">
        <v>697</v>
      </c>
      <c r="E34" s="60" t="s">
        <v>691</v>
      </c>
      <c r="F34" s="365"/>
      <c r="G34" s="256">
        <v>223</v>
      </c>
      <c r="H34" s="247">
        <v>223</v>
      </c>
      <c r="I34" s="247">
        <v>223</v>
      </c>
      <c r="J34" s="247">
        <v>223</v>
      </c>
      <c r="K34" s="247">
        <v>223</v>
      </c>
      <c r="L34" s="247">
        <v>223</v>
      </c>
      <c r="M34" s="247">
        <v>223</v>
      </c>
      <c r="N34" s="247">
        <v>223</v>
      </c>
      <c r="O34" s="247">
        <v>223</v>
      </c>
      <c r="P34" s="247">
        <v>223</v>
      </c>
      <c r="Q34" s="247">
        <v>223</v>
      </c>
      <c r="R34" s="247">
        <v>223</v>
      </c>
      <c r="S34" s="247">
        <v>223</v>
      </c>
      <c r="T34" s="247">
        <v>223</v>
      </c>
      <c r="U34" s="247"/>
      <c r="V34" s="252"/>
      <c r="X34" s="185"/>
    </row>
    <row r="35" spans="1:24" ht="20.25" customHeight="1" x14ac:dyDescent="0.2">
      <c r="A35" s="185"/>
      <c r="C35" s="416"/>
      <c r="D35" s="203" t="s">
        <v>708</v>
      </c>
      <c r="E35" s="203" t="s">
        <v>685</v>
      </c>
      <c r="F35" s="371">
        <v>0.625</v>
      </c>
      <c r="G35" s="203"/>
      <c r="H35" s="247"/>
      <c r="I35" s="256"/>
      <c r="J35" s="256"/>
      <c r="K35" s="252"/>
      <c r="L35" s="252"/>
      <c r="M35" s="252"/>
      <c r="N35" s="252"/>
      <c r="O35" s="252"/>
      <c r="P35" s="252"/>
      <c r="Q35" s="252"/>
      <c r="R35" s="252"/>
      <c r="S35" s="252"/>
      <c r="T35" s="252"/>
      <c r="U35" s="252"/>
      <c r="V35" s="252"/>
      <c r="X35" s="185"/>
    </row>
    <row r="36" spans="1:24" ht="20.25" customHeight="1" x14ac:dyDescent="0.2">
      <c r="A36" s="185"/>
      <c r="C36" s="419"/>
      <c r="D36" s="193" t="s">
        <v>710</v>
      </c>
      <c r="E36" s="60" t="s">
        <v>711</v>
      </c>
      <c r="F36" s="372">
        <v>10.08</v>
      </c>
      <c r="G36" s="256"/>
      <c r="H36" s="247"/>
      <c r="I36" s="247"/>
      <c r="J36" s="247"/>
      <c r="K36" s="247"/>
      <c r="L36" s="247"/>
      <c r="M36" s="247"/>
      <c r="N36" s="247"/>
      <c r="O36" s="247"/>
      <c r="P36" s="247"/>
      <c r="Q36" s="247"/>
      <c r="R36" s="247"/>
      <c r="S36" s="247"/>
      <c r="T36" s="247"/>
      <c r="U36" s="247"/>
      <c r="V36" s="247"/>
      <c r="X36" s="185"/>
    </row>
    <row r="37" spans="1:24" ht="20.25" customHeight="1" x14ac:dyDescent="0.2">
      <c r="A37" s="185"/>
      <c r="G37" s="197"/>
      <c r="X37" s="185"/>
    </row>
    <row r="38" spans="1:24" ht="8" customHeight="1" x14ac:dyDescent="0.2">
      <c r="A38" s="185"/>
      <c r="B38" s="185"/>
      <c r="C38" s="185"/>
      <c r="D38" s="185"/>
      <c r="E38" s="185"/>
      <c r="F38" s="362"/>
      <c r="G38" s="185"/>
      <c r="H38" s="185"/>
      <c r="I38" s="185"/>
      <c r="J38" s="185"/>
      <c r="K38" s="185"/>
      <c r="L38" s="185"/>
      <c r="M38" s="185"/>
      <c r="N38" s="185"/>
      <c r="O38" s="185"/>
      <c r="P38" s="185"/>
      <c r="Q38" s="185"/>
      <c r="R38" s="185"/>
      <c r="S38" s="185"/>
      <c r="T38" s="185"/>
      <c r="U38" s="185"/>
      <c r="V38" s="185"/>
      <c r="W38" s="185"/>
      <c r="X38" s="185"/>
    </row>
  </sheetData>
  <mergeCells count="3">
    <mergeCell ref="C9:C26"/>
    <mergeCell ref="C27:C36"/>
    <mergeCell ref="C6:M6"/>
  </mergeCells>
  <dataValidations count="4">
    <dataValidation type="list" allowBlank="1" showInputMessage="1" showErrorMessage="1" sqref="Z11" xr:uid="{E29CCF33-C3B0-40F9-880E-0B26501526BB}">
      <formula1>$D$10:$D$11</formula1>
    </dataValidation>
    <dataValidation type="list" allowBlank="1" showInputMessage="1" showErrorMessage="1" sqref="Z14" xr:uid="{D41FF539-C623-4C46-80E8-4861553638F5}">
      <formula1>$D$13:$D$15</formula1>
    </dataValidation>
    <dataValidation type="list" allowBlank="1" showInputMessage="1" showErrorMessage="1" sqref="Z17:Z18" xr:uid="{05DC18AB-908C-40D8-8CF9-6061F26F3FE0}">
      <formula1>$AD$17:$AD$18</formula1>
    </dataValidation>
    <dataValidation type="list" allowBlank="1" showInputMessage="1" showErrorMessage="1" sqref="Z20" xr:uid="{7E1B29AA-B5A9-4516-B72C-94EEBB7E7DA1}">
      <formula1>$D$27:$D$30</formula1>
    </dataValidation>
  </dataValidations>
  <pageMargins left="0.7" right="0.7" top="0.75" bottom="0.75" header="0.3" footer="0.3"/>
  <pageSetup paperSize="9" orientation="portrait" horizontalDpi="4294967293" verticalDpi="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A1841-6E89-4CC6-81F0-7562094F410F}">
  <dimension ref="C2:AG20"/>
  <sheetViews>
    <sheetView workbookViewId="0">
      <selection activeCell="F25" sqref="F25"/>
    </sheetView>
  </sheetViews>
  <sheetFormatPr baseColWidth="10" defaultColWidth="8.83203125" defaultRowHeight="15" x14ac:dyDescent="0.2"/>
  <cols>
    <col min="14" max="16" width="12" customWidth="1"/>
    <col min="18" max="18" width="13.5" bestFit="1" customWidth="1"/>
    <col min="19" max="32" width="10.1640625" customWidth="1"/>
  </cols>
  <sheetData>
    <row r="2" spans="3:33" x14ac:dyDescent="0.2">
      <c r="C2" s="415" t="s">
        <v>274</v>
      </c>
      <c r="D2" s="415"/>
      <c r="E2" s="415"/>
      <c r="F2" s="415"/>
      <c r="H2" s="415" t="s">
        <v>275</v>
      </c>
      <c r="I2" s="415"/>
      <c r="J2" s="415"/>
      <c r="K2" s="415"/>
      <c r="M2" s="415" t="s">
        <v>276</v>
      </c>
      <c r="N2" s="415"/>
      <c r="O2" s="415"/>
      <c r="P2" s="415"/>
    </row>
    <row r="3" spans="3:33" x14ac:dyDescent="0.2">
      <c r="C3" s="211" t="s">
        <v>254</v>
      </c>
      <c r="D3" s="231" t="s">
        <v>12</v>
      </c>
      <c r="E3" s="231" t="s">
        <v>10</v>
      </c>
      <c r="F3" s="231" t="s">
        <v>11</v>
      </c>
      <c r="G3" s="1"/>
      <c r="H3" s="211" t="s">
        <v>254</v>
      </c>
      <c r="I3" s="231" t="s">
        <v>12</v>
      </c>
      <c r="J3" s="231" t="s">
        <v>10</v>
      </c>
      <c r="K3" s="231" t="s">
        <v>11</v>
      </c>
      <c r="L3" s="1"/>
      <c r="M3" s="211" t="s">
        <v>254</v>
      </c>
      <c r="N3" s="231" t="s">
        <v>12</v>
      </c>
      <c r="O3" s="231" t="s">
        <v>10</v>
      </c>
      <c r="P3" s="231" t="s">
        <v>11</v>
      </c>
      <c r="R3" s="211" t="str">
        <f>'Focus Strategies Data All'!P7</f>
        <v>Is it late?</v>
      </c>
      <c r="S3" s="231" t="str">
        <f>'Focus Strategies Data All'!Q7</f>
        <v>January</v>
      </c>
      <c r="T3" s="231" t="str">
        <f>'Focus Strategies Data All'!R7</f>
        <v>February</v>
      </c>
      <c r="U3" s="231" t="str">
        <f>'Focus Strategies Data All'!S7</f>
        <v>March</v>
      </c>
      <c r="V3" s="231" t="str">
        <f>'Focus Strategies Data All'!T7</f>
        <v>April</v>
      </c>
      <c r="W3" s="231" t="str">
        <f>'Focus Strategies Data All'!U7</f>
        <v>May</v>
      </c>
      <c r="X3" s="231" t="str">
        <f>'Focus Strategies Data All'!V7</f>
        <v>June</v>
      </c>
      <c r="Y3" s="231" t="str">
        <f>'Focus Strategies Data All'!W7</f>
        <v>July</v>
      </c>
      <c r="Z3" s="231" t="str">
        <f>'Focus Strategies Data All'!X7</f>
        <v>August</v>
      </c>
      <c r="AA3" s="231" t="str">
        <f>'Focus Strategies Data All'!Y7</f>
        <v>September</v>
      </c>
      <c r="AB3" s="231" t="str">
        <f>'Focus Strategies Data All'!Z7</f>
        <v>October</v>
      </c>
      <c r="AC3" s="231" t="str">
        <f>'Focus Strategies Data All'!AA7</f>
        <v>November</v>
      </c>
      <c r="AD3" s="231" t="str">
        <f>'Focus Strategies Data All'!AB7</f>
        <v>December</v>
      </c>
      <c r="AE3" s="231" t="str">
        <f>'Focus Strategies Data All'!AC7</f>
        <v>NA</v>
      </c>
    </row>
    <row r="4" spans="3:33" x14ac:dyDescent="0.2">
      <c r="C4" s="25" t="str">
        <f>'Focus Strategies Data All'!A42</f>
        <v>winterwheat</v>
      </c>
      <c r="D4" s="210" t="str">
        <f>'Focus Strategies Data All'!B42</f>
        <v>October</v>
      </c>
      <c r="E4" s="210" t="str">
        <f>'Focus Strategies Data All'!C42</f>
        <v>October</v>
      </c>
      <c r="F4" s="210" t="str">
        <f>'Focus Strategies Data All'!D42</f>
        <v>October</v>
      </c>
      <c r="H4" s="25" t="str">
        <f>'Focus Strategies Data All'!F42</f>
        <v>winterwheat</v>
      </c>
      <c r="I4" s="210" t="str">
        <f>'Focus Strategies Data All'!G42</f>
        <v>October</v>
      </c>
      <c r="J4" s="210" t="str">
        <f>'Focus Strategies Data All'!H42</f>
        <v>October</v>
      </c>
      <c r="K4" s="210" t="str">
        <f>'Focus Strategies Data All'!I42</f>
        <v>October</v>
      </c>
      <c r="M4" s="25" t="str">
        <f>'Focus Strategies Data All'!K42</f>
        <v>winterwheat</v>
      </c>
      <c r="N4" s="210" t="str">
        <f>'Focus Strategies Data All'!L42</f>
        <v>October</v>
      </c>
      <c r="O4" s="210" t="str">
        <f>'Focus Strategies Data All'!M42</f>
        <v>September</v>
      </c>
      <c r="P4" s="210" t="str">
        <f>'Focus Strategies Data All'!N42</f>
        <v>September</v>
      </c>
      <c r="Q4" s="210"/>
      <c r="R4" s="25" t="str">
        <f>'Focus Strategies Data All'!P8</f>
        <v>winterwheat</v>
      </c>
      <c r="S4" s="210" t="str">
        <f>'Focus Strategies Data All'!Q8</f>
        <v>NA</v>
      </c>
      <c r="T4" s="210" t="str">
        <f>'Focus Strategies Data All'!R8</f>
        <v>NA</v>
      </c>
      <c r="U4" s="210" t="str">
        <f>'Focus Strategies Data All'!S8</f>
        <v>NA</v>
      </c>
      <c r="V4" s="210" t="str">
        <f>'Focus Strategies Data All'!T8</f>
        <v>NA</v>
      </c>
      <c r="W4" s="210" t="str">
        <f>'Focus Strategies Data All'!U8</f>
        <v>NA</v>
      </c>
      <c r="X4" s="210" t="str">
        <f>'Focus Strategies Data All'!V8</f>
        <v>NA</v>
      </c>
      <c r="Y4" s="210" t="str">
        <f>'Focus Strategies Data All'!W8</f>
        <v>NA</v>
      </c>
      <c r="Z4" s="210" t="str">
        <f>'Focus Strategies Data All'!X8</f>
        <v>no</v>
      </c>
      <c r="AA4" s="210" t="str">
        <f>'Focus Strategies Data All'!Y8</f>
        <v>no</v>
      </c>
      <c r="AB4" s="210" t="str">
        <f>'Focus Strategies Data All'!Z8</f>
        <v>late</v>
      </c>
      <c r="AC4" s="210" t="str">
        <f>'Focus Strategies Data All'!AA8</f>
        <v>later</v>
      </c>
      <c r="AD4" s="210" t="str">
        <f>'Focus Strategies Data All'!AB8</f>
        <v>latest</v>
      </c>
      <c r="AE4" s="210" t="str">
        <f>'Focus Strategies Data All'!AC8</f>
        <v>no</v>
      </c>
      <c r="AF4" s="210"/>
      <c r="AG4" s="210"/>
    </row>
    <row r="5" spans="3:33" x14ac:dyDescent="0.2">
      <c r="C5" s="25" t="str">
        <f>'Focus Strategies Data All'!A43</f>
        <v>springwheat</v>
      </c>
      <c r="D5" s="210" t="str">
        <f>'Focus Strategies Data All'!B43</f>
        <v>NA</v>
      </c>
      <c r="E5" s="210" t="str">
        <f>'Focus Strategies Data All'!C43</f>
        <v>NA</v>
      </c>
      <c r="F5" s="210" t="str">
        <f>'Focus Strategies Data All'!D43</f>
        <v>NA</v>
      </c>
      <c r="H5" s="25" t="str">
        <f>'Focus Strategies Data All'!F43</f>
        <v>springwheat</v>
      </c>
      <c r="I5" s="210" t="str">
        <f>'Focus Strategies Data All'!G43</f>
        <v>NA</v>
      </c>
      <c r="J5" s="210" t="str">
        <f>'Focus Strategies Data All'!H43</f>
        <v>NA</v>
      </c>
      <c r="K5" s="210" t="str">
        <f>'Focus Strategies Data All'!I43</f>
        <v>NA</v>
      </c>
      <c r="M5" s="25" t="str">
        <f>'Focus Strategies Data All'!K43</f>
        <v>springwheat</v>
      </c>
      <c r="N5" s="210" t="str">
        <f>'Focus Strategies Data All'!L43</f>
        <v>NA</v>
      </c>
      <c r="O5" s="210" t="str">
        <f>'Focus Strategies Data All'!M43</f>
        <v>NA</v>
      </c>
      <c r="P5" s="210" t="str">
        <f>'Focus Strategies Data All'!N43</f>
        <v>NA</v>
      </c>
      <c r="R5" s="25" t="str">
        <f>'Focus Strategies Data All'!P9</f>
        <v>springwheat</v>
      </c>
      <c r="S5" s="210" t="str">
        <f>'Focus Strategies Data All'!Q9</f>
        <v>no</v>
      </c>
      <c r="T5" s="210" t="str">
        <f>'Focus Strategies Data All'!R9</f>
        <v>late</v>
      </c>
      <c r="U5" s="210" t="str">
        <f>'Focus Strategies Data All'!S9</f>
        <v>later</v>
      </c>
      <c r="V5" s="210" t="str">
        <f>'Focus Strategies Data All'!T9</f>
        <v>latest</v>
      </c>
      <c r="W5" s="210" t="str">
        <f>'Focus Strategies Data All'!U9</f>
        <v>NA</v>
      </c>
      <c r="X5" s="210" t="str">
        <f>'Focus Strategies Data All'!V9</f>
        <v>NA</v>
      </c>
      <c r="Y5" s="210" t="str">
        <f>'Focus Strategies Data All'!W9</f>
        <v>NA</v>
      </c>
      <c r="Z5" s="210" t="str">
        <f>'Focus Strategies Data All'!X9</f>
        <v>NA</v>
      </c>
      <c r="AA5" s="210" t="str">
        <f>'Focus Strategies Data All'!Y9</f>
        <v>NA</v>
      </c>
      <c r="AB5" s="210" t="str">
        <f>'Focus Strategies Data All'!Z9</f>
        <v>NA</v>
      </c>
      <c r="AC5" s="210" t="str">
        <f>'Focus Strategies Data All'!AA9</f>
        <v>NA</v>
      </c>
      <c r="AD5" s="210" t="str">
        <f>'Focus Strategies Data All'!AB9</f>
        <v>no</v>
      </c>
      <c r="AE5" s="210" t="str">
        <f>'Focus Strategies Data All'!AC9</f>
        <v>no</v>
      </c>
    </row>
    <row r="6" spans="3:33" x14ac:dyDescent="0.2">
      <c r="C6" s="25" t="str">
        <f>'Focus Strategies Data All'!A44</f>
        <v>winterbarley</v>
      </c>
      <c r="D6" s="210" t="str">
        <f>'Focus Strategies Data All'!B44</f>
        <v>NA</v>
      </c>
      <c r="E6" s="210" t="str">
        <f>'Focus Strategies Data All'!C44</f>
        <v>NA</v>
      </c>
      <c r="F6" s="210" t="str">
        <f>'Focus Strategies Data All'!D44</f>
        <v>NA</v>
      </c>
      <c r="H6" s="25" t="str">
        <f>'Focus Strategies Data All'!F44</f>
        <v>winterbarley</v>
      </c>
      <c r="I6" s="210" t="str">
        <f>'Focus Strategies Data All'!G44</f>
        <v>October</v>
      </c>
      <c r="J6" s="210" t="str">
        <f>'Focus Strategies Data All'!H44</f>
        <v>September</v>
      </c>
      <c r="K6" s="210" t="str">
        <f>'Focus Strategies Data All'!I44</f>
        <v>NA</v>
      </c>
      <c r="M6" s="25" t="str">
        <f>'Focus Strategies Data All'!K44</f>
        <v>winterbarley</v>
      </c>
      <c r="N6" s="210" t="str">
        <f>'Focus Strategies Data All'!L44</f>
        <v>NA</v>
      </c>
      <c r="O6" s="210" t="str">
        <f>'Focus Strategies Data All'!M44</f>
        <v>September</v>
      </c>
      <c r="P6" s="210" t="str">
        <f>'Focus Strategies Data All'!N44</f>
        <v>September</v>
      </c>
      <c r="R6" s="25" t="str">
        <f>'Focus Strategies Data All'!P10</f>
        <v>winterbarley</v>
      </c>
      <c r="S6" s="210" t="str">
        <f>'Focus Strategies Data All'!Q10</f>
        <v>latest</v>
      </c>
      <c r="T6" s="210" t="str">
        <f>'Focus Strategies Data All'!R10</f>
        <v>NA</v>
      </c>
      <c r="U6" s="210" t="str">
        <f>'Focus Strategies Data All'!S10</f>
        <v>NA</v>
      </c>
      <c r="V6" s="210" t="str">
        <f>'Focus Strategies Data All'!T10</f>
        <v>NA</v>
      </c>
      <c r="W6" s="210" t="str">
        <f>'Focus Strategies Data All'!U10</f>
        <v>NA</v>
      </c>
      <c r="X6" s="210" t="str">
        <f>'Focus Strategies Data All'!V10</f>
        <v>NA</v>
      </c>
      <c r="Y6" s="210" t="str">
        <f>'Focus Strategies Data All'!W10</f>
        <v>NA</v>
      </c>
      <c r="Z6" s="210" t="str">
        <f>'Focus Strategies Data All'!X10</f>
        <v>NA</v>
      </c>
      <c r="AA6" s="210" t="str">
        <f>'Focus Strategies Data All'!Y10</f>
        <v>no</v>
      </c>
      <c r="AB6" s="210" t="str">
        <f>'Focus Strategies Data All'!Z10</f>
        <v>no</v>
      </c>
      <c r="AC6" s="210" t="str">
        <f>'Focus Strategies Data All'!AA10</f>
        <v>late</v>
      </c>
      <c r="AD6" s="210" t="str">
        <f>'Focus Strategies Data All'!AB10</f>
        <v>later</v>
      </c>
      <c r="AE6" s="210" t="str">
        <f>'Focus Strategies Data All'!AC10</f>
        <v>no</v>
      </c>
    </row>
    <row r="7" spans="3:33" x14ac:dyDescent="0.2">
      <c r="C7" s="25" t="str">
        <f>'Focus Strategies Data All'!A45</f>
        <v>springbarley</v>
      </c>
      <c r="D7" s="210" t="str">
        <f>'Focus Strategies Data All'!B45</f>
        <v>March</v>
      </c>
      <c r="E7" s="210" t="str">
        <f>'Focus Strategies Data All'!C45</f>
        <v>March</v>
      </c>
      <c r="F7" s="210" t="str">
        <f>'Focus Strategies Data All'!D45</f>
        <v>April</v>
      </c>
      <c r="H7" s="25" t="str">
        <f>'Focus Strategies Data All'!F45</f>
        <v>springbarley</v>
      </c>
      <c r="I7" s="210" t="str">
        <f>'Focus Strategies Data All'!G45</f>
        <v>NA</v>
      </c>
      <c r="J7" s="210" t="str">
        <f>'Focus Strategies Data All'!H45</f>
        <v>NA</v>
      </c>
      <c r="K7" s="210" t="str">
        <f>'Focus Strategies Data All'!I45</f>
        <v>April</v>
      </c>
      <c r="M7" s="25" t="str">
        <f>'Focus Strategies Data All'!K45</f>
        <v>springbarley</v>
      </c>
      <c r="N7" s="210" t="str">
        <f>'Focus Strategies Data All'!L45</f>
        <v>NA</v>
      </c>
      <c r="O7" s="210" t="str">
        <f>'Focus Strategies Data All'!M45</f>
        <v>NA</v>
      </c>
      <c r="P7" s="210" t="str">
        <f>'Focus Strategies Data All'!N45</f>
        <v>NA</v>
      </c>
      <c r="R7" s="25" t="str">
        <f>'Focus Strategies Data All'!P11</f>
        <v>springbarley</v>
      </c>
      <c r="S7" s="210" t="str">
        <f>'Focus Strategies Data All'!Q11</f>
        <v>no</v>
      </c>
      <c r="T7" s="210" t="str">
        <f>'Focus Strategies Data All'!R11</f>
        <v>no</v>
      </c>
      <c r="U7" s="210" t="str">
        <f>'Focus Strategies Data All'!S11</f>
        <v>no</v>
      </c>
      <c r="V7" s="210" t="str">
        <f>'Focus Strategies Data All'!T11</f>
        <v>late</v>
      </c>
      <c r="W7" s="210" t="str">
        <f>'Focus Strategies Data All'!U11</f>
        <v>later</v>
      </c>
      <c r="X7" s="210" t="str">
        <f>'Focus Strategies Data All'!V11</f>
        <v>NA</v>
      </c>
      <c r="Y7" s="210" t="str">
        <f>'Focus Strategies Data All'!W11</f>
        <v>NA</v>
      </c>
      <c r="Z7" s="210" t="str">
        <f>'Focus Strategies Data All'!X11</f>
        <v>NA</v>
      </c>
      <c r="AA7" s="210" t="str">
        <f>'Focus Strategies Data All'!Y11</f>
        <v>NA</v>
      </c>
      <c r="AB7" s="210" t="str">
        <f>'Focus Strategies Data All'!Z11</f>
        <v>NA</v>
      </c>
      <c r="AC7" s="210" t="str">
        <f>'Focus Strategies Data All'!AA11</f>
        <v>NA</v>
      </c>
      <c r="AD7" s="210" t="str">
        <f>'Focus Strategies Data All'!AB11</f>
        <v>NA</v>
      </c>
      <c r="AE7" s="210" t="str">
        <f>'Focus Strategies Data All'!AC11</f>
        <v>no</v>
      </c>
    </row>
    <row r="8" spans="3:33" x14ac:dyDescent="0.2">
      <c r="C8" s="25" t="str">
        <f>'Focus Strategies Data All'!A46</f>
        <v>winterbeans</v>
      </c>
      <c r="D8" s="210" t="str">
        <f>'Focus Strategies Data All'!B46</f>
        <v>NA</v>
      </c>
      <c r="E8" s="210" t="str">
        <f>'Focus Strategies Data All'!C46</f>
        <v>NA</v>
      </c>
      <c r="F8" s="210" t="str">
        <f>'Focus Strategies Data All'!D46</f>
        <v>NA</v>
      </c>
      <c r="H8" s="25" t="str">
        <f>'Focus Strategies Data All'!F46</f>
        <v>winterbeans</v>
      </c>
      <c r="I8" s="210" t="str">
        <f>'Focus Strategies Data All'!G46</f>
        <v>NA</v>
      </c>
      <c r="J8" s="210" t="str">
        <f>'Focus Strategies Data All'!H46</f>
        <v>NA</v>
      </c>
      <c r="K8" s="210" t="str">
        <f>'Focus Strategies Data All'!I46</f>
        <v>NA</v>
      </c>
      <c r="M8" s="25" t="str">
        <f>'Focus Strategies Data All'!K46</f>
        <v>winterbeans</v>
      </c>
      <c r="N8" s="210" t="str">
        <f>'Focus Strategies Data All'!L46</f>
        <v>NA</v>
      </c>
      <c r="O8" s="210" t="str">
        <f>'Focus Strategies Data All'!M46</f>
        <v>NA</v>
      </c>
      <c r="P8" s="210" t="str">
        <f>'Focus Strategies Data All'!N46</f>
        <v>NA</v>
      </c>
      <c r="R8" s="25" t="str">
        <f>'Focus Strategies Data All'!P12</f>
        <v>winterbeans</v>
      </c>
      <c r="S8" s="210" t="str">
        <f>'Focus Strategies Data All'!Q12</f>
        <v>NA</v>
      </c>
      <c r="T8" s="210" t="str">
        <f>'Focus Strategies Data All'!R12</f>
        <v>NA</v>
      </c>
      <c r="U8" s="210" t="str">
        <f>'Focus Strategies Data All'!S12</f>
        <v>NA</v>
      </c>
      <c r="V8" s="210" t="str">
        <f>'Focus Strategies Data All'!T12</f>
        <v>NA</v>
      </c>
      <c r="W8" s="210" t="str">
        <f>'Focus Strategies Data All'!U12</f>
        <v>NA</v>
      </c>
      <c r="X8" s="210" t="str">
        <f>'Focus Strategies Data All'!V12</f>
        <v>NA</v>
      </c>
      <c r="Y8" s="210" t="str">
        <f>'Focus Strategies Data All'!W12</f>
        <v>NA</v>
      </c>
      <c r="Z8" s="210" t="str">
        <f>'Focus Strategies Data All'!X12</f>
        <v>NA</v>
      </c>
      <c r="AA8" s="210" t="str">
        <f>'Focus Strategies Data All'!Y12</f>
        <v>NA</v>
      </c>
      <c r="AB8" s="210" t="str">
        <f>'Focus Strategies Data All'!Z12</f>
        <v>NA</v>
      </c>
      <c r="AC8" s="210" t="str">
        <f>'Focus Strategies Data All'!AA12</f>
        <v>NA</v>
      </c>
      <c r="AD8" s="210" t="str">
        <f>'Focus Strategies Data All'!AB12</f>
        <v>NA</v>
      </c>
      <c r="AE8" s="210" t="str">
        <f>'Focus Strategies Data All'!AC12</f>
        <v>no</v>
      </c>
    </row>
    <row r="9" spans="3:33" x14ac:dyDescent="0.2">
      <c r="C9" s="25" t="str">
        <f>'Focus Strategies Data All'!A47</f>
        <v>springbeans</v>
      </c>
      <c r="D9" s="210" t="str">
        <f>'Focus Strategies Data All'!B47</f>
        <v>March</v>
      </c>
      <c r="E9" s="210" t="str">
        <f>'Focus Strategies Data All'!C47</f>
        <v>NA</v>
      </c>
      <c r="F9" s="210" t="str">
        <f>'Focus Strategies Data All'!D47</f>
        <v>March</v>
      </c>
      <c r="H9" s="25" t="str">
        <f>'Focus Strategies Data All'!F47</f>
        <v>springbeans</v>
      </c>
      <c r="I9" s="210" t="str">
        <f>'Focus Strategies Data All'!G47</f>
        <v>March</v>
      </c>
      <c r="J9" s="210" t="str">
        <f>'Focus Strategies Data All'!H47</f>
        <v>March</v>
      </c>
      <c r="K9" s="210" t="str">
        <f>'Focus Strategies Data All'!I47</f>
        <v>NA</v>
      </c>
      <c r="M9" s="25" t="str">
        <f>'Focus Strategies Data All'!K47</f>
        <v>springbeans</v>
      </c>
      <c r="N9" s="210" t="str">
        <f>'Focus Strategies Data All'!L47</f>
        <v>NA</v>
      </c>
      <c r="O9" s="210" t="str">
        <f>'Focus Strategies Data All'!M47</f>
        <v>March</v>
      </c>
      <c r="P9" s="210" t="str">
        <f>'Focus Strategies Data All'!N47</f>
        <v>March</v>
      </c>
      <c r="R9" s="25" t="str">
        <f>'Focus Strategies Data All'!P13</f>
        <v>springbeans</v>
      </c>
      <c r="S9" s="210" t="str">
        <f>'Focus Strategies Data All'!Q13</f>
        <v>NA</v>
      </c>
      <c r="T9" s="210" t="str">
        <f>'Focus Strategies Data All'!R13</f>
        <v>no</v>
      </c>
      <c r="U9" s="210" t="str">
        <f>'Focus Strategies Data All'!S13</f>
        <v>no</v>
      </c>
      <c r="V9" s="210" t="str">
        <f>'Focus Strategies Data All'!T13</f>
        <v>late</v>
      </c>
      <c r="W9" s="210" t="str">
        <f>'Focus Strategies Data All'!U13</f>
        <v>later</v>
      </c>
      <c r="X9" s="210" t="str">
        <f>'Focus Strategies Data All'!V13</f>
        <v>NA</v>
      </c>
      <c r="Y9" s="210" t="str">
        <f>'Focus Strategies Data All'!W13</f>
        <v>NA</v>
      </c>
      <c r="Z9" s="210" t="str">
        <f>'Focus Strategies Data All'!X13</f>
        <v>NA</v>
      </c>
      <c r="AA9" s="210" t="str">
        <f>'Focus Strategies Data All'!Y13</f>
        <v>NA</v>
      </c>
      <c r="AB9" s="210" t="str">
        <f>'Focus Strategies Data All'!Z13</f>
        <v>NA</v>
      </c>
      <c r="AC9" s="210" t="str">
        <f>'Focus Strategies Data All'!AA13</f>
        <v>NA</v>
      </c>
      <c r="AD9" s="210" t="str">
        <f>'Focus Strategies Data All'!AB13</f>
        <v>NA</v>
      </c>
      <c r="AE9" s="210" t="str">
        <f>'Focus Strategies Data All'!AC13</f>
        <v>no</v>
      </c>
    </row>
    <row r="10" spans="3:33" x14ac:dyDescent="0.2">
      <c r="C10" s="25" t="str">
        <f>'Focus Strategies Data All'!A48</f>
        <v>warepotatoes</v>
      </c>
      <c r="D10" s="210" t="str">
        <f>'Focus Strategies Data All'!B48</f>
        <v>NA</v>
      </c>
      <c r="E10" s="210" t="str">
        <f>'Focus Strategies Data All'!C48</f>
        <v>NA</v>
      </c>
      <c r="F10" s="210" t="str">
        <f>'Focus Strategies Data All'!D48</f>
        <v>NA</v>
      </c>
      <c r="H10" s="25" t="str">
        <f>'Focus Strategies Data All'!F48</f>
        <v>warepotatoes</v>
      </c>
      <c r="I10" s="210" t="str">
        <f>'Focus Strategies Data All'!G48</f>
        <v>NA</v>
      </c>
      <c r="J10" s="210" t="str">
        <f>'Focus Strategies Data All'!H48</f>
        <v>NA</v>
      </c>
      <c r="K10" s="210" t="str">
        <f>'Focus Strategies Data All'!I48</f>
        <v>NA</v>
      </c>
      <c r="M10" s="25" t="str">
        <f>'Focus Strategies Data All'!K48</f>
        <v>warepotatoes</v>
      </c>
      <c r="N10" s="210" t="str">
        <f>'Focus Strategies Data All'!L48</f>
        <v>NA</v>
      </c>
      <c r="O10" s="210" t="str">
        <f>'Focus Strategies Data All'!M48</f>
        <v>NA</v>
      </c>
      <c r="P10" s="210" t="str">
        <f>'Focus Strategies Data All'!N48</f>
        <v>NA</v>
      </c>
      <c r="R10" s="25" t="str">
        <f>'Focus Strategies Data All'!P14</f>
        <v>warepotatoes</v>
      </c>
      <c r="S10" s="210" t="str">
        <f>'Focus Strategies Data All'!Q14</f>
        <v>NA</v>
      </c>
      <c r="T10" s="210" t="str">
        <f>'Focus Strategies Data All'!R14</f>
        <v>no</v>
      </c>
      <c r="U10" s="210" t="str">
        <f>'Focus Strategies Data All'!S14</f>
        <v>no</v>
      </c>
      <c r="V10" s="210" t="str">
        <f>'Focus Strategies Data All'!T14</f>
        <v>late</v>
      </c>
      <c r="W10" s="210" t="str">
        <f>'Focus Strategies Data All'!U14</f>
        <v>later</v>
      </c>
      <c r="X10" s="210" t="str">
        <f>'Focus Strategies Data All'!V14</f>
        <v>latest</v>
      </c>
      <c r="Y10" s="210" t="str">
        <f>'Focus Strategies Data All'!W14</f>
        <v>NA</v>
      </c>
      <c r="Z10" s="210" t="str">
        <f>'Focus Strategies Data All'!X14</f>
        <v>NA</v>
      </c>
      <c r="AA10" s="210" t="str">
        <f>'Focus Strategies Data All'!Y14</f>
        <v>NA</v>
      </c>
      <c r="AB10" s="210" t="str">
        <f>'Focus Strategies Data All'!Z14</f>
        <v>NA</v>
      </c>
      <c r="AC10" s="210" t="str">
        <f>'Focus Strategies Data All'!AA14</f>
        <v>NA</v>
      </c>
      <c r="AD10" s="210" t="str">
        <f>'Focus Strategies Data All'!AB14</f>
        <v>NA</v>
      </c>
      <c r="AE10" s="210" t="str">
        <f>'Focus Strategies Data All'!AC14</f>
        <v>no</v>
      </c>
    </row>
    <row r="11" spans="3:33" x14ac:dyDescent="0.2">
      <c r="C11" s="25" t="str">
        <f>'Focus Strategies Data All'!A49</f>
        <v>wosr</v>
      </c>
      <c r="D11" s="210" t="str">
        <f>'Focus Strategies Data All'!B49</f>
        <v>NA</v>
      </c>
      <c r="E11" s="210" t="str">
        <f>'Focus Strategies Data All'!C49</f>
        <v>August</v>
      </c>
      <c r="F11" s="210" t="str">
        <f>'Focus Strategies Data All'!D49</f>
        <v>August</v>
      </c>
      <c r="H11" s="25" t="str">
        <f>'Focus Strategies Data All'!F49</f>
        <v>wosr</v>
      </c>
      <c r="I11" s="210" t="str">
        <f>'Focus Strategies Data All'!G49</f>
        <v>August</v>
      </c>
      <c r="J11" s="210" t="str">
        <f>'Focus Strategies Data All'!H49</f>
        <v>NA</v>
      </c>
      <c r="K11" s="210" t="str">
        <f>'Focus Strategies Data All'!I49</f>
        <v>August</v>
      </c>
      <c r="M11" s="25" t="str">
        <f>'Focus Strategies Data All'!K49</f>
        <v>wosr</v>
      </c>
      <c r="N11" s="210" t="str">
        <f>'Focus Strategies Data All'!L49</f>
        <v>August</v>
      </c>
      <c r="O11" s="210" t="str">
        <f>'Focus Strategies Data All'!M49</f>
        <v>August</v>
      </c>
      <c r="P11" s="210" t="str">
        <f>'Focus Strategies Data All'!N49</f>
        <v>August</v>
      </c>
      <c r="R11" s="25" t="str">
        <f>'Focus Strategies Data All'!P15</f>
        <v>wosr</v>
      </c>
      <c r="S11" s="210" t="str">
        <f>'Focus Strategies Data All'!Q15</f>
        <v>NA</v>
      </c>
      <c r="T11" s="210" t="str">
        <f>'Focus Strategies Data All'!R15</f>
        <v>NA</v>
      </c>
      <c r="U11" s="210" t="str">
        <f>'Focus Strategies Data All'!S15</f>
        <v>NA</v>
      </c>
      <c r="V11" s="210" t="str">
        <f>'Focus Strategies Data All'!T15</f>
        <v>NA</v>
      </c>
      <c r="W11" s="210" t="str">
        <f>'Focus Strategies Data All'!U15</f>
        <v>NA</v>
      </c>
      <c r="X11" s="210" t="str">
        <f>'Focus Strategies Data All'!V15</f>
        <v>NA</v>
      </c>
      <c r="Y11" s="210" t="str">
        <f>'Focus Strategies Data All'!W15</f>
        <v>no</v>
      </c>
      <c r="Z11" s="210" t="str">
        <f>'Focus Strategies Data All'!X15</f>
        <v>no</v>
      </c>
      <c r="AA11" s="210" t="str">
        <f>'Focus Strategies Data All'!Y15</f>
        <v>late</v>
      </c>
      <c r="AB11" s="210" t="str">
        <f>'Focus Strategies Data All'!Z15</f>
        <v>later</v>
      </c>
      <c r="AC11" s="210" t="str">
        <f>'Focus Strategies Data All'!AA15</f>
        <v>latest</v>
      </c>
      <c r="AD11" s="210" t="str">
        <f>'Focus Strategies Data All'!AB15</f>
        <v>NA</v>
      </c>
      <c r="AE11" s="210" t="str">
        <f>'Focus Strategies Data All'!AC15</f>
        <v>no</v>
      </c>
    </row>
    <row r="12" spans="3:33" x14ac:dyDescent="0.2">
      <c r="C12" s="25" t="str">
        <f>'Focus Strategies Data All'!A50</f>
        <v>sosr</v>
      </c>
      <c r="D12" s="210" t="str">
        <f>'Focus Strategies Data All'!B50</f>
        <v>NA</v>
      </c>
      <c r="E12" s="210" t="str">
        <f>'Focus Strategies Data All'!C50</f>
        <v>March</v>
      </c>
      <c r="F12" s="210" t="str">
        <f>'Focus Strategies Data All'!D50</f>
        <v>NA</v>
      </c>
      <c r="H12" s="25" t="str">
        <f>'Focus Strategies Data All'!F50</f>
        <v>sosr</v>
      </c>
      <c r="I12" s="210" t="str">
        <f>'Focus Strategies Data All'!G50</f>
        <v>NA</v>
      </c>
      <c r="J12" s="210" t="str">
        <f>'Focus Strategies Data All'!H50</f>
        <v>NA</v>
      </c>
      <c r="K12" s="210" t="str">
        <f>'Focus Strategies Data All'!I50</f>
        <v>NA</v>
      </c>
      <c r="M12" s="25" t="str">
        <f>'Focus Strategies Data All'!K50</f>
        <v>sosr</v>
      </c>
      <c r="N12" s="210" t="str">
        <f>'Focus Strategies Data All'!L50</f>
        <v>NA</v>
      </c>
      <c r="O12" s="210" t="str">
        <f>'Focus Strategies Data All'!M50</f>
        <v>NA</v>
      </c>
      <c r="P12" s="210" t="str">
        <f>'Focus Strategies Data All'!N50</f>
        <v>NA</v>
      </c>
      <c r="R12" s="25" t="str">
        <f>'Focus Strategies Data All'!P16</f>
        <v>sosr</v>
      </c>
      <c r="S12" s="210" t="str">
        <f>'Focus Strategies Data All'!Q16</f>
        <v>NA</v>
      </c>
      <c r="T12" s="210" t="str">
        <f>'Focus Strategies Data All'!R16</f>
        <v>NA</v>
      </c>
      <c r="U12" s="210" t="str">
        <f>'Focus Strategies Data All'!S16</f>
        <v>no</v>
      </c>
      <c r="V12" s="210" t="str">
        <f>'Focus Strategies Data All'!T16</f>
        <v>no</v>
      </c>
      <c r="W12" s="210" t="str">
        <f>'Focus Strategies Data All'!U16</f>
        <v>no</v>
      </c>
      <c r="X12" s="210" t="str">
        <f>'Focus Strategies Data All'!V16</f>
        <v>NA</v>
      </c>
      <c r="Y12" s="210" t="str">
        <f>'Focus Strategies Data All'!W16</f>
        <v>NA</v>
      </c>
      <c r="Z12" s="210" t="str">
        <f>'Focus Strategies Data All'!X16</f>
        <v>NA</v>
      </c>
      <c r="AA12" s="210" t="str">
        <f>'Focus Strategies Data All'!Y16</f>
        <v>NA</v>
      </c>
      <c r="AB12" s="210" t="str">
        <f>'Focus Strategies Data All'!Z16</f>
        <v>NA</v>
      </c>
      <c r="AC12" s="210" t="str">
        <f>'Focus Strategies Data All'!AA16</f>
        <v>NA</v>
      </c>
      <c r="AD12" s="210" t="str">
        <f>'Focus Strategies Data All'!AB16</f>
        <v>NA</v>
      </c>
      <c r="AE12" s="210" t="str">
        <f>'Focus Strategies Data All'!AC16</f>
        <v>no</v>
      </c>
    </row>
    <row r="13" spans="3:33" x14ac:dyDescent="0.2">
      <c r="C13" s="25" t="str">
        <f>'Focus Strategies Data All'!A51</f>
        <v>sugarbeet</v>
      </c>
      <c r="D13" s="210" t="str">
        <f>'Focus Strategies Data All'!B51</f>
        <v>March</v>
      </c>
      <c r="E13" s="210" t="str">
        <f>'Focus Strategies Data All'!C51</f>
        <v>NA</v>
      </c>
      <c r="F13" s="210" t="str">
        <f>'Focus Strategies Data All'!D51</f>
        <v>NA</v>
      </c>
      <c r="H13" s="25" t="str">
        <f>'Focus Strategies Data All'!F51</f>
        <v>sugarbeet</v>
      </c>
      <c r="I13" s="210" t="str">
        <f>'Focus Strategies Data All'!G51</f>
        <v>NA</v>
      </c>
      <c r="J13" s="210" t="str">
        <f>'Focus Strategies Data All'!H51</f>
        <v>NA</v>
      </c>
      <c r="K13" s="210" t="str">
        <f>'Focus Strategies Data All'!I51</f>
        <v>NA</v>
      </c>
      <c r="M13" s="25" t="str">
        <f>'Focus Strategies Data All'!K51</f>
        <v>sugarbeet</v>
      </c>
      <c r="N13" s="210" t="str">
        <f>'Focus Strategies Data All'!L51</f>
        <v>NA</v>
      </c>
      <c r="O13" s="210" t="str">
        <f>'Focus Strategies Data All'!M51</f>
        <v>NA</v>
      </c>
      <c r="P13" s="210" t="str">
        <f>'Focus Strategies Data All'!N51</f>
        <v>NA</v>
      </c>
      <c r="R13" s="25" t="str">
        <f>'Focus Strategies Data All'!P17</f>
        <v>sugarbeet</v>
      </c>
      <c r="S13" s="210" t="str">
        <f>'Focus Strategies Data All'!Q17</f>
        <v>NA</v>
      </c>
      <c r="T13" s="210" t="str">
        <f>'Focus Strategies Data All'!R17</f>
        <v>no</v>
      </c>
      <c r="U13" s="210" t="str">
        <f>'Focus Strategies Data All'!S17</f>
        <v>late</v>
      </c>
      <c r="V13" s="210" t="str">
        <f>'Focus Strategies Data All'!T17</f>
        <v>later</v>
      </c>
      <c r="W13" s="210" t="str">
        <f>'Focus Strategies Data All'!U17</f>
        <v>latest</v>
      </c>
      <c r="X13" s="210" t="str">
        <f>'Focus Strategies Data All'!V17</f>
        <v>NA</v>
      </c>
      <c r="Y13" s="210" t="str">
        <f>'Focus Strategies Data All'!W17</f>
        <v>NA</v>
      </c>
      <c r="Z13" s="210" t="str">
        <f>'Focus Strategies Data All'!X17</f>
        <v>NA</v>
      </c>
      <c r="AA13" s="210" t="str">
        <f>'Focus Strategies Data All'!Y17</f>
        <v>NA</v>
      </c>
      <c r="AB13" s="210" t="str">
        <f>'Focus Strategies Data All'!Z17</f>
        <v>NA</v>
      </c>
      <c r="AC13" s="210" t="str">
        <f>'Focus Strategies Data All'!AA17</f>
        <v>NA</v>
      </c>
      <c r="AD13" s="210" t="str">
        <f>'Focus Strategies Data All'!AB17</f>
        <v>no</v>
      </c>
      <c r="AE13" s="210" t="str">
        <f>'Focus Strategies Data All'!AC17</f>
        <v>no</v>
      </c>
    </row>
    <row r="14" spans="3:33" x14ac:dyDescent="0.2">
      <c r="C14" s="25" t="str">
        <f>'Focus Strategies Data All'!A52</f>
        <v>winterlinseed</v>
      </c>
      <c r="D14" s="210" t="str">
        <f>'Focus Strategies Data All'!B52</f>
        <v>NA</v>
      </c>
      <c r="E14" s="210" t="str">
        <f>'Focus Strategies Data All'!C52</f>
        <v>NA</v>
      </c>
      <c r="F14" s="210" t="str">
        <f>'Focus Strategies Data All'!D52</f>
        <v>NA</v>
      </c>
      <c r="H14" s="25" t="str">
        <f>'Focus Strategies Data All'!F52</f>
        <v>winterlinseed</v>
      </c>
      <c r="I14" s="210" t="str">
        <f>'Focus Strategies Data All'!G52</f>
        <v>NA</v>
      </c>
      <c r="J14" s="210" t="str">
        <f>'Focus Strategies Data All'!H52</f>
        <v>NA</v>
      </c>
      <c r="K14" s="210" t="str">
        <f>'Focus Strategies Data All'!I52</f>
        <v>NA</v>
      </c>
      <c r="M14" s="25" t="str">
        <f>'Focus Strategies Data All'!K52</f>
        <v>winterlinseed</v>
      </c>
      <c r="N14" s="210" t="str">
        <f>'Focus Strategies Data All'!L52</f>
        <v>NA</v>
      </c>
      <c r="O14" s="210" t="str">
        <f>'Focus Strategies Data All'!M52</f>
        <v>NA</v>
      </c>
      <c r="P14" s="210" t="str">
        <f>'Focus Strategies Data All'!N52</f>
        <v>NA</v>
      </c>
      <c r="R14" s="25" t="str">
        <f>'Focus Strategies Data All'!P18</f>
        <v>winterlinseed</v>
      </c>
      <c r="S14" s="210" t="str">
        <f>'Focus Strategies Data All'!Q18</f>
        <v>NA</v>
      </c>
      <c r="T14" s="210" t="str">
        <f>'Focus Strategies Data All'!R18</f>
        <v>NA</v>
      </c>
      <c r="U14" s="210" t="str">
        <f>'Focus Strategies Data All'!S18</f>
        <v>NA</v>
      </c>
      <c r="V14" s="210" t="str">
        <f>'Focus Strategies Data All'!T18</f>
        <v>NA</v>
      </c>
      <c r="W14" s="210" t="str">
        <f>'Focus Strategies Data All'!U18</f>
        <v>NA</v>
      </c>
      <c r="X14" s="210" t="str">
        <f>'Focus Strategies Data All'!V18</f>
        <v>NA</v>
      </c>
      <c r="Y14" s="210" t="str">
        <f>'Focus Strategies Data All'!W18</f>
        <v>no</v>
      </c>
      <c r="Z14" s="210" t="str">
        <f>'Focus Strategies Data All'!X18</f>
        <v>late</v>
      </c>
      <c r="AA14" s="210" t="str">
        <f>'Focus Strategies Data All'!Y18</f>
        <v>later</v>
      </c>
      <c r="AB14" s="210" t="str">
        <f>'Focus Strategies Data All'!Z18</f>
        <v>latest</v>
      </c>
      <c r="AC14" s="210" t="str">
        <f>'Focus Strategies Data All'!AA18</f>
        <v>NA</v>
      </c>
      <c r="AD14" s="210" t="str">
        <f>'Focus Strategies Data All'!AB18</f>
        <v>NA</v>
      </c>
      <c r="AE14" s="210" t="str">
        <f>'Focus Strategies Data All'!AC18</f>
        <v>no</v>
      </c>
    </row>
    <row r="15" spans="3:33" x14ac:dyDescent="0.2">
      <c r="C15" s="25" t="str">
        <f>'Focus Strategies Data All'!A53</f>
        <v>springlinseed</v>
      </c>
      <c r="D15" s="210" t="str">
        <f>'Focus Strategies Data All'!B53</f>
        <v>April</v>
      </c>
      <c r="E15" s="210" t="str">
        <f>'Focus Strategies Data All'!C53</f>
        <v>NA</v>
      </c>
      <c r="F15" s="210" t="str">
        <f>'Focus Strategies Data All'!D53</f>
        <v>NA</v>
      </c>
      <c r="H15" s="25" t="str">
        <f>'Focus Strategies Data All'!F53</f>
        <v>springlinseed</v>
      </c>
      <c r="I15" s="210" t="str">
        <f>'Focus Strategies Data All'!G53</f>
        <v>NA</v>
      </c>
      <c r="J15" s="210" t="str">
        <f>'Focus Strategies Data All'!H53</f>
        <v>NA</v>
      </c>
      <c r="K15" s="210" t="str">
        <f>'Focus Strategies Data All'!I53</f>
        <v>NA</v>
      </c>
      <c r="M15" s="25" t="str">
        <f>'Focus Strategies Data All'!K53</f>
        <v>springlinseed</v>
      </c>
      <c r="N15" s="210" t="str">
        <f>'Focus Strategies Data All'!L53</f>
        <v>NA</v>
      </c>
      <c r="O15" s="210" t="str">
        <f>'Focus Strategies Data All'!M53</f>
        <v>NA</v>
      </c>
      <c r="P15" s="210" t="str">
        <f>'Focus Strategies Data All'!N53</f>
        <v>NA</v>
      </c>
      <c r="R15" s="25" t="str">
        <f>'Focus Strategies Data All'!P19</f>
        <v>springlinseed</v>
      </c>
      <c r="S15" s="210" t="str">
        <f>'Focus Strategies Data All'!Q19</f>
        <v>no</v>
      </c>
      <c r="T15" s="210" t="str">
        <f>'Focus Strategies Data All'!R19</f>
        <v>no</v>
      </c>
      <c r="U15" s="210" t="str">
        <f>'Focus Strategies Data All'!S19</f>
        <v>no</v>
      </c>
      <c r="V15" s="210" t="str">
        <f>'Focus Strategies Data All'!T19</f>
        <v>no</v>
      </c>
      <c r="W15" s="210" t="str">
        <f>'Focus Strategies Data All'!U19</f>
        <v>late</v>
      </c>
      <c r="X15" s="210" t="str">
        <f>'Focus Strategies Data All'!V19</f>
        <v>later</v>
      </c>
      <c r="Y15" s="210" t="str">
        <f>'Focus Strategies Data All'!W19</f>
        <v>NA</v>
      </c>
      <c r="Z15" s="210" t="str">
        <f>'Focus Strategies Data All'!X19</f>
        <v>NA</v>
      </c>
      <c r="AA15" s="210" t="str">
        <f>'Focus Strategies Data All'!Y19</f>
        <v>NA</v>
      </c>
      <c r="AB15" s="210" t="str">
        <f>'Focus Strategies Data All'!Z19</f>
        <v>NA</v>
      </c>
      <c r="AC15" s="210" t="str">
        <f>'Focus Strategies Data All'!AA19</f>
        <v>NA</v>
      </c>
      <c r="AD15" s="210" t="str">
        <f>'Focus Strategies Data All'!AB19</f>
        <v>NA</v>
      </c>
      <c r="AE15" s="210" t="str">
        <f>'Focus Strategies Data All'!AC19</f>
        <v>no</v>
      </c>
    </row>
    <row r="16" spans="3:33" x14ac:dyDescent="0.2">
      <c r="C16" s="25" t="str">
        <f>'Focus Strategies Data All'!A54</f>
        <v>driedpeas</v>
      </c>
      <c r="D16" s="210" t="str">
        <f>'Focus Strategies Data All'!B54</f>
        <v>March</v>
      </c>
      <c r="E16" s="210" t="str">
        <f>'Focus Strategies Data All'!C54</f>
        <v>NA</v>
      </c>
      <c r="F16" s="210" t="str">
        <f>'Focus Strategies Data All'!D54</f>
        <v>March</v>
      </c>
      <c r="H16" s="25" t="str">
        <f>'Focus Strategies Data All'!F54</f>
        <v>driedpeas</v>
      </c>
      <c r="I16" s="210" t="str">
        <f>'Focus Strategies Data All'!G54</f>
        <v>March</v>
      </c>
      <c r="J16" s="210" t="str">
        <f>'Focus Strategies Data All'!H54</f>
        <v>March</v>
      </c>
      <c r="K16" s="210" t="str">
        <f>'Focus Strategies Data All'!I54</f>
        <v>NA</v>
      </c>
      <c r="M16" s="25" t="str">
        <f>'Focus Strategies Data All'!K54</f>
        <v>driedpeas</v>
      </c>
      <c r="N16" s="210" t="str">
        <f>'Focus Strategies Data All'!L54</f>
        <v>NA</v>
      </c>
      <c r="O16" s="210" t="str">
        <f>'Focus Strategies Data All'!M54</f>
        <v>March</v>
      </c>
      <c r="P16" s="210" t="str">
        <f>'Focus Strategies Data All'!N54</f>
        <v>March</v>
      </c>
      <c r="R16" s="25" t="str">
        <f>'Focus Strategies Data All'!P20</f>
        <v>driedpeas</v>
      </c>
      <c r="S16" s="210" t="str">
        <f>'Focus Strategies Data All'!Q20</f>
        <v>NA</v>
      </c>
      <c r="T16" s="210" t="str">
        <f>'Focus Strategies Data All'!R20</f>
        <v>no</v>
      </c>
      <c r="U16" s="210" t="str">
        <f>'Focus Strategies Data All'!S20</f>
        <v>no</v>
      </c>
      <c r="V16" s="210" t="str">
        <f>'Focus Strategies Data All'!T20</f>
        <v>late</v>
      </c>
      <c r="W16" s="210" t="str">
        <f>'Focus Strategies Data All'!U20</f>
        <v>later</v>
      </c>
      <c r="X16" s="210" t="str">
        <f>'Focus Strategies Data All'!V20</f>
        <v>NA</v>
      </c>
      <c r="Y16" s="210" t="str">
        <f>'Focus Strategies Data All'!W20</f>
        <v>NA</v>
      </c>
      <c r="Z16" s="210" t="str">
        <f>'Focus Strategies Data All'!X20</f>
        <v>NA</v>
      </c>
      <c r="AA16" s="210" t="str">
        <f>'Focus Strategies Data All'!Y20</f>
        <v>NA</v>
      </c>
      <c r="AB16" s="210" t="str">
        <f>'Focus Strategies Data All'!Z20</f>
        <v>NA</v>
      </c>
      <c r="AC16" s="210" t="str">
        <f>'Focus Strategies Data All'!AA20</f>
        <v>NA</v>
      </c>
      <c r="AD16" s="210" t="str">
        <f>'Focus Strategies Data All'!AB20</f>
        <v>NA</v>
      </c>
      <c r="AE16" s="210" t="str">
        <f>'Focus Strategies Data All'!AC20</f>
        <v>no</v>
      </c>
    </row>
    <row r="17" spans="3:31" x14ac:dyDescent="0.2">
      <c r="C17" s="25" t="str">
        <f>'Focus Strategies Data All'!A55</f>
        <v>setaside</v>
      </c>
      <c r="D17" s="210" t="str">
        <f>'Focus Strategies Data All'!B55</f>
        <v>NA</v>
      </c>
      <c r="E17" s="210" t="str">
        <f>'Focus Strategies Data All'!C55</f>
        <v>August</v>
      </c>
      <c r="F17" s="210" t="str">
        <f>'Focus Strategies Data All'!D55</f>
        <v>NA</v>
      </c>
      <c r="H17" s="25" t="str">
        <f>'Focus Strategies Data All'!F55</f>
        <v>setaside</v>
      </c>
      <c r="I17" s="210" t="str">
        <f>'Focus Strategies Data All'!G55</f>
        <v>NA</v>
      </c>
      <c r="J17" s="210" t="str">
        <f>'Focus Strategies Data All'!H55</f>
        <v>NA</v>
      </c>
      <c r="K17" s="210" t="str">
        <f>'Focus Strategies Data All'!I55</f>
        <v>NA</v>
      </c>
      <c r="M17" s="25" t="str">
        <f>'Focus Strategies Data All'!K55</f>
        <v>setaside</v>
      </c>
      <c r="N17" s="210" t="str">
        <f>'Focus Strategies Data All'!L55</f>
        <v>NA</v>
      </c>
      <c r="O17" s="210" t="str">
        <f>'Focus Strategies Data All'!M55</f>
        <v>NA</v>
      </c>
      <c r="P17" s="210" t="str">
        <f>'Focus Strategies Data All'!N55</f>
        <v>NA</v>
      </c>
      <c r="R17" s="25" t="str">
        <f>'Focus Strategies Data All'!P21</f>
        <v>setaside</v>
      </c>
      <c r="S17" s="210" t="str">
        <f>'Focus Strategies Data All'!Q21</f>
        <v>no</v>
      </c>
      <c r="T17" s="210" t="str">
        <f>'Focus Strategies Data All'!R21</f>
        <v>no</v>
      </c>
      <c r="U17" s="210" t="str">
        <f>'Focus Strategies Data All'!S21</f>
        <v>no</v>
      </c>
      <c r="V17" s="210" t="str">
        <f>'Focus Strategies Data All'!T21</f>
        <v>no</v>
      </c>
      <c r="W17" s="210" t="str">
        <f>'Focus Strategies Data All'!U21</f>
        <v>no</v>
      </c>
      <c r="X17" s="210" t="str">
        <f>'Focus Strategies Data All'!V21</f>
        <v>no</v>
      </c>
      <c r="Y17" s="210" t="str">
        <f>'Focus Strategies Data All'!W21</f>
        <v>no</v>
      </c>
      <c r="Z17" s="210" t="str">
        <f>'Focus Strategies Data All'!X21</f>
        <v>no</v>
      </c>
      <c r="AA17" s="210" t="str">
        <f>'Focus Strategies Data All'!Y21</f>
        <v>no</v>
      </c>
      <c r="AB17" s="210" t="str">
        <f>'Focus Strategies Data All'!Z21</f>
        <v>no</v>
      </c>
      <c r="AC17" s="210" t="str">
        <f>'Focus Strategies Data All'!AA21</f>
        <v>no</v>
      </c>
      <c r="AD17" s="210" t="str">
        <f>'Focus Strategies Data All'!AB21</f>
        <v>no</v>
      </c>
      <c r="AE17" s="210" t="str">
        <f>'Focus Strategies Data All'!AC21</f>
        <v>no</v>
      </c>
    </row>
    <row r="18" spans="3:31" x14ac:dyDescent="0.2">
      <c r="C18" s="25" t="s">
        <v>303</v>
      </c>
      <c r="D18" s="210" t="str">
        <f>'Focus Strategies Data All'!B56</f>
        <v>NA</v>
      </c>
      <c r="E18" s="210" t="str">
        <f>'Focus Strategies Data All'!C56</f>
        <v>March</v>
      </c>
      <c r="F18" s="210" t="str">
        <f>'Focus Strategies Data All'!D56</f>
        <v>NA</v>
      </c>
      <c r="H18" s="25" t="s">
        <v>303</v>
      </c>
      <c r="I18" s="210" t="str">
        <f>'Focus Strategies Data All'!G56</f>
        <v>NA</v>
      </c>
      <c r="J18" s="210" t="str">
        <f>'Focus Strategies Data All'!H56</f>
        <v>NA</v>
      </c>
      <c r="K18" s="210" t="str">
        <f>'Focus Strategies Data All'!I56</f>
        <v>NA</v>
      </c>
      <c r="M18" s="25" t="s">
        <v>303</v>
      </c>
      <c r="N18" s="210" t="str">
        <f>'Focus Strategies Data All'!L56</f>
        <v>NA</v>
      </c>
      <c r="O18" s="210" t="str">
        <f>'Focus Strategies Data All'!M56</f>
        <v>NA</v>
      </c>
      <c r="P18" s="210" t="str">
        <f>'Focus Strategies Data All'!N56</f>
        <v>NA</v>
      </c>
      <c r="R18" s="25" t="str">
        <f>'Focus Strategies Data All'!P22</f>
        <v>maize</v>
      </c>
      <c r="S18" s="210" t="str">
        <f>'Focus Strategies Data All'!Q22</f>
        <v>NA</v>
      </c>
      <c r="T18" s="210" t="str">
        <f>'Focus Strategies Data All'!R22</f>
        <v>NA</v>
      </c>
      <c r="U18" s="210" t="str">
        <f>'Focus Strategies Data All'!S22</f>
        <v>no</v>
      </c>
      <c r="V18" s="210" t="str">
        <f>'Focus Strategies Data All'!T22</f>
        <v>late</v>
      </c>
      <c r="W18" s="210" t="str">
        <f>'Focus Strategies Data All'!U22</f>
        <v>latest</v>
      </c>
      <c r="X18" s="210" t="str">
        <f>'Focus Strategies Data All'!V22</f>
        <v>NA</v>
      </c>
      <c r="Y18" s="210" t="str">
        <f>'Focus Strategies Data All'!W22</f>
        <v>NA</v>
      </c>
      <c r="Z18" s="210" t="str">
        <f>'Focus Strategies Data All'!X22</f>
        <v>NA</v>
      </c>
      <c r="AA18" s="210" t="str">
        <f>'Focus Strategies Data All'!Y22</f>
        <v>NA</v>
      </c>
      <c r="AB18" s="210" t="str">
        <f>'Focus Strategies Data All'!Z22</f>
        <v>NA</v>
      </c>
      <c r="AC18" s="210" t="str">
        <f>'Focus Strategies Data All'!AA22</f>
        <v>NA</v>
      </c>
      <c r="AD18" s="210" t="str">
        <f>'Focus Strategies Data All'!AB22</f>
        <v>NA</v>
      </c>
      <c r="AE18" s="210" t="str">
        <f>'Focus Strategies Data All'!AC22</f>
        <v>no</v>
      </c>
    </row>
    <row r="19" spans="3:31" x14ac:dyDescent="0.2">
      <c r="C19" s="25" t="s">
        <v>270</v>
      </c>
      <c r="D19" s="210" t="str">
        <f>'Focus Strategies Data All'!B57</f>
        <v>March</v>
      </c>
      <c r="E19" s="210" t="str">
        <f>'Focus Strategies Data All'!C57</f>
        <v>NA</v>
      </c>
      <c r="F19" s="210" t="str">
        <f>'Focus Strategies Data All'!D57</f>
        <v>NA</v>
      </c>
      <c r="H19" s="25" t="s">
        <v>270</v>
      </c>
      <c r="I19" s="210" t="str">
        <f>'Focus Strategies Data All'!G57</f>
        <v>NA</v>
      </c>
      <c r="J19" s="210" t="str">
        <f>'Focus Strategies Data All'!H57</f>
        <v>NA</v>
      </c>
      <c r="K19" s="210" t="str">
        <f>'Focus Strategies Data All'!I57</f>
        <v>NA</v>
      </c>
      <c r="M19" s="25" t="s">
        <v>270</v>
      </c>
      <c r="N19" s="210" t="str">
        <f>'Focus Strategies Data All'!L57</f>
        <v>NA</v>
      </c>
      <c r="O19" s="210" t="str">
        <f>'Focus Strategies Data All'!M57</f>
        <v>NA</v>
      </c>
      <c r="P19" s="210" t="str">
        <f>'Focus Strategies Data All'!N57</f>
        <v>NA</v>
      </c>
      <c r="R19" s="25" t="str">
        <f>'Focus Strategies Data All'!P23</f>
        <v>springoats</v>
      </c>
      <c r="S19" s="210" t="str">
        <f>'Focus Strategies Data All'!Q23</f>
        <v>NA</v>
      </c>
      <c r="T19" s="210" t="str">
        <f>'Focus Strategies Data All'!R23</f>
        <v>no</v>
      </c>
      <c r="U19" s="210" t="str">
        <f>'Focus Strategies Data All'!S23</f>
        <v>no</v>
      </c>
      <c r="V19" s="210" t="str">
        <f>'Focus Strategies Data All'!T23</f>
        <v>late</v>
      </c>
      <c r="W19" s="210" t="str">
        <f>'Focus Strategies Data All'!U23</f>
        <v>latest</v>
      </c>
      <c r="X19" s="210" t="str">
        <f>'Focus Strategies Data All'!V23</f>
        <v>NA</v>
      </c>
      <c r="Y19" s="210" t="str">
        <f>'Focus Strategies Data All'!W23</f>
        <v>NA</v>
      </c>
      <c r="Z19" s="210" t="str">
        <f>'Focus Strategies Data All'!X23</f>
        <v>NA</v>
      </c>
      <c r="AA19" s="210" t="str">
        <f>'Focus Strategies Data All'!Y23</f>
        <v>NA</v>
      </c>
      <c r="AB19" s="210" t="str">
        <f>'Focus Strategies Data All'!Z23</f>
        <v>NA</v>
      </c>
      <c r="AC19" s="210" t="str">
        <f>'Focus Strategies Data All'!AA23</f>
        <v>NA</v>
      </c>
      <c r="AD19" s="210" t="str">
        <f>'Focus Strategies Data All'!AB23</f>
        <v>NA</v>
      </c>
      <c r="AE19" s="210" t="str">
        <f>'Focus Strategies Data All'!AC23</f>
        <v>no</v>
      </c>
    </row>
    <row r="20" spans="3:31" x14ac:dyDescent="0.2">
      <c r="R20" s="210"/>
      <c r="S20" s="210"/>
      <c r="T20" s="210"/>
      <c r="U20" s="210"/>
      <c r="V20" s="210"/>
      <c r="W20" s="210"/>
      <c r="X20" s="210"/>
      <c r="Y20" s="210"/>
      <c r="Z20" s="210"/>
      <c r="AA20" s="210"/>
      <c r="AB20" s="210"/>
      <c r="AC20" s="210"/>
      <c r="AD20" s="210"/>
    </row>
  </sheetData>
  <mergeCells count="3">
    <mergeCell ref="C2:F2"/>
    <mergeCell ref="H2:K2"/>
    <mergeCell ref="M2:P2"/>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FB4F7-6B8C-4A43-9CC3-BA30EBCB0E7D}">
  <dimension ref="A2:N19"/>
  <sheetViews>
    <sheetView workbookViewId="0">
      <selection activeCell="K1" sqref="K1:N1048576"/>
    </sheetView>
  </sheetViews>
  <sheetFormatPr baseColWidth="10" defaultColWidth="8.83203125" defaultRowHeight="15" x14ac:dyDescent="0.2"/>
  <cols>
    <col min="1" max="1" width="13.5" customWidth="1"/>
    <col min="2" max="4" width="17" customWidth="1"/>
    <col min="5" max="5" width="5.6640625" customWidth="1"/>
    <col min="6" max="9" width="15.83203125" customWidth="1"/>
    <col min="10" max="10" width="5.5" customWidth="1"/>
    <col min="11" max="14" width="16.5" customWidth="1"/>
  </cols>
  <sheetData>
    <row r="2" spans="1:14" x14ac:dyDescent="0.2">
      <c r="A2" s="415" t="s">
        <v>1691</v>
      </c>
      <c r="B2" s="415"/>
      <c r="C2" s="415"/>
      <c r="D2" s="415"/>
      <c r="F2" s="415" t="s">
        <v>1692</v>
      </c>
      <c r="G2" s="415"/>
      <c r="H2" s="415"/>
      <c r="I2" s="415"/>
      <c r="K2" s="415" t="s">
        <v>1693</v>
      </c>
      <c r="L2" s="415"/>
      <c r="M2" s="415"/>
      <c r="N2" s="415"/>
    </row>
    <row r="3" spans="1:14" x14ac:dyDescent="0.2">
      <c r="A3" s="211" t="s">
        <v>140</v>
      </c>
      <c r="B3" s="231" t="s">
        <v>12</v>
      </c>
      <c r="C3" s="231" t="s">
        <v>10</v>
      </c>
      <c r="D3" s="231" t="s">
        <v>11</v>
      </c>
      <c r="E3" s="1"/>
      <c r="F3" s="211" t="s">
        <v>140</v>
      </c>
      <c r="G3" s="231" t="s">
        <v>12</v>
      </c>
      <c r="H3" s="231" t="s">
        <v>10</v>
      </c>
      <c r="I3" s="231" t="s">
        <v>11</v>
      </c>
      <c r="J3" s="1"/>
      <c r="K3" s="211" t="s">
        <v>140</v>
      </c>
      <c r="L3" s="231" t="s">
        <v>12</v>
      </c>
      <c r="M3" s="231" t="s">
        <v>10</v>
      </c>
      <c r="N3" s="231" t="s">
        <v>11</v>
      </c>
    </row>
    <row r="4" spans="1:14" x14ac:dyDescent="0.2">
      <c r="A4" s="25" t="str">
        <f>'Focus Strategies Data All'!A60</f>
        <v>winterwheat</v>
      </c>
      <c r="B4" s="246" t="str">
        <f>'Focus Strategies Data All'!B60</f>
        <v>lightcultivation</v>
      </c>
      <c r="C4" s="210" t="str">
        <f>'Focus Strategies Data All'!C60</f>
        <v>lightcultivation</v>
      </c>
      <c r="D4" s="210" t="str">
        <f>'Focus Strategies Data All'!D60</f>
        <v>lightcultivation</v>
      </c>
      <c r="E4" s="25"/>
      <c r="F4" s="25" t="str">
        <f>'Focus Strategies Data All'!F60</f>
        <v>winterwheat</v>
      </c>
      <c r="G4" s="210" t="str">
        <f>'Focus Strategies Data All'!G60</f>
        <v>lightcultivation</v>
      </c>
      <c r="H4" s="210" t="str">
        <f>'Focus Strategies Data All'!H60</f>
        <v>lightcultivation</v>
      </c>
      <c r="I4" s="210" t="str">
        <f>'Focus Strategies Data All'!I60</f>
        <v>inversion</v>
      </c>
      <c r="J4" s="25"/>
      <c r="K4" s="25" t="str">
        <f>'Focus Strategies Data All'!K60</f>
        <v>winterwheat</v>
      </c>
      <c r="L4" s="210" t="str">
        <f>'Focus Strategies Data All'!L60</f>
        <v>minimumtillage</v>
      </c>
      <c r="M4" s="210" t="str">
        <f>'Focus Strategies Data All'!M60</f>
        <v>lightcultivation</v>
      </c>
      <c r="N4" s="210" t="str">
        <f>'Focus Strategies Data All'!N60</f>
        <v>lightcultivation</v>
      </c>
    </row>
    <row r="5" spans="1:14" x14ac:dyDescent="0.2">
      <c r="A5" s="25" t="str">
        <f>'Focus Strategies Data All'!A61</f>
        <v>springwheat</v>
      </c>
      <c r="B5" s="210" t="str">
        <f>'Focus Strategies Data All'!B61</f>
        <v>NA</v>
      </c>
      <c r="C5" s="210" t="str">
        <f>'Focus Strategies Data All'!C61</f>
        <v>NA</v>
      </c>
      <c r="D5" s="210" t="str">
        <f>'Focus Strategies Data All'!D61</f>
        <v>NA</v>
      </c>
      <c r="E5" s="25"/>
      <c r="F5" s="25" t="str">
        <f>'Focus Strategies Data All'!F61</f>
        <v>springwheat</v>
      </c>
      <c r="G5" s="210" t="str">
        <f>'Focus Strategies Data All'!G61</f>
        <v>NA</v>
      </c>
      <c r="H5" s="210" t="str">
        <f>'Focus Strategies Data All'!H61</f>
        <v>NA</v>
      </c>
      <c r="I5" s="210" t="str">
        <f>'Focus Strategies Data All'!I61</f>
        <v>NA</v>
      </c>
      <c r="J5" s="25"/>
      <c r="K5" s="25" t="str">
        <f>'Focus Strategies Data All'!K61</f>
        <v>springwheat</v>
      </c>
      <c r="L5" s="210" t="str">
        <f>'Focus Strategies Data All'!L61</f>
        <v>NA</v>
      </c>
      <c r="M5" s="210" t="str">
        <f>'Focus Strategies Data All'!M61</f>
        <v>NA</v>
      </c>
      <c r="N5" s="210" t="str">
        <f>'Focus Strategies Data All'!N61</f>
        <v>NA</v>
      </c>
    </row>
    <row r="6" spans="1:14" x14ac:dyDescent="0.2">
      <c r="A6" s="25" t="str">
        <f>'Focus Strategies Data All'!A62</f>
        <v>winterbarley</v>
      </c>
      <c r="B6" s="210" t="str">
        <f>'Focus Strategies Data All'!B62</f>
        <v>NA</v>
      </c>
      <c r="C6" s="210" t="str">
        <f>'Focus Strategies Data All'!C62</f>
        <v>NA</v>
      </c>
      <c r="D6" s="210" t="str">
        <f>'Focus Strategies Data All'!D62</f>
        <v>NA</v>
      </c>
      <c r="E6" s="25"/>
      <c r="F6" s="25" t="str">
        <f>'Focus Strategies Data All'!F62</f>
        <v>winterbarley</v>
      </c>
      <c r="G6" s="210" t="str">
        <f>'Focus Strategies Data All'!G62</f>
        <v>lightcultivation</v>
      </c>
      <c r="H6" s="210" t="str">
        <f>'Focus Strategies Data All'!H62</f>
        <v>lightcultivation</v>
      </c>
      <c r="I6" s="210" t="str">
        <f>'Focus Strategies Data All'!I62</f>
        <v>NA</v>
      </c>
      <c r="J6" s="25"/>
      <c r="K6" s="25" t="str">
        <f>'Focus Strategies Data All'!K62</f>
        <v>winterbarley</v>
      </c>
      <c r="L6" s="210" t="str">
        <f>'Focus Strategies Data All'!L62</f>
        <v>NA</v>
      </c>
      <c r="M6" s="210" t="str">
        <f>'Focus Strategies Data All'!M62</f>
        <v>lightcultivation</v>
      </c>
      <c r="N6" s="210" t="str">
        <f>'Focus Strategies Data All'!N62</f>
        <v>lightcultivation</v>
      </c>
    </row>
    <row r="7" spans="1:14" x14ac:dyDescent="0.2">
      <c r="A7" s="25" t="str">
        <f>'Focus Strategies Data All'!A63</f>
        <v>springbarley</v>
      </c>
      <c r="B7" s="210" t="str">
        <f>'Focus Strategies Data All'!B63</f>
        <v>lightcultivation</v>
      </c>
      <c r="C7" s="210" t="str">
        <f>'Focus Strategies Data All'!C63</f>
        <v>lightcultivation</v>
      </c>
      <c r="D7" s="210" t="str">
        <f>'Focus Strategies Data All'!D63</f>
        <v>lightcultivation</v>
      </c>
      <c r="E7" s="25"/>
      <c r="F7" s="25" t="str">
        <f>'Focus Strategies Data All'!F63</f>
        <v>springbarley</v>
      </c>
      <c r="G7" s="210" t="str">
        <f>'Focus Strategies Data All'!G63</f>
        <v>NA</v>
      </c>
      <c r="H7" s="210" t="str">
        <f>'Focus Strategies Data All'!H63</f>
        <v>NA</v>
      </c>
      <c r="I7" s="210" t="str">
        <f>'Focus Strategies Data All'!I63</f>
        <v>minimumtillage</v>
      </c>
      <c r="J7" s="25"/>
      <c r="K7" s="25" t="str">
        <f>'Focus Strategies Data All'!K63</f>
        <v>springbarley</v>
      </c>
      <c r="L7" s="210" t="str">
        <f>'Focus Strategies Data All'!L63</f>
        <v>NA</v>
      </c>
      <c r="M7" s="210" t="str">
        <f>'Focus Strategies Data All'!M63</f>
        <v>NA</v>
      </c>
      <c r="N7" s="210" t="str">
        <f>'Focus Strategies Data All'!N63</f>
        <v>NA</v>
      </c>
    </row>
    <row r="8" spans="1:14" x14ac:dyDescent="0.2">
      <c r="A8" s="25" t="str">
        <f>'Focus Strategies Data All'!A64</f>
        <v>winterbeans</v>
      </c>
      <c r="B8" s="210" t="str">
        <f>'Focus Strategies Data All'!B64</f>
        <v>NA</v>
      </c>
      <c r="C8" s="210" t="str">
        <f>'Focus Strategies Data All'!C64</f>
        <v>NA</v>
      </c>
      <c r="D8" s="210" t="str">
        <f>'Focus Strategies Data All'!D64</f>
        <v>NA</v>
      </c>
      <c r="E8" s="25"/>
      <c r="F8" s="25" t="str">
        <f>'Focus Strategies Data All'!F64</f>
        <v>winterbeans</v>
      </c>
      <c r="G8" s="210" t="str">
        <f>'Focus Strategies Data All'!G64</f>
        <v>NA</v>
      </c>
      <c r="H8" s="210" t="str">
        <f>'Focus Strategies Data All'!H64</f>
        <v>NA</v>
      </c>
      <c r="I8" s="210" t="str">
        <f>'Focus Strategies Data All'!I64</f>
        <v>NA</v>
      </c>
      <c r="J8" s="25"/>
      <c r="K8" s="25" t="str">
        <f>'Focus Strategies Data All'!K64</f>
        <v>winterbeans</v>
      </c>
      <c r="L8" s="210" t="str">
        <f>'Focus Strategies Data All'!L64</f>
        <v>NA</v>
      </c>
      <c r="M8" s="210" t="str">
        <f>'Focus Strategies Data All'!M64</f>
        <v>NA</v>
      </c>
      <c r="N8" s="210" t="str">
        <f>'Focus Strategies Data All'!N64</f>
        <v>NA</v>
      </c>
    </row>
    <row r="9" spans="1:14" x14ac:dyDescent="0.2">
      <c r="A9" s="25" t="str">
        <f>'Focus Strategies Data All'!A65</f>
        <v>springbeans</v>
      </c>
      <c r="B9" s="210" t="str">
        <f>'Focus Strategies Data All'!B65</f>
        <v>subsoiling</v>
      </c>
      <c r="C9" s="210" t="str">
        <f>'Focus Strategies Data All'!C65</f>
        <v>NA</v>
      </c>
      <c r="D9" s="210" t="str">
        <f>'Focus Strategies Data All'!D65</f>
        <v>ploughing</v>
      </c>
      <c r="E9" s="25"/>
      <c r="F9" s="25" t="str">
        <f>'Focus Strategies Data All'!F65</f>
        <v>springbeans</v>
      </c>
      <c r="G9" s="210" t="str">
        <f>'Focus Strategies Data All'!G65</f>
        <v>subsoiling</v>
      </c>
      <c r="H9" s="210" t="str">
        <f>'Focus Strategies Data All'!H65</f>
        <v>lightcultivation</v>
      </c>
      <c r="I9" s="210" t="str">
        <f>'Focus Strategies Data All'!I65</f>
        <v>NA</v>
      </c>
      <c r="J9" s="25"/>
      <c r="K9" s="25" t="str">
        <f>'Focus Strategies Data All'!K65</f>
        <v>springbeans</v>
      </c>
      <c r="L9" s="210" t="str">
        <f>'Focus Strategies Data All'!L65</f>
        <v>NA</v>
      </c>
      <c r="M9" s="210" t="str">
        <f>'Focus Strategies Data All'!M65</f>
        <v>lightcultivation</v>
      </c>
      <c r="N9" s="210" t="str">
        <f>'Focus Strategies Data All'!N65</f>
        <v>lightcultivation</v>
      </c>
    </row>
    <row r="10" spans="1:14" x14ac:dyDescent="0.2">
      <c r="A10" s="25" t="str">
        <f>'Focus Strategies Data All'!A66</f>
        <v>warepotatoes</v>
      </c>
      <c r="B10" s="210" t="str">
        <f>'Focus Strategies Data All'!B66</f>
        <v>NA</v>
      </c>
      <c r="C10" s="210" t="str">
        <f>'Focus Strategies Data All'!C66</f>
        <v>NA</v>
      </c>
      <c r="D10" s="210" t="str">
        <f>'Focus Strategies Data All'!D66</f>
        <v>NA</v>
      </c>
      <c r="E10" s="25"/>
      <c r="F10" s="25" t="str">
        <f>'Focus Strategies Data All'!F66</f>
        <v>warepotatoes</v>
      </c>
      <c r="G10" s="210" t="str">
        <f>'Focus Strategies Data All'!G66</f>
        <v>NA</v>
      </c>
      <c r="H10" s="210" t="str">
        <f>'Focus Strategies Data All'!H66</f>
        <v>NA</v>
      </c>
      <c r="I10" s="210" t="str">
        <f>'Focus Strategies Data All'!I66</f>
        <v>NA</v>
      </c>
      <c r="J10" s="25"/>
      <c r="K10" s="25" t="str">
        <f>'Focus Strategies Data All'!K66</f>
        <v>warepotatoes</v>
      </c>
      <c r="L10" s="210" t="str">
        <f>'Focus Strategies Data All'!L66</f>
        <v>NA</v>
      </c>
      <c r="M10" s="210" t="str">
        <f>'Focus Strategies Data All'!M66</f>
        <v>NA</v>
      </c>
      <c r="N10" s="210" t="str">
        <f>'Focus Strategies Data All'!N66</f>
        <v>NA</v>
      </c>
    </row>
    <row r="11" spans="1:14" x14ac:dyDescent="0.2">
      <c r="A11" s="25" t="str">
        <f>'Focus Strategies Data All'!A67</f>
        <v>wosr</v>
      </c>
      <c r="B11" s="210" t="str">
        <f>'Focus Strategies Data All'!B67</f>
        <v>NA</v>
      </c>
      <c r="C11" s="210" t="str">
        <f>'Focus Strategies Data All'!C67</f>
        <v>directdrilling</v>
      </c>
      <c r="D11" s="210" t="str">
        <f>'Focus Strategies Data All'!D67</f>
        <v>directdrilling</v>
      </c>
      <c r="E11" s="25"/>
      <c r="F11" s="25" t="str">
        <f>'Focus Strategies Data All'!F67</f>
        <v>wosr</v>
      </c>
      <c r="G11" s="210" t="str">
        <f>'Focus Strategies Data All'!G67</f>
        <v>directdrilling</v>
      </c>
      <c r="H11" s="210" t="str">
        <f>'Focus Strategies Data All'!H67</f>
        <v>NA</v>
      </c>
      <c r="I11" s="210" t="str">
        <f>'Focus Strategies Data All'!I67</f>
        <v>directdrilling</v>
      </c>
      <c r="J11" s="25"/>
      <c r="K11" s="25" t="str">
        <f>'Focus Strategies Data All'!K67</f>
        <v>wosr</v>
      </c>
      <c r="L11" s="210" t="str">
        <f>'Focus Strategies Data All'!L67</f>
        <v>subsoiling</v>
      </c>
      <c r="M11" s="210" t="str">
        <f>'Focus Strategies Data All'!M67</f>
        <v>subsoiling</v>
      </c>
      <c r="N11" s="210" t="str">
        <f>'Focus Strategies Data All'!N67</f>
        <v>subsoiling</v>
      </c>
    </row>
    <row r="12" spans="1:14" x14ac:dyDescent="0.2">
      <c r="A12" s="25" t="str">
        <f>'Focus Strategies Data All'!A68</f>
        <v>sosr</v>
      </c>
      <c r="B12" s="210" t="str">
        <f>'Focus Strategies Data All'!B68</f>
        <v>NA</v>
      </c>
      <c r="C12" s="210" t="str">
        <f>'Focus Strategies Data All'!C68</f>
        <v>directdrilling</v>
      </c>
      <c r="D12" s="210" t="str">
        <f>'Focus Strategies Data All'!D68</f>
        <v>NA</v>
      </c>
      <c r="E12" s="25"/>
      <c r="F12" s="25" t="str">
        <f>'Focus Strategies Data All'!F68</f>
        <v>sosr</v>
      </c>
      <c r="G12" s="210" t="str">
        <f>'Focus Strategies Data All'!G68</f>
        <v>NA</v>
      </c>
      <c r="H12" s="210" t="str">
        <f>'Focus Strategies Data All'!H68</f>
        <v>NA</v>
      </c>
      <c r="I12" s="210" t="str">
        <f>'Focus Strategies Data All'!I68</f>
        <v>NA</v>
      </c>
      <c r="J12" s="25"/>
      <c r="K12" s="25" t="str">
        <f>'Focus Strategies Data All'!K68</f>
        <v>sosr</v>
      </c>
      <c r="L12" s="210" t="str">
        <f>'Focus Strategies Data All'!L68</f>
        <v>NA</v>
      </c>
      <c r="M12" s="210" t="str">
        <f>'Focus Strategies Data All'!M68</f>
        <v>NA</v>
      </c>
      <c r="N12" s="210" t="str">
        <f>'Focus Strategies Data All'!N68</f>
        <v>NA</v>
      </c>
    </row>
    <row r="13" spans="1:14" x14ac:dyDescent="0.2">
      <c r="A13" s="25" t="str">
        <f>'Focus Strategies Data All'!A69</f>
        <v>sugarbeet</v>
      </c>
      <c r="B13" s="210" t="str">
        <f>'Focus Strategies Data All'!B69</f>
        <v>lightcultivation</v>
      </c>
      <c r="C13" s="210" t="str">
        <f>'Focus Strategies Data All'!C69</f>
        <v>NA</v>
      </c>
      <c r="D13" s="210" t="str">
        <f>'Focus Strategies Data All'!D69</f>
        <v>NA</v>
      </c>
      <c r="E13" s="25"/>
      <c r="F13" s="25" t="str">
        <f>'Focus Strategies Data All'!F69</f>
        <v>sugarbeet</v>
      </c>
      <c r="G13" s="210" t="str">
        <f>'Focus Strategies Data All'!G69</f>
        <v>NA</v>
      </c>
      <c r="H13" s="210" t="str">
        <f>'Focus Strategies Data All'!H69</f>
        <v>NA</v>
      </c>
      <c r="I13" s="210" t="str">
        <f>'Focus Strategies Data All'!I69</f>
        <v>NA</v>
      </c>
      <c r="J13" s="25"/>
      <c r="K13" s="25" t="str">
        <f>'Focus Strategies Data All'!K69</f>
        <v>sugarbeet</v>
      </c>
      <c r="L13" s="210" t="str">
        <f>'Focus Strategies Data All'!L69</f>
        <v>NA</v>
      </c>
      <c r="M13" s="210" t="str">
        <f>'Focus Strategies Data All'!M69</f>
        <v>NA</v>
      </c>
      <c r="N13" s="210" t="str">
        <f>'Focus Strategies Data All'!N69</f>
        <v>NA</v>
      </c>
    </row>
    <row r="14" spans="1:14" x14ac:dyDescent="0.2">
      <c r="A14" s="25" t="str">
        <f>'Focus Strategies Data All'!A70</f>
        <v>winterlinseed</v>
      </c>
      <c r="B14" s="210" t="str">
        <f>'Focus Strategies Data All'!B70</f>
        <v>NA</v>
      </c>
      <c r="C14" s="210" t="str">
        <f>'Focus Strategies Data All'!C70</f>
        <v>NA</v>
      </c>
      <c r="D14" s="210" t="str">
        <f>'Focus Strategies Data All'!D70</f>
        <v>NA</v>
      </c>
      <c r="E14" s="25"/>
      <c r="F14" s="25" t="str">
        <f>'Focus Strategies Data All'!F70</f>
        <v>winterlinseed</v>
      </c>
      <c r="G14" s="210" t="str">
        <f>'Focus Strategies Data All'!G70</f>
        <v>NA</v>
      </c>
      <c r="H14" s="210" t="str">
        <f>'Focus Strategies Data All'!H70</f>
        <v>NA</v>
      </c>
      <c r="I14" s="210" t="str">
        <f>'Focus Strategies Data All'!I70</f>
        <v>NA</v>
      </c>
      <c r="J14" s="25"/>
      <c r="K14" s="25" t="str">
        <f>'Focus Strategies Data All'!K70</f>
        <v>winterlinseed</v>
      </c>
      <c r="L14" s="210" t="str">
        <f>'Focus Strategies Data All'!L70</f>
        <v>NA</v>
      </c>
      <c r="M14" s="210" t="str">
        <f>'Focus Strategies Data All'!M70</f>
        <v>NA</v>
      </c>
      <c r="N14" s="210" t="str">
        <f>'Focus Strategies Data All'!N70</f>
        <v>NA</v>
      </c>
    </row>
    <row r="15" spans="1:14" x14ac:dyDescent="0.2">
      <c r="A15" s="25" t="str">
        <f>'Focus Strategies Data All'!A71</f>
        <v>springlinseed</v>
      </c>
      <c r="B15" s="210" t="str">
        <f>'Focus Strategies Data All'!B71</f>
        <v>lightcultivation</v>
      </c>
      <c r="C15" s="210" t="str">
        <f>'Focus Strategies Data All'!C71</f>
        <v>NA</v>
      </c>
      <c r="D15" s="210" t="str">
        <f>'Focus Strategies Data All'!D71</f>
        <v>NA</v>
      </c>
      <c r="E15" s="25"/>
      <c r="F15" s="25" t="str">
        <f>'Focus Strategies Data All'!F71</f>
        <v>springlinseed</v>
      </c>
      <c r="G15" s="210" t="str">
        <f>'Focus Strategies Data All'!G71</f>
        <v>NA</v>
      </c>
      <c r="H15" s="210" t="str">
        <f>'Focus Strategies Data All'!H71</f>
        <v>NA</v>
      </c>
      <c r="I15" s="210" t="str">
        <f>'Focus Strategies Data All'!I71</f>
        <v>NA</v>
      </c>
      <c r="J15" s="25"/>
      <c r="K15" s="25" t="str">
        <f>'Focus Strategies Data All'!K71</f>
        <v>springlinseed</v>
      </c>
      <c r="L15" s="210" t="str">
        <f>'Focus Strategies Data All'!L71</f>
        <v>NA</v>
      </c>
      <c r="M15" s="210" t="str">
        <f>'Focus Strategies Data All'!M71</f>
        <v>NA</v>
      </c>
      <c r="N15" s="210" t="str">
        <f>'Focus Strategies Data All'!N71</f>
        <v>NA</v>
      </c>
    </row>
    <row r="16" spans="1:14" x14ac:dyDescent="0.2">
      <c r="A16" s="25" t="str">
        <f>'Focus Strategies Data All'!A72</f>
        <v>driedpeas</v>
      </c>
      <c r="B16" s="210" t="s">
        <v>302</v>
      </c>
      <c r="C16" s="210" t="str">
        <f>'Focus Strategies Data All'!C72</f>
        <v>NA</v>
      </c>
      <c r="D16" s="210" t="str">
        <f>'Focus Strategies Data All'!D72</f>
        <v>ploughing</v>
      </c>
      <c r="E16" s="25"/>
      <c r="F16" s="25" t="str">
        <f>'Focus Strategies Data All'!F72</f>
        <v>driedpeas</v>
      </c>
      <c r="G16" s="210" t="str">
        <f>'Focus Strategies Data All'!G72</f>
        <v>subsoiling</v>
      </c>
      <c r="H16" s="210" t="str">
        <f>'Focus Strategies Data All'!H72</f>
        <v>lightcultivation</v>
      </c>
      <c r="I16" s="210" t="str">
        <f>'Focus Strategies Data All'!I72</f>
        <v>NA</v>
      </c>
      <c r="J16" s="25"/>
      <c r="K16" s="25" t="str">
        <f>'Focus Strategies Data All'!K72</f>
        <v>driedpeas</v>
      </c>
      <c r="L16" s="210" t="str">
        <f>'Focus Strategies Data All'!L72</f>
        <v>NA</v>
      </c>
      <c r="M16" s="210" t="str">
        <f>'Focus Strategies Data All'!M72</f>
        <v>lightcultivation</v>
      </c>
      <c r="N16" s="210" t="str">
        <f>'Focus Strategies Data All'!N72</f>
        <v>lightcultivation</v>
      </c>
    </row>
    <row r="17" spans="1:14" x14ac:dyDescent="0.2">
      <c r="A17" s="25" t="str">
        <f>'Focus Strategies Data All'!A73</f>
        <v>setaside</v>
      </c>
      <c r="B17" s="210" t="str">
        <f>'Focus Strategies Data All'!B73</f>
        <v>NA</v>
      </c>
      <c r="C17" s="210" t="str">
        <f>'Focus Strategies Data All'!C73</f>
        <v>lightcultivation</v>
      </c>
      <c r="D17" s="210" t="str">
        <f>'Focus Strategies Data All'!D73</f>
        <v>NA</v>
      </c>
      <c r="E17" s="25"/>
      <c r="F17" s="25" t="str">
        <f>'Focus Strategies Data All'!F73</f>
        <v>setaside</v>
      </c>
      <c r="G17" s="210" t="str">
        <f>'Focus Strategies Data All'!G73</f>
        <v>NA</v>
      </c>
      <c r="H17" s="210" t="str">
        <f>'Focus Strategies Data All'!H73</f>
        <v>NA</v>
      </c>
      <c r="I17" s="210" t="str">
        <f>'Focus Strategies Data All'!I73</f>
        <v>NA</v>
      </c>
      <c r="J17" s="25"/>
      <c r="K17" s="25" t="str">
        <f>'Focus Strategies Data All'!K73</f>
        <v>setaside</v>
      </c>
      <c r="L17" s="210" t="str">
        <f>'Focus Strategies Data All'!L73</f>
        <v>NA</v>
      </c>
      <c r="M17" s="210" t="str">
        <f>'Focus Strategies Data All'!M73</f>
        <v>NA</v>
      </c>
      <c r="N17" s="210" t="str">
        <f>'Focus Strategies Data All'!N73</f>
        <v>NA</v>
      </c>
    </row>
    <row r="18" spans="1:14" x14ac:dyDescent="0.2">
      <c r="A18" s="25" t="str">
        <f>'Focus Strategies Data All'!A74</f>
        <v>maize</v>
      </c>
      <c r="B18" s="210" t="str">
        <f>'Focus Strategies Data All'!B74</f>
        <v>NA</v>
      </c>
      <c r="C18" s="210" t="str">
        <f>'Focus Strategies Data All'!C74</f>
        <v>directdrilling</v>
      </c>
      <c r="D18" s="210" t="str">
        <f>'Focus Strategies Data All'!D74</f>
        <v>NA</v>
      </c>
      <c r="F18" s="25" t="s">
        <v>303</v>
      </c>
      <c r="G18" s="210" t="str">
        <f>'Focus Strategies Data All'!G74</f>
        <v>NA</v>
      </c>
      <c r="H18" s="210" t="str">
        <f>'Focus Strategies Data All'!H74</f>
        <v>NA</v>
      </c>
      <c r="I18" s="210" t="str">
        <f>'Focus Strategies Data All'!I74</f>
        <v>NA</v>
      </c>
      <c r="K18" s="25" t="s">
        <v>303</v>
      </c>
      <c r="L18" s="210" t="str">
        <f>'Focus Strategies Data All'!L74</f>
        <v>NA</v>
      </c>
      <c r="M18" s="210" t="str">
        <f>'Focus Strategies Data All'!M74</f>
        <v>NA</v>
      </c>
      <c r="N18" s="210" t="str">
        <f>'Focus Strategies Data All'!N74</f>
        <v>NA</v>
      </c>
    </row>
    <row r="19" spans="1:14" x14ac:dyDescent="0.2">
      <c r="A19" s="25" t="str">
        <f>'Focus Strategies Data All'!A75</f>
        <v>springoats</v>
      </c>
      <c r="B19" s="210" t="str">
        <f>'Focus Strategies Data All'!B75</f>
        <v>lightcultivation</v>
      </c>
      <c r="C19" s="210" t="str">
        <f>'Focus Strategies Data All'!C75</f>
        <v>NA</v>
      </c>
      <c r="D19" s="210" t="str">
        <f>'Focus Strategies Data All'!D75</f>
        <v>NA</v>
      </c>
      <c r="F19" s="25" t="s">
        <v>270</v>
      </c>
      <c r="G19" s="210" t="str">
        <f>'Focus Strategies Data All'!G75</f>
        <v>NA</v>
      </c>
      <c r="H19" s="210" t="str">
        <f>'Focus Strategies Data All'!H75</f>
        <v>NA</v>
      </c>
      <c r="I19" s="210" t="str">
        <f>'Focus Strategies Data All'!I75</f>
        <v>NA</v>
      </c>
      <c r="K19" s="25" t="s">
        <v>270</v>
      </c>
      <c r="L19" s="210" t="str">
        <f>'Focus Strategies Data All'!L75</f>
        <v>NA</v>
      </c>
      <c r="M19" s="210" t="str">
        <f>'Focus Strategies Data All'!M75</f>
        <v>NA</v>
      </c>
      <c r="N19" s="210" t="str">
        <f>'Focus Strategies Data All'!N75</f>
        <v>NA</v>
      </c>
    </row>
  </sheetData>
  <mergeCells count="3">
    <mergeCell ref="A2:D2"/>
    <mergeCell ref="F2:I2"/>
    <mergeCell ref="K2:N2"/>
  </mergeCells>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8C399-E36D-4193-924F-13648FBF2CE9}">
  <dimension ref="A1:BC36"/>
  <sheetViews>
    <sheetView workbookViewId="0">
      <selection sqref="A1:A2"/>
    </sheetView>
  </sheetViews>
  <sheetFormatPr baseColWidth="10" defaultColWidth="8.83203125" defaultRowHeight="15" x14ac:dyDescent="0.2"/>
  <cols>
    <col min="1" max="1" width="15.5" customWidth="1"/>
    <col min="2" max="41" width="3" customWidth="1"/>
    <col min="42" max="42" width="3.5" customWidth="1"/>
    <col min="43" max="48" width="3" customWidth="1"/>
    <col min="50" max="50" width="2.33203125" customWidth="1"/>
    <col min="51" max="51" width="8.6640625" customWidth="1"/>
    <col min="52" max="53" width="11.5" customWidth="1"/>
    <col min="54" max="54" width="2.83203125" customWidth="1"/>
    <col min="55" max="55" width="8.83203125" style="29"/>
  </cols>
  <sheetData>
    <row r="1" spans="1:55" s="3" customFormat="1" ht="14.5" customHeight="1" x14ac:dyDescent="0.2">
      <c r="A1" s="424" t="s">
        <v>75</v>
      </c>
      <c r="C1" s="421" t="s">
        <v>76</v>
      </c>
      <c r="D1" s="421"/>
      <c r="E1" s="421"/>
      <c r="F1" s="421"/>
      <c r="G1" s="421"/>
      <c r="H1" s="421"/>
      <c r="K1" s="421" t="s">
        <v>77</v>
      </c>
      <c r="L1" s="421"/>
      <c r="M1" s="421"/>
      <c r="N1" s="421"/>
      <c r="O1" s="421"/>
      <c r="P1" s="421"/>
      <c r="Q1" s="421"/>
      <c r="T1" s="421" t="s">
        <v>78</v>
      </c>
      <c r="U1" s="421"/>
      <c r="V1" s="421"/>
      <c r="W1" s="421"/>
      <c r="X1" s="421"/>
      <c r="AA1" s="421" t="s">
        <v>79</v>
      </c>
      <c r="AB1" s="421"/>
      <c r="AC1" s="421"/>
      <c r="AD1" s="421"/>
      <c r="AE1" s="421"/>
      <c r="AF1" s="421"/>
      <c r="AI1" s="421" t="s">
        <v>80</v>
      </c>
      <c r="AJ1" s="421"/>
      <c r="AK1" s="421"/>
      <c r="AL1" s="421"/>
      <c r="AM1" s="421"/>
      <c r="AN1" s="421"/>
      <c r="AO1" s="421"/>
      <c r="AR1" s="421" t="s">
        <v>81</v>
      </c>
      <c r="AS1" s="421"/>
      <c r="AT1" s="421"/>
      <c r="AU1" s="421"/>
      <c r="AV1" s="421"/>
      <c r="BC1" s="28"/>
    </row>
    <row r="2" spans="1:55" x14ac:dyDescent="0.2">
      <c r="A2" s="424"/>
      <c r="B2" s="4"/>
      <c r="C2" s="422" t="s">
        <v>30</v>
      </c>
      <c r="D2" s="422"/>
      <c r="E2" s="422"/>
      <c r="F2" s="422"/>
      <c r="G2" s="422"/>
      <c r="H2" s="422"/>
      <c r="I2" s="4"/>
      <c r="J2" s="4"/>
      <c r="K2" s="422" t="s">
        <v>30</v>
      </c>
      <c r="L2" s="422"/>
      <c r="M2" s="422"/>
      <c r="N2" s="422"/>
      <c r="O2" s="422"/>
      <c r="P2" s="422"/>
      <c r="Q2" s="422"/>
      <c r="R2" s="4"/>
      <c r="S2" s="5"/>
      <c r="T2" s="423" t="s">
        <v>34</v>
      </c>
      <c r="U2" s="423"/>
      <c r="V2" s="423"/>
      <c r="W2" s="423"/>
      <c r="X2" s="423"/>
      <c r="Y2" s="4"/>
      <c r="Z2" s="4"/>
      <c r="AA2" s="422" t="s">
        <v>30</v>
      </c>
      <c r="AB2" s="422"/>
      <c r="AC2" s="422"/>
      <c r="AD2" s="422"/>
      <c r="AE2" s="422"/>
      <c r="AF2" s="422"/>
      <c r="AG2" s="4"/>
      <c r="AH2" s="4"/>
      <c r="AI2" s="422" t="s">
        <v>30</v>
      </c>
      <c r="AJ2" s="422"/>
      <c r="AK2" s="422"/>
      <c r="AL2" s="422"/>
      <c r="AM2" s="422"/>
      <c r="AN2" s="422"/>
      <c r="AO2" s="422"/>
      <c r="AQ2" s="4"/>
      <c r="AR2" s="423" t="s">
        <v>34</v>
      </c>
      <c r="AS2" s="423"/>
      <c r="AT2" s="423"/>
      <c r="AU2" s="423"/>
      <c r="AV2" s="423"/>
    </row>
    <row r="3" spans="1:55" x14ac:dyDescent="0.2">
      <c r="A3" s="4"/>
      <c r="B3" s="4"/>
      <c r="C3" s="6" t="s">
        <v>36</v>
      </c>
      <c r="D3" s="6" t="s">
        <v>49</v>
      </c>
      <c r="E3" s="6" t="s">
        <v>45</v>
      </c>
      <c r="F3" s="6" t="s">
        <v>61</v>
      </c>
      <c r="G3" s="7" t="s">
        <v>28</v>
      </c>
      <c r="H3" s="6" t="s">
        <v>53</v>
      </c>
      <c r="I3" s="4"/>
      <c r="J3" s="4"/>
      <c r="K3" s="6" t="s">
        <v>36</v>
      </c>
      <c r="L3" s="8" t="s">
        <v>32</v>
      </c>
      <c r="M3" s="6" t="s">
        <v>49</v>
      </c>
      <c r="N3" s="6" t="s">
        <v>45</v>
      </c>
      <c r="O3" s="6" t="s">
        <v>61</v>
      </c>
      <c r="P3" s="7" t="s">
        <v>28</v>
      </c>
      <c r="Q3" s="6" t="s">
        <v>53</v>
      </c>
      <c r="R3" s="4"/>
      <c r="S3" s="4"/>
      <c r="T3" s="9" t="s">
        <v>49</v>
      </c>
      <c r="U3" s="10" t="s">
        <v>45</v>
      </c>
      <c r="V3" s="10" t="s">
        <v>28</v>
      </c>
      <c r="W3" s="10" t="s">
        <v>61</v>
      </c>
      <c r="X3" s="9" t="s">
        <v>53</v>
      </c>
      <c r="Y3" s="4"/>
      <c r="Z3" s="4"/>
      <c r="AA3" s="6" t="s">
        <v>36</v>
      </c>
      <c r="AB3" s="6" t="s">
        <v>49</v>
      </c>
      <c r="AC3" s="6" t="s">
        <v>45</v>
      </c>
      <c r="AD3" s="6" t="s">
        <v>61</v>
      </c>
      <c r="AE3" s="7" t="s">
        <v>28</v>
      </c>
      <c r="AF3" s="6" t="s">
        <v>53</v>
      </c>
      <c r="AG3" s="4"/>
      <c r="AH3" s="4"/>
      <c r="AI3" s="6" t="s">
        <v>36</v>
      </c>
      <c r="AJ3" s="8" t="s">
        <v>32</v>
      </c>
      <c r="AK3" s="6" t="s">
        <v>49</v>
      </c>
      <c r="AL3" s="6" t="s">
        <v>45</v>
      </c>
      <c r="AM3" s="6" t="s">
        <v>61</v>
      </c>
      <c r="AN3" s="7" t="s">
        <v>28</v>
      </c>
      <c r="AO3" s="6" t="s">
        <v>53</v>
      </c>
      <c r="AQ3" s="4"/>
      <c r="AR3" s="9" t="s">
        <v>49</v>
      </c>
      <c r="AS3" s="10" t="s">
        <v>45</v>
      </c>
      <c r="AT3" s="10" t="s">
        <v>28</v>
      </c>
      <c r="AU3" s="10" t="s">
        <v>61</v>
      </c>
      <c r="AV3" s="9" t="s">
        <v>53</v>
      </c>
    </row>
    <row r="4" spans="1:55" x14ac:dyDescent="0.2">
      <c r="A4" s="11" t="s">
        <v>82</v>
      </c>
      <c r="B4" s="11" t="s">
        <v>83</v>
      </c>
      <c r="C4" s="11"/>
      <c r="D4" s="11"/>
      <c r="E4" s="11"/>
      <c r="F4" s="11"/>
      <c r="G4" s="11"/>
      <c r="H4" s="11"/>
      <c r="I4" s="4"/>
      <c r="J4" s="11" t="s">
        <v>83</v>
      </c>
      <c r="K4" s="11"/>
      <c r="L4" s="11"/>
      <c r="M4" s="11"/>
      <c r="N4" s="11"/>
      <c r="O4" s="11"/>
      <c r="P4" s="11"/>
      <c r="Q4" s="11"/>
      <c r="R4" s="4"/>
      <c r="S4" s="11" t="s">
        <v>83</v>
      </c>
      <c r="T4" s="11"/>
      <c r="U4" s="11"/>
      <c r="V4" s="11"/>
      <c r="W4" s="11"/>
      <c r="X4" s="11"/>
      <c r="Y4" s="4"/>
      <c r="Z4" s="11" t="s">
        <v>83</v>
      </c>
      <c r="AA4" s="11"/>
      <c r="AB4" s="11"/>
      <c r="AC4" s="11"/>
      <c r="AD4" s="11"/>
      <c r="AE4" s="11"/>
      <c r="AF4" s="11"/>
      <c r="AG4" s="4"/>
      <c r="AH4" s="11" t="s">
        <v>83</v>
      </c>
      <c r="AI4" s="11"/>
      <c r="AJ4" s="11"/>
      <c r="AK4" s="11"/>
      <c r="AL4" s="11"/>
      <c r="AM4" s="11"/>
      <c r="AN4" s="11"/>
      <c r="AO4" s="11"/>
      <c r="AQ4" s="11" t="s">
        <v>83</v>
      </c>
      <c r="AR4" s="11"/>
      <c r="AS4" s="11"/>
      <c r="AT4" s="11"/>
      <c r="AU4" s="11"/>
      <c r="AV4" s="11"/>
    </row>
    <row r="5" spans="1:55" x14ac:dyDescent="0.2">
      <c r="A5" s="11" t="s">
        <v>84</v>
      </c>
      <c r="B5" s="11" t="s">
        <v>85</v>
      </c>
      <c r="C5" s="11"/>
      <c r="D5" s="11"/>
      <c r="E5" s="11"/>
      <c r="F5" s="11"/>
      <c r="G5" s="11"/>
      <c r="H5" s="11"/>
      <c r="I5" s="4"/>
      <c r="J5" s="11" t="s">
        <v>85</v>
      </c>
      <c r="K5" s="11"/>
      <c r="L5" s="11"/>
      <c r="M5" s="11"/>
      <c r="N5" s="11"/>
      <c r="O5" s="11"/>
      <c r="P5" s="11"/>
      <c r="Q5" s="11"/>
      <c r="R5" s="4"/>
      <c r="S5" s="11" t="s">
        <v>85</v>
      </c>
      <c r="T5" s="11"/>
      <c r="U5" s="11"/>
      <c r="V5" s="11"/>
      <c r="W5" s="11"/>
      <c r="X5" s="11"/>
      <c r="Y5" s="4"/>
      <c r="Z5" s="11" t="s">
        <v>85</v>
      </c>
      <c r="AA5" s="11"/>
      <c r="AB5" s="11"/>
      <c r="AC5" s="11"/>
      <c r="AD5" s="11"/>
      <c r="AE5" s="11"/>
      <c r="AF5" s="11"/>
      <c r="AG5" s="4"/>
      <c r="AH5" s="11" t="s">
        <v>85</v>
      </c>
      <c r="AI5" s="11"/>
      <c r="AJ5" s="11"/>
      <c r="AK5" s="11"/>
      <c r="AL5" s="11"/>
      <c r="AM5" s="11"/>
      <c r="AN5" s="11"/>
      <c r="AO5" s="11"/>
      <c r="AQ5" s="11" t="s">
        <v>85</v>
      </c>
      <c r="AR5" s="11"/>
      <c r="AS5" s="11"/>
      <c r="AT5" s="11"/>
      <c r="AU5" s="11"/>
      <c r="AV5" s="11"/>
    </row>
    <row r="6" spans="1:55" x14ac:dyDescent="0.2">
      <c r="A6" s="11" t="s">
        <v>86</v>
      </c>
      <c r="B6" s="11" t="s">
        <v>87</v>
      </c>
      <c r="C6" s="11"/>
      <c r="D6" s="11"/>
      <c r="E6" s="11"/>
      <c r="F6" s="11"/>
      <c r="G6" s="11"/>
      <c r="H6" s="11"/>
      <c r="I6" s="4"/>
      <c r="J6" s="11" t="s">
        <v>87</v>
      </c>
      <c r="K6" s="11"/>
      <c r="L6" s="11"/>
      <c r="M6" s="11"/>
      <c r="N6" s="11"/>
      <c r="O6" s="11"/>
      <c r="P6" s="11"/>
      <c r="Q6" s="11"/>
      <c r="R6" s="4"/>
      <c r="S6" s="11" t="s">
        <v>87</v>
      </c>
      <c r="T6" s="11"/>
      <c r="U6" s="11"/>
      <c r="V6" s="11"/>
      <c r="W6" s="11"/>
      <c r="X6" s="11"/>
      <c r="Y6" s="4"/>
      <c r="Z6" s="11" t="s">
        <v>87</v>
      </c>
      <c r="AA6" s="11"/>
      <c r="AB6" s="11"/>
      <c r="AC6" s="11"/>
      <c r="AD6" s="11"/>
      <c r="AE6" s="11"/>
      <c r="AF6" s="11"/>
      <c r="AG6" s="4"/>
      <c r="AH6" s="11" t="s">
        <v>87</v>
      </c>
      <c r="AI6" s="11"/>
      <c r="AJ6" s="11"/>
      <c r="AK6" s="11"/>
      <c r="AL6" s="11"/>
      <c r="AM6" s="11"/>
      <c r="AN6" s="11"/>
      <c r="AO6" s="11"/>
      <c r="AQ6" s="11" t="s">
        <v>87</v>
      </c>
      <c r="AR6" s="11"/>
      <c r="AS6" s="11"/>
      <c r="AT6" s="11"/>
      <c r="AU6" s="11"/>
      <c r="AV6" s="11"/>
    </row>
    <row r="7" spans="1:55" x14ac:dyDescent="0.2">
      <c r="A7" s="11" t="s">
        <v>88</v>
      </c>
      <c r="B7" s="11" t="s">
        <v>89</v>
      </c>
      <c r="C7" s="11"/>
      <c r="D7" s="11"/>
      <c r="E7" s="11"/>
      <c r="F7" s="11"/>
      <c r="G7" s="11"/>
      <c r="H7" s="11"/>
      <c r="I7" s="4"/>
      <c r="J7" s="11" t="s">
        <v>89</v>
      </c>
      <c r="K7" s="11"/>
      <c r="L7" s="11"/>
      <c r="M7" s="11"/>
      <c r="N7" s="11"/>
      <c r="O7" s="11"/>
      <c r="P7" s="11"/>
      <c r="Q7" s="11"/>
      <c r="R7" s="4"/>
      <c r="S7" s="11" t="s">
        <v>89</v>
      </c>
      <c r="T7" s="11"/>
      <c r="U7" s="11"/>
      <c r="V7" s="12">
        <v>2</v>
      </c>
      <c r="W7" s="11"/>
      <c r="X7" s="11"/>
      <c r="Y7" s="4"/>
      <c r="Z7" s="11" t="s">
        <v>89</v>
      </c>
      <c r="AA7" s="11"/>
      <c r="AB7" s="11"/>
      <c r="AC7" s="11"/>
      <c r="AD7" s="11"/>
      <c r="AE7" s="11"/>
      <c r="AF7" s="11"/>
      <c r="AG7" s="4"/>
      <c r="AH7" s="11" t="s">
        <v>89</v>
      </c>
      <c r="AI7" s="11"/>
      <c r="AJ7" s="11"/>
      <c r="AK7" s="11"/>
      <c r="AL7" s="11"/>
      <c r="AM7" s="11"/>
      <c r="AN7" s="11"/>
      <c r="AO7" s="11"/>
      <c r="AQ7" s="11" t="s">
        <v>89</v>
      </c>
      <c r="AR7" s="11"/>
      <c r="AS7" s="11"/>
      <c r="AT7" s="12">
        <v>2</v>
      </c>
      <c r="AU7" s="11"/>
      <c r="AV7" s="11"/>
    </row>
    <row r="8" spans="1:55" x14ac:dyDescent="0.2">
      <c r="A8" s="11" t="s">
        <v>90</v>
      </c>
      <c r="B8" s="11" t="s">
        <v>91</v>
      </c>
      <c r="C8" s="11"/>
      <c r="D8" s="11"/>
      <c r="E8" s="11"/>
      <c r="F8" s="13">
        <v>2</v>
      </c>
      <c r="G8" s="11"/>
      <c r="H8" s="11"/>
      <c r="I8" s="4"/>
      <c r="J8" s="11" t="s">
        <v>91</v>
      </c>
      <c r="K8" s="11"/>
      <c r="L8" s="11"/>
      <c r="M8" s="11"/>
      <c r="N8" s="11"/>
      <c r="O8" s="13">
        <v>2</v>
      </c>
      <c r="P8" s="11"/>
      <c r="Q8" s="11"/>
      <c r="R8" s="4"/>
      <c r="S8" s="11" t="s">
        <v>91</v>
      </c>
      <c r="T8" s="11"/>
      <c r="U8" s="11"/>
      <c r="V8" s="14">
        <v>2</v>
      </c>
      <c r="W8" s="12">
        <v>2</v>
      </c>
      <c r="X8" s="11"/>
      <c r="Y8" s="4"/>
      <c r="Z8" s="11" t="s">
        <v>91</v>
      </c>
      <c r="AA8" s="11"/>
      <c r="AB8" s="11"/>
      <c r="AC8" s="11"/>
      <c r="AD8" s="13">
        <v>2</v>
      </c>
      <c r="AE8" s="11"/>
      <c r="AF8" s="11"/>
      <c r="AG8" s="4"/>
      <c r="AH8" s="11" t="s">
        <v>91</v>
      </c>
      <c r="AI8" s="11"/>
      <c r="AJ8" s="11"/>
      <c r="AK8" s="11"/>
      <c r="AL8" s="11"/>
      <c r="AM8" s="13">
        <v>2</v>
      </c>
      <c r="AN8" s="11"/>
      <c r="AO8" s="11"/>
      <c r="AQ8" s="11" t="s">
        <v>91</v>
      </c>
      <c r="AR8" s="11"/>
      <c r="AS8" s="11"/>
      <c r="AT8" s="14">
        <v>2</v>
      </c>
      <c r="AU8" s="12">
        <v>2</v>
      </c>
      <c r="AV8" s="11"/>
    </row>
    <row r="9" spans="1:55" x14ac:dyDescent="0.2">
      <c r="A9" s="11" t="s">
        <v>92</v>
      </c>
      <c r="B9" s="11" t="s">
        <v>93</v>
      </c>
      <c r="C9" s="11"/>
      <c r="D9" s="11"/>
      <c r="E9" s="11"/>
      <c r="F9" s="14">
        <v>2</v>
      </c>
      <c r="G9" s="15">
        <v>2</v>
      </c>
      <c r="H9" s="11"/>
      <c r="I9" s="4"/>
      <c r="J9" s="11" t="s">
        <v>93</v>
      </c>
      <c r="K9" s="11"/>
      <c r="L9" s="11"/>
      <c r="M9" s="11"/>
      <c r="N9" s="11"/>
      <c r="O9" s="14">
        <v>2</v>
      </c>
      <c r="P9" s="15">
        <v>2</v>
      </c>
      <c r="Q9" s="11"/>
      <c r="R9" s="4"/>
      <c r="S9" s="11" t="s">
        <v>93</v>
      </c>
      <c r="T9" s="11"/>
      <c r="U9" s="11"/>
      <c r="V9" s="12">
        <v>2</v>
      </c>
      <c r="W9" s="12">
        <v>2</v>
      </c>
      <c r="X9" s="11"/>
      <c r="Y9" s="4"/>
      <c r="Z9" s="11" t="s">
        <v>93</v>
      </c>
      <c r="AA9" s="11"/>
      <c r="AB9" s="11"/>
      <c r="AC9" s="11"/>
      <c r="AD9" s="14">
        <v>2</v>
      </c>
      <c r="AE9" s="15">
        <v>2</v>
      </c>
      <c r="AF9" s="11"/>
      <c r="AG9" s="4"/>
      <c r="AH9" s="11" t="s">
        <v>93</v>
      </c>
      <c r="AI9" s="11"/>
      <c r="AJ9" s="11"/>
      <c r="AK9" s="11"/>
      <c r="AL9" s="11"/>
      <c r="AM9" s="14">
        <v>2</v>
      </c>
      <c r="AN9" s="15">
        <v>2</v>
      </c>
      <c r="AO9" s="11"/>
      <c r="AQ9" s="11" t="s">
        <v>93</v>
      </c>
      <c r="AR9" s="11"/>
      <c r="AS9" s="11"/>
      <c r="AT9" s="12">
        <v>2</v>
      </c>
      <c r="AU9" s="12">
        <v>2</v>
      </c>
      <c r="AV9" s="11"/>
    </row>
    <row r="10" spans="1:55" x14ac:dyDescent="0.2">
      <c r="A10" s="11" t="s">
        <v>94</v>
      </c>
      <c r="B10" s="11" t="s">
        <v>95</v>
      </c>
      <c r="C10" s="11"/>
      <c r="D10" s="11"/>
      <c r="E10" s="11"/>
      <c r="F10" s="13">
        <v>2</v>
      </c>
      <c r="G10" s="14">
        <v>2</v>
      </c>
      <c r="H10" s="11"/>
      <c r="I10" s="4"/>
      <c r="J10" s="11" t="s">
        <v>95</v>
      </c>
      <c r="K10" s="11"/>
      <c r="L10" s="11"/>
      <c r="M10" s="11"/>
      <c r="N10" s="11"/>
      <c r="O10" s="13">
        <v>2</v>
      </c>
      <c r="P10" s="14">
        <v>2</v>
      </c>
      <c r="Q10" s="11"/>
      <c r="R10" s="4"/>
      <c r="S10" s="11" t="s">
        <v>95</v>
      </c>
      <c r="T10" s="11"/>
      <c r="U10" s="11"/>
      <c r="V10" s="14">
        <v>2</v>
      </c>
      <c r="W10" s="12">
        <v>2</v>
      </c>
      <c r="X10" s="11"/>
      <c r="Y10" s="4"/>
      <c r="Z10" s="11" t="s">
        <v>95</v>
      </c>
      <c r="AA10" s="11"/>
      <c r="AB10" s="11"/>
      <c r="AC10" s="11"/>
      <c r="AD10" s="13">
        <v>2</v>
      </c>
      <c r="AE10" s="14">
        <v>2</v>
      </c>
      <c r="AF10" s="11"/>
      <c r="AG10" s="4"/>
      <c r="AH10" s="11" t="s">
        <v>95</v>
      </c>
      <c r="AI10" s="11"/>
      <c r="AJ10" s="11"/>
      <c r="AK10" s="11"/>
      <c r="AL10" s="11"/>
      <c r="AM10" s="13">
        <v>2</v>
      </c>
      <c r="AN10" s="14">
        <v>2</v>
      </c>
      <c r="AO10" s="11"/>
      <c r="AQ10" s="11" t="s">
        <v>95</v>
      </c>
      <c r="AR10" s="11"/>
      <c r="AS10" s="11"/>
      <c r="AT10" s="14">
        <v>2</v>
      </c>
      <c r="AU10" s="12">
        <v>2</v>
      </c>
      <c r="AV10" s="11"/>
    </row>
    <row r="11" spans="1:55" x14ac:dyDescent="0.2">
      <c r="A11" s="11" t="s">
        <v>96</v>
      </c>
      <c r="B11" s="11" t="s">
        <v>97</v>
      </c>
      <c r="C11" s="11"/>
      <c r="D11" s="11"/>
      <c r="E11" s="11"/>
      <c r="F11" s="13">
        <v>2</v>
      </c>
      <c r="G11" s="14">
        <v>2</v>
      </c>
      <c r="H11" s="11"/>
      <c r="I11" s="4"/>
      <c r="J11" s="11" t="s">
        <v>97</v>
      </c>
      <c r="K11" s="11"/>
      <c r="L11" s="11"/>
      <c r="M11" s="11"/>
      <c r="N11" s="11"/>
      <c r="O11" s="13">
        <v>2</v>
      </c>
      <c r="P11" s="14">
        <v>2</v>
      </c>
      <c r="Q11" s="11"/>
      <c r="R11" s="4"/>
      <c r="S11" s="11" t="s">
        <v>97</v>
      </c>
      <c r="T11" s="11"/>
      <c r="U11" s="11"/>
      <c r="V11" s="12">
        <v>2</v>
      </c>
      <c r="W11" s="11"/>
      <c r="X11" s="11"/>
      <c r="Y11" s="4"/>
      <c r="Z11" s="11" t="s">
        <v>97</v>
      </c>
      <c r="AA11" s="11"/>
      <c r="AB11" s="11"/>
      <c r="AC11" s="11"/>
      <c r="AD11" s="13">
        <v>2</v>
      </c>
      <c r="AE11" s="14">
        <v>2</v>
      </c>
      <c r="AF11" s="11"/>
      <c r="AG11" s="4"/>
      <c r="AH11" s="11" t="s">
        <v>97</v>
      </c>
      <c r="AI11" s="11"/>
      <c r="AJ11" s="11"/>
      <c r="AK11" s="11"/>
      <c r="AL11" s="11"/>
      <c r="AM11" s="13">
        <v>2</v>
      </c>
      <c r="AN11" s="14">
        <v>2</v>
      </c>
      <c r="AO11" s="11"/>
      <c r="AQ11" s="11" t="s">
        <v>97</v>
      </c>
      <c r="AR11" s="11"/>
      <c r="AS11" s="11"/>
      <c r="AT11" s="12">
        <v>2</v>
      </c>
      <c r="AU11" s="11"/>
      <c r="AV11" s="11"/>
    </row>
    <row r="12" spans="1:55" x14ac:dyDescent="0.2">
      <c r="A12" s="11" t="s">
        <v>98</v>
      </c>
      <c r="B12" s="11" t="s">
        <v>99</v>
      </c>
      <c r="C12" s="11"/>
      <c r="D12" s="11"/>
      <c r="E12" s="11"/>
      <c r="F12" s="13">
        <v>2</v>
      </c>
      <c r="H12" s="11"/>
      <c r="I12" s="4"/>
      <c r="J12" s="11" t="s">
        <v>99</v>
      </c>
      <c r="K12" s="11"/>
      <c r="L12" s="11"/>
      <c r="M12" s="11"/>
      <c r="N12" s="11"/>
      <c r="O12" s="13">
        <v>2</v>
      </c>
      <c r="Q12" s="11"/>
      <c r="R12" s="4"/>
      <c r="S12" s="11" t="s">
        <v>99</v>
      </c>
      <c r="T12" s="11"/>
      <c r="U12" s="11"/>
      <c r="W12" s="11"/>
      <c r="X12" s="11"/>
      <c r="Y12" s="4"/>
      <c r="Z12" s="11" t="s">
        <v>99</v>
      </c>
      <c r="AA12" s="11"/>
      <c r="AB12" s="11"/>
      <c r="AC12" s="11"/>
      <c r="AD12" s="13">
        <v>2</v>
      </c>
      <c r="AF12" s="11"/>
      <c r="AG12" s="4"/>
      <c r="AH12" s="11" t="s">
        <v>99</v>
      </c>
      <c r="AI12" s="11"/>
      <c r="AJ12" s="11"/>
      <c r="AK12" s="11"/>
      <c r="AL12" s="11"/>
      <c r="AM12" s="13">
        <v>2</v>
      </c>
      <c r="AO12" s="11"/>
      <c r="AQ12" s="11" t="s">
        <v>99</v>
      </c>
      <c r="AR12" s="11"/>
      <c r="AS12" s="11"/>
      <c r="AU12" s="11"/>
      <c r="AV12" s="11"/>
    </row>
    <row r="13" spans="1:55" x14ac:dyDescent="0.2">
      <c r="A13" s="11" t="s">
        <v>100</v>
      </c>
      <c r="B13" s="11" t="s">
        <v>101</v>
      </c>
      <c r="C13" s="11"/>
      <c r="D13" s="11"/>
      <c r="E13" s="11"/>
      <c r="F13" s="13">
        <v>2</v>
      </c>
      <c r="G13" s="11"/>
      <c r="H13" s="11"/>
      <c r="I13" s="4"/>
      <c r="J13" s="11" t="s">
        <v>101</v>
      </c>
      <c r="K13" s="11"/>
      <c r="L13" s="11"/>
      <c r="M13" s="11"/>
      <c r="N13" s="11"/>
      <c r="O13" s="13">
        <v>2</v>
      </c>
      <c r="P13" s="11"/>
      <c r="Q13" s="11"/>
      <c r="R13" s="4"/>
      <c r="S13" s="11" t="s">
        <v>101</v>
      </c>
      <c r="T13" s="11"/>
      <c r="U13" s="11"/>
      <c r="V13" s="11"/>
      <c r="W13" s="11"/>
      <c r="X13" s="11"/>
      <c r="Y13" s="4"/>
      <c r="Z13" s="11" t="s">
        <v>101</v>
      </c>
      <c r="AA13" s="11"/>
      <c r="AB13" s="11"/>
      <c r="AC13" s="11"/>
      <c r="AD13" s="13">
        <v>2</v>
      </c>
      <c r="AE13" s="11"/>
      <c r="AF13" s="11"/>
      <c r="AG13" s="4"/>
      <c r="AH13" s="11" t="s">
        <v>101</v>
      </c>
      <c r="AI13" s="11"/>
      <c r="AJ13" s="11"/>
      <c r="AK13" s="11"/>
      <c r="AL13" s="11"/>
      <c r="AM13" s="13">
        <v>2</v>
      </c>
      <c r="AN13" s="11"/>
      <c r="AO13" s="11"/>
      <c r="AQ13" s="11" t="s">
        <v>101</v>
      </c>
      <c r="AR13" s="11"/>
      <c r="AS13" s="11"/>
      <c r="AT13" s="11"/>
      <c r="AU13" s="11"/>
      <c r="AV13" s="11"/>
    </row>
    <row r="14" spans="1:55" x14ac:dyDescent="0.2">
      <c r="A14" s="11" t="s">
        <v>102</v>
      </c>
      <c r="B14" s="11" t="s">
        <v>103</v>
      </c>
      <c r="C14" s="11"/>
      <c r="D14" s="11"/>
      <c r="E14" s="11"/>
      <c r="F14" s="11"/>
      <c r="G14" s="11"/>
      <c r="H14" s="11"/>
      <c r="I14" s="4"/>
      <c r="J14" s="11" t="s">
        <v>103</v>
      </c>
      <c r="K14" s="11"/>
      <c r="L14" s="11"/>
      <c r="M14" s="11"/>
      <c r="N14" s="11"/>
      <c r="O14" s="11"/>
      <c r="P14" s="11"/>
      <c r="Q14" s="11"/>
      <c r="R14" s="4"/>
      <c r="S14" s="11" t="s">
        <v>103</v>
      </c>
      <c r="T14" s="11"/>
      <c r="U14" s="11"/>
      <c r="V14" s="11"/>
      <c r="W14" s="11"/>
      <c r="X14" s="11"/>
      <c r="Y14" s="4"/>
      <c r="Z14" s="11" t="s">
        <v>103</v>
      </c>
      <c r="AA14" s="11"/>
      <c r="AB14" s="11"/>
      <c r="AC14" s="11"/>
      <c r="AD14" s="11"/>
      <c r="AE14" s="11"/>
      <c r="AF14" s="11"/>
      <c r="AG14" s="4"/>
      <c r="AH14" s="11" t="s">
        <v>103</v>
      </c>
      <c r="AI14" s="11"/>
      <c r="AJ14" s="11"/>
      <c r="AK14" s="11"/>
      <c r="AL14" s="11"/>
      <c r="AM14" s="11"/>
      <c r="AN14" s="11"/>
      <c r="AO14" s="11"/>
      <c r="AQ14" s="11" t="s">
        <v>103</v>
      </c>
      <c r="AR14" s="11"/>
      <c r="AS14" s="11"/>
      <c r="AT14" s="11"/>
      <c r="AU14" s="11"/>
      <c r="AV14" s="11"/>
    </row>
    <row r="15" spans="1:55" x14ac:dyDescent="0.2">
      <c r="A15" s="11" t="s">
        <v>104</v>
      </c>
      <c r="B15" s="11" t="s">
        <v>105</v>
      </c>
      <c r="C15" s="11"/>
      <c r="D15" s="11"/>
      <c r="E15" s="11"/>
      <c r="F15" s="11"/>
      <c r="G15" s="11"/>
      <c r="H15" s="11"/>
      <c r="I15" s="4"/>
      <c r="J15" s="11" t="s">
        <v>105</v>
      </c>
      <c r="K15" s="11"/>
      <c r="L15" s="11"/>
      <c r="M15" s="11"/>
      <c r="N15" s="11"/>
      <c r="O15" s="11"/>
      <c r="P15" s="11"/>
      <c r="Q15" s="11"/>
      <c r="R15" s="4"/>
      <c r="S15" s="11" t="s">
        <v>105</v>
      </c>
      <c r="T15" s="11"/>
      <c r="U15" s="11"/>
      <c r="V15" s="11"/>
      <c r="W15" s="11"/>
      <c r="X15" s="11"/>
      <c r="Y15" s="4"/>
      <c r="Z15" s="11" t="s">
        <v>105</v>
      </c>
      <c r="AA15" s="11"/>
      <c r="AB15" s="11"/>
      <c r="AC15" s="11"/>
      <c r="AD15" s="11"/>
      <c r="AE15" s="11"/>
      <c r="AF15" s="11"/>
      <c r="AG15" s="4"/>
      <c r="AH15" s="11" t="s">
        <v>105</v>
      </c>
      <c r="AI15" s="11"/>
      <c r="AJ15" s="11"/>
      <c r="AK15" s="11"/>
      <c r="AL15" s="11"/>
      <c r="AM15" s="11"/>
      <c r="AN15" s="11"/>
      <c r="AO15" s="11"/>
      <c r="AQ15" s="11" t="s">
        <v>105</v>
      </c>
      <c r="AR15" s="11"/>
      <c r="AS15" s="11"/>
      <c r="AT15" s="11"/>
      <c r="AU15" s="11"/>
      <c r="AV15" s="11"/>
    </row>
    <row r="16" spans="1:55" ht="14.5" customHeight="1" x14ac:dyDescent="0.2">
      <c r="A16" s="11" t="s">
        <v>106</v>
      </c>
      <c r="B16" s="11" t="s">
        <v>107</v>
      </c>
      <c r="C16" s="11"/>
      <c r="D16" s="11"/>
      <c r="E16" s="11"/>
      <c r="F16" s="11"/>
      <c r="G16" s="11"/>
      <c r="H16" s="11"/>
      <c r="I16" s="4"/>
      <c r="J16" s="11" t="s">
        <v>107</v>
      </c>
      <c r="K16" s="11"/>
      <c r="L16" s="11"/>
      <c r="M16" s="11"/>
      <c r="N16" s="11"/>
      <c r="O16" s="11"/>
      <c r="P16" s="11"/>
      <c r="Q16" s="11"/>
      <c r="R16" s="4"/>
      <c r="S16" s="11" t="s">
        <v>107</v>
      </c>
      <c r="T16" s="11"/>
      <c r="U16" s="11"/>
      <c r="V16" s="11"/>
      <c r="W16" s="11"/>
      <c r="X16" s="11"/>
      <c r="Y16" s="4"/>
      <c r="Z16" s="11" t="s">
        <v>107</v>
      </c>
      <c r="AA16" s="11"/>
      <c r="AB16" s="11"/>
      <c r="AC16" s="11"/>
      <c r="AD16" s="11"/>
      <c r="AE16" s="11"/>
      <c r="AF16" s="11"/>
      <c r="AG16" s="4"/>
      <c r="AH16" s="11" t="s">
        <v>107</v>
      </c>
      <c r="AI16" s="11"/>
      <c r="AJ16" s="11"/>
      <c r="AK16" s="11"/>
      <c r="AL16" s="11"/>
      <c r="AM16" s="11"/>
      <c r="AN16" s="11"/>
      <c r="AO16" s="11"/>
      <c r="AQ16" s="11" t="s">
        <v>107</v>
      </c>
      <c r="AR16" s="11"/>
      <c r="AS16" s="11"/>
      <c r="AT16" s="11"/>
      <c r="AU16" s="11"/>
      <c r="AV16" s="11"/>
    </row>
    <row r="17" spans="1:48" ht="14.5" customHeight="1" x14ac:dyDescent="0.2">
      <c r="A17" s="11" t="s">
        <v>108</v>
      </c>
      <c r="B17" s="11" t="s">
        <v>109</v>
      </c>
      <c r="C17" s="11"/>
      <c r="D17" s="11"/>
      <c r="E17" s="11"/>
      <c r="F17" s="11"/>
      <c r="G17" s="11"/>
      <c r="H17" s="11"/>
      <c r="I17" s="4"/>
      <c r="J17" s="11" t="s">
        <v>109</v>
      </c>
      <c r="K17" s="11"/>
      <c r="L17" s="11"/>
      <c r="M17" s="11"/>
      <c r="N17" s="11"/>
      <c r="O17" s="11"/>
      <c r="P17" s="11"/>
      <c r="Q17" s="11"/>
      <c r="R17" s="4"/>
      <c r="S17" s="11" t="s">
        <v>109</v>
      </c>
      <c r="T17" s="11"/>
      <c r="U17" s="11"/>
      <c r="V17" s="11"/>
      <c r="W17" s="14">
        <v>2</v>
      </c>
      <c r="X17" s="11"/>
      <c r="Y17" s="4"/>
      <c r="Z17" s="11" t="s">
        <v>109</v>
      </c>
      <c r="AA17" s="11"/>
      <c r="AB17" s="11"/>
      <c r="AC17" s="11"/>
      <c r="AD17" s="11"/>
      <c r="AE17" s="11"/>
      <c r="AF17" s="11"/>
      <c r="AG17" s="4"/>
      <c r="AH17" s="11" t="s">
        <v>109</v>
      </c>
      <c r="AI17" s="11"/>
      <c r="AJ17" s="11"/>
      <c r="AK17" s="11"/>
      <c r="AL17" s="11"/>
      <c r="AM17" s="11"/>
      <c r="AN17" s="11"/>
      <c r="AO17" s="11"/>
      <c r="AQ17" s="11" t="s">
        <v>109</v>
      </c>
      <c r="AR17" s="11"/>
      <c r="AS17" s="11"/>
      <c r="AT17" s="11"/>
      <c r="AU17" s="14">
        <v>2</v>
      </c>
      <c r="AV17" s="11"/>
    </row>
    <row r="18" spans="1:48" ht="14.5" customHeight="1" x14ac:dyDescent="0.2">
      <c r="A18" s="11" t="s">
        <v>110</v>
      </c>
      <c r="B18" s="11" t="s">
        <v>111</v>
      </c>
      <c r="C18" s="11"/>
      <c r="D18" s="11"/>
      <c r="E18" s="11"/>
      <c r="F18" s="11"/>
      <c r="G18" s="11"/>
      <c r="H18" s="11"/>
      <c r="I18" s="4"/>
      <c r="J18" s="11" t="s">
        <v>111</v>
      </c>
      <c r="K18" s="11"/>
      <c r="L18" s="11"/>
      <c r="M18" s="11"/>
      <c r="N18" s="11"/>
      <c r="O18" s="11"/>
      <c r="P18" s="11"/>
      <c r="Q18" s="11"/>
      <c r="R18" s="4"/>
      <c r="S18" s="11" t="s">
        <v>111</v>
      </c>
      <c r="T18" s="11"/>
      <c r="U18" s="11"/>
      <c r="V18" s="11"/>
      <c r="W18" s="11"/>
      <c r="X18" s="14">
        <v>2</v>
      </c>
      <c r="Y18" s="4"/>
      <c r="Z18" s="11" t="s">
        <v>111</v>
      </c>
      <c r="AA18" s="11"/>
      <c r="AB18" s="11"/>
      <c r="AC18" s="11"/>
      <c r="AD18" s="11"/>
      <c r="AE18" s="11"/>
      <c r="AF18" s="11"/>
      <c r="AG18" s="4"/>
      <c r="AH18" s="11" t="s">
        <v>111</v>
      </c>
      <c r="AI18" s="11"/>
      <c r="AJ18" s="11"/>
      <c r="AK18" s="11"/>
      <c r="AL18" s="11"/>
      <c r="AM18" s="11"/>
      <c r="AN18" s="11"/>
      <c r="AO18" s="11"/>
      <c r="AQ18" s="11" t="s">
        <v>111</v>
      </c>
      <c r="AR18" s="11"/>
      <c r="AS18" s="11"/>
      <c r="AT18" s="11"/>
      <c r="AU18" s="11"/>
      <c r="AV18" s="14">
        <v>2</v>
      </c>
    </row>
    <row r="19" spans="1:48" x14ac:dyDescent="0.2">
      <c r="A19" s="11" t="s">
        <v>112</v>
      </c>
      <c r="B19" s="11" t="s">
        <v>113</v>
      </c>
      <c r="C19" s="13">
        <v>1</v>
      </c>
      <c r="D19" s="11"/>
      <c r="E19" s="11"/>
      <c r="F19" s="11"/>
      <c r="G19" s="11"/>
      <c r="H19" s="11"/>
      <c r="I19" s="4"/>
      <c r="J19" s="11" t="s">
        <v>113</v>
      </c>
      <c r="K19" s="13">
        <v>1</v>
      </c>
      <c r="L19" s="13">
        <v>1</v>
      </c>
      <c r="M19" s="11"/>
      <c r="N19" s="11"/>
      <c r="O19" s="11"/>
      <c r="P19" s="11"/>
      <c r="Q19" s="11"/>
      <c r="R19" s="4"/>
      <c r="S19" s="11" t="s">
        <v>113</v>
      </c>
      <c r="T19" s="13">
        <v>1</v>
      </c>
      <c r="U19" s="16"/>
      <c r="V19" s="11"/>
      <c r="W19" s="11"/>
      <c r="X19" s="13">
        <v>2</v>
      </c>
      <c r="Y19" s="4"/>
      <c r="Z19" s="11" t="s">
        <v>113</v>
      </c>
      <c r="AA19" s="13">
        <v>1</v>
      </c>
      <c r="AB19" s="11"/>
      <c r="AC19" s="11"/>
      <c r="AD19" s="11"/>
      <c r="AE19" s="11"/>
      <c r="AF19" s="11"/>
      <c r="AG19" s="4"/>
      <c r="AH19" s="11" t="s">
        <v>113</v>
      </c>
      <c r="AI19" s="13">
        <v>1</v>
      </c>
      <c r="AJ19" s="13">
        <v>1</v>
      </c>
      <c r="AK19" s="11"/>
      <c r="AL19" s="11"/>
      <c r="AM19" s="11"/>
      <c r="AN19" s="11"/>
      <c r="AO19" s="11"/>
      <c r="AQ19" s="11" t="s">
        <v>113</v>
      </c>
      <c r="AR19" s="13">
        <v>1</v>
      </c>
      <c r="AS19" s="16"/>
      <c r="AT19" s="11"/>
      <c r="AU19" s="11"/>
      <c r="AV19" s="13">
        <v>2</v>
      </c>
    </row>
    <row r="20" spans="1:48" x14ac:dyDescent="0.2">
      <c r="A20" s="11" t="s">
        <v>114</v>
      </c>
      <c r="B20" s="11" t="s">
        <v>115</v>
      </c>
      <c r="C20" s="13">
        <v>1</v>
      </c>
      <c r="D20" s="11"/>
      <c r="E20" s="11"/>
      <c r="F20" s="11"/>
      <c r="G20" s="11"/>
      <c r="H20" s="14">
        <v>2</v>
      </c>
      <c r="I20" s="4"/>
      <c r="J20" s="11" t="s">
        <v>115</v>
      </c>
      <c r="K20" s="14">
        <v>1</v>
      </c>
      <c r="L20" s="13">
        <v>1</v>
      </c>
      <c r="M20" s="11"/>
      <c r="N20" s="14">
        <v>1</v>
      </c>
      <c r="O20" s="11"/>
      <c r="P20" s="11"/>
      <c r="Q20" s="14">
        <v>2</v>
      </c>
      <c r="R20" s="4"/>
      <c r="S20" s="11" t="s">
        <v>115</v>
      </c>
      <c r="T20" s="14">
        <v>1</v>
      </c>
      <c r="U20" s="16"/>
      <c r="V20" s="11"/>
      <c r="W20" s="11"/>
      <c r="X20" s="11"/>
      <c r="Y20" s="4"/>
      <c r="Z20" s="11" t="s">
        <v>115</v>
      </c>
      <c r="AA20" s="13">
        <v>1</v>
      </c>
      <c r="AB20" s="11"/>
      <c r="AC20" s="11"/>
      <c r="AD20" s="11"/>
      <c r="AE20" s="11"/>
      <c r="AF20" s="14">
        <v>2</v>
      </c>
      <c r="AG20" s="4"/>
      <c r="AH20" s="11" t="s">
        <v>115</v>
      </c>
      <c r="AI20" s="14">
        <v>1</v>
      </c>
      <c r="AJ20" s="13">
        <v>1</v>
      </c>
      <c r="AK20" s="11"/>
      <c r="AL20" s="11"/>
      <c r="AM20" s="11"/>
      <c r="AN20" s="11"/>
      <c r="AO20" s="14">
        <v>2</v>
      </c>
      <c r="AQ20" s="11" t="s">
        <v>115</v>
      </c>
      <c r="AR20" s="14">
        <v>1</v>
      </c>
      <c r="AS20" s="16"/>
      <c r="AT20" s="11"/>
      <c r="AU20" s="11"/>
      <c r="AV20" s="11"/>
    </row>
    <row r="21" spans="1:48" x14ac:dyDescent="0.2">
      <c r="A21" s="11" t="s">
        <v>116</v>
      </c>
      <c r="B21" s="11" t="s">
        <v>117</v>
      </c>
      <c r="C21" s="14">
        <v>1</v>
      </c>
      <c r="D21" s="11"/>
      <c r="E21" s="14">
        <v>1</v>
      </c>
      <c r="F21" s="11"/>
      <c r="G21" s="11"/>
      <c r="H21" s="13">
        <v>2</v>
      </c>
      <c r="I21" s="4"/>
      <c r="J21" s="11" t="s">
        <v>117</v>
      </c>
      <c r="K21" s="13">
        <v>1</v>
      </c>
      <c r="L21" s="13">
        <v>1</v>
      </c>
      <c r="M21" s="11"/>
      <c r="N21" s="11"/>
      <c r="P21" s="11"/>
      <c r="Q21" s="13">
        <v>2</v>
      </c>
      <c r="R21" s="4"/>
      <c r="S21" s="11" t="s">
        <v>117</v>
      </c>
      <c r="T21" s="13">
        <v>1</v>
      </c>
      <c r="U21" s="15">
        <v>1</v>
      </c>
      <c r="V21" s="14">
        <v>1</v>
      </c>
      <c r="W21" s="11"/>
      <c r="X21" s="11"/>
      <c r="Y21" s="4"/>
      <c r="Z21" s="11" t="s">
        <v>117</v>
      </c>
      <c r="AA21" s="14">
        <v>1</v>
      </c>
      <c r="AB21" s="11"/>
      <c r="AC21" s="11"/>
      <c r="AD21" s="11"/>
      <c r="AE21" s="11"/>
      <c r="AF21" s="13">
        <v>2</v>
      </c>
      <c r="AG21" s="4"/>
      <c r="AH21" s="11" t="s">
        <v>117</v>
      </c>
      <c r="AI21" s="13">
        <v>1</v>
      </c>
      <c r="AJ21" s="13">
        <v>1</v>
      </c>
      <c r="AK21" s="11"/>
      <c r="AL21" s="11"/>
      <c r="AN21" s="11"/>
      <c r="AO21" s="13">
        <v>2</v>
      </c>
      <c r="AQ21" s="11" t="s">
        <v>117</v>
      </c>
      <c r="AR21" s="13">
        <v>1</v>
      </c>
      <c r="AS21" s="15">
        <v>1</v>
      </c>
      <c r="AT21" s="14">
        <v>1</v>
      </c>
      <c r="AU21" s="11"/>
      <c r="AV21" s="11"/>
    </row>
    <row r="22" spans="1:48" x14ac:dyDescent="0.2">
      <c r="A22" s="11" t="s">
        <v>118</v>
      </c>
      <c r="B22" s="11" t="s">
        <v>119</v>
      </c>
      <c r="C22" s="13">
        <v>1</v>
      </c>
      <c r="D22" s="13">
        <v>1</v>
      </c>
      <c r="E22" s="13">
        <v>1</v>
      </c>
      <c r="F22" s="14">
        <v>1</v>
      </c>
      <c r="G22" s="11"/>
      <c r="H22" s="11"/>
      <c r="I22" s="4"/>
      <c r="J22" s="11" t="s">
        <v>119</v>
      </c>
      <c r="K22" s="14">
        <v>1</v>
      </c>
      <c r="L22" s="13">
        <v>1</v>
      </c>
      <c r="M22" s="13">
        <v>1</v>
      </c>
      <c r="N22" s="14">
        <v>1</v>
      </c>
      <c r="O22" s="14">
        <v>1</v>
      </c>
      <c r="P22" s="11"/>
      <c r="Q22" s="11"/>
      <c r="R22" s="4"/>
      <c r="S22" s="11" t="s">
        <v>119</v>
      </c>
      <c r="T22" s="13">
        <v>1</v>
      </c>
      <c r="U22" s="16"/>
      <c r="V22" s="11"/>
      <c r="W22" s="11"/>
      <c r="X22" s="11"/>
      <c r="Y22" s="4"/>
      <c r="Z22" s="11" t="s">
        <v>119</v>
      </c>
      <c r="AA22" s="13">
        <v>1</v>
      </c>
      <c r="AB22" s="13">
        <v>1</v>
      </c>
      <c r="AC22" s="14">
        <v>1</v>
      </c>
      <c r="AD22" s="14">
        <v>1</v>
      </c>
      <c r="AE22" s="11"/>
      <c r="AF22" s="11"/>
      <c r="AG22" s="4"/>
      <c r="AH22" s="11" t="s">
        <v>119</v>
      </c>
      <c r="AI22" s="14">
        <v>1</v>
      </c>
      <c r="AJ22" s="13">
        <v>1</v>
      </c>
      <c r="AK22" s="13">
        <v>1</v>
      </c>
      <c r="AL22" s="13">
        <v>1</v>
      </c>
      <c r="AM22" s="14">
        <v>1</v>
      </c>
      <c r="AN22" s="11"/>
      <c r="AO22" s="11"/>
      <c r="AQ22" s="11" t="s">
        <v>119</v>
      </c>
      <c r="AR22" s="13">
        <v>1</v>
      </c>
      <c r="AS22" s="16"/>
      <c r="AT22" s="11"/>
      <c r="AU22" s="11"/>
      <c r="AV22" s="11"/>
    </row>
    <row r="23" spans="1:48" x14ac:dyDescent="0.2">
      <c r="A23" s="11" t="s">
        <v>120</v>
      </c>
      <c r="B23" s="11" t="s">
        <v>121</v>
      </c>
      <c r="C23" s="13">
        <v>1</v>
      </c>
      <c r="D23" s="13">
        <v>1</v>
      </c>
      <c r="E23" s="13">
        <v>1</v>
      </c>
      <c r="F23" s="17">
        <v>1</v>
      </c>
      <c r="G23" s="11"/>
      <c r="H23" s="11"/>
      <c r="I23" s="4"/>
      <c r="J23" s="11" t="s">
        <v>121</v>
      </c>
      <c r="K23" s="13">
        <v>1</v>
      </c>
      <c r="L23" s="13">
        <v>1</v>
      </c>
      <c r="M23" s="13">
        <v>1</v>
      </c>
      <c r="N23" s="13">
        <v>1</v>
      </c>
      <c r="O23" s="17">
        <v>1</v>
      </c>
      <c r="P23" s="11"/>
      <c r="Q23" s="11"/>
      <c r="R23" s="4"/>
      <c r="S23" s="11" t="s">
        <v>121</v>
      </c>
      <c r="T23" s="11"/>
      <c r="U23" s="11"/>
      <c r="V23" s="11"/>
      <c r="W23" s="11"/>
      <c r="X23" s="11"/>
      <c r="Y23" s="4"/>
      <c r="Z23" s="11" t="s">
        <v>121</v>
      </c>
      <c r="AA23" s="13">
        <v>1</v>
      </c>
      <c r="AB23" s="13">
        <v>1</v>
      </c>
      <c r="AC23" s="13">
        <v>1</v>
      </c>
      <c r="AD23" s="17">
        <v>1</v>
      </c>
      <c r="AE23" s="11"/>
      <c r="AF23" s="11"/>
      <c r="AG23" s="4"/>
      <c r="AH23" s="11" t="s">
        <v>121</v>
      </c>
      <c r="AI23" s="13">
        <v>1</v>
      </c>
      <c r="AJ23" s="13">
        <v>1</v>
      </c>
      <c r="AK23" s="13">
        <v>1</v>
      </c>
      <c r="AL23" s="13">
        <v>1</v>
      </c>
      <c r="AM23" s="17">
        <v>1</v>
      </c>
      <c r="AN23" s="11"/>
      <c r="AO23" s="11"/>
      <c r="AQ23" s="11" t="s">
        <v>121</v>
      </c>
      <c r="AR23" s="11"/>
      <c r="AS23" s="11"/>
      <c r="AT23" s="11"/>
      <c r="AU23" s="11"/>
      <c r="AV23" s="11"/>
    </row>
    <row r="24" spans="1:48" x14ac:dyDescent="0.2">
      <c r="A24" s="11" t="s">
        <v>122</v>
      </c>
      <c r="B24" s="11" t="s">
        <v>123</v>
      </c>
      <c r="C24" s="13">
        <v>1</v>
      </c>
      <c r="D24" s="14">
        <v>1</v>
      </c>
      <c r="E24" s="14">
        <v>1</v>
      </c>
      <c r="F24" s="14">
        <v>1</v>
      </c>
      <c r="G24" s="11"/>
      <c r="H24" s="11"/>
      <c r="I24" s="4"/>
      <c r="J24" s="11" t="s">
        <v>123</v>
      </c>
      <c r="K24" s="13">
        <v>1</v>
      </c>
      <c r="L24" s="14">
        <v>1</v>
      </c>
      <c r="M24" s="14">
        <v>1</v>
      </c>
      <c r="N24" s="14">
        <v>1</v>
      </c>
      <c r="O24" s="14">
        <v>1</v>
      </c>
      <c r="P24" s="11"/>
      <c r="Q24" s="11"/>
      <c r="R24" s="4"/>
      <c r="S24" s="11" t="s">
        <v>123</v>
      </c>
      <c r="T24" s="11"/>
      <c r="U24" s="11"/>
      <c r="V24" s="11"/>
      <c r="W24" s="14">
        <v>1</v>
      </c>
      <c r="X24" s="11"/>
      <c r="Y24" s="4"/>
      <c r="Z24" s="11" t="s">
        <v>123</v>
      </c>
      <c r="AA24" s="13">
        <v>1</v>
      </c>
      <c r="AB24" s="14">
        <v>1</v>
      </c>
      <c r="AC24" s="14">
        <v>1</v>
      </c>
      <c r="AD24" s="14">
        <v>1</v>
      </c>
      <c r="AE24" s="11"/>
      <c r="AF24" s="11"/>
      <c r="AG24" s="4"/>
      <c r="AH24" s="11" t="s">
        <v>123</v>
      </c>
      <c r="AI24" s="13">
        <v>1</v>
      </c>
      <c r="AJ24" s="14">
        <v>1</v>
      </c>
      <c r="AK24" s="14">
        <v>1</v>
      </c>
      <c r="AL24" s="14">
        <v>1</v>
      </c>
      <c r="AM24" s="14">
        <v>1</v>
      </c>
      <c r="AN24" s="11"/>
      <c r="AO24" s="11"/>
      <c r="AQ24" s="11" t="s">
        <v>123</v>
      </c>
      <c r="AR24" s="11"/>
      <c r="AS24" s="11"/>
      <c r="AT24" s="11"/>
      <c r="AU24" s="14">
        <v>1</v>
      </c>
      <c r="AV24" s="11"/>
    </row>
    <row r="25" spans="1:48" x14ac:dyDescent="0.2">
      <c r="A25" s="11" t="s">
        <v>124</v>
      </c>
      <c r="B25" s="11" t="s">
        <v>125</v>
      </c>
      <c r="C25" s="13">
        <v>1</v>
      </c>
      <c r="D25" s="13">
        <v>1</v>
      </c>
      <c r="E25" s="13">
        <v>1</v>
      </c>
      <c r="F25" s="14">
        <v>1</v>
      </c>
      <c r="G25" s="11"/>
      <c r="H25" s="11"/>
      <c r="I25" s="4"/>
      <c r="J25" s="11" t="s">
        <v>125</v>
      </c>
      <c r="K25" s="13">
        <v>1</v>
      </c>
      <c r="L25" s="13">
        <v>1</v>
      </c>
      <c r="M25" s="13">
        <v>1</v>
      </c>
      <c r="N25" s="13">
        <v>1</v>
      </c>
      <c r="O25" s="14">
        <v>1</v>
      </c>
      <c r="P25" s="11"/>
      <c r="Q25" s="11"/>
      <c r="R25" s="4"/>
      <c r="S25" s="11" t="s">
        <v>125</v>
      </c>
      <c r="T25" s="11"/>
      <c r="U25" s="11"/>
      <c r="V25" s="11"/>
      <c r="W25" s="12">
        <v>1</v>
      </c>
      <c r="X25" s="11"/>
      <c r="Y25" s="4"/>
      <c r="Z25" s="11" t="s">
        <v>125</v>
      </c>
      <c r="AA25" s="13">
        <v>1</v>
      </c>
      <c r="AB25" s="13">
        <v>1</v>
      </c>
      <c r="AC25" s="13">
        <v>1</v>
      </c>
      <c r="AD25" s="14">
        <v>1</v>
      </c>
      <c r="AE25" s="11"/>
      <c r="AF25" s="11"/>
      <c r="AG25" s="4"/>
      <c r="AH25" s="11" t="s">
        <v>125</v>
      </c>
      <c r="AI25" s="13">
        <v>1</v>
      </c>
      <c r="AJ25" s="13">
        <v>1</v>
      </c>
      <c r="AK25" s="13">
        <v>1</v>
      </c>
      <c r="AL25" s="13">
        <v>1</v>
      </c>
      <c r="AM25" s="14">
        <v>1</v>
      </c>
      <c r="AN25" s="11"/>
      <c r="AO25" s="11"/>
      <c r="AQ25" s="11" t="s">
        <v>125</v>
      </c>
      <c r="AR25" s="11"/>
      <c r="AS25" s="11"/>
      <c r="AT25" s="11"/>
      <c r="AU25" s="12">
        <v>1</v>
      </c>
      <c r="AV25" s="11"/>
    </row>
    <row r="26" spans="1:48" x14ac:dyDescent="0.2">
      <c r="A26" s="11" t="s">
        <v>126</v>
      </c>
      <c r="B26" s="11" t="s">
        <v>127</v>
      </c>
      <c r="C26" s="13">
        <v>1</v>
      </c>
      <c r="D26" s="13">
        <v>1</v>
      </c>
      <c r="E26" s="13">
        <v>1</v>
      </c>
      <c r="F26" s="14">
        <v>1</v>
      </c>
      <c r="G26" s="11"/>
      <c r="H26" s="11"/>
      <c r="I26" s="4"/>
      <c r="J26" s="11" t="s">
        <v>127</v>
      </c>
      <c r="K26" s="13">
        <v>1</v>
      </c>
      <c r="L26" s="13">
        <v>1</v>
      </c>
      <c r="M26" s="13">
        <v>1</v>
      </c>
      <c r="N26" s="13">
        <v>1</v>
      </c>
      <c r="O26" s="14">
        <v>1</v>
      </c>
      <c r="P26" s="11"/>
      <c r="Q26" s="11"/>
      <c r="R26" s="4"/>
      <c r="S26" s="11" t="s">
        <v>127</v>
      </c>
      <c r="T26" s="11"/>
      <c r="U26" s="11"/>
      <c r="V26" s="11"/>
      <c r="W26" s="14">
        <v>1</v>
      </c>
      <c r="X26" s="11"/>
      <c r="Y26" s="4"/>
      <c r="Z26" s="11" t="s">
        <v>127</v>
      </c>
      <c r="AA26" s="13">
        <v>1</v>
      </c>
      <c r="AB26" s="13">
        <v>1</v>
      </c>
      <c r="AC26" s="13">
        <v>1</v>
      </c>
      <c r="AD26" s="14">
        <v>1</v>
      </c>
      <c r="AE26" s="11"/>
      <c r="AF26" s="11"/>
      <c r="AG26" s="4"/>
      <c r="AH26" s="11" t="s">
        <v>127</v>
      </c>
      <c r="AI26" s="13">
        <v>1</v>
      </c>
      <c r="AJ26" s="13">
        <v>1</v>
      </c>
      <c r="AK26" s="13">
        <v>1</v>
      </c>
      <c r="AL26" s="13">
        <v>1</v>
      </c>
      <c r="AM26" s="14">
        <v>1</v>
      </c>
      <c r="AN26" s="11"/>
      <c r="AO26" s="11"/>
      <c r="AQ26" s="11" t="s">
        <v>127</v>
      </c>
      <c r="AR26" s="11"/>
      <c r="AS26" s="11"/>
      <c r="AT26" s="11"/>
      <c r="AU26" s="14">
        <v>1</v>
      </c>
      <c r="AV26" s="11"/>
    </row>
    <row r="27" spans="1:48" x14ac:dyDescent="0.2">
      <c r="A27" s="11" t="s">
        <v>128</v>
      </c>
      <c r="B27" s="11" t="s">
        <v>129</v>
      </c>
      <c r="C27" s="13">
        <v>1</v>
      </c>
      <c r="D27" s="13">
        <v>1</v>
      </c>
      <c r="E27" s="13">
        <v>1</v>
      </c>
      <c r="F27" s="13">
        <v>1</v>
      </c>
      <c r="G27" s="11"/>
      <c r="H27" s="11"/>
      <c r="I27" s="4"/>
      <c r="J27" s="11" t="s">
        <v>129</v>
      </c>
      <c r="K27" s="13">
        <v>1</v>
      </c>
      <c r="L27" s="13">
        <v>1</v>
      </c>
      <c r="M27" s="13">
        <v>1</v>
      </c>
      <c r="N27" s="13">
        <v>1</v>
      </c>
      <c r="O27" s="13">
        <v>1</v>
      </c>
      <c r="P27" s="11"/>
      <c r="Q27" s="11"/>
      <c r="R27" s="4"/>
      <c r="S27" s="11" t="s">
        <v>129</v>
      </c>
      <c r="T27" s="11"/>
      <c r="U27" s="11"/>
      <c r="V27" s="11"/>
      <c r="W27" s="12">
        <v>1</v>
      </c>
      <c r="X27" s="11"/>
      <c r="Y27" s="4"/>
      <c r="Z27" s="11" t="s">
        <v>129</v>
      </c>
      <c r="AA27" s="13">
        <v>1</v>
      </c>
      <c r="AB27" s="13">
        <v>1</v>
      </c>
      <c r="AC27" s="13">
        <v>1</v>
      </c>
      <c r="AD27" s="13">
        <v>1</v>
      </c>
      <c r="AE27" s="11"/>
      <c r="AF27" s="11"/>
      <c r="AG27" s="4"/>
      <c r="AH27" s="11" t="s">
        <v>129</v>
      </c>
      <c r="AI27" s="13">
        <v>1</v>
      </c>
      <c r="AJ27" s="13">
        <v>1</v>
      </c>
      <c r="AK27" s="13">
        <v>1</v>
      </c>
      <c r="AL27" s="13">
        <v>1</v>
      </c>
      <c r="AM27" s="13">
        <v>1</v>
      </c>
      <c r="AN27" s="11"/>
      <c r="AO27" s="11"/>
      <c r="AQ27" s="11" t="s">
        <v>129</v>
      </c>
      <c r="AR27" s="11"/>
      <c r="AS27" s="11"/>
      <c r="AT27" s="11"/>
      <c r="AU27" s="12">
        <v>1</v>
      </c>
      <c r="AV27" s="11"/>
    </row>
    <row r="28" spans="1:48" x14ac:dyDescent="0.2">
      <c r="A28" s="11" t="s">
        <v>130</v>
      </c>
      <c r="B28" s="11" t="s">
        <v>131</v>
      </c>
      <c r="C28" s="13">
        <v>1</v>
      </c>
      <c r="D28" s="13">
        <v>1</v>
      </c>
      <c r="E28" s="13">
        <v>1</v>
      </c>
      <c r="F28" s="13">
        <v>1</v>
      </c>
      <c r="G28" s="11"/>
      <c r="H28" s="11"/>
      <c r="I28" s="4"/>
      <c r="J28" s="11" t="s">
        <v>131</v>
      </c>
      <c r="K28" s="13">
        <v>1</v>
      </c>
      <c r="L28" s="13">
        <v>1</v>
      </c>
      <c r="M28" s="13">
        <v>1</v>
      </c>
      <c r="N28" s="13">
        <v>1</v>
      </c>
      <c r="O28" s="13">
        <v>1</v>
      </c>
      <c r="P28" s="11"/>
      <c r="Q28" s="11"/>
      <c r="R28" s="4"/>
      <c r="S28" s="11" t="s">
        <v>131</v>
      </c>
      <c r="T28" s="11"/>
      <c r="U28" s="11"/>
      <c r="V28" s="11"/>
      <c r="W28" s="11"/>
      <c r="X28" s="11"/>
      <c r="Y28" s="4"/>
      <c r="Z28" s="11" t="s">
        <v>131</v>
      </c>
      <c r="AA28" s="13">
        <v>1</v>
      </c>
      <c r="AB28" s="13">
        <v>1</v>
      </c>
      <c r="AC28" s="13">
        <v>1</v>
      </c>
      <c r="AD28" s="13">
        <v>1</v>
      </c>
      <c r="AE28" s="11"/>
      <c r="AF28" s="11"/>
      <c r="AG28" s="4"/>
      <c r="AH28" s="11" t="s">
        <v>131</v>
      </c>
      <c r="AI28" s="13">
        <v>1</v>
      </c>
      <c r="AJ28" s="13">
        <v>1</v>
      </c>
      <c r="AK28" s="13">
        <v>1</v>
      </c>
      <c r="AL28" s="13">
        <v>1</v>
      </c>
      <c r="AM28" s="13">
        <v>1</v>
      </c>
      <c r="AN28" s="11"/>
      <c r="AO28" s="11"/>
      <c r="AQ28" s="11" t="s">
        <v>131</v>
      </c>
      <c r="AR28" s="11"/>
      <c r="AS28" s="11"/>
      <c r="AT28" s="11"/>
      <c r="AU28" s="11"/>
      <c r="AV28" s="11"/>
    </row>
    <row r="29" spans="1:48" x14ac:dyDescent="0.2">
      <c r="A29" s="18" t="s">
        <v>132</v>
      </c>
      <c r="B29" s="11" t="s">
        <v>133</v>
      </c>
      <c r="C29" s="13">
        <v>1</v>
      </c>
      <c r="D29" s="13">
        <v>1</v>
      </c>
      <c r="E29" s="13">
        <v>1</v>
      </c>
      <c r="F29" s="13">
        <v>1</v>
      </c>
      <c r="G29" s="11"/>
      <c r="H29" s="11"/>
      <c r="I29" s="4"/>
      <c r="J29" s="11" t="s">
        <v>133</v>
      </c>
      <c r="K29" s="13">
        <v>1</v>
      </c>
      <c r="L29" s="13">
        <v>1</v>
      </c>
      <c r="M29" s="13">
        <v>1</v>
      </c>
      <c r="N29" s="13">
        <v>1</v>
      </c>
      <c r="O29" s="13">
        <v>1</v>
      </c>
      <c r="P29" s="11"/>
      <c r="Q29" s="11"/>
      <c r="R29" s="4"/>
      <c r="S29" s="11" t="s">
        <v>133</v>
      </c>
      <c r="T29" s="11"/>
      <c r="U29" s="11"/>
      <c r="V29" s="11"/>
      <c r="W29" s="11"/>
      <c r="X29" s="11"/>
      <c r="Y29" s="4"/>
      <c r="Z29" s="11" t="s">
        <v>133</v>
      </c>
      <c r="AA29" s="13">
        <v>1</v>
      </c>
      <c r="AB29" s="13">
        <v>1</v>
      </c>
      <c r="AC29" s="13">
        <v>1</v>
      </c>
      <c r="AD29" s="13">
        <v>1</v>
      </c>
      <c r="AE29" s="11"/>
      <c r="AF29" s="11"/>
      <c r="AG29" s="4"/>
      <c r="AH29" s="11" t="s">
        <v>133</v>
      </c>
      <c r="AI29" s="13">
        <v>1</v>
      </c>
      <c r="AJ29" s="13">
        <v>1</v>
      </c>
      <c r="AK29" s="13">
        <v>1</v>
      </c>
      <c r="AL29" s="13">
        <v>1</v>
      </c>
      <c r="AM29" s="13">
        <v>1</v>
      </c>
      <c r="AN29" s="11"/>
      <c r="AO29" s="11"/>
      <c r="AQ29" s="11" t="s">
        <v>133</v>
      </c>
      <c r="AR29" s="11"/>
      <c r="AS29" s="11"/>
      <c r="AT29" s="11"/>
      <c r="AU29" s="11"/>
      <c r="AV29" s="11"/>
    </row>
    <row r="31" spans="1:48" x14ac:dyDescent="0.2">
      <c r="A31" s="19"/>
      <c r="B31" s="19"/>
    </row>
    <row r="32" spans="1:48" x14ac:dyDescent="0.2">
      <c r="A32" s="19"/>
      <c r="B32" s="19"/>
    </row>
    <row r="33" spans="1:2" x14ac:dyDescent="0.2">
      <c r="A33" s="19"/>
      <c r="B33" s="19"/>
    </row>
    <row r="34" spans="1:2" x14ac:dyDescent="0.2">
      <c r="A34" s="19"/>
      <c r="B34" s="19"/>
    </row>
    <row r="35" spans="1:2" x14ac:dyDescent="0.2">
      <c r="A35" s="19"/>
      <c r="B35" s="19"/>
    </row>
    <row r="36" spans="1:2" x14ac:dyDescent="0.2">
      <c r="A36" s="19"/>
      <c r="B36" s="19"/>
    </row>
  </sheetData>
  <mergeCells count="13">
    <mergeCell ref="A1:A2"/>
    <mergeCell ref="C1:H1"/>
    <mergeCell ref="K1:Q1"/>
    <mergeCell ref="T1:X1"/>
    <mergeCell ref="AA1:AF1"/>
    <mergeCell ref="AR1:AV1"/>
    <mergeCell ref="C2:H2"/>
    <mergeCell ref="K2:Q2"/>
    <mergeCell ref="T2:X2"/>
    <mergeCell ref="AA2:AF2"/>
    <mergeCell ref="AI2:AO2"/>
    <mergeCell ref="AR2:AV2"/>
    <mergeCell ref="AI1:AO1"/>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623A9-CDC6-4D76-A874-326619783F54}">
  <dimension ref="A1:G11"/>
  <sheetViews>
    <sheetView workbookViewId="0">
      <selection activeCell="G5" sqref="G5"/>
    </sheetView>
  </sheetViews>
  <sheetFormatPr baseColWidth="10" defaultColWidth="8.83203125" defaultRowHeight="14" x14ac:dyDescent="0.2"/>
  <cols>
    <col min="1" max="1" width="9.33203125" style="123" customWidth="1"/>
    <col min="2" max="2" width="39.83203125" style="123" customWidth="1"/>
    <col min="3" max="3" width="42.33203125" style="123" customWidth="1"/>
    <col min="4" max="4" width="31.6640625" style="123" customWidth="1"/>
    <col min="5" max="5" width="39.83203125" style="123" customWidth="1"/>
    <col min="6" max="6" width="42.33203125" style="123" customWidth="1"/>
    <col min="7" max="7" width="31.6640625" style="123" customWidth="1"/>
    <col min="8" max="16384" width="8.83203125" style="123"/>
  </cols>
  <sheetData>
    <row r="1" spans="1:7" ht="15" thickBot="1" x14ac:dyDescent="0.25">
      <c r="A1" s="124"/>
      <c r="B1" s="125" t="s">
        <v>134</v>
      </c>
      <c r="C1" s="126" t="s">
        <v>135</v>
      </c>
      <c r="D1" s="126" t="s">
        <v>136</v>
      </c>
      <c r="E1" s="126" t="s">
        <v>137</v>
      </c>
      <c r="F1" s="126" t="s">
        <v>138</v>
      </c>
      <c r="G1" s="126" t="s">
        <v>139</v>
      </c>
    </row>
    <row r="2" spans="1:7" ht="15" thickBot="1" x14ac:dyDescent="0.25">
      <c r="A2" s="113" t="s">
        <v>140</v>
      </c>
      <c r="B2" s="127" t="s">
        <v>141</v>
      </c>
      <c r="C2" s="127" t="s">
        <v>141</v>
      </c>
      <c r="D2" s="128" t="s">
        <v>142</v>
      </c>
      <c r="E2" s="127" t="s">
        <v>141</v>
      </c>
      <c r="F2" s="127" t="s">
        <v>141</v>
      </c>
      <c r="G2" s="128" t="s">
        <v>142</v>
      </c>
    </row>
    <row r="3" spans="1:7" ht="15" thickBot="1" x14ac:dyDescent="0.25">
      <c r="A3" s="113" t="s">
        <v>143</v>
      </c>
      <c r="B3" s="122" t="s">
        <v>144</v>
      </c>
      <c r="C3" s="122" t="s">
        <v>145</v>
      </c>
      <c r="D3" s="122" t="s">
        <v>146</v>
      </c>
      <c r="E3" s="122" t="s">
        <v>144</v>
      </c>
      <c r="F3" s="122" t="s">
        <v>145</v>
      </c>
      <c r="G3" s="122" t="s">
        <v>146</v>
      </c>
    </row>
    <row r="4" spans="1:7" ht="68" thickBot="1" x14ac:dyDescent="0.25">
      <c r="A4" s="113" t="s">
        <v>147</v>
      </c>
      <c r="B4" s="117" t="s">
        <v>148</v>
      </c>
      <c r="C4" s="114" t="s">
        <v>149</v>
      </c>
      <c r="D4" s="122" t="s">
        <v>150</v>
      </c>
      <c r="E4" s="114" t="s">
        <v>148</v>
      </c>
      <c r="F4" s="114" t="s">
        <v>149</v>
      </c>
      <c r="G4" s="122" t="s">
        <v>150</v>
      </c>
    </row>
    <row r="5" spans="1:7" ht="211" thickBot="1" x14ac:dyDescent="0.25">
      <c r="A5" s="116" t="s">
        <v>151</v>
      </c>
      <c r="B5" s="120" t="s">
        <v>152</v>
      </c>
      <c r="C5" s="129" t="s">
        <v>153</v>
      </c>
      <c r="D5" s="115" t="s">
        <v>154</v>
      </c>
      <c r="E5" s="129" t="s">
        <v>152</v>
      </c>
      <c r="F5" s="129" t="s">
        <v>153</v>
      </c>
      <c r="G5" s="115" t="s">
        <v>154</v>
      </c>
    </row>
    <row r="6" spans="1:7" ht="155" thickBot="1" x14ac:dyDescent="0.25">
      <c r="A6" s="113" t="s">
        <v>50</v>
      </c>
      <c r="B6" s="117" t="s">
        <v>155</v>
      </c>
      <c r="C6" s="114" t="s">
        <v>155</v>
      </c>
      <c r="D6" s="114" t="s">
        <v>156</v>
      </c>
      <c r="E6" s="114" t="s">
        <v>155</v>
      </c>
      <c r="F6" s="114" t="s">
        <v>155</v>
      </c>
      <c r="G6" s="114" t="s">
        <v>156</v>
      </c>
    </row>
    <row r="7" spans="1:7" ht="121" thickBot="1" x14ac:dyDescent="0.25">
      <c r="A7" s="116" t="s">
        <v>157</v>
      </c>
      <c r="B7" s="119" t="s">
        <v>158</v>
      </c>
      <c r="C7" s="114" t="s">
        <v>159</v>
      </c>
      <c r="D7" s="115" t="s">
        <v>160</v>
      </c>
      <c r="E7" s="121" t="s">
        <v>158</v>
      </c>
      <c r="F7" s="114" t="s">
        <v>159</v>
      </c>
      <c r="G7" s="115" t="s">
        <v>160</v>
      </c>
    </row>
    <row r="8" spans="1:7" ht="211" thickBot="1" x14ac:dyDescent="0.25">
      <c r="A8" s="116" t="s">
        <v>161</v>
      </c>
      <c r="B8" s="120" t="s">
        <v>162</v>
      </c>
      <c r="C8" s="129" t="s">
        <v>162</v>
      </c>
      <c r="D8" s="115" t="s">
        <v>163</v>
      </c>
      <c r="E8" s="129" t="s">
        <v>162</v>
      </c>
      <c r="F8" s="129" t="s">
        <v>162</v>
      </c>
      <c r="G8" s="115" t="s">
        <v>163</v>
      </c>
    </row>
    <row r="9" spans="1:7" ht="46" thickBot="1" x14ac:dyDescent="0.25">
      <c r="A9" s="116" t="s">
        <v>164</v>
      </c>
      <c r="B9" s="120" t="s">
        <v>165</v>
      </c>
      <c r="C9" s="129" t="s">
        <v>165</v>
      </c>
      <c r="D9" s="115" t="s">
        <v>166</v>
      </c>
      <c r="E9" s="129" t="s">
        <v>165</v>
      </c>
      <c r="F9" s="129" t="s">
        <v>165</v>
      </c>
      <c r="G9" s="115" t="s">
        <v>166</v>
      </c>
    </row>
    <row r="10" spans="1:7" ht="271" thickBot="1" x14ac:dyDescent="0.25">
      <c r="A10" s="116" t="s">
        <v>167</v>
      </c>
      <c r="B10" s="117" t="s">
        <v>168</v>
      </c>
      <c r="C10" s="114" t="s">
        <v>168</v>
      </c>
      <c r="D10" s="118" t="s">
        <v>169</v>
      </c>
      <c r="E10" s="114" t="s">
        <v>168</v>
      </c>
      <c r="F10" s="114" t="s">
        <v>170</v>
      </c>
      <c r="G10" s="118" t="s">
        <v>169</v>
      </c>
    </row>
    <row r="11" spans="1:7" ht="85.25" customHeight="1" thickBot="1" x14ac:dyDescent="0.25">
      <c r="A11" s="116" t="s">
        <v>171</v>
      </c>
      <c r="B11" s="130" t="s">
        <v>172</v>
      </c>
      <c r="C11" s="130" t="s">
        <v>172</v>
      </c>
      <c r="D11" s="131" t="s">
        <v>173</v>
      </c>
      <c r="E11" s="130" t="s">
        <v>172</v>
      </c>
      <c r="F11" s="130" t="s">
        <v>172</v>
      </c>
      <c r="G11" s="131" t="s">
        <v>173</v>
      </c>
    </row>
  </sheetData>
  <pageMargins left="0.7" right="0.7" top="0.75" bottom="0.75" header="0.3" footer="0.3"/>
  <pageSetup paperSize="9" orientation="portrait" horizontalDpi="4294967293"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627A0-73A2-4374-B9D9-868874AE7270}">
  <dimension ref="B2:AG53"/>
  <sheetViews>
    <sheetView workbookViewId="0">
      <selection activeCell="AB18" sqref="AB18"/>
    </sheetView>
  </sheetViews>
  <sheetFormatPr baseColWidth="10" defaultColWidth="8.83203125" defaultRowHeight="15" x14ac:dyDescent="0.2"/>
  <cols>
    <col min="1" max="1" width="3.5" customWidth="1"/>
    <col min="4" max="4" width="28.1640625" customWidth="1"/>
    <col min="5" max="5" width="28.5" bestFit="1" customWidth="1"/>
    <col min="6" max="6" width="10.5" customWidth="1"/>
    <col min="7" max="7" width="11.5" customWidth="1"/>
    <col min="8" max="8" width="10.33203125" customWidth="1"/>
    <col min="9" max="9" width="10" customWidth="1"/>
    <col min="12" max="12" width="10.5" customWidth="1"/>
    <col min="15" max="17" width="10.5" customWidth="1"/>
    <col min="18" max="18" width="9.6640625" customWidth="1"/>
    <col min="20" max="20" width="10.5" customWidth="1"/>
    <col min="22" max="22" width="5.1640625" customWidth="1"/>
    <col min="23" max="23" width="15.83203125" bestFit="1" customWidth="1"/>
  </cols>
  <sheetData>
    <row r="2" spans="2:33" x14ac:dyDescent="0.2">
      <c r="B2" s="69" t="s">
        <v>174</v>
      </c>
      <c r="C2" s="133" t="s">
        <v>175</v>
      </c>
      <c r="D2" s="69"/>
    </row>
    <row r="3" spans="2:33" x14ac:dyDescent="0.2">
      <c r="B3" s="69"/>
      <c r="C3" s="133" t="s">
        <v>176</v>
      </c>
      <c r="D3" s="69"/>
    </row>
    <row r="5" spans="2:33" s="75" customFormat="1" ht="30" customHeight="1" x14ac:dyDescent="0.2">
      <c r="B5" s="425" t="s">
        <v>177</v>
      </c>
      <c r="C5" s="425"/>
      <c r="D5" s="425"/>
      <c r="E5" s="425"/>
      <c r="F5" s="425"/>
      <c r="G5" s="425"/>
      <c r="H5" s="425"/>
      <c r="I5" s="425"/>
      <c r="J5" s="425"/>
      <c r="K5" s="425"/>
      <c r="L5" s="425"/>
      <c r="M5" s="425"/>
      <c r="N5" s="425"/>
      <c r="O5" s="425"/>
      <c r="P5" s="425"/>
      <c r="Q5" s="425"/>
      <c r="R5" s="425"/>
      <c r="S5" s="425"/>
      <c r="T5" s="425"/>
      <c r="U5" s="425"/>
      <c r="V5" s="95"/>
      <c r="W5" s="95"/>
      <c r="X5" s="95"/>
      <c r="Y5" s="95"/>
      <c r="Z5" s="95"/>
      <c r="AA5" s="95"/>
      <c r="AB5" s="95"/>
      <c r="AC5" s="95"/>
      <c r="AD5" s="95"/>
      <c r="AE5" s="132"/>
      <c r="AF5" s="132"/>
      <c r="AG5" s="132"/>
    </row>
    <row r="6" spans="2:33" x14ac:dyDescent="0.2">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6" x14ac:dyDescent="0.2">
      <c r="B7" s="21"/>
      <c r="C7" s="138" t="s">
        <v>178</v>
      </c>
      <c r="D7" s="98"/>
      <c r="E7" s="21"/>
      <c r="F7" s="429" t="s">
        <v>179</v>
      </c>
      <c r="G7" s="429"/>
      <c r="H7" s="26"/>
      <c r="I7" s="30"/>
      <c r="J7" s="21"/>
      <c r="K7" s="21"/>
      <c r="L7" s="21"/>
      <c r="M7" s="21"/>
      <c r="N7" s="21"/>
      <c r="O7" s="429" t="s">
        <v>180</v>
      </c>
      <c r="P7" s="429"/>
      <c r="Q7" s="429"/>
      <c r="R7" s="26"/>
      <c r="S7" s="30"/>
      <c r="T7" s="21"/>
      <c r="U7" s="21"/>
      <c r="V7" s="21"/>
      <c r="W7" s="21"/>
      <c r="X7" s="21"/>
      <c r="Y7" s="35"/>
      <c r="Z7" s="429" t="s">
        <v>179</v>
      </c>
      <c r="AA7" s="429"/>
      <c r="AB7" s="429"/>
      <c r="AC7" s="429"/>
      <c r="AD7" s="429"/>
      <c r="AE7" s="429"/>
      <c r="AF7" s="429"/>
      <c r="AG7" s="21"/>
    </row>
    <row r="8" spans="2:33" ht="17" thickBot="1" x14ac:dyDescent="0.25">
      <c r="B8" s="21"/>
      <c r="C8" s="97" t="s">
        <v>181</v>
      </c>
      <c r="D8" s="97" t="s">
        <v>140</v>
      </c>
      <c r="E8" s="21"/>
      <c r="F8" s="228" t="s">
        <v>182</v>
      </c>
      <c r="G8" s="228" t="s">
        <v>183</v>
      </c>
      <c r="H8" s="34" t="s">
        <v>184</v>
      </c>
      <c r="I8" s="34"/>
      <c r="J8" s="21"/>
      <c r="K8" s="21"/>
      <c r="L8" s="21"/>
      <c r="M8" s="21"/>
      <c r="N8" s="21"/>
      <c r="O8" s="228" t="s">
        <v>14</v>
      </c>
      <c r="P8" s="228" t="s">
        <v>18</v>
      </c>
      <c r="Q8" s="228" t="s">
        <v>19</v>
      </c>
      <c r="R8" s="34" t="s">
        <v>184</v>
      </c>
      <c r="S8" s="34"/>
      <c r="T8" s="21"/>
      <c r="U8" s="21"/>
      <c r="V8" s="21"/>
      <c r="W8" s="22"/>
      <c r="X8" s="21"/>
      <c r="Y8" s="35"/>
      <c r="Z8" s="428" t="s">
        <v>182</v>
      </c>
      <c r="AA8" s="428"/>
      <c r="AB8" s="428"/>
      <c r="AC8" s="96"/>
      <c r="AD8" s="428" t="s">
        <v>183</v>
      </c>
      <c r="AE8" s="428"/>
      <c r="AF8" s="428"/>
      <c r="AG8" s="21"/>
    </row>
    <row r="9" spans="2:33" ht="17" thickTop="1" x14ac:dyDescent="0.2">
      <c r="B9" s="21"/>
      <c r="C9" s="27">
        <v>1</v>
      </c>
      <c r="D9" s="21" t="s">
        <v>31</v>
      </c>
      <c r="E9" s="21"/>
      <c r="F9" s="23"/>
      <c r="G9" s="23"/>
      <c r="H9" s="30"/>
      <c r="I9" s="30"/>
      <c r="J9" s="21"/>
      <c r="K9" s="21"/>
      <c r="L9" s="21"/>
      <c r="M9" s="21"/>
      <c r="N9" s="21"/>
      <c r="O9" s="23"/>
      <c r="P9" s="23"/>
      <c r="Q9" s="23"/>
      <c r="R9" s="30"/>
      <c r="S9" s="30"/>
      <c r="T9" s="21"/>
      <c r="U9" s="21"/>
      <c r="V9" s="21"/>
      <c r="W9" s="21"/>
      <c r="X9" s="21"/>
      <c r="Y9" s="85"/>
      <c r="Z9" s="99" t="s">
        <v>185</v>
      </c>
      <c r="AA9" s="99" t="s">
        <v>186</v>
      </c>
      <c r="AB9" s="70" t="s">
        <v>187</v>
      </c>
      <c r="AC9" s="70"/>
      <c r="AD9" s="99" t="s">
        <v>185</v>
      </c>
      <c r="AE9" s="99" t="s">
        <v>186</v>
      </c>
      <c r="AF9" s="70" t="s">
        <v>187</v>
      </c>
      <c r="AG9" s="21"/>
    </row>
    <row r="10" spans="2:33" ht="16" x14ac:dyDescent="0.2">
      <c r="B10" s="21"/>
      <c r="C10" s="27">
        <v>2</v>
      </c>
      <c r="D10" s="21" t="s">
        <v>31</v>
      </c>
      <c r="E10" s="137" t="s">
        <v>188</v>
      </c>
      <c r="F10" s="23"/>
      <c r="G10" s="23"/>
      <c r="H10" s="30"/>
      <c r="I10" s="30"/>
      <c r="J10" s="21"/>
      <c r="K10" s="21"/>
      <c r="L10" s="21"/>
      <c r="M10" s="21"/>
      <c r="N10" s="137" t="s">
        <v>189</v>
      </c>
      <c r="O10" s="23"/>
      <c r="P10" s="23"/>
      <c r="Q10" s="21"/>
      <c r="R10" s="30"/>
      <c r="S10" s="30"/>
      <c r="T10" s="21"/>
      <c r="U10" s="21"/>
      <c r="V10" s="21"/>
      <c r="W10" s="21"/>
      <c r="X10" s="24"/>
      <c r="Y10" s="137" t="s">
        <v>190</v>
      </c>
      <c r="Z10" s="21"/>
      <c r="AA10" s="21"/>
      <c r="AB10" s="21"/>
      <c r="AC10" s="21"/>
      <c r="AD10" s="21"/>
      <c r="AE10" s="30"/>
      <c r="AF10" s="21"/>
      <c r="AG10" s="21"/>
    </row>
    <row r="11" spans="2:33" x14ac:dyDescent="0.2">
      <c r="B11" s="21"/>
      <c r="C11" s="27">
        <v>3</v>
      </c>
      <c r="D11" s="21" t="s">
        <v>35</v>
      </c>
      <c r="E11" s="86" t="s">
        <v>191</v>
      </c>
      <c r="F11" s="23">
        <v>167</v>
      </c>
      <c r="G11" s="23">
        <v>200</v>
      </c>
      <c r="H11" s="427" t="s">
        <v>192</v>
      </c>
      <c r="I11" s="427"/>
      <c r="J11" s="427"/>
      <c r="K11" s="21"/>
      <c r="L11" s="21"/>
      <c r="M11" s="21"/>
      <c r="N11" s="86" t="s">
        <v>191</v>
      </c>
      <c r="O11" s="23">
        <v>240</v>
      </c>
      <c r="P11" s="23">
        <v>220</v>
      </c>
      <c r="Q11" s="23">
        <v>190</v>
      </c>
      <c r="R11" s="31" t="s">
        <v>193</v>
      </c>
      <c r="S11" s="31"/>
      <c r="T11" s="33"/>
      <c r="U11" s="21"/>
      <c r="V11" s="21"/>
      <c r="W11" s="21"/>
      <c r="X11" s="21"/>
      <c r="Y11" s="86" t="s">
        <v>194</v>
      </c>
      <c r="Z11" s="21">
        <v>2</v>
      </c>
      <c r="AA11" s="21">
        <v>360</v>
      </c>
      <c r="AB11" s="21">
        <f>Z11*AA11</f>
        <v>720</v>
      </c>
      <c r="AC11" s="21"/>
      <c r="AD11" s="21">
        <v>3</v>
      </c>
      <c r="AE11" s="21">
        <v>360</v>
      </c>
      <c r="AF11" s="21">
        <f>AD11*AE11</f>
        <v>1080</v>
      </c>
      <c r="AG11" s="21"/>
    </row>
    <row r="12" spans="2:33" x14ac:dyDescent="0.2">
      <c r="B12" s="21"/>
      <c r="C12" s="27">
        <v>4</v>
      </c>
      <c r="D12" s="21" t="s">
        <v>31</v>
      </c>
      <c r="E12" s="86" t="s">
        <v>195</v>
      </c>
      <c r="F12" s="23">
        <v>3.2</v>
      </c>
      <c r="G12" s="23">
        <v>3.2</v>
      </c>
      <c r="H12" s="427"/>
      <c r="I12" s="427"/>
      <c r="J12" s="427"/>
      <c r="K12" s="21"/>
      <c r="L12" s="21"/>
      <c r="M12" s="21"/>
      <c r="N12" s="86" t="s">
        <v>195</v>
      </c>
      <c r="O12" s="23">
        <v>190</v>
      </c>
      <c r="P12" s="23">
        <v>190</v>
      </c>
      <c r="Q12" s="23">
        <v>190</v>
      </c>
      <c r="R12" s="30" t="s">
        <v>196</v>
      </c>
      <c r="S12" s="30"/>
      <c r="T12" s="21"/>
      <c r="U12" s="21"/>
      <c r="V12" s="21"/>
      <c r="W12" s="21"/>
      <c r="X12" s="21"/>
      <c r="Y12" s="86" t="s">
        <v>197</v>
      </c>
      <c r="Z12" s="21">
        <v>2</v>
      </c>
      <c r="AA12" s="21">
        <v>360</v>
      </c>
      <c r="AB12" s="21">
        <f t="shared" ref="AB12:AB19" si="0">Z12*AA12</f>
        <v>720</v>
      </c>
      <c r="AC12" s="21"/>
      <c r="AD12" s="21">
        <v>3</v>
      </c>
      <c r="AE12" s="21">
        <v>360</v>
      </c>
      <c r="AF12" s="21">
        <f t="shared" ref="AF12:AF19" si="1">AD12*AE12</f>
        <v>1080</v>
      </c>
      <c r="AG12" s="21"/>
    </row>
    <row r="13" spans="2:33" x14ac:dyDescent="0.2">
      <c r="B13" s="21"/>
      <c r="C13" s="27">
        <v>5</v>
      </c>
      <c r="D13" s="21" t="s">
        <v>31</v>
      </c>
      <c r="E13" s="87"/>
      <c r="F13" s="23"/>
      <c r="G13" s="23"/>
      <c r="H13" s="30"/>
      <c r="I13" s="30"/>
      <c r="J13" s="21"/>
      <c r="K13" s="21"/>
      <c r="L13" s="21"/>
      <c r="M13" s="21"/>
      <c r="N13" s="87"/>
      <c r="O13" s="23"/>
      <c r="P13" s="23"/>
      <c r="Q13" s="23"/>
      <c r="R13" s="30"/>
      <c r="S13" s="30"/>
      <c r="T13" s="21"/>
      <c r="U13" s="21"/>
      <c r="V13" s="21"/>
      <c r="W13" s="21"/>
      <c r="X13" s="21"/>
      <c r="Y13" s="86" t="s">
        <v>198</v>
      </c>
      <c r="Z13" s="21"/>
      <c r="AA13" s="21"/>
      <c r="AB13" s="21"/>
      <c r="AC13" s="21"/>
      <c r="AD13" s="21"/>
      <c r="AE13" s="21"/>
      <c r="AF13" s="21"/>
      <c r="AG13" s="21"/>
    </row>
    <row r="14" spans="2:33" ht="16" x14ac:dyDescent="0.2">
      <c r="B14" s="21"/>
      <c r="C14" s="27">
        <v>6</v>
      </c>
      <c r="D14" s="21" t="s">
        <v>35</v>
      </c>
      <c r="E14" s="137" t="s">
        <v>50</v>
      </c>
      <c r="F14" s="23"/>
      <c r="G14" s="23"/>
      <c r="H14" s="30"/>
      <c r="I14" s="30"/>
      <c r="J14" s="21"/>
      <c r="K14" s="21"/>
      <c r="L14" s="21"/>
      <c r="M14" s="21"/>
      <c r="N14" s="137" t="s">
        <v>199</v>
      </c>
      <c r="O14" s="23"/>
      <c r="P14" s="23"/>
      <c r="Q14" s="23"/>
      <c r="R14" s="30"/>
      <c r="S14" s="30"/>
      <c r="T14" s="21"/>
      <c r="U14" s="21"/>
      <c r="V14" s="21"/>
      <c r="W14" s="21"/>
      <c r="X14" s="21"/>
      <c r="Y14" s="86" t="s">
        <v>200</v>
      </c>
      <c r="Z14" s="21">
        <v>4</v>
      </c>
      <c r="AA14" s="21">
        <v>360</v>
      </c>
      <c r="AB14" s="21">
        <f t="shared" si="0"/>
        <v>1440</v>
      </c>
      <c r="AC14" s="21"/>
      <c r="AD14" s="21">
        <v>4</v>
      </c>
      <c r="AE14" s="21">
        <v>360</v>
      </c>
      <c r="AF14" s="21">
        <f t="shared" si="1"/>
        <v>1440</v>
      </c>
      <c r="AG14" s="21"/>
    </row>
    <row r="15" spans="2:33" ht="14.5" customHeight="1" x14ac:dyDescent="0.2">
      <c r="B15" s="21"/>
      <c r="C15" s="21"/>
      <c r="D15" s="21"/>
      <c r="E15" s="86" t="s">
        <v>191</v>
      </c>
      <c r="F15" s="23" t="s">
        <v>201</v>
      </c>
      <c r="G15" s="23" t="s">
        <v>201</v>
      </c>
      <c r="H15" s="426" t="s">
        <v>202</v>
      </c>
      <c r="I15" s="426"/>
      <c r="J15" s="426"/>
      <c r="K15" s="426"/>
      <c r="L15" s="21"/>
      <c r="M15" s="21"/>
      <c r="N15" s="86" t="s">
        <v>191</v>
      </c>
      <c r="O15" s="23">
        <v>70</v>
      </c>
      <c r="P15" s="23">
        <v>70</v>
      </c>
      <c r="Q15" s="23">
        <v>70</v>
      </c>
      <c r="R15" s="30" t="s">
        <v>203</v>
      </c>
      <c r="S15" s="30"/>
      <c r="T15" s="21"/>
      <c r="U15" s="21"/>
      <c r="V15" s="21"/>
      <c r="W15" s="21"/>
      <c r="X15" s="21"/>
      <c r="Y15" s="86" t="s">
        <v>204</v>
      </c>
      <c r="Z15" s="21">
        <v>0.6</v>
      </c>
      <c r="AA15" s="21">
        <v>500</v>
      </c>
      <c r="AB15" s="21">
        <f t="shared" si="0"/>
        <v>300</v>
      </c>
      <c r="AC15" s="21"/>
      <c r="AD15" s="21">
        <v>0.6</v>
      </c>
      <c r="AE15" s="21">
        <v>500</v>
      </c>
      <c r="AF15" s="21">
        <f t="shared" si="1"/>
        <v>300</v>
      </c>
      <c r="AG15" s="21"/>
    </row>
    <row r="16" spans="2:33" x14ac:dyDescent="0.2">
      <c r="B16" s="21"/>
      <c r="C16" s="21"/>
      <c r="D16" s="21"/>
      <c r="E16" s="86" t="s">
        <v>195</v>
      </c>
      <c r="F16" s="23" t="s">
        <v>205</v>
      </c>
      <c r="G16" s="23" t="s">
        <v>205</v>
      </c>
      <c r="H16" s="426"/>
      <c r="I16" s="426"/>
      <c r="J16" s="426"/>
      <c r="K16" s="426"/>
      <c r="L16" s="21"/>
      <c r="M16" s="21"/>
      <c r="N16" s="86" t="s">
        <v>195</v>
      </c>
      <c r="O16" s="23">
        <v>55</v>
      </c>
      <c r="P16" s="23">
        <v>55</v>
      </c>
      <c r="Q16" s="23">
        <v>55</v>
      </c>
      <c r="R16" s="30" t="s">
        <v>196</v>
      </c>
      <c r="S16" s="30"/>
      <c r="T16" s="21"/>
      <c r="U16" s="21"/>
      <c r="V16" s="21"/>
      <c r="W16" s="21"/>
      <c r="X16" s="21"/>
      <c r="Y16" s="86" t="s">
        <v>206</v>
      </c>
      <c r="Z16" s="21">
        <v>0.4</v>
      </c>
      <c r="AA16" s="21">
        <v>36</v>
      </c>
      <c r="AB16" s="21">
        <f t="shared" si="0"/>
        <v>14.4</v>
      </c>
      <c r="AC16" s="21"/>
      <c r="AD16" s="21">
        <v>0.4</v>
      </c>
      <c r="AE16" s="21">
        <v>36</v>
      </c>
      <c r="AF16" s="21">
        <f t="shared" si="1"/>
        <v>14.4</v>
      </c>
      <c r="AG16" s="21"/>
    </row>
    <row r="17" spans="2:33" x14ac:dyDescent="0.2">
      <c r="B17" s="21"/>
      <c r="C17" s="21"/>
      <c r="D17" s="21"/>
      <c r="E17" s="87"/>
      <c r="F17" s="23"/>
      <c r="G17" s="23"/>
      <c r="H17" s="426"/>
      <c r="I17" s="426"/>
      <c r="J17" s="426"/>
      <c r="K17" s="426"/>
      <c r="L17" s="21"/>
      <c r="M17" s="21"/>
      <c r="N17" s="87"/>
      <c r="O17" s="23"/>
      <c r="P17" s="23"/>
      <c r="Q17" s="23"/>
      <c r="R17" s="30"/>
      <c r="S17" s="30"/>
      <c r="T17" s="21"/>
      <c r="U17" s="21"/>
      <c r="V17" s="21"/>
      <c r="W17" s="21"/>
      <c r="X17" s="21"/>
      <c r="Y17" s="86" t="s">
        <v>207</v>
      </c>
      <c r="Z17" s="21"/>
      <c r="AA17" s="21"/>
      <c r="AB17" s="21"/>
      <c r="AC17" s="21"/>
      <c r="AD17" s="21"/>
      <c r="AE17" s="21"/>
      <c r="AF17" s="21"/>
      <c r="AG17" s="21"/>
    </row>
    <row r="18" spans="2:33" ht="16" x14ac:dyDescent="0.2">
      <c r="B18" s="21"/>
      <c r="C18" s="21"/>
      <c r="D18" s="21"/>
      <c r="E18" s="137" t="s">
        <v>157</v>
      </c>
      <c r="F18" s="23"/>
      <c r="G18" s="23"/>
      <c r="H18" s="30"/>
      <c r="I18" s="30"/>
      <c r="J18" s="21"/>
      <c r="K18" s="21"/>
      <c r="L18" s="21"/>
      <c r="M18" s="21"/>
      <c r="N18" s="137" t="s">
        <v>208</v>
      </c>
      <c r="O18" s="23"/>
      <c r="P18" s="23"/>
      <c r="Q18" s="23"/>
      <c r="R18" s="30"/>
      <c r="S18" s="30"/>
      <c r="T18" s="21"/>
      <c r="U18" s="21"/>
      <c r="V18" s="21"/>
      <c r="W18" s="21"/>
      <c r="X18" s="21"/>
      <c r="Y18" s="86" t="s">
        <v>209</v>
      </c>
      <c r="Z18" s="21">
        <v>0.4</v>
      </c>
      <c r="AA18" s="21">
        <v>36</v>
      </c>
      <c r="AB18" s="21">
        <f t="shared" si="0"/>
        <v>14.4</v>
      </c>
      <c r="AC18" s="21"/>
      <c r="AD18" s="21">
        <v>0.4</v>
      </c>
      <c r="AE18" s="21">
        <v>36</v>
      </c>
      <c r="AF18" s="21">
        <f t="shared" si="1"/>
        <v>14.4</v>
      </c>
      <c r="AG18" s="21"/>
    </row>
    <row r="19" spans="2:33" x14ac:dyDescent="0.2">
      <c r="B19" s="21"/>
      <c r="C19" s="21"/>
      <c r="D19" s="21"/>
      <c r="E19" s="86" t="s">
        <v>191</v>
      </c>
      <c r="F19" s="430" t="s">
        <v>210</v>
      </c>
      <c r="G19" s="431"/>
      <c r="H19" s="30" t="s">
        <v>211</v>
      </c>
      <c r="I19" s="30"/>
      <c r="J19" s="21"/>
      <c r="K19" s="21"/>
      <c r="L19" s="21"/>
      <c r="M19" s="21"/>
      <c r="N19" s="86" t="s">
        <v>191</v>
      </c>
      <c r="O19" s="23">
        <v>50</v>
      </c>
      <c r="P19" s="23">
        <v>50</v>
      </c>
      <c r="Q19" s="23">
        <v>50</v>
      </c>
      <c r="R19" s="30" t="s">
        <v>203</v>
      </c>
      <c r="S19" s="30"/>
      <c r="T19" s="21"/>
      <c r="U19" s="21"/>
      <c r="V19" s="21"/>
      <c r="W19" s="21"/>
      <c r="X19" s="21"/>
      <c r="Y19" s="86" t="s">
        <v>212</v>
      </c>
      <c r="Z19" s="21">
        <v>3</v>
      </c>
      <c r="AA19" s="21">
        <v>400</v>
      </c>
      <c r="AB19" s="21">
        <f t="shared" si="0"/>
        <v>1200</v>
      </c>
      <c r="AC19" s="21"/>
      <c r="AD19" s="21">
        <v>3</v>
      </c>
      <c r="AE19" s="21">
        <v>400</v>
      </c>
      <c r="AF19" s="21">
        <f t="shared" si="1"/>
        <v>1200</v>
      </c>
      <c r="AG19" s="21"/>
    </row>
    <row r="20" spans="2:33" x14ac:dyDescent="0.2">
      <c r="B20" s="21"/>
      <c r="C20" s="21"/>
      <c r="D20" s="21"/>
      <c r="E20" s="86"/>
      <c r="F20" s="430"/>
      <c r="G20" s="431"/>
      <c r="H20" s="30" t="s">
        <v>213</v>
      </c>
      <c r="I20" s="30"/>
      <c r="J20" s="21"/>
      <c r="K20" s="21"/>
      <c r="L20" s="21"/>
      <c r="M20" s="21"/>
      <c r="N20" s="86" t="s">
        <v>195</v>
      </c>
      <c r="O20" s="23">
        <v>45</v>
      </c>
      <c r="P20" s="23">
        <v>45</v>
      </c>
      <c r="Q20" s="23">
        <v>45</v>
      </c>
      <c r="R20" s="30" t="s">
        <v>196</v>
      </c>
      <c r="S20" s="30"/>
      <c r="T20" s="21"/>
      <c r="U20" s="21"/>
      <c r="V20" s="21"/>
      <c r="W20" s="21"/>
      <c r="X20" s="21"/>
      <c r="Y20" s="87"/>
      <c r="Z20" s="21"/>
      <c r="AA20" s="21"/>
      <c r="AB20" s="21"/>
      <c r="AC20" s="21"/>
      <c r="AD20" s="21"/>
      <c r="AE20" s="30"/>
      <c r="AF20" s="21"/>
      <c r="AG20" s="21"/>
    </row>
    <row r="21" spans="2:33" x14ac:dyDescent="0.2">
      <c r="B21" s="21"/>
      <c r="C21" s="21"/>
      <c r="D21" s="21"/>
      <c r="E21" s="86" t="s">
        <v>195</v>
      </c>
      <c r="F21" s="27" t="s">
        <v>146</v>
      </c>
      <c r="G21" s="23"/>
      <c r="H21" s="30"/>
      <c r="I21" s="30"/>
      <c r="J21" s="21"/>
      <c r="K21" s="21"/>
      <c r="L21" s="21"/>
      <c r="M21" s="21"/>
      <c r="N21" s="35"/>
      <c r="O21" s="21"/>
      <c r="P21" s="21"/>
      <c r="Q21" s="21"/>
      <c r="R21" s="21"/>
      <c r="S21" s="30"/>
      <c r="T21" s="21"/>
      <c r="U21" s="21"/>
      <c r="V21" s="21"/>
      <c r="W21" s="21"/>
      <c r="X21" s="21"/>
      <c r="Y21" s="86" t="s">
        <v>214</v>
      </c>
      <c r="Z21" s="21"/>
      <c r="AA21" s="21"/>
      <c r="AB21" s="100">
        <f>SUM(AB11:AB19)</f>
        <v>4408.8</v>
      </c>
      <c r="AC21" s="21"/>
      <c r="AD21" s="21"/>
      <c r="AE21" s="30"/>
      <c r="AF21" s="100">
        <f>SUM(AF11:AF19)</f>
        <v>5128.8</v>
      </c>
      <c r="AG21" s="21"/>
    </row>
    <row r="22" spans="2:33" x14ac:dyDescent="0.2">
      <c r="B22" s="21"/>
      <c r="C22" s="21"/>
      <c r="D22" s="21"/>
      <c r="E22" s="87"/>
      <c r="F22" s="27"/>
      <c r="G22" s="23"/>
      <c r="H22" s="30"/>
      <c r="I22" s="30"/>
      <c r="J22" s="21"/>
      <c r="K22" s="21"/>
      <c r="L22" s="21"/>
      <c r="M22" s="21"/>
      <c r="N22" s="35"/>
      <c r="O22" s="21"/>
      <c r="P22" s="21"/>
      <c r="Q22" s="21"/>
      <c r="R22" s="21"/>
      <c r="S22" s="30"/>
      <c r="T22" s="21"/>
      <c r="U22" s="21"/>
      <c r="V22" s="21"/>
      <c r="W22" s="21"/>
      <c r="X22" s="21"/>
      <c r="Y22" s="156" t="s">
        <v>215</v>
      </c>
      <c r="Z22" s="21"/>
      <c r="AA22" s="21"/>
      <c r="AB22" s="101">
        <f>AB21/500</f>
        <v>8.8176000000000005</v>
      </c>
      <c r="AC22" s="101"/>
      <c r="AD22" s="21"/>
      <c r="AE22" s="30"/>
      <c r="AF22" s="101">
        <f>AF21/500</f>
        <v>10.2576</v>
      </c>
      <c r="AG22" s="21"/>
    </row>
    <row r="23" spans="2:33" ht="16" x14ac:dyDescent="0.2">
      <c r="B23" s="21"/>
      <c r="C23" s="21"/>
      <c r="D23" s="21"/>
      <c r="E23" s="137" t="s">
        <v>216</v>
      </c>
      <c r="F23" s="27"/>
      <c r="G23" s="23"/>
      <c r="H23" s="30"/>
      <c r="I23" s="30"/>
      <c r="J23" s="21"/>
      <c r="K23" s="21"/>
      <c r="L23" s="21"/>
      <c r="M23" s="21"/>
      <c r="N23" s="21"/>
      <c r="O23" s="21"/>
      <c r="P23" s="21"/>
      <c r="Q23" s="21"/>
      <c r="R23" s="21"/>
      <c r="S23" s="21"/>
      <c r="T23" s="21"/>
      <c r="U23" s="21"/>
      <c r="V23" s="21"/>
      <c r="W23" s="21"/>
      <c r="X23" s="21"/>
      <c r="Y23" s="21"/>
      <c r="Z23" s="21"/>
      <c r="AA23" s="21"/>
      <c r="AB23" s="21"/>
      <c r="AC23" s="21"/>
      <c r="AD23" s="21"/>
      <c r="AE23" s="21"/>
      <c r="AF23" s="21"/>
      <c r="AG23" s="21"/>
    </row>
    <row r="24" spans="2:33" x14ac:dyDescent="0.2">
      <c r="B24" s="21"/>
      <c r="C24" s="21"/>
      <c r="D24" s="21"/>
      <c r="E24" s="86" t="s">
        <v>191</v>
      </c>
      <c r="F24" s="48">
        <v>8.4</v>
      </c>
      <c r="G24" s="48">
        <v>8.4</v>
      </c>
      <c r="H24" s="30" t="s">
        <v>217</v>
      </c>
      <c r="I24" s="30"/>
      <c r="J24" s="21"/>
      <c r="K24" s="21"/>
      <c r="L24" s="21"/>
      <c r="M24" s="21"/>
      <c r="N24" s="21"/>
      <c r="O24" s="21"/>
      <c r="P24" s="21"/>
      <c r="Q24" s="21"/>
      <c r="R24" s="21"/>
      <c r="S24" s="21"/>
      <c r="T24" s="21"/>
      <c r="U24" s="21"/>
      <c r="V24" s="21"/>
      <c r="W24" s="21"/>
      <c r="X24" s="21"/>
      <c r="Y24" s="21"/>
      <c r="Z24" s="21"/>
      <c r="AA24" s="21"/>
      <c r="AB24" s="21"/>
      <c r="AC24" s="21"/>
      <c r="AD24" s="21"/>
      <c r="AE24" s="21"/>
      <c r="AF24" s="21"/>
      <c r="AG24" s="21"/>
    </row>
    <row r="25" spans="2:33" ht="16" x14ac:dyDescent="0.2">
      <c r="B25" s="21"/>
      <c r="C25" s="21"/>
      <c r="D25" s="21"/>
      <c r="E25" s="86" t="s">
        <v>195</v>
      </c>
      <c r="F25" s="48">
        <v>3.2</v>
      </c>
      <c r="G25" s="48">
        <v>3.2</v>
      </c>
      <c r="H25" s="30" t="s">
        <v>218</v>
      </c>
      <c r="I25" s="30"/>
      <c r="J25" s="21"/>
      <c r="K25" s="21"/>
      <c r="L25" s="21"/>
      <c r="M25" s="21"/>
      <c r="N25" s="21"/>
      <c r="O25" s="21"/>
      <c r="P25" s="21"/>
      <c r="Q25" s="21"/>
      <c r="R25" s="21"/>
      <c r="S25" s="21"/>
      <c r="T25" s="21"/>
      <c r="U25" s="21"/>
      <c r="V25" s="21"/>
      <c r="W25" s="21"/>
      <c r="X25" s="21"/>
      <c r="Y25" s="137" t="s">
        <v>219</v>
      </c>
      <c r="Z25" s="21"/>
      <c r="AA25" s="21"/>
      <c r="AB25" s="21"/>
      <c r="AC25" s="21"/>
      <c r="AD25" s="21"/>
      <c r="AE25" s="21"/>
      <c r="AF25" s="21"/>
      <c r="AG25" s="21"/>
    </row>
    <row r="26" spans="2:33" x14ac:dyDescent="0.2">
      <c r="B26" s="21"/>
      <c r="C26" s="21"/>
      <c r="D26" s="21"/>
      <c r="E26" s="87"/>
      <c r="F26" s="48"/>
      <c r="G26" s="48"/>
      <c r="H26" s="30"/>
      <c r="I26" s="30"/>
      <c r="J26" s="21"/>
      <c r="K26" s="21"/>
      <c r="L26" s="21"/>
      <c r="M26" s="21"/>
      <c r="N26" s="21"/>
      <c r="O26" s="21"/>
      <c r="P26" s="21"/>
      <c r="Q26" s="21"/>
      <c r="R26" s="21"/>
      <c r="S26" s="21"/>
      <c r="T26" s="21"/>
      <c r="U26" s="21"/>
      <c r="V26" s="21"/>
      <c r="W26" s="21"/>
      <c r="X26" s="21"/>
      <c r="Y26" s="86" t="s">
        <v>220</v>
      </c>
      <c r="Z26" s="21">
        <v>1.5</v>
      </c>
      <c r="AA26" s="21">
        <v>100</v>
      </c>
      <c r="AB26" s="21">
        <f>Z26*AA26</f>
        <v>150</v>
      </c>
      <c r="AC26" s="21"/>
      <c r="AD26" s="21"/>
      <c r="AE26" s="21"/>
      <c r="AF26" s="21"/>
      <c r="AG26" s="21"/>
    </row>
    <row r="27" spans="2:33" ht="16" x14ac:dyDescent="0.2">
      <c r="B27" s="21"/>
      <c r="C27" s="21"/>
      <c r="D27" s="21"/>
      <c r="E27" s="137" t="s">
        <v>221</v>
      </c>
      <c r="F27" s="27"/>
      <c r="G27" s="23"/>
      <c r="H27" s="30"/>
      <c r="I27" s="30"/>
      <c r="J27" s="21"/>
      <c r="K27" s="21"/>
      <c r="L27" s="21"/>
      <c r="M27" s="21"/>
      <c r="N27" s="21"/>
      <c r="O27" s="21"/>
      <c r="P27" s="21"/>
      <c r="Q27" s="21"/>
      <c r="R27" s="21"/>
      <c r="S27" s="21"/>
      <c r="T27" s="21"/>
      <c r="U27" s="21"/>
      <c r="V27" s="21"/>
      <c r="W27" s="21"/>
      <c r="X27" s="21"/>
      <c r="Y27" s="86" t="s">
        <v>222</v>
      </c>
      <c r="Z27" s="21">
        <v>1.7</v>
      </c>
      <c r="AA27" s="21">
        <v>500</v>
      </c>
      <c r="AB27" s="21">
        <f>Z27*AA27</f>
        <v>850</v>
      </c>
      <c r="AC27" s="21"/>
      <c r="AD27" s="21"/>
      <c r="AE27" s="21"/>
      <c r="AF27" s="21"/>
      <c r="AG27" s="21"/>
    </row>
    <row r="28" spans="2:33" x14ac:dyDescent="0.2">
      <c r="B28" s="21"/>
      <c r="C28" s="21"/>
      <c r="D28" s="21"/>
      <c r="E28" s="86" t="s">
        <v>191</v>
      </c>
      <c r="F28" s="50">
        <v>4</v>
      </c>
      <c r="G28" s="50">
        <v>6</v>
      </c>
      <c r="H28" s="427" t="s">
        <v>192</v>
      </c>
      <c r="I28" s="427"/>
      <c r="J28" s="427"/>
      <c r="K28" s="21"/>
      <c r="L28" s="21"/>
      <c r="M28" s="21"/>
      <c r="N28" s="21"/>
      <c r="O28" s="21"/>
      <c r="P28" s="21"/>
      <c r="Q28" s="21"/>
      <c r="R28" s="21"/>
      <c r="S28" s="21"/>
      <c r="T28" s="21"/>
      <c r="U28" s="21"/>
      <c r="V28" s="21"/>
      <c r="W28" s="21"/>
      <c r="X28" s="21"/>
      <c r="Y28" s="21"/>
      <c r="Z28" s="21"/>
      <c r="AA28" s="21"/>
      <c r="AB28" s="21"/>
      <c r="AC28" s="21"/>
      <c r="AD28" s="21"/>
      <c r="AE28" s="21"/>
      <c r="AF28" s="21"/>
      <c r="AG28" s="21"/>
    </row>
    <row r="29" spans="2:33" x14ac:dyDescent="0.2">
      <c r="B29" s="21"/>
      <c r="C29" s="21"/>
      <c r="D29" s="21"/>
      <c r="E29" s="86" t="s">
        <v>195</v>
      </c>
      <c r="F29" s="50">
        <v>3</v>
      </c>
      <c r="G29" s="50">
        <v>3</v>
      </c>
      <c r="H29" s="427"/>
      <c r="I29" s="427"/>
      <c r="J29" s="427"/>
      <c r="K29" s="21"/>
      <c r="L29" s="21"/>
      <c r="M29" s="21"/>
      <c r="N29" s="21"/>
      <c r="O29" s="21"/>
      <c r="P29" s="21"/>
      <c r="Q29" s="21"/>
      <c r="R29" s="21"/>
      <c r="S29" s="21"/>
      <c r="T29" s="21"/>
      <c r="U29" s="21"/>
      <c r="V29" s="21"/>
      <c r="W29" s="21"/>
      <c r="X29" s="21"/>
      <c r="Y29" s="86" t="s">
        <v>214</v>
      </c>
      <c r="Z29" s="21"/>
      <c r="AA29" s="21"/>
      <c r="AB29" s="100">
        <f>SUM(AB26:AB27)</f>
        <v>1000</v>
      </c>
      <c r="AC29" s="21"/>
      <c r="AD29" s="21"/>
      <c r="AE29" s="21"/>
      <c r="AF29" s="21"/>
      <c r="AG29" s="21"/>
    </row>
    <row r="30" spans="2:33" x14ac:dyDescent="0.2">
      <c r="B30" s="21"/>
      <c r="C30" s="21"/>
      <c r="D30" s="21"/>
      <c r="E30" s="22"/>
      <c r="F30" s="21"/>
      <c r="G30" s="21"/>
      <c r="H30" s="30"/>
      <c r="I30" s="30"/>
      <c r="J30" s="21"/>
      <c r="K30" s="21"/>
      <c r="L30" s="21"/>
      <c r="M30" s="21"/>
      <c r="N30" s="21"/>
      <c r="O30" s="21"/>
      <c r="P30" s="21"/>
      <c r="Q30" s="21"/>
      <c r="R30" s="21"/>
      <c r="S30" s="21"/>
      <c r="T30" s="21"/>
      <c r="U30" s="21"/>
      <c r="V30" s="21"/>
      <c r="W30" s="21"/>
      <c r="X30" s="21"/>
      <c r="Y30" s="156" t="s">
        <v>223</v>
      </c>
      <c r="Z30" s="21"/>
      <c r="AA30" s="21"/>
      <c r="AB30" s="101">
        <f>AB29/500</f>
        <v>2</v>
      </c>
      <c r="AC30" s="21"/>
      <c r="AD30" s="21"/>
      <c r="AE30" s="21"/>
      <c r="AF30" s="21"/>
      <c r="AG30" s="21"/>
    </row>
    <row r="31" spans="2:33" ht="16" x14ac:dyDescent="0.2">
      <c r="B31" s="21"/>
      <c r="C31" s="21"/>
      <c r="D31" s="21"/>
      <c r="E31" s="137" t="s">
        <v>224</v>
      </c>
      <c r="F31" s="27"/>
      <c r="G31" s="23"/>
      <c r="H31" s="30"/>
      <c r="I31" s="30"/>
      <c r="J31" s="21"/>
      <c r="K31" s="21"/>
      <c r="L31" s="21"/>
      <c r="M31" s="21"/>
      <c r="N31" s="21"/>
      <c r="O31" s="21"/>
      <c r="P31" s="21"/>
      <c r="Q31" s="21"/>
      <c r="R31" s="21"/>
      <c r="S31" s="21"/>
      <c r="T31" s="21"/>
      <c r="U31" s="21"/>
      <c r="V31" s="21"/>
      <c r="W31" s="21"/>
      <c r="X31" s="21"/>
      <c r="Y31" s="21"/>
      <c r="Z31" s="21"/>
      <c r="AA31" s="21"/>
      <c r="AB31" s="21"/>
      <c r="AC31" s="21"/>
      <c r="AD31" s="21"/>
      <c r="AE31" s="21"/>
      <c r="AF31" s="21"/>
      <c r="AG31" s="21"/>
    </row>
    <row r="32" spans="2:33" x14ac:dyDescent="0.2">
      <c r="B32" s="21"/>
      <c r="C32" s="21"/>
      <c r="D32" s="21"/>
      <c r="E32" s="86" t="s">
        <v>191</v>
      </c>
      <c r="F32" s="49">
        <v>4</v>
      </c>
      <c r="G32" s="49">
        <v>4</v>
      </c>
      <c r="H32" s="427" t="s">
        <v>192</v>
      </c>
      <c r="I32" s="427"/>
      <c r="J32" s="427"/>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x14ac:dyDescent="0.2">
      <c r="B33" s="21"/>
      <c r="C33" s="21"/>
      <c r="D33" s="21"/>
      <c r="E33" s="86" t="s">
        <v>195</v>
      </c>
      <c r="F33" s="49">
        <v>3</v>
      </c>
      <c r="G33" s="49">
        <v>3</v>
      </c>
      <c r="H33" s="427"/>
      <c r="I33" s="427"/>
      <c r="J33" s="427"/>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x14ac:dyDescent="0.2">
      <c r="B34" s="21"/>
      <c r="C34" s="21"/>
      <c r="D34" s="21"/>
      <c r="E34" s="21"/>
      <c r="F34" s="21"/>
      <c r="G34" s="21"/>
      <c r="H34" s="21"/>
      <c r="I34" s="30"/>
      <c r="J34" s="21"/>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x14ac:dyDescent="0.2">
      <c r="B35" s="21"/>
      <c r="C35" s="21"/>
      <c r="D35" s="21"/>
      <c r="E35" s="21"/>
      <c r="F35" s="21"/>
      <c r="G35" s="21"/>
      <c r="H35" s="21"/>
      <c r="I35" s="30"/>
      <c r="J35" s="21"/>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x14ac:dyDescent="0.2">
      <c r="B36" s="68"/>
      <c r="C36" s="68" t="s">
        <v>225</v>
      </c>
      <c r="D36" s="21"/>
      <c r="E36" s="21"/>
      <c r="F36" s="21"/>
      <c r="G36" s="21"/>
      <c r="H36" s="21"/>
      <c r="I36" s="30"/>
      <c r="J36" s="21"/>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x14ac:dyDescent="0.2">
      <c r="B37" s="70"/>
      <c r="C37" s="70" t="s">
        <v>226</v>
      </c>
      <c r="D37" s="21"/>
      <c r="E37" s="21"/>
      <c r="F37" s="21"/>
      <c r="G37" s="21"/>
      <c r="H37" s="21"/>
      <c r="I37" s="30"/>
      <c r="J37" s="21"/>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x14ac:dyDescent="0.2">
      <c r="B38" s="70"/>
      <c r="C38" s="70" t="s">
        <v>227</v>
      </c>
      <c r="D38" s="21"/>
      <c r="E38" s="21"/>
      <c r="F38" s="21"/>
      <c r="G38" s="21"/>
      <c r="H38" s="21"/>
      <c r="I38" s="30"/>
      <c r="J38" s="21"/>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x14ac:dyDescent="0.2">
      <c r="B39" s="70"/>
      <c r="C39" s="70"/>
      <c r="D39" s="21"/>
      <c r="E39" s="21"/>
      <c r="F39" s="21"/>
      <c r="G39" s="21"/>
      <c r="H39" s="21"/>
      <c r="I39" s="30"/>
      <c r="J39" s="21"/>
      <c r="K39" s="21"/>
      <c r="L39" s="21"/>
      <c r="M39" s="21"/>
      <c r="N39" s="87"/>
      <c r="O39" s="21"/>
      <c r="P39" s="21"/>
      <c r="Q39" s="21"/>
      <c r="R39" s="21"/>
      <c r="S39" s="30"/>
      <c r="T39" s="21"/>
      <c r="U39" s="21"/>
      <c r="V39" s="21"/>
      <c r="W39" s="21"/>
      <c r="X39" s="21"/>
      <c r="Y39" s="21"/>
      <c r="Z39" s="21"/>
      <c r="AA39" s="21"/>
      <c r="AB39" s="21"/>
      <c r="AC39" s="21"/>
      <c r="AD39" s="21"/>
      <c r="AE39" s="21"/>
      <c r="AF39" s="21"/>
      <c r="AG39" s="21"/>
    </row>
    <row r="40" spans="2:33" x14ac:dyDescent="0.2">
      <c r="B40" s="21"/>
      <c r="C40" s="21"/>
      <c r="D40" s="21"/>
      <c r="E40" s="21"/>
      <c r="F40" s="21"/>
      <c r="G40" s="21"/>
      <c r="H40" s="21"/>
      <c r="I40" s="21"/>
      <c r="J40" s="21"/>
      <c r="K40" s="21"/>
      <c r="L40" s="21"/>
      <c r="M40" s="21"/>
      <c r="N40" s="21"/>
      <c r="O40" s="21"/>
      <c r="P40" s="21"/>
      <c r="Q40" s="21"/>
      <c r="R40" s="21"/>
      <c r="S40" s="30"/>
      <c r="T40" s="21"/>
      <c r="U40" s="21"/>
      <c r="V40" s="21"/>
      <c r="W40" s="21"/>
      <c r="X40" s="21"/>
      <c r="Y40" s="21"/>
      <c r="Z40" s="21"/>
      <c r="AA40" s="21"/>
      <c r="AB40" s="21"/>
      <c r="AC40" s="21"/>
      <c r="AD40" s="21"/>
      <c r="AE40" s="21"/>
      <c r="AF40" s="21"/>
      <c r="AG40" s="21"/>
    </row>
    <row r="43" spans="2:33" s="75" customFormat="1" ht="30" customHeight="1" x14ac:dyDescent="0.2">
      <c r="B43" s="112" t="s">
        <v>228</v>
      </c>
      <c r="C43" s="112"/>
      <c r="D43" s="112"/>
      <c r="E43" s="112"/>
      <c r="F43" s="112"/>
      <c r="G43" s="112"/>
      <c r="H43" s="112"/>
      <c r="I43" s="112"/>
      <c r="J43" s="112"/>
      <c r="K43" s="112"/>
      <c r="L43" s="112"/>
      <c r="M43" s="112"/>
      <c r="N43" s="112"/>
      <c r="O43" s="112"/>
      <c r="P43" s="112"/>
      <c r="Q43" s="112"/>
      <c r="R43" s="112"/>
      <c r="S43" s="112"/>
      <c r="T43" s="112"/>
      <c r="U43" s="145"/>
      <c r="V43" s="145"/>
      <c r="W43" s="145"/>
      <c r="X43" s="145"/>
      <c r="Y43" s="145"/>
      <c r="Z43" s="145"/>
      <c r="AA43" s="145"/>
      <c r="AB43" s="145"/>
      <c r="AC43" s="145"/>
    </row>
    <row r="44" spans="2:33" s="72" customFormat="1" ht="16" x14ac:dyDescent="0.2">
      <c r="B44" s="139"/>
      <c r="C44" s="139"/>
      <c r="D44" s="139"/>
      <c r="E44" s="429" t="s">
        <v>229</v>
      </c>
      <c r="F44" s="429"/>
      <c r="G44" s="142" t="s">
        <v>230</v>
      </c>
      <c r="H44" s="143"/>
      <c r="I44" s="143"/>
      <c r="J44" s="144" t="s">
        <v>231</v>
      </c>
      <c r="K44" s="229"/>
      <c r="L44" s="229"/>
      <c r="M44" s="229"/>
      <c r="N44" s="142" t="s">
        <v>232</v>
      </c>
      <c r="O44" s="143"/>
      <c r="P44" s="143"/>
      <c r="Q44" s="144" t="s">
        <v>233</v>
      </c>
      <c r="R44" s="229"/>
      <c r="S44" s="229"/>
      <c r="T44" s="140"/>
      <c r="U44" s="141"/>
      <c r="V44" s="141"/>
      <c r="W44" s="141"/>
      <c r="X44" s="141"/>
      <c r="Y44" s="141"/>
      <c r="Z44" s="141"/>
      <c r="AA44" s="141"/>
      <c r="AB44" s="141"/>
      <c r="AC44" s="141"/>
      <c r="AE44" s="141"/>
    </row>
    <row r="45" spans="2:33" ht="46.25" customHeight="1" x14ac:dyDescent="0.2">
      <c r="B45" s="88"/>
      <c r="C45" s="88" t="s">
        <v>234</v>
      </c>
      <c r="D45" s="88"/>
      <c r="E45" s="134" t="s">
        <v>235</v>
      </c>
      <c r="F45" s="136" t="s">
        <v>236</v>
      </c>
      <c r="G45" s="90" t="s">
        <v>237</v>
      </c>
      <c r="H45" s="90" t="s">
        <v>238</v>
      </c>
      <c r="I45" s="91" t="s">
        <v>239</v>
      </c>
      <c r="J45" s="88" t="s">
        <v>237</v>
      </c>
      <c r="K45" s="88" t="s">
        <v>238</v>
      </c>
      <c r="L45" s="89" t="s">
        <v>239</v>
      </c>
      <c r="M45" s="88" t="s">
        <v>240</v>
      </c>
      <c r="N45" s="90" t="s">
        <v>237</v>
      </c>
      <c r="O45" s="90" t="s">
        <v>238</v>
      </c>
      <c r="P45" s="91" t="s">
        <v>239</v>
      </c>
      <c r="Q45" s="88" t="s">
        <v>237</v>
      </c>
      <c r="R45" s="88" t="s">
        <v>238</v>
      </c>
      <c r="S45" s="89" t="s">
        <v>239</v>
      </c>
      <c r="T45" s="91" t="s">
        <v>241</v>
      </c>
      <c r="U45" s="93"/>
      <c r="V45" s="93"/>
      <c r="W45" s="93"/>
      <c r="X45" s="93"/>
      <c r="Y45" s="93"/>
      <c r="Z45" s="93"/>
      <c r="AA45" s="93"/>
      <c r="AB45" s="93"/>
      <c r="AC45" s="93"/>
      <c r="AE45" s="93"/>
    </row>
    <row r="46" spans="2:33" x14ac:dyDescent="0.2">
      <c r="B46" s="92"/>
      <c r="C46" s="92" t="s">
        <v>30</v>
      </c>
      <c r="D46" s="92" t="s">
        <v>31</v>
      </c>
      <c r="E46" s="135">
        <v>8.3173628589466091</v>
      </c>
      <c r="F46" s="23">
        <v>8.6</v>
      </c>
      <c r="G46" s="76">
        <v>11463897</v>
      </c>
      <c r="H46" s="77">
        <v>3138.5</v>
      </c>
      <c r="I46" s="78">
        <f>(H46*1000)/G46</f>
        <v>0.27377252255493922</v>
      </c>
      <c r="J46" s="32">
        <v>7270944</v>
      </c>
      <c r="K46" s="32">
        <v>3477.8</v>
      </c>
      <c r="L46" s="21">
        <f t="shared" ref="L46:L52" si="2">(K46*1000)/J46</f>
        <v>0.47831478278473882</v>
      </c>
      <c r="M46" s="21">
        <f>L46*0.81</f>
        <v>0.38743497405563848</v>
      </c>
      <c r="N46" s="76">
        <v>1305358</v>
      </c>
      <c r="O46" s="77">
        <v>27.6</v>
      </c>
      <c r="P46" s="77">
        <f t="shared" ref="P46:P52" si="3">(O46*1000)/N46</f>
        <v>2.1143624967250363E-2</v>
      </c>
      <c r="Q46" s="73">
        <v>4011183</v>
      </c>
      <c r="R46" s="74">
        <v>2008.6</v>
      </c>
      <c r="S46" s="21">
        <f>(R46*1000)/Q46</f>
        <v>0.50075002810891456</v>
      </c>
      <c r="T46" s="77">
        <f>SUM(I46,M46,P46,S46)</f>
        <v>1.1831011496867425</v>
      </c>
    </row>
    <row r="47" spans="2:33" x14ac:dyDescent="0.2">
      <c r="B47" s="92"/>
      <c r="C47" s="92" t="s">
        <v>34</v>
      </c>
      <c r="D47" s="92" t="s">
        <v>35</v>
      </c>
      <c r="E47" s="135">
        <v>3.5052860799999999</v>
      </c>
      <c r="F47" s="23">
        <v>3.5</v>
      </c>
      <c r="G47" s="76">
        <v>2042188</v>
      </c>
      <c r="H47" s="77">
        <v>336.7</v>
      </c>
      <c r="I47" s="78">
        <f t="shared" ref="I47:I52" si="4">(H47*1000)/G47</f>
        <v>0.16487218610627424</v>
      </c>
      <c r="J47" s="73">
        <v>2308920</v>
      </c>
      <c r="K47" s="74">
        <v>1376.2</v>
      </c>
      <c r="L47" s="21">
        <f t="shared" si="2"/>
        <v>0.59603624205256134</v>
      </c>
      <c r="M47" s="21">
        <f>L47*0.86</f>
        <v>0.51259116816520278</v>
      </c>
      <c r="N47" s="76">
        <v>1278472</v>
      </c>
      <c r="O47" s="77">
        <v>24.6</v>
      </c>
      <c r="P47" s="77">
        <f t="shared" si="3"/>
        <v>1.924171980301485E-2</v>
      </c>
      <c r="Q47" s="73">
        <v>45713</v>
      </c>
      <c r="R47" s="21">
        <v>8.9</v>
      </c>
      <c r="S47" s="21">
        <f>(R47*1000)/Q47</f>
        <v>0.19469297573994268</v>
      </c>
      <c r="T47" s="77">
        <f t="shared" ref="T47:T52" si="5">SUM(I47,M47,P47,S47)</f>
        <v>0.89139804981443449</v>
      </c>
    </row>
    <row r="48" spans="2:33" x14ac:dyDescent="0.2">
      <c r="B48" s="92"/>
      <c r="C48" s="92" t="s">
        <v>38</v>
      </c>
      <c r="D48" s="92" t="s">
        <v>39</v>
      </c>
      <c r="E48" s="135">
        <v>3.5519090900000001</v>
      </c>
      <c r="F48" s="23">
        <v>4.2</v>
      </c>
      <c r="G48" s="76">
        <v>383104</v>
      </c>
      <c r="H48" s="77">
        <v>143.6</v>
      </c>
      <c r="I48" s="78">
        <f t="shared" si="4"/>
        <v>0.37483294353491481</v>
      </c>
      <c r="J48" s="73">
        <v>557392</v>
      </c>
      <c r="K48" s="21">
        <v>415.4</v>
      </c>
      <c r="L48" s="21">
        <f t="shared" si="2"/>
        <v>0.74525648017911994</v>
      </c>
      <c r="M48" s="21">
        <f>0.93*L48</f>
        <v>0.6930885265665816</v>
      </c>
      <c r="N48" s="76">
        <v>338619</v>
      </c>
      <c r="O48" s="77">
        <v>6</v>
      </c>
      <c r="P48" s="77">
        <f t="shared" si="3"/>
        <v>1.7719029351572119E-2</v>
      </c>
      <c r="Q48" s="21">
        <v>0</v>
      </c>
      <c r="R48" s="21">
        <v>0</v>
      </c>
      <c r="S48" s="21">
        <v>0</v>
      </c>
      <c r="T48" s="77">
        <f t="shared" si="5"/>
        <v>1.0856404994530686</v>
      </c>
    </row>
    <row r="49" spans="2:31" x14ac:dyDescent="0.2">
      <c r="B49" s="92"/>
      <c r="C49" s="92" t="s">
        <v>43</v>
      </c>
      <c r="D49" s="92" t="s">
        <v>242</v>
      </c>
      <c r="E49" s="135">
        <v>7.8497435900000001</v>
      </c>
      <c r="F49" s="23">
        <v>7.4</v>
      </c>
      <c r="G49" s="76">
        <v>1488848</v>
      </c>
      <c r="H49" s="77">
        <v>310.7</v>
      </c>
      <c r="I49" s="78">
        <f t="shared" si="4"/>
        <v>0.20868483552384126</v>
      </c>
      <c r="J49" s="73">
        <v>1539110</v>
      </c>
      <c r="K49" s="21">
        <v>715.7</v>
      </c>
      <c r="L49" s="21">
        <f t="shared" si="2"/>
        <v>0.46500899870704498</v>
      </c>
      <c r="M49" s="21">
        <f>0.9*L49</f>
        <v>0.41850809883634049</v>
      </c>
      <c r="N49" s="76">
        <v>290576</v>
      </c>
      <c r="O49" s="77">
        <v>3.7</v>
      </c>
      <c r="P49" s="77">
        <f t="shared" si="3"/>
        <v>1.2733329662463521E-2</v>
      </c>
      <c r="Q49" s="73">
        <v>786932</v>
      </c>
      <c r="R49" s="21">
        <v>347.4</v>
      </c>
      <c r="S49" s="21">
        <f t="shared" ref="S49" si="6">(R49*1000)/Q49</f>
        <v>0.44146126984288347</v>
      </c>
      <c r="T49" s="77">
        <f t="shared" si="5"/>
        <v>1.0813875338655288</v>
      </c>
    </row>
    <row r="50" spans="2:31" x14ac:dyDescent="0.2">
      <c r="B50" s="92"/>
      <c r="C50" s="92" t="s">
        <v>47</v>
      </c>
      <c r="D50" s="92" t="s">
        <v>48</v>
      </c>
      <c r="E50" s="135">
        <v>2.6</v>
      </c>
      <c r="F50" s="23">
        <v>2.25</v>
      </c>
      <c r="G50" s="79">
        <v>2042188</v>
      </c>
      <c r="H50" s="80">
        <v>336.7</v>
      </c>
      <c r="I50" s="81">
        <f t="shared" si="4"/>
        <v>0.16487218610627424</v>
      </c>
      <c r="J50" s="82">
        <v>2308920</v>
      </c>
      <c r="K50" s="83">
        <v>1376.2</v>
      </c>
      <c r="L50" s="84">
        <f t="shared" si="2"/>
        <v>0.59603624205256134</v>
      </c>
      <c r="M50" s="84">
        <f>L50*0.86</f>
        <v>0.51259116816520278</v>
      </c>
      <c r="N50" s="79">
        <v>1278472</v>
      </c>
      <c r="O50" s="80">
        <v>24.6</v>
      </c>
      <c r="P50" s="80">
        <f t="shared" si="3"/>
        <v>1.924171980301485E-2</v>
      </c>
      <c r="Q50" s="82">
        <v>45713</v>
      </c>
      <c r="R50" s="84">
        <v>8.9</v>
      </c>
      <c r="S50" s="84">
        <f>(R50*1000)/Q50</f>
        <v>0.19469297573994268</v>
      </c>
      <c r="T50" s="80">
        <f t="shared" si="5"/>
        <v>0.89139804981443449</v>
      </c>
      <c r="U50" s="94"/>
      <c r="V50" s="94"/>
      <c r="W50" s="94"/>
      <c r="X50" s="94"/>
      <c r="Y50" s="94"/>
      <c r="Z50" s="94"/>
      <c r="AA50" s="94"/>
      <c r="AB50" s="94"/>
      <c r="AC50" s="94"/>
      <c r="AE50" s="94"/>
    </row>
    <row r="51" spans="2:31" x14ac:dyDescent="0.2">
      <c r="B51" s="92"/>
      <c r="C51" s="92" t="s">
        <v>51</v>
      </c>
      <c r="D51" s="92" t="s">
        <v>52</v>
      </c>
      <c r="E51" s="135">
        <v>4.8970000000000002</v>
      </c>
      <c r="F51" s="23">
        <v>3.9</v>
      </c>
      <c r="G51" s="79">
        <v>383104</v>
      </c>
      <c r="H51" s="80">
        <v>143.6</v>
      </c>
      <c r="I51" s="81">
        <f t="shared" si="4"/>
        <v>0.37483294353491481</v>
      </c>
      <c r="J51" s="82">
        <v>557392</v>
      </c>
      <c r="K51" s="84">
        <v>415.4</v>
      </c>
      <c r="L51" s="84">
        <f t="shared" si="2"/>
        <v>0.74525648017911994</v>
      </c>
      <c r="M51" s="84">
        <f>0.93*L51</f>
        <v>0.6930885265665816</v>
      </c>
      <c r="N51" s="79">
        <v>338619</v>
      </c>
      <c r="O51" s="80">
        <v>6</v>
      </c>
      <c r="P51" s="80">
        <f t="shared" si="3"/>
        <v>1.7719029351572119E-2</v>
      </c>
      <c r="Q51" s="84">
        <v>0</v>
      </c>
      <c r="R51" s="84">
        <v>0</v>
      </c>
      <c r="S51" s="84">
        <v>0</v>
      </c>
      <c r="T51" s="80">
        <f t="shared" si="5"/>
        <v>1.0856404994530686</v>
      </c>
      <c r="U51" s="94"/>
      <c r="V51" s="94"/>
      <c r="W51" s="94"/>
      <c r="X51" s="94"/>
      <c r="Y51" s="94"/>
      <c r="Z51" s="94"/>
      <c r="AA51" s="94"/>
      <c r="AB51" s="94"/>
      <c r="AC51" s="94"/>
      <c r="AE51" s="94"/>
    </row>
    <row r="52" spans="2:31" x14ac:dyDescent="0.2">
      <c r="B52" s="92"/>
      <c r="C52" s="92" t="s">
        <v>55</v>
      </c>
      <c r="D52" s="92" t="s">
        <v>243</v>
      </c>
      <c r="E52" s="135">
        <v>5.4954545454545398</v>
      </c>
      <c r="F52" s="23">
        <v>5.7</v>
      </c>
      <c r="G52" s="76">
        <v>1758555</v>
      </c>
      <c r="H52" s="77">
        <v>357.5</v>
      </c>
      <c r="I52" s="78">
        <f t="shared" si="4"/>
        <v>0.20329190727614432</v>
      </c>
      <c r="J52" s="73">
        <v>2086523</v>
      </c>
      <c r="K52" s="21">
        <v>711.7</v>
      </c>
      <c r="L52" s="21">
        <f t="shared" si="2"/>
        <v>0.34109377179163614</v>
      </c>
      <c r="M52" s="21">
        <v>0.34109377179163614</v>
      </c>
      <c r="N52" s="76">
        <v>162336</v>
      </c>
      <c r="O52" s="77">
        <v>1.7</v>
      </c>
      <c r="P52" s="77">
        <f t="shared" si="3"/>
        <v>1.0472107234378081E-2</v>
      </c>
      <c r="Q52" s="73">
        <v>323772</v>
      </c>
      <c r="R52" s="21">
        <v>95.2</v>
      </c>
      <c r="S52" s="21">
        <f>(R52*1000)/Q52</f>
        <v>0.29403407336026588</v>
      </c>
      <c r="T52" s="77">
        <f t="shared" si="5"/>
        <v>0.84889185966242442</v>
      </c>
    </row>
    <row r="53" spans="2:31" x14ac:dyDescent="0.2">
      <c r="B53" s="92"/>
      <c r="C53" s="92" t="s">
        <v>59</v>
      </c>
      <c r="D53" s="92" t="s">
        <v>60</v>
      </c>
      <c r="E53" s="135">
        <v>0</v>
      </c>
      <c r="F53" s="23">
        <v>0</v>
      </c>
      <c r="G53" s="77"/>
      <c r="H53" s="77"/>
      <c r="I53" s="78"/>
      <c r="J53" s="21"/>
      <c r="K53" s="21"/>
      <c r="L53" s="21"/>
      <c r="M53" s="21"/>
      <c r="N53" s="77"/>
      <c r="O53" s="77"/>
      <c r="P53" s="77"/>
      <c r="Q53" s="21"/>
      <c r="R53" s="21"/>
      <c r="S53" s="21"/>
      <c r="T53" s="77"/>
    </row>
  </sheetData>
  <mergeCells count="12">
    <mergeCell ref="AD8:AF8"/>
    <mergeCell ref="Z8:AB8"/>
    <mergeCell ref="E44:F44"/>
    <mergeCell ref="Z7:AF7"/>
    <mergeCell ref="F7:G7"/>
    <mergeCell ref="F19:G20"/>
    <mergeCell ref="O7:Q7"/>
    <mergeCell ref="B5:U5"/>
    <mergeCell ref="H15:K17"/>
    <mergeCell ref="H11:J12"/>
    <mergeCell ref="H28:J29"/>
    <mergeCell ref="H32:J33"/>
  </mergeCells>
  <hyperlinks>
    <hyperlink ref="C2" location="'Management details'!E45" display="Yield data" xr:uid="{1539A4D6-4B85-47B2-8128-E831FF37F10C}"/>
    <hyperlink ref="C3" location="'Management details'!G45" display="Pesticide data" xr:uid="{C5CC2D3A-747A-46E6-A49D-38E3159B1862}"/>
  </hyperlinks>
  <pageMargins left="0.7" right="0.7" top="0.75" bottom="0.75" header="0.3" footer="0.3"/>
  <pageSetup paperSize="9" orientation="portrait" horizontalDpi="4294967293" verticalDpi="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B7BA6-7C80-4B56-BB96-1A0E6A752598}">
  <dimension ref="B2:AG78"/>
  <sheetViews>
    <sheetView workbookViewId="0"/>
  </sheetViews>
  <sheetFormatPr baseColWidth="10" defaultColWidth="8.83203125" defaultRowHeight="15" x14ac:dyDescent="0.2"/>
  <cols>
    <col min="1" max="1" width="3.5" customWidth="1"/>
    <col min="4" max="4" width="28.1640625" customWidth="1"/>
    <col min="5" max="5" width="28.5" bestFit="1" customWidth="1"/>
    <col min="6" max="6" width="10.5" customWidth="1"/>
    <col min="7" max="7" width="11.5" customWidth="1"/>
    <col min="8" max="8" width="10.33203125" customWidth="1"/>
    <col min="9" max="9" width="10" customWidth="1"/>
    <col min="12" max="12" width="10.5" customWidth="1"/>
    <col min="15" max="17" width="10.5" customWidth="1"/>
    <col min="18" max="18" width="9.6640625" customWidth="1"/>
    <col min="20" max="20" width="10.5" customWidth="1"/>
    <col min="22" max="22" width="5.1640625" customWidth="1"/>
    <col min="23" max="23" width="15.83203125" bestFit="1" customWidth="1"/>
  </cols>
  <sheetData>
    <row r="2" spans="2:33" x14ac:dyDescent="0.2">
      <c r="B2" s="69" t="s">
        <v>174</v>
      </c>
      <c r="C2" s="133" t="s">
        <v>175</v>
      </c>
      <c r="D2" s="69"/>
    </row>
    <row r="3" spans="2:33" x14ac:dyDescent="0.2">
      <c r="B3" s="69"/>
      <c r="C3" s="133" t="s">
        <v>176</v>
      </c>
      <c r="D3" s="69"/>
    </row>
    <row r="5" spans="2:33" s="75" customFormat="1" ht="30" customHeight="1" x14ac:dyDescent="0.2">
      <c r="B5" s="425" t="s">
        <v>244</v>
      </c>
      <c r="C5" s="425"/>
      <c r="D5" s="425"/>
      <c r="E5" s="425"/>
      <c r="F5" s="425"/>
      <c r="G5" s="425"/>
      <c r="H5" s="425"/>
      <c r="I5" s="425"/>
      <c r="J5" s="425"/>
      <c r="K5" s="425"/>
      <c r="L5" s="425"/>
      <c r="M5" s="425"/>
      <c r="N5" s="425"/>
      <c r="O5" s="425"/>
      <c r="P5" s="425"/>
      <c r="Q5" s="425"/>
      <c r="R5" s="425"/>
      <c r="S5" s="425"/>
      <c r="T5" s="425"/>
      <c r="U5" s="425"/>
      <c r="V5" s="95"/>
      <c r="W5" s="95"/>
      <c r="X5" s="95"/>
      <c r="Y5" s="95"/>
      <c r="Z5" s="95"/>
      <c r="AA5" s="95"/>
      <c r="AB5" s="95"/>
      <c r="AC5" s="95"/>
      <c r="AD5" s="95"/>
      <c r="AE5" s="132"/>
      <c r="AF5" s="132"/>
      <c r="AG5" s="132"/>
    </row>
    <row r="6" spans="2:33" ht="16" thickBot="1" x14ac:dyDescent="0.25">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6" x14ac:dyDescent="0.2">
      <c r="B7" s="21"/>
      <c r="C7" s="158" t="s">
        <v>178</v>
      </c>
      <c r="D7" s="159"/>
      <c r="E7" s="21"/>
      <c r="F7" s="21"/>
      <c r="G7" s="21"/>
      <c r="H7" s="21"/>
      <c r="I7" s="30"/>
      <c r="J7" s="21"/>
      <c r="K7" s="21"/>
      <c r="L7" s="21"/>
      <c r="M7" s="21"/>
      <c r="N7" s="21"/>
      <c r="O7" s="21"/>
      <c r="P7" s="21"/>
      <c r="Q7" s="21"/>
      <c r="R7" s="30"/>
      <c r="S7" s="21"/>
      <c r="T7" s="21"/>
      <c r="U7" s="21"/>
      <c r="V7" s="21"/>
      <c r="W7" s="21"/>
      <c r="X7" s="21"/>
      <c r="Y7" s="21"/>
      <c r="Z7" s="21"/>
      <c r="AA7" s="21"/>
      <c r="AB7" s="21"/>
      <c r="AC7" s="21"/>
      <c r="AD7" s="21"/>
      <c r="AE7" s="21"/>
      <c r="AF7" s="21"/>
      <c r="AG7" s="21"/>
    </row>
    <row r="8" spans="2:33" ht="16" x14ac:dyDescent="0.2">
      <c r="B8" s="21"/>
      <c r="C8" s="40" t="s">
        <v>245</v>
      </c>
      <c r="D8" s="160"/>
      <c r="E8" s="21"/>
      <c r="F8" s="429" t="s">
        <v>179</v>
      </c>
      <c r="G8" s="429"/>
      <c r="H8" s="26"/>
      <c r="I8" s="30"/>
      <c r="J8" s="21"/>
      <c r="K8" s="21"/>
      <c r="L8" s="21"/>
      <c r="M8" s="21"/>
      <c r="N8" s="21"/>
      <c r="O8" s="429" t="s">
        <v>180</v>
      </c>
      <c r="P8" s="429"/>
      <c r="Q8" s="429"/>
      <c r="R8" s="26"/>
      <c r="S8" s="30"/>
      <c r="T8" s="21"/>
      <c r="U8" s="21"/>
      <c r="V8" s="21"/>
      <c r="W8" s="21"/>
      <c r="X8" s="21"/>
      <c r="Y8" s="35"/>
      <c r="Z8" s="429" t="s">
        <v>179</v>
      </c>
      <c r="AA8" s="429"/>
      <c r="AB8" s="429"/>
      <c r="AC8" s="429"/>
      <c r="AD8" s="429"/>
      <c r="AE8" s="429"/>
      <c r="AF8" s="429"/>
      <c r="AG8" s="21"/>
    </row>
    <row r="9" spans="2:33" ht="17" thickBot="1" x14ac:dyDescent="0.25">
      <c r="B9" s="21"/>
      <c r="C9" s="161" t="s">
        <v>181</v>
      </c>
      <c r="D9" s="162" t="s">
        <v>140</v>
      </c>
      <c r="E9" s="21"/>
      <c r="F9" s="228" t="s">
        <v>182</v>
      </c>
      <c r="G9" s="228" t="s">
        <v>183</v>
      </c>
      <c r="H9" s="34" t="s">
        <v>184</v>
      </c>
      <c r="I9" s="34"/>
      <c r="J9" s="21"/>
      <c r="K9" s="21"/>
      <c r="L9" s="21"/>
      <c r="M9" s="21"/>
      <c r="N9" s="21"/>
      <c r="O9" s="228" t="s">
        <v>14</v>
      </c>
      <c r="P9" s="228" t="s">
        <v>18</v>
      </c>
      <c r="Q9" s="228" t="s">
        <v>19</v>
      </c>
      <c r="R9" s="34" t="s">
        <v>184</v>
      </c>
      <c r="S9" s="34"/>
      <c r="T9" s="21"/>
      <c r="U9" s="21"/>
      <c r="V9" s="21"/>
      <c r="W9" s="22"/>
      <c r="X9" s="21"/>
      <c r="Y9" s="35"/>
      <c r="Z9" s="428" t="s">
        <v>182</v>
      </c>
      <c r="AA9" s="428"/>
      <c r="AB9" s="428"/>
      <c r="AC9" s="96"/>
      <c r="AD9" s="428" t="s">
        <v>183</v>
      </c>
      <c r="AE9" s="428"/>
      <c r="AF9" s="428"/>
      <c r="AG9" s="21"/>
    </row>
    <row r="10" spans="2:33" ht="18" thickTop="1" thickBot="1" x14ac:dyDescent="0.25">
      <c r="B10" s="21"/>
      <c r="C10" s="163">
        <v>1</v>
      </c>
      <c r="D10" s="164" t="s">
        <v>246</v>
      </c>
      <c r="E10" s="21"/>
      <c r="F10" s="23"/>
      <c r="G10" s="23"/>
      <c r="H10" s="30"/>
      <c r="I10" s="30"/>
      <c r="J10" s="21"/>
      <c r="K10" s="21"/>
      <c r="L10" s="21"/>
      <c r="M10" s="21"/>
      <c r="N10" s="21"/>
      <c r="O10" s="23"/>
      <c r="P10" s="23"/>
      <c r="Q10" s="23"/>
      <c r="R10" s="30"/>
      <c r="S10" s="30"/>
      <c r="T10" s="21"/>
      <c r="U10" s="21"/>
      <c r="V10" s="21"/>
      <c r="W10" s="21"/>
      <c r="X10" s="21"/>
      <c r="Y10" s="85"/>
      <c r="Z10" s="99" t="s">
        <v>185</v>
      </c>
      <c r="AA10" s="99" t="s">
        <v>186</v>
      </c>
      <c r="AB10" s="70" t="s">
        <v>187</v>
      </c>
      <c r="AC10" s="70"/>
      <c r="AD10" s="99" t="s">
        <v>185</v>
      </c>
      <c r="AE10" s="99" t="s">
        <v>186</v>
      </c>
      <c r="AF10" s="70" t="s">
        <v>187</v>
      </c>
      <c r="AG10" s="21"/>
    </row>
    <row r="11" spans="2:33" ht="16" x14ac:dyDescent="0.2">
      <c r="B11" s="21"/>
      <c r="C11" s="163">
        <v>2</v>
      </c>
      <c r="D11" s="164" t="s">
        <v>195</v>
      </c>
      <c r="E11" s="172" t="s">
        <v>188</v>
      </c>
      <c r="F11" s="173"/>
      <c r="G11" s="173"/>
      <c r="H11" s="174"/>
      <c r="I11" s="30"/>
      <c r="J11" s="21"/>
      <c r="K11" s="21"/>
      <c r="L11" s="21"/>
      <c r="M11" s="21"/>
      <c r="N11" s="172" t="s">
        <v>189</v>
      </c>
      <c r="O11" s="173"/>
      <c r="P11" s="173"/>
      <c r="Q11" s="184"/>
      <c r="R11" s="174"/>
      <c r="S11" s="30"/>
      <c r="T11" s="21"/>
      <c r="U11" s="21"/>
      <c r="V11" s="21"/>
      <c r="W11" s="21"/>
      <c r="X11" s="24"/>
      <c r="Y11" s="137" t="s">
        <v>190</v>
      </c>
      <c r="Z11" s="21"/>
      <c r="AA11" s="21"/>
      <c r="AB11" s="21"/>
      <c r="AC11" s="21"/>
      <c r="AD11" s="21"/>
      <c r="AE11" s="30"/>
      <c r="AF11" s="21"/>
      <c r="AG11" s="21"/>
    </row>
    <row r="12" spans="2:33" x14ac:dyDescent="0.2">
      <c r="B12" s="21"/>
      <c r="C12" s="163">
        <v>3</v>
      </c>
      <c r="D12" s="164" t="s">
        <v>247</v>
      </c>
      <c r="E12" s="175" t="s">
        <v>191</v>
      </c>
      <c r="F12" s="23">
        <v>200</v>
      </c>
      <c r="G12" s="23">
        <v>200</v>
      </c>
      <c r="H12" s="176" t="s">
        <v>248</v>
      </c>
      <c r="I12" s="171"/>
      <c r="J12" s="171"/>
      <c r="K12" s="21"/>
      <c r="L12" s="21"/>
      <c r="M12" s="21"/>
      <c r="N12" s="175" t="s">
        <v>191</v>
      </c>
      <c r="O12" s="23">
        <v>220</v>
      </c>
      <c r="P12" s="49">
        <f t="shared" ref="P12:P13" si="0">O12</f>
        <v>220</v>
      </c>
      <c r="Q12" s="49">
        <v>220</v>
      </c>
      <c r="R12" s="176" t="s">
        <v>248</v>
      </c>
      <c r="S12" s="31"/>
      <c r="T12" s="33"/>
      <c r="U12" s="21"/>
      <c r="V12" s="21"/>
      <c r="W12" s="21"/>
      <c r="X12" s="21"/>
      <c r="Y12" s="86" t="s">
        <v>194</v>
      </c>
      <c r="Z12" s="21">
        <v>2</v>
      </c>
      <c r="AA12" s="21">
        <v>360</v>
      </c>
      <c r="AB12" s="21">
        <f>Z12*AA12</f>
        <v>720</v>
      </c>
      <c r="AC12" s="21"/>
      <c r="AD12" s="21">
        <v>3</v>
      </c>
      <c r="AE12" s="21">
        <v>360</v>
      </c>
      <c r="AF12" s="21">
        <f>AD12*AE12</f>
        <v>1080</v>
      </c>
      <c r="AG12" s="21"/>
    </row>
    <row r="13" spans="2:33" x14ac:dyDescent="0.2">
      <c r="B13" s="21"/>
      <c r="C13" s="163">
        <v>4</v>
      </c>
      <c r="D13" s="164" t="s">
        <v>191</v>
      </c>
      <c r="E13" s="175" t="s">
        <v>195</v>
      </c>
      <c r="F13" s="23">
        <v>3.2</v>
      </c>
      <c r="G13" s="23">
        <v>3.2</v>
      </c>
      <c r="H13" s="176" t="s">
        <v>248</v>
      </c>
      <c r="I13" s="171"/>
      <c r="J13" s="171"/>
      <c r="K13" s="21"/>
      <c r="L13" s="21"/>
      <c r="M13" s="21"/>
      <c r="N13" s="175" t="s">
        <v>195</v>
      </c>
      <c r="O13" s="23">
        <v>180</v>
      </c>
      <c r="P13" s="49">
        <f t="shared" si="0"/>
        <v>180</v>
      </c>
      <c r="Q13" s="49">
        <v>180</v>
      </c>
      <c r="R13" s="176" t="s">
        <v>248</v>
      </c>
      <c r="S13" s="30"/>
      <c r="T13" s="21"/>
      <c r="U13" s="21"/>
      <c r="V13" s="21"/>
      <c r="W13" s="21"/>
      <c r="X13" s="21"/>
      <c r="Y13" s="86" t="s">
        <v>197</v>
      </c>
      <c r="Z13" s="21">
        <v>2</v>
      </c>
      <c r="AA13" s="21">
        <v>360</v>
      </c>
      <c r="AB13" s="21">
        <f t="shared" ref="AB13:AB20" si="1">Z13*AA13</f>
        <v>720</v>
      </c>
      <c r="AC13" s="21"/>
      <c r="AD13" s="21">
        <v>3</v>
      </c>
      <c r="AE13" s="21">
        <v>360</v>
      </c>
      <c r="AF13" s="21">
        <f t="shared" ref="AF13:AF20" si="2">AD13*AE13</f>
        <v>1080</v>
      </c>
      <c r="AG13" s="21"/>
    </row>
    <row r="14" spans="2:33" x14ac:dyDescent="0.2">
      <c r="B14" s="21"/>
      <c r="C14" s="163">
        <v>5</v>
      </c>
      <c r="D14" s="164" t="s">
        <v>195</v>
      </c>
      <c r="E14" s="177" t="s">
        <v>246</v>
      </c>
      <c r="F14" s="49" t="s">
        <v>249</v>
      </c>
      <c r="G14" s="49">
        <v>0</v>
      </c>
      <c r="H14" s="176" t="s">
        <v>248</v>
      </c>
      <c r="I14" s="30"/>
      <c r="J14" s="21"/>
      <c r="K14" s="21"/>
      <c r="L14" s="21"/>
      <c r="M14" s="21"/>
      <c r="N14" s="177" t="s">
        <v>246</v>
      </c>
      <c r="O14" s="49">
        <v>0</v>
      </c>
      <c r="P14" s="49">
        <f>O14</f>
        <v>0</v>
      </c>
      <c r="Q14" s="49">
        <v>0</v>
      </c>
      <c r="R14" s="176" t="s">
        <v>248</v>
      </c>
      <c r="S14" s="30"/>
      <c r="T14" s="21"/>
      <c r="U14" s="21"/>
      <c r="V14" s="21"/>
      <c r="W14" s="21"/>
      <c r="X14" s="21"/>
      <c r="Y14" s="86" t="s">
        <v>198</v>
      </c>
      <c r="Z14" s="21"/>
      <c r="AA14" s="21"/>
      <c r="AB14" s="21"/>
      <c r="AC14" s="21"/>
      <c r="AD14" s="21"/>
      <c r="AE14" s="21"/>
      <c r="AF14" s="21"/>
      <c r="AG14" s="21"/>
    </row>
    <row r="15" spans="2:33" x14ac:dyDescent="0.2">
      <c r="B15" s="21"/>
      <c r="C15" s="163">
        <v>6</v>
      </c>
      <c r="D15" s="164" t="s">
        <v>191</v>
      </c>
      <c r="E15" s="177" t="s">
        <v>247</v>
      </c>
      <c r="F15" s="49" t="s">
        <v>249</v>
      </c>
      <c r="G15" s="49">
        <v>194</v>
      </c>
      <c r="H15" s="176" t="s">
        <v>248</v>
      </c>
      <c r="I15" s="30"/>
      <c r="J15" s="21"/>
      <c r="K15" s="21"/>
      <c r="L15" s="21"/>
      <c r="M15" s="21"/>
      <c r="N15" s="177" t="s">
        <v>247</v>
      </c>
      <c r="O15" s="49">
        <v>140</v>
      </c>
      <c r="P15" s="49">
        <f t="shared" ref="P15:P18" si="3">O15</f>
        <v>140</v>
      </c>
      <c r="Q15" s="49">
        <v>140</v>
      </c>
      <c r="R15" s="176" t="s">
        <v>248</v>
      </c>
      <c r="S15" s="30"/>
      <c r="T15" s="21"/>
      <c r="U15" s="21"/>
      <c r="V15" s="21"/>
      <c r="W15" s="21"/>
      <c r="X15" s="21"/>
      <c r="Y15" s="86" t="s">
        <v>200</v>
      </c>
      <c r="Z15" s="21">
        <v>4</v>
      </c>
      <c r="AA15" s="21">
        <v>360</v>
      </c>
      <c r="AB15" s="21">
        <f t="shared" si="1"/>
        <v>1440</v>
      </c>
      <c r="AC15" s="21"/>
      <c r="AD15" s="21">
        <v>4</v>
      </c>
      <c r="AE15" s="21">
        <v>360</v>
      </c>
      <c r="AF15" s="21">
        <f t="shared" si="2"/>
        <v>1440</v>
      </c>
      <c r="AG15" s="21"/>
    </row>
    <row r="16" spans="2:33" ht="14.5" customHeight="1" x14ac:dyDescent="0.2">
      <c r="B16" s="21"/>
      <c r="C16" s="165"/>
      <c r="D16" s="164"/>
      <c r="E16" s="177" t="s">
        <v>250</v>
      </c>
      <c r="F16" s="49">
        <v>110</v>
      </c>
      <c r="G16" s="49" t="s">
        <v>249</v>
      </c>
      <c r="H16" s="176" t="s">
        <v>248</v>
      </c>
      <c r="I16" s="207"/>
      <c r="J16" s="207"/>
      <c r="K16" s="207"/>
      <c r="L16" s="21"/>
      <c r="M16" s="21"/>
      <c r="N16" s="177" t="s">
        <v>250</v>
      </c>
      <c r="O16" s="49">
        <v>200</v>
      </c>
      <c r="P16" s="49">
        <f t="shared" si="3"/>
        <v>200</v>
      </c>
      <c r="Q16" s="49">
        <v>200</v>
      </c>
      <c r="R16" s="176" t="s">
        <v>248</v>
      </c>
      <c r="S16" s="30"/>
      <c r="T16" s="21"/>
      <c r="U16" s="21"/>
      <c r="V16" s="21"/>
      <c r="W16" s="21"/>
      <c r="X16" s="21"/>
      <c r="Y16" s="86" t="s">
        <v>204</v>
      </c>
      <c r="Z16" s="21">
        <v>0.6</v>
      </c>
      <c r="AA16" s="21">
        <v>500</v>
      </c>
      <c r="AB16" s="21">
        <f t="shared" si="1"/>
        <v>300</v>
      </c>
      <c r="AC16" s="21"/>
      <c r="AD16" s="21">
        <v>0.6</v>
      </c>
      <c r="AE16" s="21">
        <v>500</v>
      </c>
      <c r="AF16" s="21">
        <f t="shared" si="2"/>
        <v>300</v>
      </c>
      <c r="AG16" s="21"/>
    </row>
    <row r="17" spans="2:33" ht="16" x14ac:dyDescent="0.2">
      <c r="B17" s="21"/>
      <c r="C17" s="40" t="s">
        <v>251</v>
      </c>
      <c r="D17" s="160"/>
      <c r="E17" s="177" t="s">
        <v>252</v>
      </c>
      <c r="F17" s="49">
        <v>300</v>
      </c>
      <c r="G17" s="49" t="s">
        <v>249</v>
      </c>
      <c r="H17" s="176" t="s">
        <v>248</v>
      </c>
      <c r="I17" s="207"/>
      <c r="J17" s="207"/>
      <c r="K17" s="207"/>
      <c r="L17" s="21"/>
      <c r="M17" s="21"/>
      <c r="N17" s="177" t="s">
        <v>252</v>
      </c>
      <c r="O17" s="49">
        <v>0</v>
      </c>
      <c r="P17" s="49">
        <f t="shared" si="3"/>
        <v>0</v>
      </c>
      <c r="Q17" s="49">
        <v>0</v>
      </c>
      <c r="R17" s="176" t="s">
        <v>248</v>
      </c>
      <c r="S17" s="30"/>
      <c r="T17" s="21"/>
      <c r="U17" s="21"/>
      <c r="V17" s="21"/>
      <c r="W17" s="21"/>
      <c r="X17" s="21"/>
      <c r="Y17" s="86" t="s">
        <v>206</v>
      </c>
      <c r="Z17" s="21">
        <v>0.4</v>
      </c>
      <c r="AA17" s="21">
        <v>36</v>
      </c>
      <c r="AB17" s="21">
        <f t="shared" si="1"/>
        <v>14.4</v>
      </c>
      <c r="AC17" s="21"/>
      <c r="AD17" s="21">
        <v>0.4</v>
      </c>
      <c r="AE17" s="21">
        <v>36</v>
      </c>
      <c r="AF17" s="21">
        <f t="shared" si="2"/>
        <v>14.4</v>
      </c>
      <c r="AG17" s="21"/>
    </row>
    <row r="18" spans="2:33" ht="17" thickBot="1" x14ac:dyDescent="0.25">
      <c r="B18" s="21"/>
      <c r="C18" s="161" t="s">
        <v>181</v>
      </c>
      <c r="D18" s="162" t="s">
        <v>140</v>
      </c>
      <c r="E18" s="178" t="s">
        <v>253</v>
      </c>
      <c r="F18" s="179">
        <v>300</v>
      </c>
      <c r="G18" s="179" t="s">
        <v>249</v>
      </c>
      <c r="H18" s="180" t="s">
        <v>248</v>
      </c>
      <c r="I18" s="207"/>
      <c r="J18" s="207"/>
      <c r="K18" s="207"/>
      <c r="L18" s="21"/>
      <c r="M18" s="21"/>
      <c r="N18" s="178" t="s">
        <v>253</v>
      </c>
      <c r="O18" s="179">
        <v>0</v>
      </c>
      <c r="P18" s="179">
        <f t="shared" si="3"/>
        <v>0</v>
      </c>
      <c r="Q18" s="179">
        <v>0</v>
      </c>
      <c r="R18" s="180" t="s">
        <v>248</v>
      </c>
      <c r="S18" s="30"/>
      <c r="T18" s="21"/>
      <c r="U18" s="21"/>
      <c r="V18" s="21"/>
      <c r="W18" s="21"/>
      <c r="X18" s="21"/>
      <c r="Y18" s="86" t="s">
        <v>207</v>
      </c>
      <c r="Z18" s="21"/>
      <c r="AA18" s="21"/>
      <c r="AB18" s="21"/>
      <c r="AC18" s="21"/>
      <c r="AD18" s="21"/>
      <c r="AE18" s="21"/>
      <c r="AF18" s="21"/>
      <c r="AG18" s="21"/>
    </row>
    <row r="19" spans="2:33" ht="17" thickTop="1" thickBot="1" x14ac:dyDescent="0.25">
      <c r="B19" s="21"/>
      <c r="C19" s="163">
        <v>1</v>
      </c>
      <c r="D19" s="164" t="s">
        <v>191</v>
      </c>
      <c r="E19" s="87"/>
      <c r="F19" s="23"/>
      <c r="G19" s="23"/>
      <c r="H19" s="30"/>
      <c r="I19" s="30"/>
      <c r="J19" s="21"/>
      <c r="K19" s="21"/>
      <c r="L19" s="21"/>
      <c r="M19" s="21"/>
      <c r="N19" s="87"/>
      <c r="O19" s="23"/>
      <c r="P19" s="23"/>
      <c r="Q19" s="23"/>
      <c r="R19" s="21"/>
      <c r="S19" s="30"/>
      <c r="T19" s="21"/>
      <c r="U19" s="21"/>
      <c r="V19" s="21"/>
      <c r="W19" s="21"/>
      <c r="X19" s="21"/>
      <c r="Y19" s="86" t="s">
        <v>209</v>
      </c>
      <c r="Z19" s="21">
        <v>0.4</v>
      </c>
      <c r="AA19" s="21">
        <v>36</v>
      </c>
      <c r="AB19" s="21">
        <f t="shared" si="1"/>
        <v>14.4</v>
      </c>
      <c r="AC19" s="21"/>
      <c r="AD19" s="21">
        <v>0.4</v>
      </c>
      <c r="AE19" s="21">
        <v>36</v>
      </c>
      <c r="AF19" s="21">
        <f t="shared" si="2"/>
        <v>14.4</v>
      </c>
      <c r="AG19" s="21"/>
    </row>
    <row r="20" spans="2:33" ht="16" customHeight="1" x14ac:dyDescent="0.2">
      <c r="B20" s="21"/>
      <c r="C20" s="163">
        <v>2</v>
      </c>
      <c r="D20" s="164" t="s">
        <v>250</v>
      </c>
      <c r="E20" s="172" t="s">
        <v>254</v>
      </c>
      <c r="F20" s="173"/>
      <c r="G20" s="173"/>
      <c r="H20" s="174"/>
      <c r="I20" s="30"/>
      <c r="J20" s="21"/>
      <c r="K20" s="21"/>
      <c r="L20" s="21"/>
      <c r="M20" s="21"/>
      <c r="N20" s="137" t="s">
        <v>199</v>
      </c>
      <c r="O20" s="23"/>
      <c r="P20" s="23"/>
      <c r="Q20" s="23"/>
      <c r="R20" s="21"/>
      <c r="S20" s="30"/>
      <c r="T20" s="21"/>
      <c r="U20" s="21"/>
      <c r="V20" s="21"/>
      <c r="W20" s="21"/>
      <c r="X20" s="21"/>
      <c r="Y20" s="86" t="s">
        <v>212</v>
      </c>
      <c r="Z20" s="21">
        <v>3</v>
      </c>
      <c r="AA20" s="21">
        <v>400</v>
      </c>
      <c r="AB20" s="21">
        <f t="shared" si="1"/>
        <v>1200</v>
      </c>
      <c r="AC20" s="21"/>
      <c r="AD20" s="21">
        <v>3</v>
      </c>
      <c r="AE20" s="21">
        <v>400</v>
      </c>
      <c r="AF20" s="21">
        <f t="shared" si="2"/>
        <v>1200</v>
      </c>
      <c r="AG20" s="21"/>
    </row>
    <row r="21" spans="2:33" ht="15" customHeight="1" x14ac:dyDescent="0.2">
      <c r="B21" s="21"/>
      <c r="C21" s="163">
        <v>3</v>
      </c>
      <c r="D21" s="164" t="s">
        <v>252</v>
      </c>
      <c r="E21" s="175" t="s">
        <v>191</v>
      </c>
      <c r="F21" s="23" t="s">
        <v>201</v>
      </c>
      <c r="G21" s="23" t="s">
        <v>201</v>
      </c>
      <c r="H21" s="176" t="s">
        <v>248</v>
      </c>
      <c r="I21" s="30"/>
      <c r="J21" s="21"/>
      <c r="K21" s="21"/>
      <c r="L21" s="21"/>
      <c r="M21" s="21"/>
      <c r="N21" s="86" t="s">
        <v>191</v>
      </c>
      <c r="O21" s="23">
        <v>70</v>
      </c>
      <c r="P21" s="23">
        <v>70</v>
      </c>
      <c r="Q21" s="23">
        <v>70</v>
      </c>
      <c r="R21" s="30" t="s">
        <v>203</v>
      </c>
      <c r="S21" s="30"/>
      <c r="T21" s="21"/>
      <c r="U21" s="21"/>
      <c r="V21" s="21"/>
      <c r="W21" s="21"/>
      <c r="X21" s="21"/>
      <c r="Y21" s="87"/>
      <c r="Z21" s="21"/>
      <c r="AA21" s="21"/>
      <c r="AB21" s="21"/>
      <c r="AC21" s="21"/>
      <c r="AD21" s="21"/>
      <c r="AE21" s="30"/>
      <c r="AF21" s="21"/>
      <c r="AG21" s="21"/>
    </row>
    <row r="22" spans="2:33" x14ac:dyDescent="0.2">
      <c r="B22" s="21"/>
      <c r="C22" s="163">
        <v>4</v>
      </c>
      <c r="D22" s="164" t="s">
        <v>191</v>
      </c>
      <c r="E22" s="175" t="s">
        <v>195</v>
      </c>
      <c r="F22" s="23" t="s">
        <v>205</v>
      </c>
      <c r="G22" s="23" t="s">
        <v>205</v>
      </c>
      <c r="H22" s="176" t="s">
        <v>248</v>
      </c>
      <c r="I22" s="30"/>
      <c r="J22" s="21"/>
      <c r="K22" s="21"/>
      <c r="L22" s="21"/>
      <c r="M22" s="21"/>
      <c r="N22" s="86" t="s">
        <v>195</v>
      </c>
      <c r="O22" s="23">
        <v>55</v>
      </c>
      <c r="P22" s="23">
        <v>55</v>
      </c>
      <c r="Q22" s="23">
        <v>55</v>
      </c>
      <c r="R22" s="30" t="s">
        <v>196</v>
      </c>
      <c r="S22" s="30"/>
      <c r="T22" s="21"/>
      <c r="U22" s="21"/>
      <c r="V22" s="21"/>
      <c r="W22" s="21"/>
      <c r="X22" s="21"/>
      <c r="Y22" s="86" t="s">
        <v>214</v>
      </c>
      <c r="Z22" s="21"/>
      <c r="AA22" s="21"/>
      <c r="AB22" s="100">
        <f>SUM(AB12:AB20)</f>
        <v>4408.8</v>
      </c>
      <c r="AC22" s="21"/>
      <c r="AD22" s="21"/>
      <c r="AE22" s="30"/>
      <c r="AF22" s="100">
        <f>SUM(AF12:AF20)</f>
        <v>5128.8</v>
      </c>
      <c r="AG22" s="21"/>
    </row>
    <row r="23" spans="2:33" x14ac:dyDescent="0.2">
      <c r="B23" s="21"/>
      <c r="C23" s="163">
        <v>5</v>
      </c>
      <c r="D23" s="164" t="s">
        <v>250</v>
      </c>
      <c r="E23" s="177" t="s">
        <v>246</v>
      </c>
      <c r="F23" s="49" t="s">
        <v>249</v>
      </c>
      <c r="G23" s="49" t="s">
        <v>255</v>
      </c>
      <c r="H23" s="176" t="s">
        <v>248</v>
      </c>
      <c r="I23" s="30"/>
      <c r="J23" s="21"/>
      <c r="K23" s="21"/>
      <c r="L23" s="21"/>
      <c r="M23" s="21"/>
      <c r="N23" s="87"/>
      <c r="O23" s="23"/>
      <c r="P23" s="23"/>
      <c r="Q23" s="23"/>
      <c r="R23" s="30"/>
      <c r="S23" s="30"/>
      <c r="T23" s="21"/>
      <c r="U23" s="21"/>
      <c r="V23" s="21"/>
      <c r="W23" s="21"/>
      <c r="X23" s="21"/>
      <c r="Y23" s="156" t="s">
        <v>215</v>
      </c>
      <c r="Z23" s="21"/>
      <c r="AA23" s="21"/>
      <c r="AB23" s="101">
        <f>AB22/500</f>
        <v>8.8176000000000005</v>
      </c>
      <c r="AC23" s="101"/>
      <c r="AD23" s="21"/>
      <c r="AE23" s="30"/>
      <c r="AF23" s="101">
        <f>AF22/500</f>
        <v>10.2576</v>
      </c>
      <c r="AG23" s="21"/>
    </row>
    <row r="24" spans="2:33" ht="16" x14ac:dyDescent="0.2">
      <c r="B24" s="21"/>
      <c r="C24" s="163">
        <v>6</v>
      </c>
      <c r="D24" s="164" t="s">
        <v>247</v>
      </c>
      <c r="E24" s="177" t="s">
        <v>247</v>
      </c>
      <c r="F24" s="49" t="s">
        <v>249</v>
      </c>
      <c r="G24" s="49" t="s">
        <v>256</v>
      </c>
      <c r="H24" s="176" t="s">
        <v>248</v>
      </c>
      <c r="I24" s="30"/>
      <c r="J24" s="21"/>
      <c r="K24" s="21"/>
      <c r="L24" s="21"/>
      <c r="M24" s="21"/>
      <c r="N24" s="137" t="s">
        <v>208</v>
      </c>
      <c r="O24" s="23"/>
      <c r="P24" s="23"/>
      <c r="Q24" s="23"/>
      <c r="R24" s="30"/>
      <c r="S24" s="21"/>
      <c r="T24" s="21"/>
      <c r="U24" s="21"/>
      <c r="V24" s="21"/>
      <c r="W24" s="21"/>
      <c r="X24" s="21"/>
      <c r="Y24" s="21"/>
      <c r="Z24" s="21"/>
      <c r="AA24" s="21"/>
      <c r="AB24" s="21"/>
      <c r="AC24" s="21"/>
      <c r="AD24" s="21"/>
      <c r="AE24" s="21"/>
      <c r="AF24" s="21"/>
      <c r="AG24" s="21"/>
    </row>
    <row r="25" spans="2:33" x14ac:dyDescent="0.2">
      <c r="B25" s="21"/>
      <c r="C25" s="165"/>
      <c r="D25" s="164"/>
      <c r="E25" s="177" t="s">
        <v>250</v>
      </c>
      <c r="F25" s="49" t="s">
        <v>257</v>
      </c>
      <c r="G25" s="49" t="s">
        <v>249</v>
      </c>
      <c r="H25" s="176" t="s">
        <v>248</v>
      </c>
      <c r="I25" s="30"/>
      <c r="J25" s="21"/>
      <c r="K25" s="21"/>
      <c r="L25" s="21"/>
      <c r="M25" s="21"/>
      <c r="N25" s="86" t="s">
        <v>191</v>
      </c>
      <c r="O25" s="23">
        <v>50</v>
      </c>
      <c r="P25" s="23">
        <v>50</v>
      </c>
      <c r="Q25" s="23">
        <v>50</v>
      </c>
      <c r="R25" s="30" t="s">
        <v>203</v>
      </c>
      <c r="S25" s="21"/>
      <c r="T25" s="21"/>
      <c r="U25" s="21"/>
      <c r="V25" s="21"/>
      <c r="W25" s="21"/>
      <c r="X25" s="21"/>
      <c r="Y25" s="21"/>
      <c r="Z25" s="21"/>
      <c r="AA25" s="21"/>
      <c r="AB25" s="21"/>
      <c r="AC25" s="21"/>
      <c r="AD25" s="21"/>
      <c r="AE25" s="21"/>
      <c r="AF25" s="21"/>
      <c r="AG25" s="21"/>
    </row>
    <row r="26" spans="2:33" ht="16" x14ac:dyDescent="0.2">
      <c r="B26" s="21"/>
      <c r="C26" s="40" t="s">
        <v>258</v>
      </c>
      <c r="D26" s="160"/>
      <c r="E26" s="177" t="s">
        <v>252</v>
      </c>
      <c r="F26" s="49" t="s">
        <v>256</v>
      </c>
      <c r="G26" s="49" t="s">
        <v>249</v>
      </c>
      <c r="H26" s="176" t="s">
        <v>248</v>
      </c>
      <c r="I26" s="30"/>
      <c r="J26" s="21"/>
      <c r="K26" s="21"/>
      <c r="L26" s="21"/>
      <c r="M26" s="21"/>
      <c r="N26" s="86" t="s">
        <v>195</v>
      </c>
      <c r="O26" s="23">
        <v>45</v>
      </c>
      <c r="P26" s="23">
        <v>45</v>
      </c>
      <c r="Q26" s="23">
        <v>45</v>
      </c>
      <c r="R26" s="30" t="s">
        <v>196</v>
      </c>
      <c r="S26" s="21"/>
      <c r="T26" s="21"/>
      <c r="U26" s="21"/>
      <c r="V26" s="21"/>
      <c r="W26" s="21"/>
      <c r="X26" s="21"/>
      <c r="Y26" s="137" t="s">
        <v>219</v>
      </c>
      <c r="Z26" s="21"/>
      <c r="AA26" s="21"/>
      <c r="AB26" s="21"/>
      <c r="AC26" s="21"/>
      <c r="AD26" s="21"/>
      <c r="AE26" s="21"/>
      <c r="AF26" s="21"/>
      <c r="AG26" s="21"/>
    </row>
    <row r="27" spans="2:33" ht="17" thickBot="1" x14ac:dyDescent="0.25">
      <c r="B27" s="21"/>
      <c r="C27" s="166" t="s">
        <v>181</v>
      </c>
      <c r="D27" s="167" t="s">
        <v>140</v>
      </c>
      <c r="E27" s="178" t="s">
        <v>253</v>
      </c>
      <c r="F27" s="179" t="s">
        <v>256</v>
      </c>
      <c r="G27" s="179" t="s">
        <v>249</v>
      </c>
      <c r="H27" s="180" t="s">
        <v>248</v>
      </c>
      <c r="I27" s="30"/>
      <c r="J27" s="21"/>
      <c r="K27" s="21"/>
      <c r="L27" s="21"/>
      <c r="M27" s="21"/>
      <c r="N27" s="35"/>
      <c r="O27" s="21"/>
      <c r="P27" s="21"/>
      <c r="Q27" s="21"/>
      <c r="R27" s="21"/>
      <c r="S27" s="21"/>
      <c r="T27" s="21"/>
      <c r="U27" s="21"/>
      <c r="V27" s="21"/>
      <c r="W27" s="21"/>
      <c r="X27" s="21"/>
      <c r="Y27" s="86" t="s">
        <v>220</v>
      </c>
      <c r="Z27" s="21">
        <v>1.5</v>
      </c>
      <c r="AA27" s="21">
        <v>100</v>
      </c>
      <c r="AB27" s="21">
        <f>Z27*AA27</f>
        <v>150</v>
      </c>
      <c r="AC27" s="21"/>
      <c r="AD27" s="21"/>
      <c r="AE27" s="21"/>
      <c r="AF27" s="21"/>
      <c r="AG27" s="21"/>
    </row>
    <row r="28" spans="2:33" ht="17" thickTop="1" thickBot="1" x14ac:dyDescent="0.25">
      <c r="B28" s="21"/>
      <c r="C28" s="168">
        <v>1</v>
      </c>
      <c r="D28" s="169" t="s">
        <v>31</v>
      </c>
      <c r="E28" s="87"/>
      <c r="F28" s="23"/>
      <c r="G28" s="23"/>
      <c r="H28" s="207"/>
      <c r="I28" s="30"/>
      <c r="J28" s="21"/>
      <c r="K28" s="21"/>
      <c r="L28" s="21"/>
      <c r="M28" s="21"/>
      <c r="N28" s="35"/>
      <c r="O28" s="21"/>
      <c r="P28" s="21"/>
      <c r="Q28" s="21"/>
      <c r="R28" s="21"/>
      <c r="S28" s="21"/>
      <c r="T28" s="21"/>
      <c r="U28" s="21"/>
      <c r="V28" s="21"/>
      <c r="W28" s="21"/>
      <c r="X28" s="21"/>
      <c r="Y28" s="86" t="s">
        <v>222</v>
      </c>
      <c r="Z28" s="21">
        <v>1.7</v>
      </c>
      <c r="AA28" s="21">
        <v>500</v>
      </c>
      <c r="AB28" s="21">
        <f>Z28*AA28</f>
        <v>850</v>
      </c>
      <c r="AC28" s="21"/>
      <c r="AD28" s="21"/>
      <c r="AE28" s="21"/>
      <c r="AF28" s="21"/>
      <c r="AG28" s="21"/>
    </row>
    <row r="29" spans="2:33" ht="16" x14ac:dyDescent="0.2">
      <c r="B29" s="21"/>
      <c r="C29" s="168">
        <v>2</v>
      </c>
      <c r="D29" s="169" t="s">
        <v>31</v>
      </c>
      <c r="E29" s="172" t="s">
        <v>157</v>
      </c>
      <c r="F29" s="173"/>
      <c r="G29" s="173"/>
      <c r="H29" s="174"/>
      <c r="I29" s="230"/>
      <c r="J29" s="230"/>
      <c r="K29" s="21"/>
      <c r="L29" s="21"/>
      <c r="M29" s="21"/>
      <c r="N29" s="21"/>
      <c r="O29" s="21"/>
      <c r="P29" s="21"/>
      <c r="Q29" s="21"/>
      <c r="R29" s="21"/>
      <c r="S29" s="21"/>
      <c r="T29" s="21"/>
      <c r="U29" s="21"/>
      <c r="V29" s="21"/>
      <c r="W29" s="21"/>
      <c r="X29" s="21"/>
      <c r="Y29" s="21"/>
      <c r="Z29" s="21"/>
      <c r="AA29" s="21"/>
      <c r="AB29" s="21"/>
      <c r="AC29" s="21"/>
      <c r="AD29" s="21"/>
      <c r="AE29" s="21"/>
      <c r="AF29" s="21"/>
      <c r="AG29" s="21"/>
    </row>
    <row r="30" spans="2:33" ht="14.5" customHeight="1" x14ac:dyDescent="0.2">
      <c r="B30" s="21"/>
      <c r="C30" s="168">
        <v>3</v>
      </c>
      <c r="D30" s="169" t="s">
        <v>35</v>
      </c>
      <c r="E30" s="175" t="s">
        <v>191</v>
      </c>
      <c r="F30" s="60" t="s">
        <v>259</v>
      </c>
      <c r="G30" s="60" t="s">
        <v>259</v>
      </c>
      <c r="H30" s="176" t="s">
        <v>248</v>
      </c>
      <c r="I30" s="230"/>
      <c r="J30" s="230"/>
      <c r="K30" s="21"/>
      <c r="L30" s="21"/>
      <c r="M30" s="21"/>
      <c r="N30" s="21"/>
      <c r="O30" s="21"/>
      <c r="P30" s="21"/>
      <c r="Q30" s="21"/>
      <c r="R30" s="21"/>
      <c r="S30" s="21"/>
      <c r="T30" s="21"/>
      <c r="U30" s="21"/>
      <c r="V30" s="21"/>
      <c r="W30" s="21"/>
      <c r="X30" s="21"/>
      <c r="Y30" s="86" t="s">
        <v>214</v>
      </c>
      <c r="Z30" s="21"/>
      <c r="AA30" s="21"/>
      <c r="AB30" s="100">
        <f>SUM(AB27:AB28)</f>
        <v>1000</v>
      </c>
      <c r="AC30" s="21"/>
      <c r="AD30" s="21"/>
      <c r="AE30" s="21"/>
      <c r="AF30" s="21"/>
      <c r="AG30" s="21"/>
    </row>
    <row r="31" spans="2:33" x14ac:dyDescent="0.2">
      <c r="B31" s="21"/>
      <c r="C31" s="168">
        <v>4</v>
      </c>
      <c r="D31" s="169" t="s">
        <v>31</v>
      </c>
      <c r="E31" s="175" t="s">
        <v>195</v>
      </c>
      <c r="F31" s="27" t="s">
        <v>146</v>
      </c>
      <c r="G31" s="23" t="s">
        <v>260</v>
      </c>
      <c r="H31" s="176" t="s">
        <v>248</v>
      </c>
      <c r="I31" s="30"/>
      <c r="J31" s="21"/>
      <c r="K31" s="21"/>
      <c r="L31" s="21"/>
      <c r="M31" s="21"/>
      <c r="N31" s="21"/>
      <c r="O31" s="21"/>
      <c r="P31" s="21"/>
      <c r="Q31" s="21"/>
      <c r="R31" s="21"/>
      <c r="S31" s="21"/>
      <c r="T31" s="21"/>
      <c r="U31" s="21"/>
      <c r="V31" s="21"/>
      <c r="W31" s="21"/>
      <c r="X31" s="21"/>
      <c r="Y31" s="156" t="s">
        <v>223</v>
      </c>
      <c r="Z31" s="21"/>
      <c r="AA31" s="21"/>
      <c r="AB31" s="101">
        <f>AB30/500</f>
        <v>2</v>
      </c>
      <c r="AC31" s="21"/>
      <c r="AD31" s="21"/>
      <c r="AE31" s="21"/>
      <c r="AF31" s="21"/>
      <c r="AG31" s="21"/>
    </row>
    <row r="32" spans="2:33" x14ac:dyDescent="0.2">
      <c r="B32" s="21"/>
      <c r="C32" s="168">
        <v>5</v>
      </c>
      <c r="D32" s="169" t="s">
        <v>31</v>
      </c>
      <c r="E32" s="177" t="s">
        <v>246</v>
      </c>
      <c r="F32" s="49" t="s">
        <v>249</v>
      </c>
      <c r="G32" s="49" t="s">
        <v>259</v>
      </c>
      <c r="H32" s="176" t="s">
        <v>248</v>
      </c>
      <c r="I32" s="30"/>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x14ac:dyDescent="0.2">
      <c r="B33" s="21"/>
      <c r="C33" s="168">
        <v>6</v>
      </c>
      <c r="D33" s="169" t="s">
        <v>35</v>
      </c>
      <c r="E33" s="177" t="s">
        <v>247</v>
      </c>
      <c r="F33" s="49" t="s">
        <v>249</v>
      </c>
      <c r="G33" s="49" t="s">
        <v>259</v>
      </c>
      <c r="H33" s="176" t="s">
        <v>248</v>
      </c>
      <c r="I33" s="230"/>
      <c r="J33" s="230"/>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x14ac:dyDescent="0.2">
      <c r="B34" s="21"/>
      <c r="C34" s="165"/>
      <c r="D34" s="164"/>
      <c r="E34" s="177" t="s">
        <v>250</v>
      </c>
      <c r="F34" s="49" t="s">
        <v>259</v>
      </c>
      <c r="G34" s="49" t="s">
        <v>249</v>
      </c>
      <c r="H34" s="176" t="s">
        <v>248</v>
      </c>
      <c r="I34" s="230"/>
      <c r="J34" s="230"/>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ht="16" x14ac:dyDescent="0.2">
      <c r="B35" s="21"/>
      <c r="C35" s="40" t="s">
        <v>261</v>
      </c>
      <c r="D35" s="160"/>
      <c r="E35" s="177" t="s">
        <v>252</v>
      </c>
      <c r="F35" s="49" t="s">
        <v>259</v>
      </c>
      <c r="G35" s="49" t="s">
        <v>249</v>
      </c>
      <c r="H35" s="176" t="s">
        <v>248</v>
      </c>
      <c r="I35" s="230"/>
      <c r="J35" s="230"/>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ht="17" thickBot="1" x14ac:dyDescent="0.25">
      <c r="B36" s="21"/>
      <c r="C36" s="161" t="s">
        <v>181</v>
      </c>
      <c r="D36" s="162" t="s">
        <v>140</v>
      </c>
      <c r="E36" s="178" t="s">
        <v>253</v>
      </c>
      <c r="F36" s="179" t="s">
        <v>259</v>
      </c>
      <c r="G36" s="179" t="s">
        <v>249</v>
      </c>
      <c r="H36" s="180" t="s">
        <v>248</v>
      </c>
      <c r="I36" s="230"/>
      <c r="J36" s="230"/>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ht="17" thickTop="1" thickBot="1" x14ac:dyDescent="0.25">
      <c r="B37" s="21"/>
      <c r="C37" s="163">
        <v>1</v>
      </c>
      <c r="D37" s="164" t="s">
        <v>246</v>
      </c>
      <c r="E37" s="87"/>
      <c r="F37" s="27"/>
      <c r="G37" s="23"/>
      <c r="H37" s="30"/>
      <c r="I37" s="230"/>
      <c r="J37" s="230"/>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ht="16" x14ac:dyDescent="0.2">
      <c r="B38" s="21"/>
      <c r="C38" s="163">
        <v>2</v>
      </c>
      <c r="D38" s="164" t="s">
        <v>195</v>
      </c>
      <c r="E38" s="172" t="s">
        <v>216</v>
      </c>
      <c r="F38" s="181"/>
      <c r="G38" s="173"/>
      <c r="H38" s="174"/>
      <c r="I38" s="230"/>
      <c r="J38" s="230"/>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x14ac:dyDescent="0.2">
      <c r="B39" s="21"/>
      <c r="C39" s="163">
        <v>3</v>
      </c>
      <c r="D39" s="164" t="s">
        <v>247</v>
      </c>
      <c r="E39" s="175" t="s">
        <v>191</v>
      </c>
      <c r="F39" s="48">
        <v>19.3</v>
      </c>
      <c r="G39" s="48">
        <v>18.3</v>
      </c>
      <c r="H39" s="176" t="s">
        <v>248</v>
      </c>
      <c r="I39" s="230"/>
      <c r="J39" s="230"/>
      <c r="K39" s="21"/>
      <c r="L39" s="21"/>
      <c r="M39" s="21"/>
      <c r="N39" s="21"/>
      <c r="O39" s="21"/>
      <c r="P39" s="21"/>
      <c r="Q39" s="21"/>
      <c r="R39" s="21"/>
      <c r="S39" s="21"/>
      <c r="T39" s="21"/>
      <c r="U39" s="21"/>
      <c r="V39" s="21"/>
      <c r="W39" s="21"/>
      <c r="X39" s="21"/>
      <c r="Y39" s="21"/>
      <c r="Z39" s="21"/>
      <c r="AA39" s="21"/>
      <c r="AB39" s="21"/>
      <c r="AC39" s="21"/>
      <c r="AD39" s="21"/>
      <c r="AE39" s="21"/>
      <c r="AF39" s="21"/>
      <c r="AG39" s="21"/>
    </row>
    <row r="40" spans="2:33" x14ac:dyDescent="0.2">
      <c r="B40" s="21"/>
      <c r="C40" s="163">
        <v>4</v>
      </c>
      <c r="D40" s="164" t="s">
        <v>191</v>
      </c>
      <c r="E40" s="175" t="s">
        <v>195</v>
      </c>
      <c r="F40" s="48">
        <v>3.2</v>
      </c>
      <c r="G40" s="48">
        <v>3.1</v>
      </c>
      <c r="H40" s="176" t="s">
        <v>248</v>
      </c>
      <c r="I40" s="230"/>
      <c r="J40" s="230"/>
      <c r="K40" s="21"/>
      <c r="L40" s="21"/>
      <c r="M40" s="21"/>
      <c r="N40" s="21"/>
      <c r="O40" s="21"/>
      <c r="P40" s="21"/>
      <c r="Q40" s="21"/>
      <c r="R40" s="21"/>
      <c r="S40" s="21"/>
      <c r="T40" s="21"/>
      <c r="U40" s="21"/>
      <c r="V40" s="21"/>
      <c r="W40" s="21"/>
      <c r="X40" s="21"/>
      <c r="Y40" s="21"/>
      <c r="Z40" s="21"/>
      <c r="AA40" s="21"/>
      <c r="AB40" s="21"/>
      <c r="AC40" s="21"/>
      <c r="AD40" s="21"/>
      <c r="AE40" s="21"/>
      <c r="AF40" s="21"/>
      <c r="AG40" s="21"/>
    </row>
    <row r="41" spans="2:33" x14ac:dyDescent="0.2">
      <c r="B41" s="21"/>
      <c r="C41" s="163">
        <v>5</v>
      </c>
      <c r="D41" s="164" t="s">
        <v>195</v>
      </c>
      <c r="E41" s="177" t="s">
        <v>246</v>
      </c>
      <c r="F41" s="48" t="s">
        <v>249</v>
      </c>
      <c r="G41" s="48">
        <v>0</v>
      </c>
      <c r="H41" s="176" t="s">
        <v>248</v>
      </c>
      <c r="I41" s="230"/>
      <c r="J41" s="230"/>
      <c r="K41" s="21"/>
      <c r="L41" s="21"/>
      <c r="M41" s="21"/>
      <c r="N41" s="21"/>
      <c r="O41" s="21"/>
      <c r="P41" s="21"/>
      <c r="Q41" s="21"/>
      <c r="R41" s="21"/>
      <c r="S41" s="21"/>
      <c r="T41" s="21"/>
      <c r="U41" s="21"/>
      <c r="V41" s="21"/>
      <c r="W41" s="21"/>
      <c r="X41" s="21"/>
      <c r="Y41" s="21"/>
      <c r="Z41" s="21"/>
      <c r="AA41" s="21"/>
      <c r="AB41" s="21"/>
      <c r="AC41" s="21"/>
      <c r="AD41" s="21"/>
      <c r="AE41" s="21"/>
      <c r="AF41" s="21"/>
      <c r="AG41" s="21"/>
    </row>
    <row r="42" spans="2:33" x14ac:dyDescent="0.2">
      <c r="B42" s="21"/>
      <c r="C42" s="163">
        <v>6</v>
      </c>
      <c r="D42" s="164" t="s">
        <v>191</v>
      </c>
      <c r="E42" s="177" t="s">
        <v>247</v>
      </c>
      <c r="F42" s="48" t="s">
        <v>249</v>
      </c>
      <c r="G42" s="48">
        <v>4</v>
      </c>
      <c r="H42" s="176" t="s">
        <v>248</v>
      </c>
      <c r="I42" s="230"/>
      <c r="J42" s="230"/>
      <c r="K42" s="21"/>
      <c r="L42" s="21"/>
      <c r="M42" s="21"/>
      <c r="N42" s="21"/>
      <c r="O42" s="21"/>
      <c r="P42" s="21"/>
      <c r="Q42" s="21"/>
      <c r="R42" s="21"/>
      <c r="S42" s="21"/>
      <c r="T42" s="21"/>
      <c r="U42" s="21"/>
      <c r="V42" s="21"/>
      <c r="W42" s="21"/>
      <c r="X42" s="21"/>
      <c r="Y42" s="21"/>
      <c r="Z42" s="21"/>
      <c r="AA42" s="21"/>
      <c r="AB42" s="21"/>
      <c r="AC42" s="21"/>
      <c r="AD42" s="21"/>
      <c r="AE42" s="21"/>
      <c r="AF42" s="21"/>
      <c r="AG42" s="21"/>
    </row>
    <row r="43" spans="2:33" x14ac:dyDescent="0.2">
      <c r="B43" s="21"/>
      <c r="C43" s="165"/>
      <c r="D43" s="164"/>
      <c r="E43" s="177" t="s">
        <v>250</v>
      </c>
      <c r="F43" s="48">
        <v>4.5999999999999996</v>
      </c>
      <c r="G43" s="48" t="s">
        <v>249</v>
      </c>
      <c r="H43" s="176" t="s">
        <v>248</v>
      </c>
      <c r="I43" s="230"/>
      <c r="J43" s="230"/>
      <c r="K43" s="21"/>
      <c r="L43" s="21"/>
      <c r="M43" s="21"/>
      <c r="N43" s="21"/>
      <c r="O43" s="21"/>
      <c r="P43" s="21"/>
      <c r="Q43" s="21"/>
      <c r="R43" s="21"/>
      <c r="S43" s="21"/>
      <c r="T43" s="21"/>
      <c r="U43" s="21"/>
      <c r="V43" s="21"/>
      <c r="W43" s="21"/>
      <c r="X43" s="21"/>
      <c r="Y43" s="21"/>
      <c r="Z43" s="21"/>
      <c r="AA43" s="21"/>
      <c r="AB43" s="21"/>
      <c r="AC43" s="21"/>
      <c r="AD43" s="21"/>
      <c r="AE43" s="21"/>
      <c r="AF43" s="21"/>
      <c r="AG43" s="21"/>
    </row>
    <row r="44" spans="2:33" ht="16" x14ac:dyDescent="0.2">
      <c r="B44" s="21"/>
      <c r="C44" s="40" t="s">
        <v>262</v>
      </c>
      <c r="D44" s="160"/>
      <c r="E44" s="177" t="s">
        <v>252</v>
      </c>
      <c r="F44" s="48">
        <v>5.35</v>
      </c>
      <c r="G44" s="48" t="s">
        <v>249</v>
      </c>
      <c r="H44" s="176" t="s">
        <v>248</v>
      </c>
      <c r="I44" s="230"/>
      <c r="J44" s="230"/>
      <c r="K44" s="21"/>
      <c r="L44" s="21"/>
      <c r="M44" s="21"/>
      <c r="N44" s="21"/>
      <c r="O44" s="21"/>
      <c r="P44" s="21"/>
      <c r="Q44" s="21"/>
      <c r="R44" s="21"/>
      <c r="S44" s="21"/>
      <c r="T44" s="21"/>
      <c r="U44" s="21"/>
      <c r="V44" s="21"/>
      <c r="W44" s="21"/>
      <c r="X44" s="21"/>
      <c r="Y44" s="21"/>
      <c r="Z44" s="21"/>
      <c r="AA44" s="21"/>
      <c r="AB44" s="21"/>
      <c r="AC44" s="21"/>
      <c r="AD44" s="21"/>
      <c r="AE44" s="21"/>
      <c r="AF44" s="21"/>
      <c r="AG44" s="21"/>
    </row>
    <row r="45" spans="2:33" ht="17" thickBot="1" x14ac:dyDescent="0.25">
      <c r="B45" s="21"/>
      <c r="C45" s="161" t="s">
        <v>181</v>
      </c>
      <c r="D45" s="162" t="s">
        <v>140</v>
      </c>
      <c r="E45" s="178" t="s">
        <v>253</v>
      </c>
      <c r="F45" s="182">
        <v>6.5</v>
      </c>
      <c r="G45" s="182" t="s">
        <v>249</v>
      </c>
      <c r="H45" s="180" t="s">
        <v>248</v>
      </c>
      <c r="I45" s="230"/>
      <c r="J45" s="230"/>
      <c r="K45" s="21"/>
      <c r="L45" s="21"/>
      <c r="M45" s="21"/>
      <c r="N45" s="21"/>
      <c r="O45" s="21"/>
      <c r="P45" s="21"/>
      <c r="Q45" s="21"/>
      <c r="R45" s="21"/>
      <c r="S45" s="21"/>
      <c r="T45" s="21"/>
      <c r="U45" s="21"/>
      <c r="V45" s="21"/>
      <c r="W45" s="21"/>
      <c r="X45" s="21"/>
      <c r="Y45" s="21"/>
      <c r="Z45" s="21"/>
      <c r="AA45" s="21"/>
      <c r="AB45" s="21"/>
      <c r="AC45" s="21"/>
      <c r="AD45" s="21"/>
      <c r="AE45" s="21"/>
      <c r="AF45" s="21"/>
      <c r="AG45" s="21"/>
    </row>
    <row r="46" spans="2:33" ht="17" thickTop="1" thickBot="1" x14ac:dyDescent="0.25">
      <c r="B46" s="21"/>
      <c r="C46" s="163">
        <v>1</v>
      </c>
      <c r="D46" s="164" t="s">
        <v>191</v>
      </c>
      <c r="E46" s="87"/>
      <c r="F46" s="48"/>
      <c r="G46" s="48"/>
      <c r="H46" s="30"/>
      <c r="I46" s="230"/>
      <c r="J46" s="230"/>
      <c r="K46" s="21"/>
      <c r="L46" s="21"/>
      <c r="M46" s="21"/>
      <c r="N46" s="21"/>
      <c r="O46" s="21"/>
      <c r="P46" s="21"/>
      <c r="Q46" s="21"/>
      <c r="R46" s="21"/>
      <c r="S46" s="21"/>
      <c r="T46" s="21"/>
      <c r="U46" s="21"/>
      <c r="V46" s="21"/>
      <c r="W46" s="21"/>
      <c r="X46" s="21"/>
      <c r="Y46" s="21"/>
      <c r="Z46" s="21"/>
      <c r="AA46" s="21"/>
      <c r="AB46" s="21"/>
      <c r="AC46" s="21"/>
      <c r="AD46" s="21"/>
      <c r="AE46" s="21"/>
      <c r="AF46" s="21"/>
      <c r="AG46" s="21"/>
    </row>
    <row r="47" spans="2:33" ht="16" x14ac:dyDescent="0.2">
      <c r="B47" s="21"/>
      <c r="C47" s="163">
        <v>2</v>
      </c>
      <c r="D47" s="164" t="s">
        <v>250</v>
      </c>
      <c r="E47" s="172" t="s">
        <v>221</v>
      </c>
      <c r="F47" s="181"/>
      <c r="G47" s="173"/>
      <c r="H47" s="174"/>
      <c r="I47" s="230"/>
      <c r="J47" s="230"/>
      <c r="K47" s="21"/>
      <c r="L47" s="21"/>
      <c r="M47" s="21"/>
      <c r="N47" s="21"/>
      <c r="O47" s="21"/>
      <c r="P47" s="21"/>
      <c r="Q47" s="21"/>
      <c r="R47" s="21"/>
      <c r="S47" s="21"/>
      <c r="T47" s="21"/>
      <c r="U47" s="21"/>
      <c r="V47" s="21"/>
      <c r="W47" s="21"/>
      <c r="X47" s="21"/>
      <c r="Y47" s="21"/>
      <c r="Z47" s="21"/>
      <c r="AA47" s="21"/>
      <c r="AB47" s="21"/>
      <c r="AC47" s="21"/>
      <c r="AD47" s="21"/>
      <c r="AE47" s="21"/>
      <c r="AF47" s="21"/>
      <c r="AG47" s="21"/>
    </row>
    <row r="48" spans="2:33" x14ac:dyDescent="0.2">
      <c r="B48" s="21"/>
      <c r="C48" s="163">
        <v>3</v>
      </c>
      <c r="D48" s="164" t="s">
        <v>253</v>
      </c>
      <c r="E48" s="175" t="s">
        <v>191</v>
      </c>
      <c r="F48" s="48">
        <v>2</v>
      </c>
      <c r="G48" s="48">
        <v>4.2</v>
      </c>
      <c r="H48" s="176" t="s">
        <v>248</v>
      </c>
      <c r="I48" s="230"/>
      <c r="J48" s="230"/>
      <c r="K48" s="21"/>
      <c r="L48" s="21"/>
      <c r="M48" s="21"/>
      <c r="N48" s="21"/>
      <c r="O48" s="21"/>
      <c r="P48" s="21"/>
      <c r="Q48" s="21"/>
      <c r="R48" s="21"/>
      <c r="S48" s="21"/>
      <c r="T48" s="21"/>
      <c r="U48" s="21"/>
      <c r="V48" s="21"/>
      <c r="W48" s="21"/>
      <c r="X48" s="21"/>
      <c r="Y48" s="21"/>
      <c r="Z48" s="21"/>
      <c r="AA48" s="21"/>
      <c r="AB48" s="21"/>
      <c r="AC48" s="21"/>
      <c r="AD48" s="21"/>
      <c r="AE48" s="21"/>
      <c r="AF48" s="21"/>
      <c r="AG48" s="21"/>
    </row>
    <row r="49" spans="2:33" x14ac:dyDescent="0.2">
      <c r="B49" s="21"/>
      <c r="C49" s="163">
        <v>4</v>
      </c>
      <c r="D49" s="164" t="s">
        <v>191</v>
      </c>
      <c r="E49" s="175" t="s">
        <v>195</v>
      </c>
      <c r="F49" s="48">
        <v>3</v>
      </c>
      <c r="G49" s="48">
        <v>3</v>
      </c>
      <c r="H49" s="176" t="s">
        <v>248</v>
      </c>
      <c r="I49" s="230"/>
      <c r="J49" s="230"/>
      <c r="K49" s="21"/>
      <c r="L49" s="21"/>
      <c r="M49" s="21"/>
      <c r="N49" s="21"/>
      <c r="O49" s="21"/>
      <c r="P49" s="21"/>
      <c r="Q49" s="21"/>
      <c r="R49" s="21"/>
      <c r="S49" s="21"/>
      <c r="T49" s="21"/>
      <c r="U49" s="21"/>
      <c r="V49" s="21"/>
      <c r="W49" s="21"/>
      <c r="X49" s="21"/>
      <c r="Y49" s="21"/>
      <c r="Z49" s="21"/>
      <c r="AA49" s="21"/>
      <c r="AB49" s="21"/>
      <c r="AC49" s="21"/>
      <c r="AD49" s="21"/>
      <c r="AE49" s="21"/>
      <c r="AF49" s="21"/>
      <c r="AG49" s="21"/>
    </row>
    <row r="50" spans="2:33" x14ac:dyDescent="0.2">
      <c r="B50" s="21"/>
      <c r="C50" s="163">
        <v>5</v>
      </c>
      <c r="D50" s="164" t="s">
        <v>250</v>
      </c>
      <c r="E50" s="177" t="s">
        <v>246</v>
      </c>
      <c r="F50" s="48" t="s">
        <v>249</v>
      </c>
      <c r="G50" s="48">
        <v>6.2</v>
      </c>
      <c r="H50" s="176" t="s">
        <v>248</v>
      </c>
      <c r="I50" s="230"/>
      <c r="J50" s="230"/>
      <c r="K50" s="21"/>
      <c r="L50" s="21"/>
      <c r="M50" s="21"/>
      <c r="N50" s="21"/>
      <c r="O50" s="21"/>
      <c r="P50" s="21"/>
      <c r="Q50" s="21"/>
      <c r="R50" s="21"/>
      <c r="S50" s="21"/>
      <c r="T50" s="21"/>
      <c r="U50" s="21"/>
      <c r="V50" s="21"/>
      <c r="W50" s="21"/>
      <c r="X50" s="21"/>
      <c r="Y50" s="21"/>
      <c r="Z50" s="21"/>
      <c r="AA50" s="21"/>
      <c r="AB50" s="21"/>
      <c r="AC50" s="21"/>
      <c r="AD50" s="21"/>
      <c r="AE50" s="21"/>
      <c r="AF50" s="21"/>
      <c r="AG50" s="21"/>
    </row>
    <row r="51" spans="2:33" x14ac:dyDescent="0.2">
      <c r="B51" s="21"/>
      <c r="C51" s="163">
        <v>6</v>
      </c>
      <c r="D51" s="164" t="s">
        <v>253</v>
      </c>
      <c r="E51" s="177" t="s">
        <v>247</v>
      </c>
      <c r="F51" s="48" t="s">
        <v>249</v>
      </c>
      <c r="G51" s="48">
        <v>4.2</v>
      </c>
      <c r="H51" s="176" t="s">
        <v>248</v>
      </c>
      <c r="I51" s="230"/>
      <c r="J51" s="230"/>
      <c r="K51" s="21"/>
      <c r="L51" s="21"/>
      <c r="M51" s="21"/>
      <c r="N51" s="21"/>
      <c r="O51" s="21"/>
      <c r="P51" s="21"/>
      <c r="Q51" s="21"/>
      <c r="R51" s="21"/>
      <c r="S51" s="21"/>
      <c r="T51" s="21"/>
      <c r="U51" s="21"/>
      <c r="V51" s="21"/>
      <c r="W51" s="21"/>
      <c r="X51" s="21"/>
      <c r="Y51" s="21"/>
      <c r="Z51" s="21"/>
      <c r="AA51" s="21"/>
      <c r="AB51" s="21"/>
      <c r="AC51" s="21"/>
      <c r="AD51" s="21"/>
      <c r="AE51" s="21"/>
      <c r="AF51" s="21"/>
      <c r="AG51" s="21"/>
    </row>
    <row r="52" spans="2:33" x14ac:dyDescent="0.2">
      <c r="B52" s="21"/>
      <c r="C52" s="165"/>
      <c r="D52" s="164"/>
      <c r="E52" s="177" t="s">
        <v>250</v>
      </c>
      <c r="F52" s="48">
        <v>2</v>
      </c>
      <c r="G52" s="48" t="s">
        <v>249</v>
      </c>
      <c r="H52" s="176" t="s">
        <v>248</v>
      </c>
      <c r="I52" s="230"/>
      <c r="J52" s="230"/>
      <c r="K52" s="21"/>
      <c r="L52" s="21"/>
      <c r="M52" s="21"/>
      <c r="N52" s="21"/>
      <c r="O52" s="21"/>
      <c r="P52" s="21"/>
      <c r="Q52" s="21"/>
      <c r="R52" s="21"/>
      <c r="S52" s="21"/>
      <c r="T52" s="21"/>
      <c r="U52" s="21"/>
      <c r="V52" s="21"/>
      <c r="W52" s="21"/>
      <c r="X52" s="21"/>
      <c r="Y52" s="21"/>
      <c r="Z52" s="21"/>
      <c r="AA52" s="21"/>
      <c r="AB52" s="21"/>
      <c r="AC52" s="21"/>
      <c r="AD52" s="21"/>
      <c r="AE52" s="21"/>
      <c r="AF52" s="21"/>
      <c r="AG52" s="21"/>
    </row>
    <row r="53" spans="2:33" ht="16" x14ac:dyDescent="0.2">
      <c r="B53" s="21"/>
      <c r="C53" s="40" t="s">
        <v>263</v>
      </c>
      <c r="D53" s="160"/>
      <c r="E53" s="177" t="s">
        <v>252</v>
      </c>
      <c r="F53" s="48">
        <v>2</v>
      </c>
      <c r="G53" s="48" t="s">
        <v>249</v>
      </c>
      <c r="H53" s="176" t="s">
        <v>248</v>
      </c>
      <c r="I53" s="230"/>
      <c r="J53" s="230"/>
      <c r="K53" s="21"/>
      <c r="L53" s="21"/>
      <c r="M53" s="21"/>
      <c r="N53" s="21"/>
      <c r="O53" s="21"/>
      <c r="P53" s="21"/>
      <c r="Q53" s="21"/>
      <c r="R53" s="21"/>
      <c r="S53" s="21"/>
      <c r="T53" s="21"/>
      <c r="U53" s="21"/>
      <c r="V53" s="21"/>
      <c r="W53" s="21"/>
      <c r="X53" s="21"/>
      <c r="Y53" s="21"/>
      <c r="Z53" s="21"/>
      <c r="AA53" s="21"/>
      <c r="AB53" s="21"/>
      <c r="AC53" s="21"/>
      <c r="AD53" s="21"/>
      <c r="AE53" s="21"/>
      <c r="AF53" s="21"/>
      <c r="AG53" s="21"/>
    </row>
    <row r="54" spans="2:33" ht="17" thickBot="1" x14ac:dyDescent="0.25">
      <c r="B54" s="21"/>
      <c r="C54" s="166" t="s">
        <v>181</v>
      </c>
      <c r="D54" s="167" t="s">
        <v>140</v>
      </c>
      <c r="E54" s="178" t="s">
        <v>253</v>
      </c>
      <c r="F54" s="182">
        <v>2</v>
      </c>
      <c r="G54" s="182" t="s">
        <v>249</v>
      </c>
      <c r="H54" s="180" t="s">
        <v>248</v>
      </c>
      <c r="I54" s="230"/>
      <c r="J54" s="230"/>
      <c r="K54" s="21"/>
      <c r="L54" s="21"/>
      <c r="M54" s="21"/>
      <c r="N54" s="21"/>
      <c r="O54" s="21"/>
      <c r="P54" s="21"/>
      <c r="Q54" s="21"/>
      <c r="R54" s="21"/>
      <c r="S54" s="21"/>
      <c r="T54" s="21"/>
      <c r="U54" s="21"/>
      <c r="V54" s="21"/>
      <c r="W54" s="21"/>
      <c r="X54" s="21"/>
      <c r="Y54" s="21"/>
      <c r="Z54" s="21"/>
      <c r="AA54" s="21"/>
      <c r="AB54" s="21"/>
      <c r="AC54" s="21"/>
      <c r="AD54" s="21"/>
      <c r="AE54" s="21"/>
      <c r="AF54" s="21"/>
      <c r="AG54" s="21"/>
    </row>
    <row r="55" spans="2:33" ht="17" thickTop="1" thickBot="1" x14ac:dyDescent="0.25">
      <c r="B55" s="21"/>
      <c r="C55" s="168">
        <v>1</v>
      </c>
      <c r="D55" s="169" t="s">
        <v>31</v>
      </c>
      <c r="E55" s="22"/>
      <c r="F55" s="21"/>
      <c r="G55" s="21"/>
      <c r="H55" s="30"/>
      <c r="I55" s="230"/>
      <c r="J55" s="230"/>
      <c r="K55" s="21"/>
      <c r="L55" s="21"/>
      <c r="M55" s="21"/>
      <c r="N55" s="21"/>
      <c r="O55" s="21"/>
      <c r="P55" s="21"/>
      <c r="Q55" s="21"/>
      <c r="R55" s="21"/>
      <c r="S55" s="21"/>
      <c r="T55" s="21"/>
      <c r="U55" s="21"/>
      <c r="V55" s="21"/>
      <c r="W55" s="21"/>
      <c r="X55" s="21"/>
      <c r="Y55" s="21"/>
      <c r="Z55" s="21"/>
      <c r="AA55" s="21"/>
      <c r="AB55" s="21"/>
      <c r="AC55" s="21"/>
      <c r="AD55" s="21"/>
      <c r="AE55" s="21"/>
      <c r="AF55" s="21"/>
      <c r="AG55" s="21"/>
    </row>
    <row r="56" spans="2:33" ht="16" x14ac:dyDescent="0.2">
      <c r="B56" s="21"/>
      <c r="C56" s="168">
        <v>2</v>
      </c>
      <c r="D56" s="157" t="s">
        <v>31</v>
      </c>
      <c r="E56" s="172" t="s">
        <v>224</v>
      </c>
      <c r="F56" s="181"/>
      <c r="G56" s="173"/>
      <c r="H56" s="174"/>
      <c r="I56" s="230"/>
      <c r="J56" s="230"/>
      <c r="K56" s="21"/>
      <c r="L56" s="21"/>
      <c r="M56" s="21"/>
      <c r="N56" s="21"/>
      <c r="O56" s="21"/>
      <c r="P56" s="21"/>
      <c r="Q56" s="21"/>
      <c r="R56" s="21"/>
      <c r="S56" s="21"/>
      <c r="T56" s="21"/>
      <c r="U56" s="21"/>
      <c r="V56" s="21"/>
      <c r="W56" s="21"/>
      <c r="X56" s="21"/>
      <c r="Y56" s="21"/>
      <c r="Z56" s="21"/>
      <c r="AA56" s="21"/>
      <c r="AB56" s="21"/>
      <c r="AC56" s="21"/>
      <c r="AD56" s="21"/>
      <c r="AE56" s="21"/>
      <c r="AF56" s="21"/>
      <c r="AG56" s="21"/>
    </row>
    <row r="57" spans="2:33" x14ac:dyDescent="0.2">
      <c r="B57" s="21"/>
      <c r="C57" s="168">
        <v>3</v>
      </c>
      <c r="D57" s="157" t="s">
        <v>35</v>
      </c>
      <c r="E57" s="175" t="s">
        <v>191</v>
      </c>
      <c r="F57" s="49">
        <v>4</v>
      </c>
      <c r="G57" s="49">
        <v>5</v>
      </c>
      <c r="H57" s="176" t="s">
        <v>248</v>
      </c>
      <c r="I57" s="230"/>
      <c r="J57" s="230"/>
      <c r="K57" s="21"/>
      <c r="L57" s="21"/>
      <c r="M57" s="21"/>
      <c r="N57" s="21"/>
      <c r="O57" s="21"/>
      <c r="P57" s="21"/>
      <c r="Q57" s="21"/>
      <c r="R57" s="21"/>
      <c r="S57" s="21"/>
      <c r="T57" s="21"/>
      <c r="U57" s="21"/>
      <c r="V57" s="21"/>
      <c r="W57" s="21"/>
      <c r="X57" s="21"/>
      <c r="Y57" s="21"/>
      <c r="Z57" s="21"/>
      <c r="AA57" s="21"/>
      <c r="AB57" s="21"/>
      <c r="AC57" s="21"/>
      <c r="AD57" s="21"/>
      <c r="AE57" s="21"/>
      <c r="AF57" s="21"/>
      <c r="AG57" s="21"/>
    </row>
    <row r="58" spans="2:33" x14ac:dyDescent="0.2">
      <c r="B58" s="21"/>
      <c r="C58" s="168">
        <v>4</v>
      </c>
      <c r="D58" s="157" t="s">
        <v>31</v>
      </c>
      <c r="E58" s="175" t="s">
        <v>195</v>
      </c>
      <c r="F58" s="49">
        <v>3</v>
      </c>
      <c r="G58" s="49">
        <v>3</v>
      </c>
      <c r="H58" s="176" t="s">
        <v>248</v>
      </c>
      <c r="I58" s="230"/>
      <c r="J58" s="230"/>
      <c r="K58" s="21"/>
      <c r="L58" s="21"/>
      <c r="M58" s="21"/>
      <c r="N58" s="21"/>
      <c r="O58" s="21"/>
      <c r="P58" s="21"/>
      <c r="Q58" s="21"/>
      <c r="R58" s="21"/>
      <c r="S58" s="21"/>
      <c r="T58" s="21"/>
      <c r="U58" s="21"/>
      <c r="V58" s="21"/>
      <c r="W58" s="21"/>
      <c r="X58" s="21"/>
      <c r="Y58" s="21"/>
      <c r="Z58" s="21"/>
      <c r="AA58" s="21"/>
      <c r="AB58" s="21"/>
      <c r="AC58" s="21"/>
      <c r="AD58" s="21"/>
      <c r="AE58" s="21"/>
      <c r="AF58" s="21"/>
      <c r="AG58" s="21"/>
    </row>
    <row r="59" spans="2:33" x14ac:dyDescent="0.2">
      <c r="B59" s="21"/>
      <c r="C59" s="168">
        <v>5</v>
      </c>
      <c r="D59" s="157" t="s">
        <v>31</v>
      </c>
      <c r="E59" s="177" t="s">
        <v>246</v>
      </c>
      <c r="F59" s="49" t="s">
        <v>249</v>
      </c>
      <c r="G59" s="49">
        <v>4</v>
      </c>
      <c r="H59" s="176" t="s">
        <v>248</v>
      </c>
      <c r="I59" s="30"/>
      <c r="J59" s="21"/>
      <c r="K59" s="21"/>
      <c r="L59" s="21"/>
      <c r="M59" s="21"/>
      <c r="N59" s="21"/>
      <c r="O59" s="21"/>
      <c r="P59" s="21"/>
      <c r="Q59" s="21"/>
      <c r="R59" s="21"/>
      <c r="S59" s="21"/>
      <c r="T59" s="21"/>
      <c r="U59" s="21"/>
      <c r="V59" s="21"/>
      <c r="W59" s="21"/>
      <c r="X59" s="21"/>
      <c r="Y59" s="21"/>
      <c r="Z59" s="21"/>
      <c r="AA59" s="21"/>
      <c r="AB59" s="21"/>
      <c r="AC59" s="21"/>
      <c r="AD59" s="21"/>
      <c r="AE59" s="21"/>
      <c r="AF59" s="21"/>
      <c r="AG59" s="21"/>
    </row>
    <row r="60" spans="2:33" ht="16" thickBot="1" x14ac:dyDescent="0.25">
      <c r="B60" s="21"/>
      <c r="C60" s="170">
        <v>6</v>
      </c>
      <c r="D60" s="183" t="s">
        <v>35</v>
      </c>
      <c r="E60" s="177" t="s">
        <v>247</v>
      </c>
      <c r="F60" s="49" t="s">
        <v>249</v>
      </c>
      <c r="G60" s="49">
        <v>4</v>
      </c>
      <c r="H60" s="176" t="s">
        <v>248</v>
      </c>
      <c r="I60" s="30"/>
      <c r="J60" s="21"/>
      <c r="K60" s="21"/>
      <c r="L60" s="21"/>
      <c r="M60" s="21"/>
      <c r="N60" s="21"/>
      <c r="O60" s="21"/>
      <c r="P60" s="21"/>
      <c r="Q60" s="21"/>
      <c r="R60" s="21"/>
      <c r="S60" s="21"/>
      <c r="T60" s="21"/>
      <c r="U60" s="21"/>
      <c r="V60" s="21"/>
      <c r="W60" s="21"/>
      <c r="X60" s="21"/>
      <c r="Y60" s="21"/>
      <c r="Z60" s="21"/>
      <c r="AA60" s="21"/>
      <c r="AB60" s="21"/>
      <c r="AC60" s="21"/>
      <c r="AD60" s="21"/>
      <c r="AE60" s="21"/>
      <c r="AF60" s="21"/>
      <c r="AG60" s="21"/>
    </row>
    <row r="61" spans="2:33" x14ac:dyDescent="0.2">
      <c r="B61" s="68"/>
      <c r="C61" s="68" t="s">
        <v>225</v>
      </c>
      <c r="D61" s="21"/>
      <c r="E61" s="177" t="s">
        <v>250</v>
      </c>
      <c r="F61" s="49">
        <v>3</v>
      </c>
      <c r="G61" s="49" t="s">
        <v>249</v>
      </c>
      <c r="H61" s="176" t="s">
        <v>248</v>
      </c>
      <c r="I61" s="30"/>
      <c r="J61" s="21"/>
      <c r="K61" s="21"/>
      <c r="L61" s="21"/>
      <c r="M61" s="21"/>
      <c r="N61" s="21"/>
      <c r="O61" s="21"/>
      <c r="P61" s="21"/>
      <c r="Q61" s="21"/>
      <c r="R61" s="21"/>
      <c r="S61" s="21"/>
      <c r="T61" s="21"/>
      <c r="U61" s="21"/>
      <c r="V61" s="21"/>
      <c r="W61" s="21"/>
      <c r="X61" s="21"/>
      <c r="Y61" s="21"/>
      <c r="Z61" s="21"/>
      <c r="AA61" s="21"/>
      <c r="AB61" s="21"/>
      <c r="AC61" s="21"/>
      <c r="AD61" s="21"/>
      <c r="AE61" s="21"/>
      <c r="AF61" s="21"/>
      <c r="AG61" s="21"/>
    </row>
    <row r="62" spans="2:33" x14ac:dyDescent="0.2">
      <c r="B62" s="70"/>
      <c r="C62" s="70" t="s">
        <v>226</v>
      </c>
      <c r="D62" s="21"/>
      <c r="E62" s="177" t="s">
        <v>252</v>
      </c>
      <c r="F62" s="49">
        <v>3</v>
      </c>
      <c r="G62" s="49" t="s">
        <v>249</v>
      </c>
      <c r="H62" s="176" t="s">
        <v>248</v>
      </c>
      <c r="I62" s="30"/>
      <c r="J62" s="21"/>
      <c r="K62" s="21"/>
      <c r="L62" s="21"/>
      <c r="M62" s="21"/>
      <c r="N62" s="21"/>
      <c r="O62" s="21"/>
      <c r="P62" s="21"/>
      <c r="Q62" s="21"/>
      <c r="R62" s="21"/>
      <c r="S62" s="21"/>
      <c r="T62" s="21"/>
      <c r="U62" s="21"/>
      <c r="V62" s="21"/>
      <c r="W62" s="21"/>
      <c r="X62" s="21"/>
      <c r="Y62" s="21"/>
      <c r="Z62" s="21"/>
      <c r="AA62" s="21"/>
      <c r="AB62" s="21"/>
      <c r="AC62" s="21"/>
      <c r="AD62" s="21"/>
      <c r="AE62" s="21"/>
      <c r="AF62" s="21"/>
      <c r="AG62" s="21"/>
    </row>
    <row r="63" spans="2:33" ht="16" thickBot="1" x14ac:dyDescent="0.25">
      <c r="B63" s="70"/>
      <c r="C63" s="70" t="s">
        <v>227</v>
      </c>
      <c r="D63" s="21"/>
      <c r="E63" s="178" t="s">
        <v>253</v>
      </c>
      <c r="F63" s="179">
        <v>3</v>
      </c>
      <c r="G63" s="179" t="s">
        <v>249</v>
      </c>
      <c r="H63" s="180" t="s">
        <v>248</v>
      </c>
      <c r="I63" s="30"/>
      <c r="J63" s="21"/>
      <c r="K63" s="21"/>
      <c r="L63" s="21"/>
      <c r="M63" s="21"/>
      <c r="N63" s="21"/>
      <c r="O63" s="21"/>
      <c r="P63" s="21"/>
      <c r="Q63" s="21"/>
      <c r="R63" s="21"/>
      <c r="S63" s="21"/>
      <c r="T63" s="21"/>
      <c r="U63" s="21"/>
      <c r="V63" s="21"/>
      <c r="W63" s="21"/>
      <c r="X63" s="21"/>
      <c r="Y63" s="21"/>
      <c r="Z63" s="21"/>
      <c r="AA63" s="21"/>
      <c r="AB63" s="21"/>
      <c r="AC63" s="21"/>
      <c r="AD63" s="21"/>
      <c r="AE63" s="21"/>
      <c r="AF63" s="21"/>
      <c r="AG63" s="21"/>
    </row>
    <row r="64" spans="2:33" x14ac:dyDescent="0.2">
      <c r="B64" s="70"/>
      <c r="C64" s="70"/>
      <c r="D64" s="21"/>
      <c r="I64" s="30"/>
      <c r="J64" s="21"/>
      <c r="K64" s="21"/>
      <c r="L64" s="21"/>
      <c r="M64" s="21"/>
      <c r="N64" s="21"/>
      <c r="O64" s="21"/>
      <c r="P64" s="21"/>
      <c r="Q64" s="21"/>
      <c r="R64" s="21"/>
      <c r="S64" s="30"/>
      <c r="T64" s="21"/>
      <c r="U64" s="21"/>
      <c r="V64" s="21"/>
      <c r="W64" s="21"/>
      <c r="X64" s="21"/>
      <c r="Y64" s="21"/>
      <c r="Z64" s="21"/>
      <c r="AA64" s="21"/>
      <c r="AB64" s="21"/>
      <c r="AC64" s="21"/>
      <c r="AD64" s="21"/>
      <c r="AE64" s="21"/>
      <c r="AF64" s="21"/>
      <c r="AG64" s="21"/>
    </row>
    <row r="65" spans="2:33" x14ac:dyDescent="0.2">
      <c r="B65" s="21"/>
      <c r="C65" s="21"/>
      <c r="D65" s="21"/>
      <c r="E65" s="87" t="s">
        <v>264</v>
      </c>
      <c r="F65" s="49"/>
      <c r="G65" s="49"/>
      <c r="H65" s="230"/>
      <c r="I65" s="21"/>
      <c r="J65" s="21"/>
      <c r="K65" s="21"/>
      <c r="L65" s="21"/>
      <c r="M65" s="21"/>
      <c r="N65" s="21"/>
      <c r="O65" s="21"/>
      <c r="P65" s="21"/>
      <c r="Q65" s="21"/>
      <c r="R65" s="21"/>
      <c r="S65" s="30"/>
      <c r="T65" s="21"/>
      <c r="U65" s="21"/>
      <c r="V65" s="21"/>
      <c r="W65" s="21"/>
      <c r="X65" s="21"/>
      <c r="Y65" s="21"/>
      <c r="Z65" s="21"/>
      <c r="AA65" s="21"/>
      <c r="AB65" s="21"/>
      <c r="AC65" s="21"/>
      <c r="AD65" s="21"/>
      <c r="AE65" s="21"/>
      <c r="AF65" s="21"/>
      <c r="AG65" s="21"/>
    </row>
    <row r="68" spans="2:33" s="75" customFormat="1" ht="30" customHeight="1" x14ac:dyDescent="0.2">
      <c r="B68" s="112" t="s">
        <v>228</v>
      </c>
      <c r="C68" s="112"/>
      <c r="D68" s="112"/>
      <c r="E68" s="112"/>
      <c r="F68" s="112"/>
      <c r="G68" s="112"/>
      <c r="H68" s="112"/>
      <c r="I68" s="112"/>
      <c r="J68" s="112"/>
      <c r="K68" s="112"/>
      <c r="L68" s="112"/>
      <c r="M68" s="112"/>
      <c r="N68" s="112"/>
      <c r="O68" s="112"/>
      <c r="P68" s="112"/>
      <c r="Q68" s="112"/>
      <c r="R68" s="112"/>
      <c r="S68" s="112"/>
      <c r="T68" s="112"/>
      <c r="U68" s="145"/>
      <c r="V68" s="145"/>
      <c r="W68" s="145"/>
      <c r="X68" s="145"/>
      <c r="Y68" s="145"/>
      <c r="Z68" s="145"/>
      <c r="AA68" s="145"/>
      <c r="AB68" s="145"/>
      <c r="AC68" s="145"/>
    </row>
    <row r="69" spans="2:33" s="72" customFormat="1" ht="16" x14ac:dyDescent="0.2">
      <c r="B69" s="139"/>
      <c r="C69" s="139"/>
      <c r="D69" s="139"/>
      <c r="E69" s="429" t="s">
        <v>229</v>
      </c>
      <c r="F69" s="429"/>
      <c r="G69" s="142" t="s">
        <v>230</v>
      </c>
      <c r="H69" s="143"/>
      <c r="I69" s="143"/>
      <c r="J69" s="144" t="s">
        <v>231</v>
      </c>
      <c r="K69" s="229"/>
      <c r="L69" s="229"/>
      <c r="M69" s="229"/>
      <c r="N69" s="142" t="s">
        <v>232</v>
      </c>
      <c r="O69" s="143"/>
      <c r="P69" s="143"/>
      <c r="Q69" s="144" t="s">
        <v>233</v>
      </c>
      <c r="R69" s="229"/>
      <c r="S69" s="229"/>
      <c r="T69" s="140"/>
      <c r="U69" s="141"/>
      <c r="V69" s="141"/>
      <c r="W69" s="141"/>
      <c r="X69" s="141"/>
      <c r="Y69" s="141"/>
      <c r="Z69" s="141"/>
      <c r="AA69" s="141"/>
      <c r="AB69" s="141"/>
      <c r="AC69" s="141"/>
      <c r="AE69" s="141"/>
    </row>
    <row r="70" spans="2:33" ht="46.25" customHeight="1" x14ac:dyDescent="0.2">
      <c r="B70" s="88"/>
      <c r="C70" s="88" t="s">
        <v>234</v>
      </c>
      <c r="D70" s="88"/>
      <c r="E70" s="134" t="s">
        <v>235</v>
      </c>
      <c r="F70" s="136" t="s">
        <v>236</v>
      </c>
      <c r="G70" s="90" t="s">
        <v>237</v>
      </c>
      <c r="H70" s="90" t="s">
        <v>238</v>
      </c>
      <c r="I70" s="91" t="s">
        <v>239</v>
      </c>
      <c r="J70" s="88" t="s">
        <v>237</v>
      </c>
      <c r="K70" s="88" t="s">
        <v>238</v>
      </c>
      <c r="L70" s="89" t="s">
        <v>239</v>
      </c>
      <c r="M70" s="88" t="s">
        <v>240</v>
      </c>
      <c r="N70" s="90" t="s">
        <v>237</v>
      </c>
      <c r="O70" s="90" t="s">
        <v>238</v>
      </c>
      <c r="P70" s="91" t="s">
        <v>239</v>
      </c>
      <c r="Q70" s="88" t="s">
        <v>237</v>
      </c>
      <c r="R70" s="88" t="s">
        <v>238</v>
      </c>
      <c r="S70" s="89" t="s">
        <v>239</v>
      </c>
      <c r="T70" s="91" t="s">
        <v>241</v>
      </c>
      <c r="U70" s="93"/>
      <c r="V70" s="93"/>
      <c r="W70" s="93"/>
      <c r="X70" s="93"/>
      <c r="Y70" s="93"/>
      <c r="Z70" s="93"/>
      <c r="AA70" s="93"/>
      <c r="AB70" s="93"/>
      <c r="AC70" s="93"/>
      <c r="AE70" s="93"/>
    </row>
    <row r="71" spans="2:33" x14ac:dyDescent="0.2">
      <c r="B71" s="92"/>
      <c r="C71" s="92" t="s">
        <v>30</v>
      </c>
      <c r="D71" s="92" t="s">
        <v>31</v>
      </c>
      <c r="E71" s="135">
        <v>8.3173628589466091</v>
      </c>
      <c r="F71" s="23">
        <v>8.6</v>
      </c>
      <c r="G71" s="76">
        <v>11463897</v>
      </c>
      <c r="H71" s="77">
        <v>3138.5</v>
      </c>
      <c r="I71" s="78">
        <f t="shared" ref="I71:I77" si="4">(H71*1000)/G71</f>
        <v>0.27377252255493922</v>
      </c>
      <c r="J71" s="32">
        <v>7270944</v>
      </c>
      <c r="K71" s="32">
        <v>3477.8</v>
      </c>
      <c r="L71" s="21">
        <f t="shared" ref="L71:L77" si="5">(K71*1000)/J71</f>
        <v>0.47831478278473882</v>
      </c>
      <c r="M71" s="21">
        <f>L71*0.81</f>
        <v>0.38743497405563848</v>
      </c>
      <c r="N71" s="76">
        <v>1305358</v>
      </c>
      <c r="O71" s="77">
        <v>27.6</v>
      </c>
      <c r="P71" s="77">
        <f t="shared" ref="P71:P77" si="6">(O71*1000)/N71</f>
        <v>2.1143624967250363E-2</v>
      </c>
      <c r="Q71" s="73">
        <v>4011183</v>
      </c>
      <c r="R71" s="74">
        <v>2008.6</v>
      </c>
      <c r="S71" s="21">
        <f>(R71*1000)/Q71</f>
        <v>0.50075002810891456</v>
      </c>
      <c r="T71" s="77">
        <f t="shared" ref="T71:T77" si="7">SUM(I71,M71,P71,S71)</f>
        <v>1.1831011496867425</v>
      </c>
    </row>
    <row r="72" spans="2:33" x14ac:dyDescent="0.2">
      <c r="B72" s="92"/>
      <c r="C72" s="92" t="s">
        <v>34</v>
      </c>
      <c r="D72" s="92" t="s">
        <v>35</v>
      </c>
      <c r="E72" s="135">
        <v>3.5052860799999999</v>
      </c>
      <c r="F72" s="23">
        <v>3.5</v>
      </c>
      <c r="G72" s="76">
        <v>2042188</v>
      </c>
      <c r="H72" s="77">
        <v>336.7</v>
      </c>
      <c r="I72" s="78">
        <f t="shared" si="4"/>
        <v>0.16487218610627424</v>
      </c>
      <c r="J72" s="73">
        <v>2308920</v>
      </c>
      <c r="K72" s="74">
        <v>1376.2</v>
      </c>
      <c r="L72" s="21">
        <f t="shared" si="5"/>
        <v>0.59603624205256134</v>
      </c>
      <c r="M72" s="21">
        <f>L72*0.86</f>
        <v>0.51259116816520278</v>
      </c>
      <c r="N72" s="76">
        <v>1278472</v>
      </c>
      <c r="O72" s="77">
        <v>24.6</v>
      </c>
      <c r="P72" s="77">
        <f t="shared" si="6"/>
        <v>1.924171980301485E-2</v>
      </c>
      <c r="Q72" s="73">
        <v>45713</v>
      </c>
      <c r="R72" s="21">
        <v>8.9</v>
      </c>
      <c r="S72" s="21">
        <f>(R72*1000)/Q72</f>
        <v>0.19469297573994268</v>
      </c>
      <c r="T72" s="77">
        <f t="shared" si="7"/>
        <v>0.89139804981443449</v>
      </c>
    </row>
    <row r="73" spans="2:33" x14ac:dyDescent="0.2">
      <c r="B73" s="92"/>
      <c r="C73" s="92" t="s">
        <v>38</v>
      </c>
      <c r="D73" s="92" t="s">
        <v>39</v>
      </c>
      <c r="E73" s="135">
        <v>3.5519090900000001</v>
      </c>
      <c r="F73" s="23">
        <v>4.2</v>
      </c>
      <c r="G73" s="76">
        <v>383104</v>
      </c>
      <c r="H73" s="77">
        <v>143.6</v>
      </c>
      <c r="I73" s="78">
        <f t="shared" si="4"/>
        <v>0.37483294353491481</v>
      </c>
      <c r="J73" s="73">
        <v>557392</v>
      </c>
      <c r="K73" s="21">
        <v>415.4</v>
      </c>
      <c r="L73" s="21">
        <f t="shared" si="5"/>
        <v>0.74525648017911994</v>
      </c>
      <c r="M73" s="21">
        <f>0.93*L73</f>
        <v>0.6930885265665816</v>
      </c>
      <c r="N73" s="76">
        <v>338619</v>
      </c>
      <c r="O73" s="77">
        <v>6</v>
      </c>
      <c r="P73" s="77">
        <f t="shared" si="6"/>
        <v>1.7719029351572119E-2</v>
      </c>
      <c r="Q73" s="21">
        <v>0</v>
      </c>
      <c r="R73" s="21">
        <v>0</v>
      </c>
      <c r="S73" s="21">
        <v>0</v>
      </c>
      <c r="T73" s="77">
        <f t="shared" si="7"/>
        <v>1.0856404994530686</v>
      </c>
    </row>
    <row r="74" spans="2:33" x14ac:dyDescent="0.2">
      <c r="B74" s="92"/>
      <c r="C74" s="92" t="s">
        <v>43</v>
      </c>
      <c r="D74" s="92" t="s">
        <v>242</v>
      </c>
      <c r="E74" s="135">
        <v>7.8497435900000001</v>
      </c>
      <c r="F74" s="23">
        <v>7.4</v>
      </c>
      <c r="G74" s="76">
        <v>1488848</v>
      </c>
      <c r="H74" s="77">
        <v>310.7</v>
      </c>
      <c r="I74" s="78">
        <f t="shared" si="4"/>
        <v>0.20868483552384126</v>
      </c>
      <c r="J74" s="73">
        <v>1539110</v>
      </c>
      <c r="K74" s="21">
        <v>715.7</v>
      </c>
      <c r="L74" s="21">
        <f t="shared" si="5"/>
        <v>0.46500899870704498</v>
      </c>
      <c r="M74" s="21">
        <f>0.9*L74</f>
        <v>0.41850809883634049</v>
      </c>
      <c r="N74" s="76">
        <v>290576</v>
      </c>
      <c r="O74" s="77">
        <v>3.7</v>
      </c>
      <c r="P74" s="77">
        <f t="shared" si="6"/>
        <v>1.2733329662463521E-2</v>
      </c>
      <c r="Q74" s="73">
        <v>786932</v>
      </c>
      <c r="R74" s="21">
        <v>347.4</v>
      </c>
      <c r="S74" s="21">
        <f>(R74*1000)/Q74</f>
        <v>0.44146126984288347</v>
      </c>
      <c r="T74" s="77">
        <f t="shared" si="7"/>
        <v>1.0813875338655288</v>
      </c>
    </row>
    <row r="75" spans="2:33" x14ac:dyDescent="0.2">
      <c r="B75" s="92"/>
      <c r="C75" s="92" t="s">
        <v>47</v>
      </c>
      <c r="D75" s="92" t="s">
        <v>48</v>
      </c>
      <c r="E75" s="135">
        <v>2.6</v>
      </c>
      <c r="F75" s="23">
        <v>2.25</v>
      </c>
      <c r="G75" s="79">
        <v>2042188</v>
      </c>
      <c r="H75" s="80">
        <v>336.7</v>
      </c>
      <c r="I75" s="81">
        <f t="shared" si="4"/>
        <v>0.16487218610627424</v>
      </c>
      <c r="J75" s="82">
        <v>2308920</v>
      </c>
      <c r="K75" s="83">
        <v>1376.2</v>
      </c>
      <c r="L75" s="84">
        <f t="shared" si="5"/>
        <v>0.59603624205256134</v>
      </c>
      <c r="M75" s="84">
        <f>L75*0.86</f>
        <v>0.51259116816520278</v>
      </c>
      <c r="N75" s="79">
        <v>1278472</v>
      </c>
      <c r="O75" s="80">
        <v>24.6</v>
      </c>
      <c r="P75" s="80">
        <f t="shared" si="6"/>
        <v>1.924171980301485E-2</v>
      </c>
      <c r="Q75" s="82">
        <v>45713</v>
      </c>
      <c r="R75" s="84">
        <v>8.9</v>
      </c>
      <c r="S75" s="84">
        <f>(R75*1000)/Q75</f>
        <v>0.19469297573994268</v>
      </c>
      <c r="T75" s="80">
        <f t="shared" si="7"/>
        <v>0.89139804981443449</v>
      </c>
      <c r="U75" s="94"/>
      <c r="V75" s="94"/>
      <c r="W75" s="94"/>
      <c r="X75" s="94"/>
      <c r="Y75" s="94"/>
      <c r="Z75" s="94"/>
      <c r="AA75" s="94"/>
      <c r="AB75" s="94"/>
      <c r="AC75" s="94"/>
      <c r="AE75" s="94"/>
    </row>
    <row r="76" spans="2:33" x14ac:dyDescent="0.2">
      <c r="B76" s="92"/>
      <c r="C76" s="92" t="s">
        <v>51</v>
      </c>
      <c r="D76" s="92" t="s">
        <v>52</v>
      </c>
      <c r="E76" s="135">
        <v>4.8970000000000002</v>
      </c>
      <c r="F76" s="23">
        <v>3.9</v>
      </c>
      <c r="G76" s="79">
        <v>383104</v>
      </c>
      <c r="H76" s="80">
        <v>143.6</v>
      </c>
      <c r="I76" s="81">
        <f t="shared" si="4"/>
        <v>0.37483294353491481</v>
      </c>
      <c r="J76" s="82">
        <v>557392</v>
      </c>
      <c r="K76" s="84">
        <v>415.4</v>
      </c>
      <c r="L76" s="84">
        <f t="shared" si="5"/>
        <v>0.74525648017911994</v>
      </c>
      <c r="M76" s="84">
        <f>0.93*L76</f>
        <v>0.6930885265665816</v>
      </c>
      <c r="N76" s="79">
        <v>338619</v>
      </c>
      <c r="O76" s="80">
        <v>6</v>
      </c>
      <c r="P76" s="80">
        <f t="shared" si="6"/>
        <v>1.7719029351572119E-2</v>
      </c>
      <c r="Q76" s="84">
        <v>0</v>
      </c>
      <c r="R76" s="84">
        <v>0</v>
      </c>
      <c r="S76" s="84">
        <v>0</v>
      </c>
      <c r="T76" s="80">
        <f t="shared" si="7"/>
        <v>1.0856404994530686</v>
      </c>
      <c r="U76" s="94"/>
      <c r="V76" s="94"/>
      <c r="W76" s="94"/>
      <c r="X76" s="94"/>
      <c r="Y76" s="94"/>
      <c r="Z76" s="94"/>
      <c r="AA76" s="94"/>
      <c r="AB76" s="94"/>
      <c r="AC76" s="94"/>
      <c r="AE76" s="94"/>
    </row>
    <row r="77" spans="2:33" x14ac:dyDescent="0.2">
      <c r="B77" s="92"/>
      <c r="C77" s="92" t="s">
        <v>55</v>
      </c>
      <c r="D77" s="92" t="s">
        <v>243</v>
      </c>
      <c r="E77" s="135">
        <v>5.4954545454545398</v>
      </c>
      <c r="F77" s="23">
        <v>5.7</v>
      </c>
      <c r="G77" s="76">
        <v>1758555</v>
      </c>
      <c r="H77" s="77">
        <v>357.5</v>
      </c>
      <c r="I77" s="78">
        <f t="shared" si="4"/>
        <v>0.20329190727614432</v>
      </c>
      <c r="J77" s="73">
        <v>2086523</v>
      </c>
      <c r="K77" s="21">
        <v>711.7</v>
      </c>
      <c r="L77" s="21">
        <f t="shared" si="5"/>
        <v>0.34109377179163614</v>
      </c>
      <c r="M77" s="21">
        <v>0.34109377179163614</v>
      </c>
      <c r="N77" s="76">
        <v>162336</v>
      </c>
      <c r="O77" s="77">
        <v>1.7</v>
      </c>
      <c r="P77" s="77">
        <f t="shared" si="6"/>
        <v>1.0472107234378081E-2</v>
      </c>
      <c r="Q77" s="73">
        <v>323772</v>
      </c>
      <c r="R77" s="21">
        <v>95.2</v>
      </c>
      <c r="S77" s="21">
        <f>(R77*1000)/Q77</f>
        <v>0.29403407336026588</v>
      </c>
      <c r="T77" s="77">
        <f t="shared" si="7"/>
        <v>0.84889185966242442</v>
      </c>
    </row>
    <row r="78" spans="2:33" x14ac:dyDescent="0.2">
      <c r="B78" s="92"/>
      <c r="C78" s="92" t="s">
        <v>59</v>
      </c>
      <c r="D78" s="92" t="s">
        <v>60</v>
      </c>
      <c r="E78" s="135">
        <v>0</v>
      </c>
      <c r="F78" s="23">
        <v>0</v>
      </c>
      <c r="G78" s="77"/>
      <c r="H78" s="77"/>
      <c r="I78" s="78"/>
      <c r="J78" s="21"/>
      <c r="K78" s="21"/>
      <c r="L78" s="21"/>
      <c r="M78" s="21"/>
      <c r="N78" s="77"/>
      <c r="O78" s="77"/>
      <c r="P78" s="77"/>
      <c r="Q78" s="21"/>
      <c r="R78" s="21"/>
      <c r="S78" s="21"/>
      <c r="T78" s="77"/>
    </row>
  </sheetData>
  <mergeCells count="7">
    <mergeCell ref="E69:F69"/>
    <mergeCell ref="B5:U5"/>
    <mergeCell ref="F8:G8"/>
    <mergeCell ref="O8:Q8"/>
    <mergeCell ref="Z8:AF8"/>
    <mergeCell ref="Z9:AB9"/>
    <mergeCell ref="AD9:AF9"/>
  </mergeCells>
  <hyperlinks>
    <hyperlink ref="C2" location="'Management details'!E45" display="Yield data" xr:uid="{2DCEA6D6-2B01-46D8-AF54-2168F8C1E2F0}"/>
    <hyperlink ref="C3" location="'Management details'!G45" display="Pesticide data" xr:uid="{777B2F7A-D125-49B1-885A-F89E09683C6E}"/>
  </hyperlinks>
  <pageMargins left="0.7" right="0.7" top="0.75" bottom="0.75" header="0.3" footer="0.3"/>
  <pageSetup paperSize="9" orientation="portrait" horizontalDpi="4294967293"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BF14A-462D-4B53-8961-30FD941784CE}">
  <dimension ref="B2:AG80"/>
  <sheetViews>
    <sheetView workbookViewId="0"/>
  </sheetViews>
  <sheetFormatPr baseColWidth="10" defaultColWidth="8.83203125" defaultRowHeight="15" x14ac:dyDescent="0.2"/>
  <cols>
    <col min="1" max="1" width="3.5" customWidth="1"/>
    <col min="4" max="4" width="28.1640625" customWidth="1"/>
    <col min="5" max="5" width="28.5" bestFit="1" customWidth="1"/>
    <col min="6" max="6" width="10.5" customWidth="1"/>
    <col min="7" max="7" width="11.5" customWidth="1"/>
    <col min="8" max="8" width="10.33203125" customWidth="1"/>
    <col min="9" max="9" width="10" customWidth="1"/>
    <col min="12" max="12" width="10.5" customWidth="1"/>
    <col min="15" max="17" width="10.5" customWidth="1"/>
    <col min="18" max="18" width="9.6640625" customWidth="1"/>
    <col min="20" max="20" width="10.5" customWidth="1"/>
    <col min="22" max="22" width="5.1640625" customWidth="1"/>
    <col min="23" max="23" width="15.83203125" bestFit="1" customWidth="1"/>
  </cols>
  <sheetData>
    <row r="2" spans="2:33" x14ac:dyDescent="0.2">
      <c r="B2" s="69" t="s">
        <v>174</v>
      </c>
      <c r="C2" s="133" t="s">
        <v>175</v>
      </c>
      <c r="D2" s="69"/>
    </row>
    <row r="3" spans="2:33" x14ac:dyDescent="0.2">
      <c r="B3" s="69"/>
      <c r="C3" s="133" t="s">
        <v>176</v>
      </c>
      <c r="D3" s="69"/>
    </row>
    <row r="5" spans="2:33" s="75" customFormat="1" ht="30" customHeight="1" x14ac:dyDescent="0.2">
      <c r="B5" s="425" t="s">
        <v>265</v>
      </c>
      <c r="C5" s="425"/>
      <c r="D5" s="425"/>
      <c r="E5" s="425"/>
      <c r="F5" s="425"/>
      <c r="G5" s="425"/>
      <c r="H5" s="425"/>
      <c r="I5" s="425"/>
      <c r="J5" s="425"/>
      <c r="K5" s="425"/>
      <c r="L5" s="425"/>
      <c r="M5" s="425"/>
      <c r="N5" s="425"/>
      <c r="O5" s="425"/>
      <c r="P5" s="425"/>
      <c r="Q5" s="425"/>
      <c r="R5" s="425"/>
      <c r="S5" s="425"/>
      <c r="T5" s="425"/>
      <c r="U5" s="425"/>
      <c r="V5" s="95"/>
      <c r="W5" s="95"/>
      <c r="X5" s="95"/>
      <c r="Y5" s="95"/>
      <c r="Z5" s="95"/>
      <c r="AA5" s="95"/>
      <c r="AB5" s="95"/>
      <c r="AC5" s="95"/>
      <c r="AD5" s="95"/>
      <c r="AE5" s="132"/>
      <c r="AF5" s="132"/>
      <c r="AG5" s="132"/>
    </row>
    <row r="6" spans="2:33" x14ac:dyDescent="0.2">
      <c r="B6" s="21"/>
      <c r="C6" s="21"/>
      <c r="D6" s="21"/>
      <c r="E6" s="21"/>
      <c r="F6" s="21"/>
      <c r="G6" s="21"/>
      <c r="H6" s="21"/>
      <c r="I6" s="30"/>
      <c r="J6" s="21"/>
      <c r="K6" s="21"/>
      <c r="L6" s="21"/>
      <c r="M6" s="21"/>
      <c r="N6" s="21"/>
      <c r="O6" s="21"/>
      <c r="P6" s="21"/>
      <c r="Q6" s="21"/>
      <c r="R6" s="30"/>
      <c r="S6" s="21"/>
      <c r="T6" s="21"/>
      <c r="U6" s="21"/>
      <c r="V6" s="21"/>
      <c r="W6" s="21"/>
      <c r="X6" s="21"/>
      <c r="Y6" s="21"/>
      <c r="Z6" s="21"/>
      <c r="AA6" s="21"/>
      <c r="AB6" s="21"/>
      <c r="AC6" s="21"/>
      <c r="AD6" s="21"/>
      <c r="AE6" s="21"/>
      <c r="AF6" s="21"/>
      <c r="AG6" s="21"/>
    </row>
    <row r="7" spans="2:33" ht="15.5" customHeight="1" x14ac:dyDescent="0.2">
      <c r="B7" s="21"/>
      <c r="C7" s="21"/>
      <c r="D7" s="21"/>
      <c r="E7" s="21"/>
      <c r="F7" s="21"/>
      <c r="G7" s="21"/>
      <c r="H7" s="21"/>
      <c r="I7" s="30"/>
      <c r="J7" s="21"/>
      <c r="K7" s="21"/>
      <c r="L7" s="21"/>
      <c r="M7" s="21"/>
      <c r="N7" s="21"/>
      <c r="O7" s="21"/>
      <c r="P7" s="21"/>
      <c r="Q7" s="21"/>
      <c r="R7" s="30"/>
      <c r="S7" s="21"/>
      <c r="T7" s="21"/>
      <c r="U7" s="21"/>
      <c r="V7" s="21"/>
      <c r="W7" s="21"/>
      <c r="X7" s="21"/>
      <c r="Y7" s="21"/>
      <c r="Z7" s="21"/>
      <c r="AA7" s="21"/>
      <c r="AB7" s="21"/>
      <c r="AC7" s="21"/>
      <c r="AD7" s="21"/>
      <c r="AE7" s="21"/>
      <c r="AF7" s="21"/>
      <c r="AG7" s="21"/>
    </row>
    <row r="8" spans="2:33" ht="16" x14ac:dyDescent="0.2">
      <c r="B8" s="432" t="s">
        <v>266</v>
      </c>
      <c r="C8" s="432"/>
      <c r="D8" s="432"/>
      <c r="E8" s="21"/>
      <c r="F8" s="433" t="s">
        <v>9</v>
      </c>
      <c r="G8" s="433"/>
      <c r="H8" s="433"/>
      <c r="I8" s="30"/>
      <c r="J8" s="21"/>
      <c r="K8" s="21"/>
      <c r="L8" s="21"/>
      <c r="M8" s="21"/>
      <c r="N8" s="21"/>
      <c r="O8" s="429" t="s">
        <v>180</v>
      </c>
      <c r="P8" s="429"/>
      <c r="Q8" s="429"/>
      <c r="R8" s="26"/>
      <c r="S8" s="30"/>
      <c r="T8" s="21"/>
      <c r="U8" s="21"/>
      <c r="V8" s="21"/>
      <c r="W8" s="21"/>
      <c r="X8" s="21"/>
      <c r="Y8" s="35"/>
      <c r="Z8" s="429" t="s">
        <v>179</v>
      </c>
      <c r="AA8" s="429"/>
      <c r="AB8" s="429"/>
      <c r="AC8" s="429"/>
      <c r="AD8" s="429"/>
      <c r="AE8" s="429"/>
      <c r="AF8" s="429"/>
      <c r="AG8" s="21"/>
    </row>
    <row r="9" spans="2:33" ht="17" thickBot="1" x14ac:dyDescent="0.25">
      <c r="B9" s="22" t="s">
        <v>9</v>
      </c>
      <c r="C9" s="22" t="s">
        <v>13</v>
      </c>
      <c r="D9" s="22" t="s">
        <v>234</v>
      </c>
      <c r="E9" s="209" t="s">
        <v>267</v>
      </c>
      <c r="F9" s="228" t="s">
        <v>12</v>
      </c>
      <c r="G9" s="228" t="s">
        <v>10</v>
      </c>
      <c r="H9" s="228" t="s">
        <v>11</v>
      </c>
      <c r="I9" s="34" t="s">
        <v>184</v>
      </c>
      <c r="J9" s="21"/>
      <c r="K9" s="21"/>
      <c r="L9" s="21"/>
      <c r="M9" s="21"/>
      <c r="N9" s="21"/>
      <c r="O9" s="228" t="s">
        <v>14</v>
      </c>
      <c r="P9" s="228" t="s">
        <v>18</v>
      </c>
      <c r="Q9" s="228" t="s">
        <v>19</v>
      </c>
      <c r="R9" s="34" t="s">
        <v>184</v>
      </c>
      <c r="S9" s="34"/>
      <c r="T9" s="21"/>
      <c r="U9" s="21"/>
      <c r="V9" s="21"/>
      <c r="W9" s="22"/>
      <c r="X9" s="21"/>
      <c r="Y9" s="35"/>
      <c r="Z9" s="428" t="s">
        <v>182</v>
      </c>
      <c r="AA9" s="428"/>
      <c r="AB9" s="428"/>
      <c r="AC9" s="96"/>
      <c r="AD9" s="428" t="s">
        <v>183</v>
      </c>
      <c r="AE9" s="428"/>
      <c r="AF9" s="428"/>
      <c r="AG9" s="21"/>
    </row>
    <row r="10" spans="2:33" ht="17" thickTop="1" x14ac:dyDescent="0.2">
      <c r="B10" s="21" t="s">
        <v>12</v>
      </c>
      <c r="C10" s="21" t="s">
        <v>268</v>
      </c>
      <c r="D10" s="21" t="s">
        <v>269</v>
      </c>
      <c r="E10" s="21"/>
      <c r="F10" s="23"/>
      <c r="G10" s="23"/>
      <c r="H10" s="21"/>
      <c r="I10" s="30"/>
      <c r="J10" s="21"/>
      <c r="K10" s="21"/>
      <c r="L10" s="21"/>
      <c r="M10" s="21"/>
      <c r="N10" s="21"/>
      <c r="O10" s="23"/>
      <c r="P10" s="23"/>
      <c r="Q10" s="23"/>
      <c r="R10" s="30"/>
      <c r="S10" s="30"/>
      <c r="T10" s="21"/>
      <c r="U10" s="21"/>
      <c r="V10" s="21"/>
      <c r="W10" s="21"/>
      <c r="X10" s="21"/>
      <c r="Y10" s="85"/>
      <c r="Z10" s="99" t="s">
        <v>185</v>
      </c>
      <c r="AA10" s="99" t="s">
        <v>186</v>
      </c>
      <c r="AB10" s="70" t="s">
        <v>187</v>
      </c>
      <c r="AC10" s="70"/>
      <c r="AD10" s="99" t="s">
        <v>185</v>
      </c>
      <c r="AE10" s="99" t="s">
        <v>186</v>
      </c>
      <c r="AF10" s="70" t="s">
        <v>187</v>
      </c>
      <c r="AG10" s="21"/>
    </row>
    <row r="11" spans="2:33" ht="16" x14ac:dyDescent="0.2">
      <c r="B11" s="21"/>
      <c r="C11" s="21"/>
      <c r="D11" s="21" t="s">
        <v>252</v>
      </c>
      <c r="E11" s="137" t="s">
        <v>188</v>
      </c>
      <c r="F11" s="23"/>
      <c r="G11" s="23"/>
      <c r="H11" s="21"/>
      <c r="I11" s="30"/>
      <c r="J11" s="21"/>
      <c r="K11" s="21"/>
      <c r="L11" s="21"/>
      <c r="M11" s="21"/>
      <c r="N11" s="137" t="s">
        <v>189</v>
      </c>
      <c r="O11" s="23"/>
      <c r="P11" s="23"/>
      <c r="Q11" s="21"/>
      <c r="R11" s="30"/>
      <c r="S11" s="30"/>
      <c r="T11" s="21"/>
      <c r="U11" s="21"/>
      <c r="V11" s="21"/>
      <c r="W11" s="21"/>
      <c r="X11" s="24"/>
      <c r="Y11" s="137" t="s">
        <v>190</v>
      </c>
      <c r="Z11" s="21"/>
      <c r="AA11" s="21"/>
      <c r="AB11" s="21"/>
      <c r="AC11" s="21"/>
      <c r="AD11" s="21"/>
      <c r="AE11" s="30"/>
      <c r="AF11" s="21"/>
      <c r="AG11" s="21"/>
    </row>
    <row r="12" spans="2:33" x14ac:dyDescent="0.2">
      <c r="B12" s="21"/>
      <c r="C12" s="21"/>
      <c r="D12" s="21" t="s">
        <v>191</v>
      </c>
      <c r="E12" s="87" t="s">
        <v>191</v>
      </c>
      <c r="F12" s="23">
        <v>200</v>
      </c>
      <c r="G12" s="23">
        <v>200</v>
      </c>
      <c r="H12" s="21"/>
      <c r="I12" s="171" t="s">
        <v>248</v>
      </c>
      <c r="J12" s="171"/>
      <c r="K12" s="21"/>
      <c r="L12" s="21"/>
      <c r="M12" s="21"/>
      <c r="N12" s="87" t="s">
        <v>191</v>
      </c>
      <c r="O12" s="23">
        <v>220</v>
      </c>
      <c r="P12" s="49">
        <f t="shared" ref="P12:P13" si="0">O12</f>
        <v>220</v>
      </c>
      <c r="Q12" s="49">
        <v>220</v>
      </c>
      <c r="R12" s="171" t="s">
        <v>248</v>
      </c>
      <c r="S12" s="31"/>
      <c r="T12" s="33"/>
      <c r="U12" s="21"/>
      <c r="V12" s="21"/>
      <c r="W12" s="21"/>
      <c r="X12" s="21"/>
      <c r="Y12" s="86" t="s">
        <v>194</v>
      </c>
      <c r="Z12" s="21">
        <v>2</v>
      </c>
      <c r="AA12" s="21">
        <v>360</v>
      </c>
      <c r="AB12" s="21">
        <f>Z12*AA12</f>
        <v>720</v>
      </c>
      <c r="AC12" s="21"/>
      <c r="AD12" s="21">
        <v>3</v>
      </c>
      <c r="AE12" s="21">
        <v>360</v>
      </c>
      <c r="AF12" s="21">
        <f>AD12*AE12</f>
        <v>1080</v>
      </c>
      <c r="AG12" s="21"/>
    </row>
    <row r="13" spans="2:33" x14ac:dyDescent="0.2">
      <c r="B13" s="21"/>
      <c r="C13" s="21"/>
      <c r="D13" s="21" t="s">
        <v>270</v>
      </c>
      <c r="E13" s="87" t="s">
        <v>195</v>
      </c>
      <c r="F13" s="23">
        <v>3.2</v>
      </c>
      <c r="G13" s="23">
        <v>3.2</v>
      </c>
      <c r="H13" s="21"/>
      <c r="I13" s="171" t="s">
        <v>248</v>
      </c>
      <c r="J13" s="171"/>
      <c r="K13" s="21"/>
      <c r="L13" s="21"/>
      <c r="M13" s="21"/>
      <c r="N13" s="87" t="s">
        <v>195</v>
      </c>
      <c r="O13" s="23">
        <v>180</v>
      </c>
      <c r="P13" s="49">
        <f t="shared" si="0"/>
        <v>180</v>
      </c>
      <c r="Q13" s="49">
        <v>180</v>
      </c>
      <c r="R13" s="171" t="s">
        <v>248</v>
      </c>
      <c r="S13" s="30"/>
      <c r="T13" s="21"/>
      <c r="U13" s="21"/>
      <c r="V13" s="21"/>
      <c r="W13" s="21"/>
      <c r="X13" s="21"/>
      <c r="Y13" s="86" t="s">
        <v>197</v>
      </c>
      <c r="Z13" s="21">
        <v>2</v>
      </c>
      <c r="AA13" s="21">
        <v>360</v>
      </c>
      <c r="AB13" s="21">
        <f t="shared" ref="AB13:AB20" si="1">Z13*AA13</f>
        <v>720</v>
      </c>
      <c r="AC13" s="21"/>
      <c r="AD13" s="21">
        <v>3</v>
      </c>
      <c r="AE13" s="21">
        <v>360</v>
      </c>
      <c r="AF13" s="21">
        <f t="shared" ref="AF13:AF20" si="2">AD13*AE13</f>
        <v>1080</v>
      </c>
      <c r="AG13" s="21"/>
    </row>
    <row r="14" spans="2:33" x14ac:dyDescent="0.2">
      <c r="B14" s="21"/>
      <c r="C14" s="21"/>
      <c r="D14" s="21" t="s">
        <v>191</v>
      </c>
      <c r="E14" s="87" t="s">
        <v>246</v>
      </c>
      <c r="F14" s="49" t="s">
        <v>249</v>
      </c>
      <c r="G14" s="49">
        <v>0</v>
      </c>
      <c r="H14" s="21"/>
      <c r="I14" s="171" t="s">
        <v>248</v>
      </c>
      <c r="J14" s="21"/>
      <c r="K14" s="21"/>
      <c r="L14" s="21"/>
      <c r="M14" s="21"/>
      <c r="N14" s="87" t="s">
        <v>246</v>
      </c>
      <c r="O14" s="49">
        <v>0</v>
      </c>
      <c r="P14" s="49">
        <f>O14</f>
        <v>0</v>
      </c>
      <c r="Q14" s="49">
        <v>0</v>
      </c>
      <c r="R14" s="171" t="s">
        <v>248</v>
      </c>
      <c r="S14" s="30"/>
      <c r="T14" s="21"/>
      <c r="U14" s="21"/>
      <c r="V14" s="21"/>
      <c r="W14" s="21"/>
      <c r="X14" s="21"/>
      <c r="Y14" s="86" t="s">
        <v>198</v>
      </c>
      <c r="Z14" s="21"/>
      <c r="AA14" s="21"/>
      <c r="AB14" s="21"/>
      <c r="AC14" s="21"/>
      <c r="AD14" s="21"/>
      <c r="AE14" s="21"/>
      <c r="AF14" s="21"/>
      <c r="AG14" s="21"/>
    </row>
    <row r="15" spans="2:33" x14ac:dyDescent="0.2">
      <c r="B15" s="21"/>
      <c r="C15" s="21"/>
      <c r="D15" s="21" t="s">
        <v>271</v>
      </c>
      <c r="E15" s="87" t="s">
        <v>247</v>
      </c>
      <c r="F15" s="49" t="s">
        <v>249</v>
      </c>
      <c r="G15" s="49">
        <v>194</v>
      </c>
      <c r="H15" s="21"/>
      <c r="I15" s="171" t="s">
        <v>248</v>
      </c>
      <c r="J15" s="21"/>
      <c r="K15" s="21"/>
      <c r="L15" s="21"/>
      <c r="M15" s="21"/>
      <c r="N15" s="87" t="s">
        <v>247</v>
      </c>
      <c r="O15" s="49">
        <v>140</v>
      </c>
      <c r="P15" s="49">
        <f t="shared" ref="P15:P18" si="3">O15</f>
        <v>140</v>
      </c>
      <c r="Q15" s="49">
        <v>140</v>
      </c>
      <c r="R15" s="171" t="s">
        <v>248</v>
      </c>
      <c r="S15" s="30"/>
      <c r="T15" s="21"/>
      <c r="U15" s="21"/>
      <c r="V15" s="21"/>
      <c r="W15" s="21"/>
      <c r="X15" s="21"/>
      <c r="Y15" s="86" t="s">
        <v>200</v>
      </c>
      <c r="Z15" s="21">
        <v>4</v>
      </c>
      <c r="AA15" s="21">
        <v>360</v>
      </c>
      <c r="AB15" s="21">
        <f t="shared" si="1"/>
        <v>1440</v>
      </c>
      <c r="AC15" s="21"/>
      <c r="AD15" s="21">
        <v>4</v>
      </c>
      <c r="AE15" s="21">
        <v>360</v>
      </c>
      <c r="AF15" s="21">
        <f t="shared" si="2"/>
        <v>1440</v>
      </c>
      <c r="AG15" s="21"/>
    </row>
    <row r="16" spans="2:33" ht="14.5" customHeight="1" x14ac:dyDescent="0.2">
      <c r="B16" s="21"/>
      <c r="C16" s="21"/>
      <c r="D16" s="21"/>
      <c r="E16" s="87" t="s">
        <v>250</v>
      </c>
      <c r="F16" s="49">
        <v>110</v>
      </c>
      <c r="G16" s="49" t="s">
        <v>249</v>
      </c>
      <c r="H16" s="21"/>
      <c r="I16" s="171" t="s">
        <v>248</v>
      </c>
      <c r="J16" s="207"/>
      <c r="K16" s="207"/>
      <c r="L16" s="21"/>
      <c r="M16" s="21"/>
      <c r="N16" s="87" t="s">
        <v>250</v>
      </c>
      <c r="O16" s="49">
        <v>200</v>
      </c>
      <c r="P16" s="49">
        <f t="shared" si="3"/>
        <v>200</v>
      </c>
      <c r="Q16" s="49">
        <v>200</v>
      </c>
      <c r="R16" s="171" t="s">
        <v>248</v>
      </c>
      <c r="S16" s="30"/>
      <c r="T16" s="21"/>
      <c r="U16" s="21"/>
      <c r="V16" s="21"/>
      <c r="W16" s="21"/>
      <c r="X16" s="21"/>
      <c r="Y16" s="86" t="s">
        <v>204</v>
      </c>
      <c r="Z16" s="21">
        <v>0.6</v>
      </c>
      <c r="AA16" s="21">
        <v>500</v>
      </c>
      <c r="AB16" s="21">
        <f t="shared" si="1"/>
        <v>300</v>
      </c>
      <c r="AC16" s="21"/>
      <c r="AD16" s="21">
        <v>0.6</v>
      </c>
      <c r="AE16" s="21">
        <v>500</v>
      </c>
      <c r="AF16" s="21">
        <f t="shared" si="2"/>
        <v>300</v>
      </c>
      <c r="AG16" s="21"/>
    </row>
    <row r="17" spans="2:33" x14ac:dyDescent="0.2">
      <c r="B17" s="21"/>
      <c r="C17" s="21" t="s">
        <v>19</v>
      </c>
      <c r="D17" s="21" t="s">
        <v>269</v>
      </c>
      <c r="E17" s="87" t="s">
        <v>252</v>
      </c>
      <c r="F17" s="49">
        <v>300</v>
      </c>
      <c r="G17" s="49" t="s">
        <v>249</v>
      </c>
      <c r="H17" s="21"/>
      <c r="I17" s="171" t="s">
        <v>248</v>
      </c>
      <c r="J17" s="207"/>
      <c r="K17" s="207"/>
      <c r="L17" s="21"/>
      <c r="M17" s="21"/>
      <c r="N17" s="87" t="s">
        <v>252</v>
      </c>
      <c r="O17" s="49">
        <v>0</v>
      </c>
      <c r="P17" s="49">
        <f t="shared" si="3"/>
        <v>0</v>
      </c>
      <c r="Q17" s="49">
        <v>0</v>
      </c>
      <c r="R17" s="171" t="s">
        <v>248</v>
      </c>
      <c r="S17" s="30"/>
      <c r="T17" s="21"/>
      <c r="U17" s="21"/>
      <c r="V17" s="21"/>
      <c r="W17" s="21"/>
      <c r="X17" s="21"/>
      <c r="Y17" s="86" t="s">
        <v>206</v>
      </c>
      <c r="Z17" s="21">
        <v>0.4</v>
      </c>
      <c r="AA17" s="21">
        <v>36</v>
      </c>
      <c r="AB17" s="21">
        <f t="shared" si="1"/>
        <v>14.4</v>
      </c>
      <c r="AC17" s="21"/>
      <c r="AD17" s="21">
        <v>0.4</v>
      </c>
      <c r="AE17" s="21">
        <v>36</v>
      </c>
      <c r="AF17" s="21">
        <f t="shared" si="2"/>
        <v>14.4</v>
      </c>
      <c r="AG17" s="21"/>
    </row>
    <row r="18" spans="2:33" x14ac:dyDescent="0.2">
      <c r="B18" s="21"/>
      <c r="C18" s="21"/>
      <c r="D18" s="21" t="s">
        <v>253</v>
      </c>
      <c r="E18" s="87" t="s">
        <v>253</v>
      </c>
      <c r="F18" s="49">
        <v>300</v>
      </c>
      <c r="G18" s="49" t="s">
        <v>249</v>
      </c>
      <c r="H18" s="21"/>
      <c r="I18" s="171" t="s">
        <v>248</v>
      </c>
      <c r="J18" s="207"/>
      <c r="K18" s="207"/>
      <c r="L18" s="21"/>
      <c r="M18" s="21"/>
      <c r="N18" s="87" t="s">
        <v>253</v>
      </c>
      <c r="O18" s="49">
        <v>0</v>
      </c>
      <c r="P18" s="49">
        <f t="shared" si="3"/>
        <v>0</v>
      </c>
      <c r="Q18" s="49">
        <v>0</v>
      </c>
      <c r="R18" s="171" t="s">
        <v>248</v>
      </c>
      <c r="S18" s="30"/>
      <c r="T18" s="21"/>
      <c r="U18" s="21"/>
      <c r="V18" s="21"/>
      <c r="W18" s="21"/>
      <c r="X18" s="21"/>
      <c r="Y18" s="86" t="s">
        <v>207</v>
      </c>
      <c r="Z18" s="21"/>
      <c r="AA18" s="21"/>
      <c r="AB18" s="21"/>
      <c r="AC18" s="21"/>
      <c r="AD18" s="21"/>
      <c r="AE18" s="21"/>
      <c r="AF18" s="21"/>
      <c r="AG18" s="21"/>
    </row>
    <row r="19" spans="2:33" x14ac:dyDescent="0.2">
      <c r="B19" s="21"/>
      <c r="C19" s="21"/>
      <c r="D19" s="21" t="s">
        <v>191</v>
      </c>
      <c r="E19" s="87"/>
      <c r="F19" s="23"/>
      <c r="G19" s="23"/>
      <c r="H19" s="21"/>
      <c r="I19" s="30"/>
      <c r="J19" s="21"/>
      <c r="K19" s="21"/>
      <c r="L19" s="21"/>
      <c r="M19" s="21"/>
      <c r="N19" s="87"/>
      <c r="O19" s="23"/>
      <c r="P19" s="23"/>
      <c r="Q19" s="23"/>
      <c r="R19" s="21"/>
      <c r="S19" s="30"/>
      <c r="T19" s="21"/>
      <c r="U19" s="21"/>
      <c r="V19" s="21"/>
      <c r="W19" s="21"/>
      <c r="X19" s="21"/>
      <c r="Y19" s="86" t="s">
        <v>209</v>
      </c>
      <c r="Z19" s="21">
        <v>0.4</v>
      </c>
      <c r="AA19" s="21">
        <v>36</v>
      </c>
      <c r="AB19" s="21">
        <f t="shared" si="1"/>
        <v>14.4</v>
      </c>
      <c r="AC19" s="21"/>
      <c r="AD19" s="21">
        <v>0.4</v>
      </c>
      <c r="AE19" s="21">
        <v>36</v>
      </c>
      <c r="AF19" s="21">
        <f t="shared" si="2"/>
        <v>14.4</v>
      </c>
      <c r="AG19" s="21"/>
    </row>
    <row r="20" spans="2:33" ht="16" customHeight="1" x14ac:dyDescent="0.2">
      <c r="B20" s="21"/>
      <c r="C20" s="21"/>
      <c r="D20" s="21" t="s">
        <v>270</v>
      </c>
      <c r="E20" s="137" t="s">
        <v>254</v>
      </c>
      <c r="F20" s="23"/>
      <c r="G20" s="23"/>
      <c r="H20" s="21"/>
      <c r="I20" s="30"/>
      <c r="J20" s="21"/>
      <c r="K20" s="21"/>
      <c r="L20" s="21"/>
      <c r="M20" s="21"/>
      <c r="N20" s="137" t="s">
        <v>199</v>
      </c>
      <c r="O20" s="23"/>
      <c r="P20" s="23"/>
      <c r="Q20" s="23"/>
      <c r="R20" s="21"/>
      <c r="S20" s="30"/>
      <c r="T20" s="21"/>
      <c r="U20" s="21"/>
      <c r="V20" s="21"/>
      <c r="W20" s="21"/>
      <c r="X20" s="21"/>
      <c r="Y20" s="86" t="s">
        <v>212</v>
      </c>
      <c r="Z20" s="21">
        <v>3</v>
      </c>
      <c r="AA20" s="21">
        <v>400</v>
      </c>
      <c r="AB20" s="21">
        <f t="shared" si="1"/>
        <v>1200</v>
      </c>
      <c r="AC20" s="21"/>
      <c r="AD20" s="21">
        <v>3</v>
      </c>
      <c r="AE20" s="21">
        <v>400</v>
      </c>
      <c r="AF20" s="21">
        <f t="shared" si="2"/>
        <v>1200</v>
      </c>
      <c r="AG20" s="21"/>
    </row>
    <row r="21" spans="2:33" ht="15" customHeight="1" x14ac:dyDescent="0.2">
      <c r="B21" s="21"/>
      <c r="C21" s="21"/>
      <c r="D21" s="21" t="s">
        <v>272</v>
      </c>
      <c r="E21" s="87" t="s">
        <v>191</v>
      </c>
      <c r="F21" s="23" t="s">
        <v>201</v>
      </c>
      <c r="G21" s="23" t="s">
        <v>201</v>
      </c>
      <c r="H21" s="21"/>
      <c r="I21" s="171" t="s">
        <v>248</v>
      </c>
      <c r="J21" s="21"/>
      <c r="K21" s="21"/>
      <c r="L21" s="21"/>
      <c r="M21" s="21"/>
      <c r="N21" s="86" t="s">
        <v>191</v>
      </c>
      <c r="O21" s="23">
        <v>70</v>
      </c>
      <c r="P21" s="23">
        <v>70</v>
      </c>
      <c r="Q21" s="23">
        <v>70</v>
      </c>
      <c r="R21" s="30" t="s">
        <v>203</v>
      </c>
      <c r="S21" s="30"/>
      <c r="T21" s="21"/>
      <c r="U21" s="21"/>
      <c r="V21" s="21"/>
      <c r="W21" s="21"/>
      <c r="X21" s="21"/>
      <c r="Y21" s="87"/>
      <c r="Z21" s="21"/>
      <c r="AA21" s="21"/>
      <c r="AB21" s="21"/>
      <c r="AC21" s="21"/>
      <c r="AD21" s="21"/>
      <c r="AE21" s="30"/>
      <c r="AF21" s="21"/>
      <c r="AG21" s="21"/>
    </row>
    <row r="22" spans="2:33" x14ac:dyDescent="0.2">
      <c r="B22" s="21"/>
      <c r="C22" s="21"/>
      <c r="D22" s="21" t="s">
        <v>191</v>
      </c>
      <c r="E22" s="87" t="s">
        <v>195</v>
      </c>
      <c r="F22" s="23" t="s">
        <v>205</v>
      </c>
      <c r="G22" s="23" t="s">
        <v>205</v>
      </c>
      <c r="H22" s="21"/>
      <c r="I22" s="171" t="s">
        <v>248</v>
      </c>
      <c r="J22" s="21"/>
      <c r="K22" s="21"/>
      <c r="L22" s="21"/>
      <c r="M22" s="21"/>
      <c r="N22" s="86" t="s">
        <v>195</v>
      </c>
      <c r="O22" s="23">
        <v>55</v>
      </c>
      <c r="P22" s="23">
        <v>55</v>
      </c>
      <c r="Q22" s="23">
        <v>55</v>
      </c>
      <c r="R22" s="30" t="s">
        <v>196</v>
      </c>
      <c r="S22" s="30"/>
      <c r="T22" s="21"/>
      <c r="U22" s="21"/>
      <c r="V22" s="21"/>
      <c r="W22" s="21"/>
      <c r="X22" s="21"/>
      <c r="Y22" s="86" t="s">
        <v>214</v>
      </c>
      <c r="Z22" s="21"/>
      <c r="AA22" s="21"/>
      <c r="AB22" s="100">
        <f>SUM(AB12:AB20)</f>
        <v>4408.8</v>
      </c>
      <c r="AC22" s="21"/>
      <c r="AD22" s="21"/>
      <c r="AE22" s="30"/>
      <c r="AF22" s="100">
        <f>SUM(AF12:AF20)</f>
        <v>5128.8</v>
      </c>
      <c r="AG22" s="21"/>
    </row>
    <row r="23" spans="2:33" x14ac:dyDescent="0.2">
      <c r="B23" s="21"/>
      <c r="C23" s="21"/>
      <c r="D23" s="21"/>
      <c r="E23" s="87" t="s">
        <v>246</v>
      </c>
      <c r="F23" s="49" t="s">
        <v>249</v>
      </c>
      <c r="G23" s="49" t="s">
        <v>255</v>
      </c>
      <c r="H23" s="21"/>
      <c r="I23" s="171" t="s">
        <v>248</v>
      </c>
      <c r="J23" s="21"/>
      <c r="K23" s="21"/>
      <c r="L23" s="21"/>
      <c r="M23" s="21"/>
      <c r="N23" s="87"/>
      <c r="O23" s="23"/>
      <c r="P23" s="23"/>
      <c r="Q23" s="23"/>
      <c r="R23" s="30"/>
      <c r="S23" s="30"/>
      <c r="T23" s="21"/>
      <c r="U23" s="21"/>
      <c r="V23" s="21"/>
      <c r="W23" s="21"/>
      <c r="X23" s="21"/>
      <c r="Y23" s="156" t="s">
        <v>215</v>
      </c>
      <c r="Z23" s="21"/>
      <c r="AA23" s="21"/>
      <c r="AB23" s="101">
        <f>AB22/500</f>
        <v>8.8176000000000005</v>
      </c>
      <c r="AC23" s="101"/>
      <c r="AD23" s="21"/>
      <c r="AE23" s="30"/>
      <c r="AF23" s="101">
        <f>AF22/500</f>
        <v>10.2576</v>
      </c>
      <c r="AG23" s="21"/>
    </row>
    <row r="24" spans="2:33" ht="16" x14ac:dyDescent="0.2">
      <c r="B24" s="21" t="s">
        <v>10</v>
      </c>
      <c r="C24" s="21" t="s">
        <v>268</v>
      </c>
      <c r="D24" s="21" t="s">
        <v>246</v>
      </c>
      <c r="E24" s="87" t="s">
        <v>247</v>
      </c>
      <c r="F24" s="49" t="s">
        <v>249</v>
      </c>
      <c r="G24" s="49" t="s">
        <v>256</v>
      </c>
      <c r="H24" s="21"/>
      <c r="I24" s="171" t="s">
        <v>248</v>
      </c>
      <c r="J24" s="21"/>
      <c r="K24" s="21"/>
      <c r="L24" s="21"/>
      <c r="M24" s="21"/>
      <c r="N24" s="137" t="s">
        <v>208</v>
      </c>
      <c r="O24" s="23"/>
      <c r="P24" s="23"/>
      <c r="Q24" s="23"/>
      <c r="R24" s="30"/>
      <c r="S24" s="21"/>
      <c r="T24" s="21"/>
      <c r="U24" s="21"/>
      <c r="V24" s="21"/>
      <c r="W24" s="21"/>
      <c r="X24" s="21"/>
      <c r="Y24" s="21"/>
      <c r="Z24" s="21"/>
      <c r="AA24" s="21"/>
      <c r="AB24" s="21"/>
      <c r="AC24" s="21"/>
      <c r="AD24" s="21"/>
      <c r="AE24" s="21"/>
      <c r="AF24" s="21"/>
      <c r="AG24" s="21"/>
    </row>
    <row r="25" spans="2:33" x14ac:dyDescent="0.2">
      <c r="B25" s="21"/>
      <c r="C25" s="21"/>
      <c r="D25" s="21" t="s">
        <v>195</v>
      </c>
      <c r="E25" s="87" t="s">
        <v>250</v>
      </c>
      <c r="F25" s="49" t="s">
        <v>257</v>
      </c>
      <c r="G25" s="49" t="s">
        <v>249</v>
      </c>
      <c r="H25" s="21"/>
      <c r="I25" s="171" t="s">
        <v>248</v>
      </c>
      <c r="J25" s="21"/>
      <c r="K25" s="21"/>
      <c r="L25" s="21"/>
      <c r="M25" s="21"/>
      <c r="N25" s="86" t="s">
        <v>191</v>
      </c>
      <c r="O25" s="23">
        <v>50</v>
      </c>
      <c r="P25" s="23">
        <v>50</v>
      </c>
      <c r="Q25" s="23">
        <v>50</v>
      </c>
      <c r="R25" s="30" t="s">
        <v>203</v>
      </c>
      <c r="S25" s="21"/>
      <c r="T25" s="21"/>
      <c r="U25" s="21"/>
      <c r="V25" s="21"/>
      <c r="W25" s="21"/>
      <c r="X25" s="21"/>
      <c r="Y25" s="21"/>
      <c r="Z25" s="21"/>
      <c r="AA25" s="21"/>
      <c r="AB25" s="21"/>
      <c r="AC25" s="21"/>
      <c r="AD25" s="21"/>
      <c r="AE25" s="21"/>
      <c r="AF25" s="21"/>
      <c r="AG25" s="21"/>
    </row>
    <row r="26" spans="2:33" ht="16" x14ac:dyDescent="0.2">
      <c r="B26" s="21"/>
      <c r="C26" s="21"/>
      <c r="D26" s="21" t="s">
        <v>247</v>
      </c>
      <c r="E26" s="87" t="s">
        <v>252</v>
      </c>
      <c r="F26" s="49" t="s">
        <v>256</v>
      </c>
      <c r="G26" s="49" t="s">
        <v>249</v>
      </c>
      <c r="H26" s="21"/>
      <c r="I26" s="171" t="s">
        <v>248</v>
      </c>
      <c r="J26" s="21"/>
      <c r="K26" s="21"/>
      <c r="L26" s="21"/>
      <c r="M26" s="21"/>
      <c r="N26" s="86" t="s">
        <v>195</v>
      </c>
      <c r="O26" s="23">
        <v>45</v>
      </c>
      <c r="P26" s="23">
        <v>45</v>
      </c>
      <c r="Q26" s="23">
        <v>45</v>
      </c>
      <c r="R26" s="30" t="s">
        <v>196</v>
      </c>
      <c r="S26" s="21"/>
      <c r="T26" s="21"/>
      <c r="U26" s="21"/>
      <c r="V26" s="21"/>
      <c r="W26" s="21"/>
      <c r="X26" s="21"/>
      <c r="Y26" s="137" t="s">
        <v>219</v>
      </c>
      <c r="Z26" s="21"/>
      <c r="AA26" s="21"/>
      <c r="AB26" s="21"/>
      <c r="AC26" s="21"/>
      <c r="AD26" s="21"/>
      <c r="AE26" s="21"/>
      <c r="AF26" s="21"/>
      <c r="AG26" s="21"/>
    </row>
    <row r="27" spans="2:33" x14ac:dyDescent="0.2">
      <c r="B27" s="21"/>
      <c r="C27" s="21"/>
      <c r="D27" s="21" t="s">
        <v>191</v>
      </c>
      <c r="E27" s="87" t="s">
        <v>253</v>
      </c>
      <c r="F27" s="49" t="s">
        <v>256</v>
      </c>
      <c r="G27" s="49" t="s">
        <v>249</v>
      </c>
      <c r="H27" s="21"/>
      <c r="I27" s="171" t="s">
        <v>248</v>
      </c>
      <c r="J27" s="21"/>
      <c r="K27" s="21"/>
      <c r="L27" s="21"/>
      <c r="M27" s="21"/>
      <c r="N27" s="35"/>
      <c r="O27" s="21"/>
      <c r="P27" s="21"/>
      <c r="Q27" s="21"/>
      <c r="R27" s="21"/>
      <c r="S27" s="21"/>
      <c r="T27" s="21"/>
      <c r="U27" s="21"/>
      <c r="V27" s="21"/>
      <c r="W27" s="21"/>
      <c r="X27" s="21"/>
      <c r="Y27" s="86" t="s">
        <v>220</v>
      </c>
      <c r="Z27" s="21">
        <v>1.5</v>
      </c>
      <c r="AA27" s="21">
        <v>100</v>
      </c>
      <c r="AB27" s="21">
        <f>Z27*AA27</f>
        <v>150</v>
      </c>
      <c r="AC27" s="21"/>
      <c r="AD27" s="21"/>
      <c r="AE27" s="21"/>
      <c r="AF27" s="21"/>
      <c r="AG27" s="21"/>
    </row>
    <row r="28" spans="2:33" x14ac:dyDescent="0.2">
      <c r="B28" s="21"/>
      <c r="C28" s="21"/>
      <c r="D28" s="21" t="s">
        <v>195</v>
      </c>
      <c r="E28" s="87"/>
      <c r="F28" s="23"/>
      <c r="G28" s="23"/>
      <c r="H28" s="21"/>
      <c r="I28" s="207"/>
      <c r="J28" s="21"/>
      <c r="K28" s="21"/>
      <c r="L28" s="21"/>
      <c r="M28" s="21"/>
      <c r="N28" s="35"/>
      <c r="O28" s="21"/>
      <c r="P28" s="21"/>
      <c r="Q28" s="21"/>
      <c r="R28" s="21"/>
      <c r="S28" s="21"/>
      <c r="T28" s="21"/>
      <c r="U28" s="21"/>
      <c r="V28" s="21"/>
      <c r="W28" s="21"/>
      <c r="X28" s="21"/>
      <c r="Y28" s="86" t="s">
        <v>222</v>
      </c>
      <c r="Z28" s="21">
        <v>1.7</v>
      </c>
      <c r="AA28" s="21">
        <v>500</v>
      </c>
      <c r="AB28" s="21">
        <f>Z28*AA28</f>
        <v>850</v>
      </c>
      <c r="AC28" s="21"/>
      <c r="AD28" s="21"/>
      <c r="AE28" s="21"/>
      <c r="AF28" s="21"/>
      <c r="AG28" s="21"/>
    </row>
    <row r="29" spans="2:33" ht="16" x14ac:dyDescent="0.2">
      <c r="B29" s="21"/>
      <c r="C29" s="21"/>
      <c r="D29" s="21" t="s">
        <v>191</v>
      </c>
      <c r="E29" s="137" t="s">
        <v>157</v>
      </c>
      <c r="F29" s="23"/>
      <c r="G29" s="23"/>
      <c r="H29" s="21"/>
      <c r="I29" s="30"/>
      <c r="J29" s="230"/>
      <c r="K29" s="21"/>
      <c r="L29" s="21"/>
      <c r="M29" s="21"/>
      <c r="N29" s="21"/>
      <c r="O29" s="21"/>
      <c r="P29" s="21"/>
      <c r="Q29" s="21"/>
      <c r="R29" s="21"/>
      <c r="S29" s="21"/>
      <c r="T29" s="21"/>
      <c r="U29" s="21"/>
      <c r="V29" s="21"/>
      <c r="W29" s="21"/>
      <c r="X29" s="21"/>
      <c r="Y29" s="21"/>
      <c r="Z29" s="21"/>
      <c r="AA29" s="21"/>
      <c r="AB29" s="21"/>
      <c r="AC29" s="21"/>
      <c r="AD29" s="21"/>
      <c r="AE29" s="21"/>
      <c r="AF29" s="21"/>
      <c r="AG29" s="21"/>
    </row>
    <row r="30" spans="2:33" ht="14.5" customHeight="1" x14ac:dyDescent="0.2">
      <c r="B30" s="21"/>
      <c r="C30" s="21"/>
      <c r="D30" s="21"/>
      <c r="E30" s="87" t="s">
        <v>191</v>
      </c>
      <c r="F30" s="208" t="s">
        <v>259</v>
      </c>
      <c r="G30" s="208" t="s">
        <v>273</v>
      </c>
      <c r="H30" s="21"/>
      <c r="I30" s="171" t="s">
        <v>248</v>
      </c>
      <c r="J30" s="230"/>
      <c r="K30" s="21"/>
      <c r="L30" s="21"/>
      <c r="M30" s="21"/>
      <c r="N30" s="21"/>
      <c r="O30" s="21"/>
      <c r="P30" s="21"/>
      <c r="Q30" s="21"/>
      <c r="R30" s="21"/>
      <c r="S30" s="21"/>
      <c r="T30" s="21"/>
      <c r="U30" s="21"/>
      <c r="V30" s="21"/>
      <c r="W30" s="21"/>
      <c r="X30" s="21"/>
      <c r="Y30" s="86" t="s">
        <v>214</v>
      </c>
      <c r="Z30" s="21"/>
      <c r="AA30" s="21"/>
      <c r="AB30" s="100">
        <f>SUM(AB27:AB28)</f>
        <v>1000</v>
      </c>
      <c r="AC30" s="21"/>
      <c r="AD30" s="21"/>
      <c r="AE30" s="21"/>
      <c r="AF30" s="21"/>
      <c r="AG30" s="21"/>
    </row>
    <row r="31" spans="2:33" x14ac:dyDescent="0.2">
      <c r="B31" s="21"/>
      <c r="C31" s="21" t="s">
        <v>19</v>
      </c>
      <c r="D31" s="21" t="str">
        <f>D24</f>
        <v>setaside</v>
      </c>
      <c r="E31" s="87" t="s">
        <v>195</v>
      </c>
      <c r="F31" s="27" t="s">
        <v>146</v>
      </c>
      <c r="G31" s="23" t="s">
        <v>260</v>
      </c>
      <c r="H31" s="21"/>
      <c r="I31" s="171" t="s">
        <v>248</v>
      </c>
      <c r="J31" s="21"/>
      <c r="K31" s="21"/>
      <c r="L31" s="21"/>
      <c r="M31" s="21"/>
      <c r="N31" s="21"/>
      <c r="O31" s="21"/>
      <c r="P31" s="21"/>
      <c r="Q31" s="21"/>
      <c r="R31" s="21"/>
      <c r="S31" s="21"/>
      <c r="T31" s="21"/>
      <c r="U31" s="21"/>
      <c r="V31" s="21"/>
      <c r="W31" s="21"/>
      <c r="X31" s="21"/>
      <c r="Y31" s="156" t="s">
        <v>223</v>
      </c>
      <c r="Z31" s="21"/>
      <c r="AA31" s="21"/>
      <c r="AB31" s="101">
        <f>AB30/500</f>
        <v>2</v>
      </c>
      <c r="AC31" s="21"/>
      <c r="AD31" s="21"/>
      <c r="AE31" s="21"/>
      <c r="AF31" s="21"/>
      <c r="AG31" s="21"/>
    </row>
    <row r="32" spans="2:33" x14ac:dyDescent="0.2">
      <c r="B32" s="21"/>
      <c r="C32" s="21"/>
      <c r="D32" s="21" t="str">
        <f t="shared" ref="D32:D36" si="4">D25</f>
        <v>wosr</v>
      </c>
      <c r="E32" s="87" t="s">
        <v>246</v>
      </c>
      <c r="F32" s="49" t="s">
        <v>249</v>
      </c>
      <c r="G32" s="49" t="s">
        <v>259</v>
      </c>
      <c r="H32" s="21"/>
      <c r="I32" s="171" t="s">
        <v>248</v>
      </c>
      <c r="J32" s="21"/>
      <c r="K32" s="21"/>
      <c r="L32" s="21"/>
      <c r="M32" s="21"/>
      <c r="N32" s="21"/>
      <c r="O32" s="21"/>
      <c r="P32" s="21"/>
      <c r="Q32" s="21"/>
      <c r="R32" s="21"/>
      <c r="S32" s="21"/>
      <c r="T32" s="21"/>
      <c r="U32" s="21"/>
      <c r="V32" s="21"/>
      <c r="W32" s="21"/>
      <c r="X32" s="21"/>
      <c r="Y32" s="21"/>
      <c r="Z32" s="21"/>
      <c r="AA32" s="21"/>
      <c r="AB32" s="21"/>
      <c r="AC32" s="21"/>
      <c r="AD32" s="21"/>
      <c r="AE32" s="21"/>
      <c r="AF32" s="21"/>
      <c r="AG32" s="21"/>
    </row>
    <row r="33" spans="2:33" x14ac:dyDescent="0.2">
      <c r="B33" s="21"/>
      <c r="C33" s="21"/>
      <c r="D33" s="21" t="str">
        <f t="shared" si="4"/>
        <v>springbarley</v>
      </c>
      <c r="E33" s="87" t="s">
        <v>247</v>
      </c>
      <c r="F33" s="49" t="s">
        <v>249</v>
      </c>
      <c r="G33" s="49" t="s">
        <v>273</v>
      </c>
      <c r="H33" s="21"/>
      <c r="I33" s="171" t="s">
        <v>248</v>
      </c>
      <c r="J33" s="230"/>
      <c r="K33" s="21"/>
      <c r="L33" s="21"/>
      <c r="M33" s="21"/>
      <c r="N33" s="21"/>
      <c r="O33" s="21"/>
      <c r="P33" s="21"/>
      <c r="Q33" s="21"/>
      <c r="R33" s="21"/>
      <c r="S33" s="21"/>
      <c r="T33" s="21"/>
      <c r="U33" s="21"/>
      <c r="V33" s="21"/>
      <c r="W33" s="21"/>
      <c r="X33" s="21"/>
      <c r="Y33" s="21"/>
      <c r="Z33" s="21"/>
      <c r="AA33" s="21"/>
      <c r="AB33" s="21"/>
      <c r="AC33" s="21"/>
      <c r="AD33" s="21"/>
      <c r="AE33" s="21"/>
      <c r="AF33" s="21"/>
      <c r="AG33" s="21"/>
    </row>
    <row r="34" spans="2:33" x14ac:dyDescent="0.2">
      <c r="B34" s="21"/>
      <c r="C34" s="21"/>
      <c r="D34" s="21" t="str">
        <f t="shared" si="4"/>
        <v>ww</v>
      </c>
      <c r="E34" s="87" t="s">
        <v>250</v>
      </c>
      <c r="F34" s="49" t="s">
        <v>259</v>
      </c>
      <c r="G34" s="49" t="s">
        <v>249</v>
      </c>
      <c r="H34" s="21"/>
      <c r="I34" s="171" t="s">
        <v>248</v>
      </c>
      <c r="J34" s="230"/>
      <c r="K34" s="21"/>
      <c r="L34" s="21"/>
      <c r="M34" s="21"/>
      <c r="N34" s="21"/>
      <c r="O34" s="21"/>
      <c r="P34" s="21"/>
      <c r="Q34" s="21"/>
      <c r="R34" s="21"/>
      <c r="S34" s="21"/>
      <c r="T34" s="21"/>
      <c r="U34" s="21"/>
      <c r="V34" s="21"/>
      <c r="W34" s="21"/>
      <c r="X34" s="21"/>
      <c r="Y34" s="21"/>
      <c r="Z34" s="21"/>
      <c r="AA34" s="21"/>
      <c r="AB34" s="21"/>
      <c r="AC34" s="21"/>
      <c r="AD34" s="21"/>
      <c r="AE34" s="21"/>
      <c r="AF34" s="21"/>
      <c r="AG34" s="21"/>
    </row>
    <row r="35" spans="2:33" x14ac:dyDescent="0.2">
      <c r="B35" s="21"/>
      <c r="C35" s="21"/>
      <c r="D35" s="21" t="str">
        <f t="shared" si="4"/>
        <v>wosr</v>
      </c>
      <c r="E35" s="87" t="s">
        <v>252</v>
      </c>
      <c r="F35" s="49" t="s">
        <v>259</v>
      </c>
      <c r="G35" s="49" t="s">
        <v>249</v>
      </c>
      <c r="H35" s="21"/>
      <c r="I35" s="171" t="s">
        <v>248</v>
      </c>
      <c r="J35" s="230"/>
      <c r="K35" s="21"/>
      <c r="L35" s="21"/>
      <c r="M35" s="21"/>
      <c r="N35" s="21"/>
      <c r="O35" s="21"/>
      <c r="P35" s="21"/>
      <c r="Q35" s="21"/>
      <c r="R35" s="21"/>
      <c r="S35" s="21"/>
      <c r="T35" s="21"/>
      <c r="U35" s="21"/>
      <c r="V35" s="21"/>
      <c r="W35" s="21"/>
      <c r="X35" s="21"/>
      <c r="Y35" s="21"/>
      <c r="Z35" s="21"/>
      <c r="AA35" s="21"/>
      <c r="AB35" s="21"/>
      <c r="AC35" s="21"/>
      <c r="AD35" s="21"/>
      <c r="AE35" s="21"/>
      <c r="AF35" s="21"/>
      <c r="AG35" s="21"/>
    </row>
    <row r="36" spans="2:33" x14ac:dyDescent="0.2">
      <c r="B36" s="21"/>
      <c r="C36" s="21"/>
      <c r="D36" s="21" t="str">
        <f t="shared" si="4"/>
        <v>ww</v>
      </c>
      <c r="E36" s="87" t="s">
        <v>253</v>
      </c>
      <c r="F36" s="49" t="s">
        <v>259</v>
      </c>
      <c r="G36" s="49" t="s">
        <v>249</v>
      </c>
      <c r="H36" s="21"/>
      <c r="I36" s="171" t="s">
        <v>248</v>
      </c>
      <c r="J36" s="230"/>
      <c r="K36" s="21"/>
      <c r="L36" s="21"/>
      <c r="M36" s="21"/>
      <c r="N36" s="21"/>
      <c r="O36" s="21"/>
      <c r="P36" s="21"/>
      <c r="Q36" s="21"/>
      <c r="R36" s="21"/>
      <c r="S36" s="21"/>
      <c r="T36" s="21"/>
      <c r="U36" s="21"/>
      <c r="V36" s="21"/>
      <c r="W36" s="21"/>
      <c r="X36" s="21"/>
      <c r="Y36" s="21"/>
      <c r="Z36" s="21"/>
      <c r="AA36" s="21"/>
      <c r="AB36" s="21"/>
      <c r="AC36" s="21"/>
      <c r="AD36" s="21"/>
      <c r="AE36" s="21"/>
      <c r="AF36" s="21"/>
      <c r="AG36" s="21"/>
    </row>
    <row r="37" spans="2:33" x14ac:dyDescent="0.2">
      <c r="B37" s="21"/>
      <c r="C37" s="21"/>
      <c r="D37" s="21"/>
      <c r="E37" s="87"/>
      <c r="F37" s="27"/>
      <c r="G37" s="23"/>
      <c r="H37" s="21"/>
      <c r="I37" s="30"/>
      <c r="J37" s="230"/>
      <c r="K37" s="21"/>
      <c r="L37" s="21"/>
      <c r="M37" s="21"/>
      <c r="N37" s="21"/>
      <c r="O37" s="21"/>
      <c r="P37" s="21"/>
      <c r="Q37" s="21"/>
      <c r="R37" s="21"/>
      <c r="S37" s="21"/>
      <c r="T37" s="21"/>
      <c r="U37" s="21"/>
      <c r="V37" s="21"/>
      <c r="W37" s="21"/>
      <c r="X37" s="21"/>
      <c r="Y37" s="21"/>
      <c r="Z37" s="21"/>
      <c r="AA37" s="21"/>
      <c r="AB37" s="21"/>
      <c r="AC37" s="21"/>
      <c r="AD37" s="21"/>
      <c r="AE37" s="21"/>
      <c r="AF37" s="21"/>
      <c r="AG37" s="21"/>
    </row>
    <row r="38" spans="2:33" ht="16" x14ac:dyDescent="0.2">
      <c r="B38" s="21" t="s">
        <v>11</v>
      </c>
      <c r="C38" s="21" t="s">
        <v>268</v>
      </c>
      <c r="D38" s="21" t="s">
        <v>191</v>
      </c>
      <c r="E38" s="137" t="s">
        <v>216</v>
      </c>
      <c r="F38" s="27"/>
      <c r="G38" s="23"/>
      <c r="H38" s="21"/>
      <c r="I38" s="30"/>
      <c r="J38" s="230"/>
      <c r="K38" s="21"/>
      <c r="L38" s="21"/>
      <c r="M38" s="21"/>
      <c r="N38" s="21"/>
      <c r="O38" s="21"/>
      <c r="P38" s="21"/>
      <c r="Q38" s="21"/>
      <c r="R38" s="21"/>
      <c r="S38" s="21"/>
      <c r="T38" s="21"/>
      <c r="U38" s="21"/>
      <c r="V38" s="21"/>
      <c r="W38" s="21"/>
      <c r="X38" s="21"/>
      <c r="Y38" s="21"/>
      <c r="Z38" s="21"/>
      <c r="AA38" s="21"/>
      <c r="AB38" s="21"/>
      <c r="AC38" s="21"/>
      <c r="AD38" s="21"/>
      <c r="AE38" s="21"/>
      <c r="AF38" s="21"/>
      <c r="AG38" s="21"/>
    </row>
    <row r="39" spans="2:33" x14ac:dyDescent="0.2">
      <c r="B39" s="21"/>
      <c r="C39" s="21"/>
      <c r="D39" s="21" t="s">
        <v>247</v>
      </c>
      <c r="E39" s="87" t="s">
        <v>191</v>
      </c>
      <c r="F39" s="48">
        <v>5.8</v>
      </c>
      <c r="G39" s="48">
        <v>4.8</v>
      </c>
      <c r="H39" s="21"/>
      <c r="I39" s="171" t="s">
        <v>248</v>
      </c>
      <c r="J39" s="230"/>
      <c r="K39" s="21"/>
      <c r="L39" s="21"/>
      <c r="M39" s="21"/>
      <c r="N39" s="21"/>
      <c r="O39" s="21"/>
      <c r="P39" s="21"/>
      <c r="Q39" s="21"/>
      <c r="R39" s="21"/>
      <c r="S39" s="21"/>
      <c r="T39" s="21"/>
      <c r="U39" s="21"/>
      <c r="V39" s="21"/>
      <c r="W39" s="21"/>
      <c r="X39" s="21"/>
      <c r="Y39" s="21"/>
      <c r="Z39" s="21"/>
      <c r="AA39" s="21"/>
      <c r="AB39" s="21"/>
      <c r="AC39" s="21"/>
      <c r="AD39" s="21"/>
      <c r="AE39" s="21"/>
      <c r="AF39" s="21"/>
      <c r="AG39" s="21"/>
    </row>
    <row r="40" spans="2:33" x14ac:dyDescent="0.2">
      <c r="B40" s="21"/>
      <c r="C40" s="21"/>
      <c r="D40" s="21" t="s">
        <v>252</v>
      </c>
      <c r="E40" s="87" t="s">
        <v>195</v>
      </c>
      <c r="F40" s="48">
        <v>3.2</v>
      </c>
      <c r="G40" s="48">
        <v>3.1</v>
      </c>
      <c r="H40" s="21"/>
      <c r="I40" s="171" t="s">
        <v>248</v>
      </c>
      <c r="J40" s="230"/>
      <c r="K40" s="21"/>
      <c r="L40" s="21"/>
      <c r="M40" s="21"/>
      <c r="N40" s="21"/>
      <c r="O40" s="21"/>
      <c r="P40" s="21"/>
      <c r="Q40" s="21"/>
      <c r="R40" s="21"/>
      <c r="S40" s="21"/>
      <c r="T40" s="21"/>
      <c r="U40" s="21"/>
      <c r="V40" s="21"/>
      <c r="W40" s="21"/>
      <c r="X40" s="21"/>
      <c r="Y40" s="21"/>
      <c r="Z40" s="21"/>
      <c r="AA40" s="21"/>
      <c r="AB40" s="21"/>
      <c r="AC40" s="21"/>
      <c r="AD40" s="21"/>
      <c r="AE40" s="21"/>
      <c r="AF40" s="21"/>
      <c r="AG40" s="21"/>
    </row>
    <row r="41" spans="2:33" x14ac:dyDescent="0.2">
      <c r="B41" s="21"/>
      <c r="C41" s="21"/>
      <c r="D41" s="21" t="s">
        <v>191</v>
      </c>
      <c r="E41" s="87" t="s">
        <v>246</v>
      </c>
      <c r="F41" s="48" t="s">
        <v>249</v>
      </c>
      <c r="G41" s="48">
        <v>0</v>
      </c>
      <c r="H41" s="21"/>
      <c r="I41" s="171" t="s">
        <v>248</v>
      </c>
      <c r="J41" s="230"/>
      <c r="K41" s="21"/>
      <c r="L41" s="21"/>
      <c r="M41" s="21"/>
      <c r="N41" s="21"/>
      <c r="O41" s="21"/>
      <c r="P41" s="21"/>
      <c r="Q41" s="21"/>
      <c r="R41" s="21"/>
      <c r="S41" s="21"/>
      <c r="T41" s="21"/>
      <c r="U41" s="21"/>
      <c r="V41" s="21"/>
      <c r="W41" s="21"/>
      <c r="X41" s="21"/>
      <c r="Y41" s="21"/>
      <c r="Z41" s="21"/>
      <c r="AA41" s="21"/>
      <c r="AB41" s="21"/>
      <c r="AC41" s="21"/>
      <c r="AD41" s="21"/>
      <c r="AE41" s="21"/>
      <c r="AF41" s="21"/>
      <c r="AG41" s="21"/>
    </row>
    <row r="42" spans="2:33" x14ac:dyDescent="0.2">
      <c r="B42" s="21"/>
      <c r="C42" s="21"/>
      <c r="D42" s="21" t="s">
        <v>250</v>
      </c>
      <c r="E42" s="87" t="s">
        <v>247</v>
      </c>
      <c r="F42" s="48" t="s">
        <v>249</v>
      </c>
      <c r="G42" s="48">
        <v>4</v>
      </c>
      <c r="H42" s="21"/>
      <c r="I42" s="171" t="s">
        <v>248</v>
      </c>
      <c r="J42" s="230"/>
      <c r="K42" s="21"/>
      <c r="L42" s="21"/>
      <c r="M42" s="21"/>
      <c r="N42" s="21"/>
      <c r="O42" s="21"/>
      <c r="P42" s="21"/>
      <c r="Q42" s="21"/>
      <c r="R42" s="21"/>
      <c r="S42" s="21"/>
      <c r="T42" s="21"/>
      <c r="U42" s="21"/>
      <c r="V42" s="21"/>
      <c r="W42" s="21"/>
      <c r="X42" s="21"/>
      <c r="Y42" s="21"/>
      <c r="Z42" s="21"/>
      <c r="AA42" s="21"/>
      <c r="AB42" s="21"/>
      <c r="AC42" s="21"/>
      <c r="AD42" s="21"/>
      <c r="AE42" s="21"/>
      <c r="AF42" s="21"/>
      <c r="AG42" s="21"/>
    </row>
    <row r="43" spans="2:33" x14ac:dyDescent="0.2">
      <c r="B43" s="21"/>
      <c r="C43" s="21"/>
      <c r="D43" s="21" t="s">
        <v>195</v>
      </c>
      <c r="E43" s="87" t="s">
        <v>250</v>
      </c>
      <c r="F43" s="48">
        <v>4.5999999999999996</v>
      </c>
      <c r="G43" s="48" t="s">
        <v>249</v>
      </c>
      <c r="H43" s="21"/>
      <c r="I43" s="171" t="s">
        <v>248</v>
      </c>
      <c r="J43" s="230"/>
      <c r="K43" s="21"/>
      <c r="L43" s="21"/>
      <c r="M43" s="21"/>
      <c r="N43" s="21"/>
      <c r="O43" s="21"/>
      <c r="P43" s="21"/>
      <c r="Q43" s="21"/>
      <c r="R43" s="21"/>
      <c r="S43" s="21"/>
      <c r="T43" s="21"/>
      <c r="U43" s="21"/>
      <c r="V43" s="21"/>
      <c r="W43" s="21"/>
      <c r="X43" s="21"/>
      <c r="Y43" s="21"/>
      <c r="Z43" s="21"/>
      <c r="AA43" s="21"/>
      <c r="AB43" s="21"/>
      <c r="AC43" s="21"/>
      <c r="AD43" s="21"/>
      <c r="AE43" s="21"/>
      <c r="AF43" s="21"/>
      <c r="AG43" s="21"/>
    </row>
    <row r="44" spans="2:33" x14ac:dyDescent="0.2">
      <c r="B44" s="21"/>
      <c r="C44" s="21"/>
      <c r="D44" s="21"/>
      <c r="E44" s="87" t="s">
        <v>252</v>
      </c>
      <c r="F44" s="48">
        <v>5.35</v>
      </c>
      <c r="G44" s="48" t="s">
        <v>249</v>
      </c>
      <c r="H44" s="21"/>
      <c r="I44" s="171" t="s">
        <v>248</v>
      </c>
      <c r="J44" s="230"/>
      <c r="K44" s="21"/>
      <c r="L44" s="21"/>
      <c r="M44" s="21"/>
      <c r="N44" s="21"/>
      <c r="O44" s="21"/>
      <c r="P44" s="21"/>
      <c r="Q44" s="21"/>
      <c r="R44" s="21"/>
      <c r="S44" s="21"/>
      <c r="T44" s="21"/>
      <c r="U44" s="21"/>
      <c r="V44" s="21"/>
      <c r="W44" s="21"/>
      <c r="X44" s="21"/>
      <c r="Y44" s="21"/>
      <c r="Z44" s="21"/>
      <c r="AA44" s="21"/>
      <c r="AB44" s="21"/>
      <c r="AC44" s="21"/>
      <c r="AD44" s="21"/>
      <c r="AE44" s="21"/>
      <c r="AF44" s="21"/>
      <c r="AG44" s="21"/>
    </row>
    <row r="45" spans="2:33" x14ac:dyDescent="0.2">
      <c r="B45" s="21"/>
      <c r="C45" s="21" t="s">
        <v>19</v>
      </c>
      <c r="D45" s="21" t="s">
        <v>191</v>
      </c>
      <c r="E45" s="87" t="s">
        <v>253</v>
      </c>
      <c r="F45" s="48">
        <v>6.5</v>
      </c>
      <c r="G45" s="48" t="s">
        <v>249</v>
      </c>
      <c r="H45" s="21"/>
      <c r="I45" s="171" t="s">
        <v>248</v>
      </c>
      <c r="J45" s="230"/>
      <c r="K45" s="21"/>
      <c r="L45" s="21"/>
      <c r="M45" s="21"/>
      <c r="N45" s="21"/>
      <c r="O45" s="21"/>
      <c r="P45" s="21"/>
      <c r="Q45" s="21"/>
      <c r="R45" s="21"/>
      <c r="S45" s="21"/>
      <c r="T45" s="21"/>
      <c r="U45" s="21"/>
      <c r="V45" s="21"/>
      <c r="W45" s="21"/>
      <c r="X45" s="21"/>
      <c r="Y45" s="21"/>
      <c r="Z45" s="21"/>
      <c r="AA45" s="21"/>
      <c r="AB45" s="21"/>
      <c r="AC45" s="21"/>
      <c r="AD45" s="21"/>
      <c r="AE45" s="21"/>
      <c r="AF45" s="21"/>
      <c r="AG45" s="21"/>
    </row>
    <row r="46" spans="2:33" x14ac:dyDescent="0.2">
      <c r="B46" s="21"/>
      <c r="C46" s="21"/>
      <c r="D46" s="21" t="str">
        <f t="shared" ref="D46" si="5">D39</f>
        <v>springbarley</v>
      </c>
      <c r="E46" s="87"/>
      <c r="F46" s="48"/>
      <c r="G46" s="48"/>
      <c r="H46" s="21"/>
      <c r="I46" s="30"/>
      <c r="J46" s="230"/>
      <c r="K46" s="21"/>
      <c r="L46" s="21"/>
      <c r="M46" s="21"/>
      <c r="N46" s="21"/>
      <c r="O46" s="21"/>
      <c r="P46" s="21"/>
      <c r="Q46" s="21"/>
      <c r="R46" s="21"/>
      <c r="S46" s="21"/>
      <c r="T46" s="21"/>
      <c r="U46" s="21"/>
      <c r="V46" s="21"/>
      <c r="W46" s="21"/>
      <c r="X46" s="21"/>
      <c r="Y46" s="21"/>
      <c r="Z46" s="21"/>
      <c r="AA46" s="21"/>
      <c r="AB46" s="21"/>
      <c r="AC46" s="21"/>
      <c r="AD46" s="21"/>
      <c r="AE46" s="21"/>
      <c r="AF46" s="21"/>
      <c r="AG46" s="21"/>
    </row>
    <row r="47" spans="2:33" ht="16" x14ac:dyDescent="0.2">
      <c r="B47" s="21"/>
      <c r="C47" s="21"/>
      <c r="D47" s="21" t="s">
        <v>253</v>
      </c>
      <c r="E47" s="137" t="s">
        <v>221</v>
      </c>
      <c r="F47" s="27"/>
      <c r="G47" s="23"/>
      <c r="H47" s="21"/>
      <c r="I47" s="30"/>
      <c r="J47" s="230"/>
      <c r="K47" s="21"/>
      <c r="L47" s="21"/>
      <c r="M47" s="21"/>
      <c r="N47" s="21"/>
      <c r="O47" s="21"/>
      <c r="P47" s="21"/>
      <c r="Q47" s="21"/>
      <c r="R47" s="21"/>
      <c r="S47" s="21"/>
      <c r="T47" s="21"/>
      <c r="U47" s="21"/>
      <c r="V47" s="21"/>
      <c r="W47" s="21"/>
      <c r="X47" s="21"/>
      <c r="Y47" s="21"/>
      <c r="Z47" s="21"/>
      <c r="AA47" s="21"/>
      <c r="AB47" s="21"/>
      <c r="AC47" s="21"/>
      <c r="AD47" s="21"/>
      <c r="AE47" s="21"/>
      <c r="AF47" s="21"/>
      <c r="AG47" s="21"/>
    </row>
    <row r="48" spans="2:33" x14ac:dyDescent="0.2">
      <c r="B48" s="21"/>
      <c r="C48" s="21"/>
      <c r="D48" s="21" t="s">
        <v>191</v>
      </c>
      <c r="E48" s="87" t="s">
        <v>191</v>
      </c>
      <c r="F48" s="48">
        <v>2</v>
      </c>
      <c r="G48" s="48">
        <v>4.2</v>
      </c>
      <c r="H48" s="21"/>
      <c r="I48" s="171" t="s">
        <v>248</v>
      </c>
      <c r="J48" s="230"/>
      <c r="K48" s="21"/>
      <c r="L48" s="21"/>
      <c r="M48" s="21"/>
      <c r="N48" s="21"/>
      <c r="O48" s="21"/>
      <c r="P48" s="21"/>
      <c r="Q48" s="21"/>
      <c r="R48" s="21"/>
      <c r="S48" s="21"/>
      <c r="T48" s="21"/>
      <c r="U48" s="21"/>
      <c r="V48" s="21"/>
      <c r="W48" s="21"/>
      <c r="X48" s="21"/>
      <c r="Y48" s="21"/>
      <c r="Z48" s="21"/>
      <c r="AA48" s="21"/>
      <c r="AB48" s="21"/>
      <c r="AC48" s="21"/>
      <c r="AD48" s="21"/>
      <c r="AE48" s="21"/>
      <c r="AF48" s="21"/>
      <c r="AG48" s="21"/>
    </row>
    <row r="49" spans="2:33" x14ac:dyDescent="0.2">
      <c r="B49" s="21"/>
      <c r="C49" s="21"/>
      <c r="D49" s="21" t="s">
        <v>250</v>
      </c>
      <c r="E49" s="87" t="s">
        <v>195</v>
      </c>
      <c r="F49" s="48">
        <v>3</v>
      </c>
      <c r="G49" s="48">
        <v>3</v>
      </c>
      <c r="H49" s="21"/>
      <c r="I49" s="171" t="s">
        <v>248</v>
      </c>
      <c r="J49" s="230"/>
      <c r="K49" s="21"/>
      <c r="L49" s="21"/>
      <c r="M49" s="21"/>
      <c r="N49" s="21"/>
      <c r="O49" s="21"/>
      <c r="P49" s="21"/>
      <c r="Q49" s="21"/>
      <c r="R49" s="21"/>
      <c r="S49" s="21"/>
      <c r="T49" s="21"/>
      <c r="U49" s="21"/>
      <c r="V49" s="21"/>
      <c r="W49" s="21"/>
      <c r="X49" s="21"/>
      <c r="Y49" s="21"/>
      <c r="Z49" s="21"/>
      <c r="AA49" s="21"/>
      <c r="AB49" s="21"/>
      <c r="AC49" s="21"/>
      <c r="AD49" s="21"/>
      <c r="AE49" s="21"/>
      <c r="AF49" s="21"/>
      <c r="AG49" s="21"/>
    </row>
    <row r="50" spans="2:33" x14ac:dyDescent="0.2">
      <c r="B50" s="21"/>
      <c r="C50" s="21"/>
      <c r="D50" s="21" t="s">
        <v>195</v>
      </c>
      <c r="E50" s="87" t="s">
        <v>246</v>
      </c>
      <c r="F50" s="48" t="s">
        <v>249</v>
      </c>
      <c r="G50" s="48">
        <v>6.2</v>
      </c>
      <c r="H50" s="21"/>
      <c r="I50" s="171" t="s">
        <v>248</v>
      </c>
      <c r="J50" s="230"/>
      <c r="K50" s="21"/>
      <c r="L50" s="21"/>
      <c r="M50" s="21"/>
      <c r="N50" s="21"/>
      <c r="O50" s="21"/>
      <c r="P50" s="21"/>
      <c r="Q50" s="21"/>
      <c r="R50" s="21"/>
      <c r="S50" s="21"/>
      <c r="T50" s="21"/>
      <c r="U50" s="21"/>
      <c r="V50" s="21"/>
      <c r="W50" s="21"/>
      <c r="X50" s="21"/>
      <c r="Y50" s="21"/>
      <c r="Z50" s="21"/>
      <c r="AA50" s="21"/>
      <c r="AB50" s="21"/>
      <c r="AC50" s="21"/>
      <c r="AD50" s="21"/>
      <c r="AE50" s="21"/>
      <c r="AF50" s="21"/>
      <c r="AG50" s="21"/>
    </row>
    <row r="51" spans="2:33" x14ac:dyDescent="0.2">
      <c r="B51" s="21"/>
      <c r="C51" s="21"/>
      <c r="D51" s="21"/>
      <c r="E51" s="87" t="s">
        <v>247</v>
      </c>
      <c r="F51" s="48" t="s">
        <v>249</v>
      </c>
      <c r="G51" s="48">
        <v>4.2</v>
      </c>
      <c r="H51" s="21"/>
      <c r="I51" s="171" t="s">
        <v>248</v>
      </c>
      <c r="J51" s="230"/>
      <c r="K51" s="21"/>
      <c r="L51" s="21"/>
      <c r="M51" s="21"/>
      <c r="N51" s="21"/>
      <c r="O51" s="21"/>
      <c r="P51" s="21"/>
      <c r="Q51" s="21"/>
      <c r="R51" s="21"/>
      <c r="S51" s="21"/>
      <c r="T51" s="21"/>
      <c r="U51" s="21"/>
      <c r="V51" s="21"/>
      <c r="W51" s="21"/>
      <c r="X51" s="21"/>
      <c r="Y51" s="21"/>
      <c r="Z51" s="21"/>
      <c r="AA51" s="21"/>
      <c r="AB51" s="21"/>
      <c r="AC51" s="21"/>
      <c r="AD51" s="21"/>
      <c r="AE51" s="21"/>
      <c r="AF51" s="21"/>
      <c r="AG51" s="21"/>
    </row>
    <row r="52" spans="2:33" x14ac:dyDescent="0.2">
      <c r="B52" s="21"/>
      <c r="C52" s="21"/>
      <c r="D52" s="21"/>
      <c r="E52" s="87" t="s">
        <v>250</v>
      </c>
      <c r="F52" s="48">
        <v>2</v>
      </c>
      <c r="G52" s="48" t="s">
        <v>249</v>
      </c>
      <c r="H52" s="21"/>
      <c r="I52" s="171" t="s">
        <v>248</v>
      </c>
      <c r="J52" s="230"/>
      <c r="K52" s="21"/>
      <c r="L52" s="21"/>
      <c r="M52" s="21"/>
      <c r="N52" s="21"/>
      <c r="O52" s="21"/>
      <c r="P52" s="21"/>
      <c r="Q52" s="21"/>
      <c r="R52" s="21"/>
      <c r="S52" s="21"/>
      <c r="T52" s="21"/>
      <c r="U52" s="21"/>
      <c r="V52" s="21"/>
      <c r="W52" s="21"/>
      <c r="X52" s="21"/>
      <c r="Y52" s="21"/>
      <c r="Z52" s="21"/>
      <c r="AA52" s="21"/>
      <c r="AB52" s="21"/>
      <c r="AC52" s="21"/>
      <c r="AD52" s="21"/>
      <c r="AE52" s="21"/>
      <c r="AF52" s="21"/>
      <c r="AG52" s="21"/>
    </row>
    <row r="53" spans="2:33" x14ac:dyDescent="0.2">
      <c r="B53" s="21"/>
      <c r="C53" s="21"/>
      <c r="D53" s="21"/>
      <c r="E53" s="87" t="s">
        <v>252</v>
      </c>
      <c r="F53" s="48">
        <v>2</v>
      </c>
      <c r="G53" s="48" t="s">
        <v>249</v>
      </c>
      <c r="H53" s="21"/>
      <c r="I53" s="171" t="s">
        <v>248</v>
      </c>
      <c r="J53" s="230"/>
      <c r="K53" s="21"/>
      <c r="L53" s="21"/>
      <c r="M53" s="21"/>
      <c r="N53" s="21"/>
      <c r="O53" s="21"/>
      <c r="P53" s="21"/>
      <c r="Q53" s="21"/>
      <c r="R53" s="21"/>
      <c r="S53" s="21"/>
      <c r="T53" s="21"/>
      <c r="U53" s="21"/>
      <c r="V53" s="21"/>
      <c r="W53" s="21"/>
      <c r="X53" s="21"/>
      <c r="Y53" s="21"/>
      <c r="Z53" s="21"/>
      <c r="AA53" s="21"/>
      <c r="AB53" s="21"/>
      <c r="AC53" s="21"/>
      <c r="AD53" s="21"/>
      <c r="AE53" s="21"/>
      <c r="AF53" s="21"/>
      <c r="AG53" s="21"/>
    </row>
    <row r="54" spans="2:33" x14ac:dyDescent="0.2">
      <c r="B54" s="21"/>
      <c r="C54" s="21"/>
      <c r="D54" s="21"/>
      <c r="E54" s="87" t="s">
        <v>253</v>
      </c>
      <c r="F54" s="48">
        <v>2</v>
      </c>
      <c r="G54" s="48" t="s">
        <v>249</v>
      </c>
      <c r="H54" s="21"/>
      <c r="I54" s="171" t="s">
        <v>248</v>
      </c>
      <c r="J54" s="230"/>
      <c r="K54" s="21"/>
      <c r="L54" s="21"/>
      <c r="M54" s="21"/>
      <c r="N54" s="21"/>
      <c r="O54" s="21"/>
      <c r="P54" s="21"/>
      <c r="Q54" s="21"/>
      <c r="R54" s="21"/>
      <c r="S54" s="21"/>
      <c r="T54" s="21"/>
      <c r="U54" s="21"/>
      <c r="V54" s="21"/>
      <c r="W54" s="21"/>
      <c r="X54" s="21"/>
      <c r="Y54" s="21"/>
      <c r="Z54" s="21"/>
      <c r="AA54" s="21"/>
      <c r="AB54" s="21"/>
      <c r="AC54" s="21"/>
      <c r="AD54" s="21"/>
      <c r="AE54" s="21"/>
      <c r="AF54" s="21"/>
      <c r="AG54" s="21"/>
    </row>
    <row r="55" spans="2:33" x14ac:dyDescent="0.2">
      <c r="B55" s="21"/>
      <c r="C55" s="21"/>
      <c r="D55" s="21"/>
      <c r="E55" s="22"/>
      <c r="F55" s="21"/>
      <c r="G55" s="21"/>
      <c r="H55" s="21"/>
      <c r="I55" s="30"/>
      <c r="J55" s="230"/>
      <c r="K55" s="21"/>
      <c r="L55" s="21"/>
      <c r="M55" s="21"/>
      <c r="N55" s="21"/>
      <c r="O55" s="21"/>
      <c r="P55" s="21"/>
      <c r="Q55" s="21"/>
      <c r="R55" s="21"/>
      <c r="S55" s="21"/>
      <c r="T55" s="21"/>
      <c r="U55" s="21"/>
      <c r="V55" s="21"/>
      <c r="W55" s="21"/>
      <c r="X55" s="21"/>
      <c r="Y55" s="21"/>
      <c r="Z55" s="21"/>
      <c r="AA55" s="21"/>
      <c r="AB55" s="21"/>
      <c r="AC55" s="21"/>
      <c r="AD55" s="21"/>
      <c r="AE55" s="21"/>
      <c r="AF55" s="21"/>
      <c r="AG55" s="21"/>
    </row>
    <row r="56" spans="2:33" ht="16" x14ac:dyDescent="0.2">
      <c r="B56" s="21"/>
      <c r="C56" s="21"/>
      <c r="D56" s="21"/>
      <c r="E56" s="137" t="s">
        <v>224</v>
      </c>
      <c r="F56" s="27"/>
      <c r="G56" s="23"/>
      <c r="H56" s="21"/>
      <c r="I56" s="30"/>
      <c r="J56" s="230"/>
      <c r="K56" s="21"/>
      <c r="L56" s="21"/>
      <c r="M56" s="21"/>
      <c r="N56" s="21"/>
      <c r="O56" s="21"/>
      <c r="P56" s="21"/>
      <c r="Q56" s="21"/>
      <c r="R56" s="21"/>
      <c r="S56" s="21"/>
      <c r="T56" s="21"/>
      <c r="U56" s="21"/>
      <c r="V56" s="21"/>
      <c r="W56" s="21"/>
      <c r="X56" s="21"/>
      <c r="Y56" s="21"/>
      <c r="Z56" s="21"/>
      <c r="AA56" s="21"/>
      <c r="AB56" s="21"/>
      <c r="AC56" s="21"/>
      <c r="AD56" s="21"/>
      <c r="AE56" s="21"/>
      <c r="AF56" s="21"/>
      <c r="AG56" s="21"/>
    </row>
    <row r="57" spans="2:33" x14ac:dyDescent="0.2">
      <c r="B57" s="21"/>
      <c r="C57" s="21"/>
      <c r="D57" s="21"/>
      <c r="E57" s="87" t="s">
        <v>191</v>
      </c>
      <c r="F57" s="49">
        <v>4</v>
      </c>
      <c r="G57" s="49">
        <v>5</v>
      </c>
      <c r="H57" s="21"/>
      <c r="I57" s="171" t="s">
        <v>248</v>
      </c>
      <c r="J57" s="230"/>
      <c r="K57" s="21"/>
      <c r="L57" s="21"/>
      <c r="M57" s="21"/>
      <c r="N57" s="21"/>
      <c r="O57" s="21"/>
      <c r="P57" s="21"/>
      <c r="Q57" s="21"/>
      <c r="R57" s="21"/>
      <c r="S57" s="21"/>
      <c r="T57" s="21"/>
      <c r="U57" s="21"/>
      <c r="V57" s="21"/>
      <c r="W57" s="21"/>
      <c r="X57" s="21"/>
      <c r="Y57" s="21"/>
      <c r="Z57" s="21"/>
      <c r="AA57" s="21"/>
      <c r="AB57" s="21"/>
      <c r="AC57" s="21"/>
      <c r="AD57" s="21"/>
      <c r="AE57" s="21"/>
      <c r="AF57" s="21"/>
      <c r="AG57" s="21"/>
    </row>
    <row r="58" spans="2:33" x14ac:dyDescent="0.2">
      <c r="B58" s="21"/>
      <c r="C58" s="21"/>
      <c r="D58" s="21"/>
      <c r="E58" s="87" t="s">
        <v>195</v>
      </c>
      <c r="F58" s="49">
        <v>3</v>
      </c>
      <c r="G58" s="49">
        <v>3</v>
      </c>
      <c r="H58" s="21"/>
      <c r="I58" s="171" t="s">
        <v>248</v>
      </c>
      <c r="J58" s="230"/>
      <c r="K58" s="21"/>
      <c r="L58" s="21"/>
      <c r="M58" s="21"/>
      <c r="N58" s="21"/>
      <c r="O58" s="21"/>
      <c r="P58" s="21"/>
      <c r="Q58" s="21"/>
      <c r="R58" s="21"/>
      <c r="S58" s="21"/>
      <c r="T58" s="21"/>
      <c r="U58" s="21"/>
      <c r="V58" s="21"/>
      <c r="W58" s="21"/>
      <c r="X58" s="21"/>
      <c r="Y58" s="21"/>
      <c r="Z58" s="21"/>
      <c r="AA58" s="21"/>
      <c r="AB58" s="21"/>
      <c r="AC58" s="21"/>
      <c r="AD58" s="21"/>
      <c r="AE58" s="21"/>
      <c r="AF58" s="21"/>
      <c r="AG58" s="21"/>
    </row>
    <row r="59" spans="2:33" x14ac:dyDescent="0.2">
      <c r="B59" s="21"/>
      <c r="C59" s="21"/>
      <c r="D59" s="21"/>
      <c r="E59" s="87" t="s">
        <v>246</v>
      </c>
      <c r="F59" s="49" t="s">
        <v>249</v>
      </c>
      <c r="G59" s="49">
        <v>4</v>
      </c>
      <c r="H59" s="21"/>
      <c r="I59" s="171" t="s">
        <v>248</v>
      </c>
      <c r="J59" s="21"/>
      <c r="K59" s="21"/>
      <c r="L59" s="21"/>
      <c r="M59" s="21"/>
      <c r="N59" s="21"/>
      <c r="O59" s="21"/>
      <c r="P59" s="21"/>
      <c r="Q59" s="21"/>
      <c r="R59" s="21"/>
      <c r="S59" s="21"/>
      <c r="T59" s="21"/>
      <c r="U59" s="21"/>
      <c r="V59" s="21"/>
      <c r="W59" s="21"/>
      <c r="X59" s="21"/>
      <c r="Y59" s="21"/>
      <c r="Z59" s="21"/>
      <c r="AA59" s="21"/>
      <c r="AB59" s="21"/>
      <c r="AC59" s="21"/>
      <c r="AD59" s="21"/>
      <c r="AE59" s="21"/>
      <c r="AF59" s="21"/>
      <c r="AG59" s="21"/>
    </row>
    <row r="60" spans="2:33" x14ac:dyDescent="0.2">
      <c r="B60" s="21"/>
      <c r="C60" s="21"/>
      <c r="D60" s="21"/>
      <c r="E60" s="87" t="s">
        <v>247</v>
      </c>
      <c r="F60" s="49" t="s">
        <v>249</v>
      </c>
      <c r="G60" s="49">
        <v>4</v>
      </c>
      <c r="H60" s="21"/>
      <c r="I60" s="171" t="s">
        <v>248</v>
      </c>
      <c r="J60" s="21"/>
      <c r="K60" s="21"/>
      <c r="L60" s="21"/>
      <c r="M60" s="21"/>
      <c r="N60" s="21"/>
      <c r="O60" s="21"/>
      <c r="P60" s="21"/>
      <c r="Q60" s="21"/>
      <c r="R60" s="21"/>
      <c r="S60" s="21"/>
      <c r="T60" s="21"/>
      <c r="U60" s="21"/>
      <c r="V60" s="21"/>
      <c r="W60" s="21"/>
      <c r="X60" s="21"/>
      <c r="Y60" s="21"/>
      <c r="Z60" s="21"/>
      <c r="AA60" s="21"/>
      <c r="AB60" s="21"/>
      <c r="AC60" s="21"/>
      <c r="AD60" s="21"/>
      <c r="AE60" s="21"/>
      <c r="AF60" s="21"/>
      <c r="AG60" s="21"/>
    </row>
    <row r="61" spans="2:33" x14ac:dyDescent="0.2">
      <c r="B61" s="68"/>
      <c r="C61" s="68" t="s">
        <v>225</v>
      </c>
      <c r="D61" s="21"/>
      <c r="E61" s="87" t="s">
        <v>250</v>
      </c>
      <c r="F61" s="49">
        <v>3</v>
      </c>
      <c r="G61" s="49" t="s">
        <v>249</v>
      </c>
      <c r="H61" s="21"/>
      <c r="I61" s="171" t="s">
        <v>248</v>
      </c>
      <c r="J61" s="21"/>
      <c r="K61" s="21"/>
      <c r="L61" s="21"/>
      <c r="M61" s="21"/>
      <c r="N61" s="21"/>
      <c r="O61" s="21"/>
      <c r="P61" s="21"/>
      <c r="Q61" s="21"/>
      <c r="R61" s="21"/>
      <c r="S61" s="21"/>
      <c r="T61" s="21"/>
      <c r="U61" s="21"/>
      <c r="V61" s="21"/>
      <c r="W61" s="21"/>
      <c r="X61" s="21"/>
      <c r="Y61" s="21"/>
      <c r="Z61" s="21"/>
      <c r="AA61" s="21"/>
      <c r="AB61" s="21"/>
      <c r="AC61" s="21"/>
      <c r="AD61" s="21"/>
      <c r="AE61" s="21"/>
      <c r="AF61" s="21"/>
      <c r="AG61" s="21"/>
    </row>
    <row r="62" spans="2:33" x14ac:dyDescent="0.2">
      <c r="B62" s="70"/>
      <c r="C62" s="70" t="s">
        <v>226</v>
      </c>
      <c r="D62" s="21"/>
      <c r="E62" s="87" t="s">
        <v>252</v>
      </c>
      <c r="F62" s="49">
        <v>3</v>
      </c>
      <c r="G62" s="49" t="s">
        <v>249</v>
      </c>
      <c r="H62" s="21"/>
      <c r="I62" s="171" t="s">
        <v>248</v>
      </c>
      <c r="J62" s="21"/>
      <c r="K62" s="21"/>
      <c r="L62" s="21"/>
      <c r="M62" s="21"/>
      <c r="N62" s="21"/>
      <c r="O62" s="21"/>
      <c r="P62" s="21"/>
      <c r="Q62" s="21"/>
      <c r="R62" s="21"/>
      <c r="S62" s="21"/>
      <c r="T62" s="21"/>
      <c r="U62" s="21"/>
      <c r="V62" s="21"/>
      <c r="W62" s="21"/>
      <c r="X62" s="21"/>
      <c r="Y62" s="21"/>
      <c r="Z62" s="21"/>
      <c r="AA62" s="21"/>
      <c r="AB62" s="21"/>
      <c r="AC62" s="21"/>
      <c r="AD62" s="21"/>
      <c r="AE62" s="21"/>
      <c r="AF62" s="21"/>
      <c r="AG62" s="21"/>
    </row>
    <row r="63" spans="2:33" x14ac:dyDescent="0.2">
      <c r="B63" s="70"/>
      <c r="C63" s="70" t="s">
        <v>227</v>
      </c>
      <c r="D63" s="21"/>
      <c r="E63" s="87" t="s">
        <v>253</v>
      </c>
      <c r="F63" s="49">
        <v>3</v>
      </c>
      <c r="G63" s="49" t="s">
        <v>249</v>
      </c>
      <c r="H63" s="21"/>
      <c r="I63" s="171" t="s">
        <v>248</v>
      </c>
      <c r="J63" s="21"/>
      <c r="K63" s="21"/>
      <c r="L63" s="21"/>
      <c r="M63" s="21"/>
      <c r="N63" s="21"/>
      <c r="O63" s="21"/>
      <c r="P63" s="21"/>
      <c r="Q63" s="21"/>
      <c r="R63" s="21"/>
      <c r="S63" s="21"/>
      <c r="T63" s="21"/>
      <c r="U63" s="21"/>
      <c r="V63" s="21"/>
      <c r="W63" s="21"/>
      <c r="X63" s="21"/>
      <c r="Y63" s="21"/>
      <c r="Z63" s="21"/>
      <c r="AA63" s="21"/>
      <c r="AB63" s="21"/>
      <c r="AC63" s="21"/>
      <c r="AD63" s="21"/>
      <c r="AE63" s="21"/>
      <c r="AF63" s="21"/>
      <c r="AG63" s="21"/>
    </row>
    <row r="64" spans="2:33" x14ac:dyDescent="0.2">
      <c r="B64" s="70"/>
      <c r="C64" s="70"/>
      <c r="D64" s="21"/>
      <c r="E64" s="21"/>
      <c r="F64" s="21"/>
      <c r="G64" s="21"/>
      <c r="H64" s="21"/>
      <c r="I64" s="30"/>
      <c r="J64" s="21"/>
      <c r="K64" s="21"/>
      <c r="L64" s="21"/>
      <c r="M64" s="21"/>
      <c r="N64" s="21"/>
      <c r="O64" s="21"/>
      <c r="P64" s="21"/>
      <c r="Q64" s="21"/>
      <c r="R64" s="21"/>
      <c r="S64" s="30"/>
      <c r="T64" s="21"/>
      <c r="U64" s="21"/>
      <c r="V64" s="21"/>
      <c r="W64" s="21"/>
      <c r="X64" s="21"/>
      <c r="Y64" s="21"/>
      <c r="Z64" s="21"/>
      <c r="AA64" s="21"/>
      <c r="AB64" s="21"/>
      <c r="AC64" s="21"/>
      <c r="AD64" s="21"/>
      <c r="AE64" s="21"/>
      <c r="AF64" s="21"/>
      <c r="AG64" s="21"/>
    </row>
    <row r="65" spans="2:33" x14ac:dyDescent="0.2">
      <c r="B65" s="70"/>
      <c r="C65" s="70"/>
      <c r="D65" s="21"/>
      <c r="E65" s="21"/>
      <c r="F65" s="21"/>
      <c r="G65" s="21"/>
      <c r="H65" s="21"/>
      <c r="I65" s="30"/>
      <c r="J65" s="21"/>
      <c r="K65" s="21"/>
      <c r="L65" s="21"/>
      <c r="M65" s="21"/>
      <c r="N65" s="21"/>
      <c r="O65" s="21"/>
      <c r="P65" s="21"/>
      <c r="Q65" s="21"/>
      <c r="R65" s="21"/>
      <c r="S65" s="30"/>
      <c r="T65" s="21"/>
      <c r="U65" s="21"/>
      <c r="V65" s="21"/>
      <c r="W65" s="21"/>
      <c r="X65" s="21"/>
      <c r="Y65" s="21"/>
      <c r="Z65" s="21"/>
      <c r="AA65" s="21"/>
      <c r="AB65" s="21"/>
      <c r="AC65" s="21"/>
      <c r="AD65" s="21"/>
      <c r="AE65" s="21"/>
      <c r="AF65" s="21"/>
      <c r="AG65" s="21"/>
    </row>
    <row r="66" spans="2:33" x14ac:dyDescent="0.2">
      <c r="B66" s="70"/>
      <c r="C66" s="70"/>
      <c r="D66" s="21"/>
      <c r="E66" s="21"/>
      <c r="F66" s="21"/>
      <c r="G66" s="21"/>
      <c r="H66" s="21"/>
      <c r="I66" s="30"/>
      <c r="J66" s="21"/>
      <c r="K66" s="21"/>
      <c r="L66" s="21"/>
      <c r="M66" s="21"/>
      <c r="N66" s="21"/>
      <c r="O66" s="21"/>
      <c r="P66" s="21"/>
      <c r="Q66" s="21"/>
      <c r="R66" s="21"/>
      <c r="S66" s="30"/>
      <c r="T66" s="21"/>
      <c r="U66" s="21"/>
      <c r="V66" s="21"/>
      <c r="W66" s="21"/>
      <c r="X66" s="21"/>
      <c r="Y66" s="21"/>
      <c r="Z66" s="21"/>
      <c r="AA66" s="21"/>
      <c r="AB66" s="21"/>
      <c r="AC66" s="21"/>
      <c r="AD66" s="21"/>
      <c r="AE66" s="21"/>
      <c r="AF66" s="21"/>
      <c r="AG66" s="21"/>
    </row>
    <row r="67" spans="2:33" x14ac:dyDescent="0.2">
      <c r="B67" s="21"/>
      <c r="C67" s="21"/>
      <c r="D67" s="21"/>
      <c r="E67" s="87" t="s">
        <v>264</v>
      </c>
      <c r="F67" s="49"/>
      <c r="G67" s="49"/>
      <c r="H67" s="230"/>
      <c r="I67" s="21"/>
      <c r="J67" s="21"/>
      <c r="K67" s="21"/>
      <c r="L67" s="21"/>
      <c r="M67" s="21"/>
      <c r="N67" s="21"/>
      <c r="O67" s="21"/>
      <c r="P67" s="21"/>
      <c r="Q67" s="21"/>
      <c r="R67" s="21"/>
      <c r="S67" s="30"/>
      <c r="T67" s="21"/>
      <c r="U67" s="21"/>
      <c r="V67" s="21"/>
      <c r="W67" s="21"/>
      <c r="X67" s="21"/>
      <c r="Y67" s="21"/>
      <c r="Z67" s="21"/>
      <c r="AA67" s="21"/>
      <c r="AB67" s="21"/>
      <c r="AC67" s="21"/>
      <c r="AD67" s="21"/>
      <c r="AE67" s="21"/>
      <c r="AF67" s="21"/>
      <c r="AG67" s="21"/>
    </row>
    <row r="70" spans="2:33" s="75" customFormat="1" ht="30" customHeight="1" x14ac:dyDescent="0.2">
      <c r="B70" s="112" t="s">
        <v>228</v>
      </c>
      <c r="C70" s="112"/>
      <c r="D70" s="112"/>
      <c r="E70" s="112"/>
      <c r="F70" s="112"/>
      <c r="G70" s="112"/>
      <c r="H70" s="112"/>
      <c r="I70" s="112"/>
      <c r="J70" s="112"/>
      <c r="K70" s="112"/>
      <c r="L70" s="112"/>
      <c r="M70" s="112"/>
      <c r="N70" s="112"/>
      <c r="O70" s="112"/>
      <c r="P70" s="112"/>
      <c r="Q70" s="112"/>
      <c r="R70" s="112"/>
      <c r="S70" s="112"/>
      <c r="T70" s="112"/>
      <c r="U70" s="145"/>
      <c r="V70" s="145"/>
      <c r="W70" s="145"/>
      <c r="X70" s="145"/>
      <c r="Y70" s="145"/>
      <c r="Z70" s="145"/>
      <c r="AA70" s="145"/>
      <c r="AB70" s="145"/>
      <c r="AC70" s="145"/>
    </row>
    <row r="71" spans="2:33" s="72" customFormat="1" ht="16" x14ac:dyDescent="0.2">
      <c r="B71" s="139"/>
      <c r="C71" s="139"/>
      <c r="D71" s="139"/>
      <c r="E71" s="429" t="s">
        <v>229</v>
      </c>
      <c r="F71" s="429"/>
      <c r="G71" s="142" t="s">
        <v>230</v>
      </c>
      <c r="H71" s="143"/>
      <c r="I71" s="143"/>
      <c r="J71" s="144" t="s">
        <v>231</v>
      </c>
      <c r="K71" s="229"/>
      <c r="L71" s="229"/>
      <c r="M71" s="229"/>
      <c r="N71" s="142" t="s">
        <v>232</v>
      </c>
      <c r="O71" s="143"/>
      <c r="P71" s="143"/>
      <c r="Q71" s="144" t="s">
        <v>233</v>
      </c>
      <c r="R71" s="229"/>
      <c r="S71" s="229"/>
      <c r="T71" s="140"/>
      <c r="U71" s="141"/>
      <c r="V71" s="141"/>
      <c r="W71" s="141"/>
      <c r="X71" s="141"/>
      <c r="Y71" s="141"/>
      <c r="Z71" s="141"/>
      <c r="AA71" s="141"/>
      <c r="AB71" s="141"/>
      <c r="AC71" s="141"/>
      <c r="AE71" s="141"/>
    </row>
    <row r="72" spans="2:33" ht="46.25" customHeight="1" x14ac:dyDescent="0.2">
      <c r="B72" s="88"/>
      <c r="C72" s="88" t="s">
        <v>234</v>
      </c>
      <c r="D72" s="88"/>
      <c r="E72" s="134" t="s">
        <v>235</v>
      </c>
      <c r="F72" s="136" t="s">
        <v>236</v>
      </c>
      <c r="G72" s="90" t="s">
        <v>237</v>
      </c>
      <c r="H72" s="90" t="s">
        <v>238</v>
      </c>
      <c r="I72" s="91" t="s">
        <v>239</v>
      </c>
      <c r="J72" s="88" t="s">
        <v>237</v>
      </c>
      <c r="K72" s="88" t="s">
        <v>238</v>
      </c>
      <c r="L72" s="89" t="s">
        <v>239</v>
      </c>
      <c r="M72" s="88" t="s">
        <v>240</v>
      </c>
      <c r="N72" s="90" t="s">
        <v>237</v>
      </c>
      <c r="O72" s="90" t="s">
        <v>238</v>
      </c>
      <c r="P72" s="91" t="s">
        <v>239</v>
      </c>
      <c r="Q72" s="88" t="s">
        <v>237</v>
      </c>
      <c r="R72" s="88" t="s">
        <v>238</v>
      </c>
      <c r="S72" s="89" t="s">
        <v>239</v>
      </c>
      <c r="T72" s="91" t="s">
        <v>241</v>
      </c>
      <c r="U72" s="93"/>
      <c r="V72" s="93"/>
      <c r="W72" s="93"/>
      <c r="X72" s="93"/>
      <c r="Y72" s="93"/>
      <c r="Z72" s="93"/>
      <c r="AA72" s="93"/>
      <c r="AB72" s="93"/>
      <c r="AC72" s="93"/>
      <c r="AE72" s="93"/>
    </row>
    <row r="73" spans="2:33" x14ac:dyDescent="0.2">
      <c r="B73" s="92"/>
      <c r="C73" s="92" t="s">
        <v>30</v>
      </c>
      <c r="D73" s="92" t="s">
        <v>31</v>
      </c>
      <c r="E73" s="135">
        <v>8.3173628589466091</v>
      </c>
      <c r="F73" s="23">
        <v>8.6</v>
      </c>
      <c r="G73" s="76">
        <v>11463897</v>
      </c>
      <c r="H73" s="77">
        <v>3138.5</v>
      </c>
      <c r="I73" s="78">
        <f t="shared" ref="I73:I79" si="6">(H73*1000)/G73</f>
        <v>0.27377252255493922</v>
      </c>
      <c r="J73" s="32">
        <v>7270944</v>
      </c>
      <c r="K73" s="32">
        <v>3477.8</v>
      </c>
      <c r="L73" s="21">
        <f t="shared" ref="L73:L79" si="7">(K73*1000)/J73</f>
        <v>0.47831478278473882</v>
      </c>
      <c r="M73" s="21">
        <f>L73*0.81</f>
        <v>0.38743497405563848</v>
      </c>
      <c r="N73" s="76">
        <v>1305358</v>
      </c>
      <c r="O73" s="77">
        <v>27.6</v>
      </c>
      <c r="P73" s="77">
        <f t="shared" ref="P73:P79" si="8">(O73*1000)/N73</f>
        <v>2.1143624967250363E-2</v>
      </c>
      <c r="Q73" s="73">
        <v>4011183</v>
      </c>
      <c r="R73" s="74">
        <v>2008.6</v>
      </c>
      <c r="S73" s="21">
        <f>(R73*1000)/Q73</f>
        <v>0.50075002810891456</v>
      </c>
      <c r="T73" s="77">
        <f t="shared" ref="T73:T79" si="9">SUM(I73,M73,P73,S73)</f>
        <v>1.1831011496867425</v>
      </c>
    </row>
    <row r="74" spans="2:33" x14ac:dyDescent="0.2">
      <c r="B74" s="92"/>
      <c r="C74" s="92" t="s">
        <v>34</v>
      </c>
      <c r="D74" s="92" t="s">
        <v>35</v>
      </c>
      <c r="E74" s="135">
        <v>3.5052860799999999</v>
      </c>
      <c r="F74" s="23">
        <v>3.5</v>
      </c>
      <c r="G74" s="76">
        <v>2042188</v>
      </c>
      <c r="H74" s="77">
        <v>336.7</v>
      </c>
      <c r="I74" s="78">
        <f t="shared" si="6"/>
        <v>0.16487218610627424</v>
      </c>
      <c r="J74" s="73">
        <v>2308920</v>
      </c>
      <c r="K74" s="74">
        <v>1376.2</v>
      </c>
      <c r="L74" s="21">
        <f t="shared" si="7"/>
        <v>0.59603624205256134</v>
      </c>
      <c r="M74" s="21">
        <f>L74*0.86</f>
        <v>0.51259116816520278</v>
      </c>
      <c r="N74" s="76">
        <v>1278472</v>
      </c>
      <c r="O74" s="77">
        <v>24.6</v>
      </c>
      <c r="P74" s="77">
        <f t="shared" si="8"/>
        <v>1.924171980301485E-2</v>
      </c>
      <c r="Q74" s="73">
        <v>45713</v>
      </c>
      <c r="R74" s="21">
        <v>8.9</v>
      </c>
      <c r="S74" s="21">
        <f>(R74*1000)/Q74</f>
        <v>0.19469297573994268</v>
      </c>
      <c r="T74" s="77">
        <f t="shared" si="9"/>
        <v>0.89139804981443449</v>
      </c>
    </row>
    <row r="75" spans="2:33" x14ac:dyDescent="0.2">
      <c r="B75" s="92"/>
      <c r="C75" s="92" t="s">
        <v>38</v>
      </c>
      <c r="D75" s="92" t="s">
        <v>39</v>
      </c>
      <c r="E75" s="135">
        <v>3.5519090900000001</v>
      </c>
      <c r="F75" s="23">
        <v>4.2</v>
      </c>
      <c r="G75" s="76">
        <v>383104</v>
      </c>
      <c r="H75" s="77">
        <v>143.6</v>
      </c>
      <c r="I75" s="78">
        <f t="shared" si="6"/>
        <v>0.37483294353491481</v>
      </c>
      <c r="J75" s="73">
        <v>557392</v>
      </c>
      <c r="K75" s="21">
        <v>415.4</v>
      </c>
      <c r="L75" s="21">
        <f t="shared" si="7"/>
        <v>0.74525648017911994</v>
      </c>
      <c r="M75" s="21">
        <f>0.93*L75</f>
        <v>0.6930885265665816</v>
      </c>
      <c r="N75" s="76">
        <v>338619</v>
      </c>
      <c r="O75" s="77">
        <v>6</v>
      </c>
      <c r="P75" s="77">
        <f t="shared" si="8"/>
        <v>1.7719029351572119E-2</v>
      </c>
      <c r="Q75" s="21">
        <v>0</v>
      </c>
      <c r="R75" s="21">
        <v>0</v>
      </c>
      <c r="S75" s="21">
        <v>0</v>
      </c>
      <c r="T75" s="77">
        <f t="shared" si="9"/>
        <v>1.0856404994530686</v>
      </c>
    </row>
    <row r="76" spans="2:33" x14ac:dyDescent="0.2">
      <c r="B76" s="92"/>
      <c r="C76" s="92" t="s">
        <v>43</v>
      </c>
      <c r="D76" s="92" t="s">
        <v>242</v>
      </c>
      <c r="E76" s="135">
        <v>7.8497435900000001</v>
      </c>
      <c r="F76" s="23">
        <v>7.4</v>
      </c>
      <c r="G76" s="76">
        <v>1488848</v>
      </c>
      <c r="H76" s="77">
        <v>310.7</v>
      </c>
      <c r="I76" s="78">
        <f t="shared" si="6"/>
        <v>0.20868483552384126</v>
      </c>
      <c r="J76" s="73">
        <v>1539110</v>
      </c>
      <c r="K76" s="21">
        <v>715.7</v>
      </c>
      <c r="L76" s="21">
        <f t="shared" si="7"/>
        <v>0.46500899870704498</v>
      </c>
      <c r="M76" s="21">
        <f>0.9*L76</f>
        <v>0.41850809883634049</v>
      </c>
      <c r="N76" s="76">
        <v>290576</v>
      </c>
      <c r="O76" s="77">
        <v>3.7</v>
      </c>
      <c r="P76" s="77">
        <f t="shared" si="8"/>
        <v>1.2733329662463521E-2</v>
      </c>
      <c r="Q76" s="73">
        <v>786932</v>
      </c>
      <c r="R76" s="21">
        <v>347.4</v>
      </c>
      <c r="S76" s="21">
        <f>(R76*1000)/Q76</f>
        <v>0.44146126984288347</v>
      </c>
      <c r="T76" s="77">
        <f t="shared" si="9"/>
        <v>1.0813875338655288</v>
      </c>
    </row>
    <row r="77" spans="2:33" x14ac:dyDescent="0.2">
      <c r="B77" s="92"/>
      <c r="C77" s="92" t="s">
        <v>47</v>
      </c>
      <c r="D77" s="92" t="s">
        <v>48</v>
      </c>
      <c r="E77" s="135">
        <v>2.6</v>
      </c>
      <c r="F77" s="23">
        <v>2.25</v>
      </c>
      <c r="G77" s="79">
        <v>2042188</v>
      </c>
      <c r="H77" s="80">
        <v>336.7</v>
      </c>
      <c r="I77" s="81">
        <f t="shared" si="6"/>
        <v>0.16487218610627424</v>
      </c>
      <c r="J77" s="82">
        <v>2308920</v>
      </c>
      <c r="K77" s="83">
        <v>1376.2</v>
      </c>
      <c r="L77" s="84">
        <f t="shared" si="7"/>
        <v>0.59603624205256134</v>
      </c>
      <c r="M77" s="84">
        <f>L77*0.86</f>
        <v>0.51259116816520278</v>
      </c>
      <c r="N77" s="79">
        <v>1278472</v>
      </c>
      <c r="O77" s="80">
        <v>24.6</v>
      </c>
      <c r="P77" s="80">
        <f t="shared" si="8"/>
        <v>1.924171980301485E-2</v>
      </c>
      <c r="Q77" s="82">
        <v>45713</v>
      </c>
      <c r="R77" s="84">
        <v>8.9</v>
      </c>
      <c r="S77" s="84">
        <f>(R77*1000)/Q77</f>
        <v>0.19469297573994268</v>
      </c>
      <c r="T77" s="80">
        <f t="shared" si="9"/>
        <v>0.89139804981443449</v>
      </c>
      <c r="U77" s="94"/>
      <c r="V77" s="94"/>
      <c r="W77" s="94"/>
      <c r="X77" s="94"/>
      <c r="Y77" s="94"/>
      <c r="Z77" s="94"/>
      <c r="AA77" s="94"/>
      <c r="AB77" s="94"/>
      <c r="AC77" s="94"/>
      <c r="AE77" s="94"/>
    </row>
    <row r="78" spans="2:33" x14ac:dyDescent="0.2">
      <c r="B78" s="92"/>
      <c r="C78" s="92" t="s">
        <v>51</v>
      </c>
      <c r="D78" s="92" t="s">
        <v>52</v>
      </c>
      <c r="E78" s="135">
        <v>4.8970000000000002</v>
      </c>
      <c r="F78" s="23">
        <v>3.9</v>
      </c>
      <c r="G78" s="79">
        <v>383104</v>
      </c>
      <c r="H78" s="80">
        <v>143.6</v>
      </c>
      <c r="I78" s="81">
        <f t="shared" si="6"/>
        <v>0.37483294353491481</v>
      </c>
      <c r="J78" s="82">
        <v>557392</v>
      </c>
      <c r="K78" s="84">
        <v>415.4</v>
      </c>
      <c r="L78" s="84">
        <f t="shared" si="7"/>
        <v>0.74525648017911994</v>
      </c>
      <c r="M78" s="84">
        <f>0.93*L78</f>
        <v>0.6930885265665816</v>
      </c>
      <c r="N78" s="79">
        <v>338619</v>
      </c>
      <c r="O78" s="80">
        <v>6</v>
      </c>
      <c r="P78" s="80">
        <f t="shared" si="8"/>
        <v>1.7719029351572119E-2</v>
      </c>
      <c r="Q78" s="84">
        <v>0</v>
      </c>
      <c r="R78" s="84">
        <v>0</v>
      </c>
      <c r="S78" s="84">
        <v>0</v>
      </c>
      <c r="T78" s="80">
        <f t="shared" si="9"/>
        <v>1.0856404994530686</v>
      </c>
      <c r="U78" s="94"/>
      <c r="V78" s="94"/>
      <c r="W78" s="94"/>
      <c r="X78" s="94"/>
      <c r="Y78" s="94"/>
      <c r="Z78" s="94"/>
      <c r="AA78" s="94"/>
      <c r="AB78" s="94"/>
      <c r="AC78" s="94"/>
      <c r="AE78" s="94"/>
    </row>
    <row r="79" spans="2:33" x14ac:dyDescent="0.2">
      <c r="B79" s="92"/>
      <c r="C79" s="92" t="s">
        <v>55</v>
      </c>
      <c r="D79" s="92" t="s">
        <v>243</v>
      </c>
      <c r="E79" s="135">
        <v>5.4954545454545398</v>
      </c>
      <c r="F79" s="23">
        <v>5.7</v>
      </c>
      <c r="G79" s="76">
        <v>1758555</v>
      </c>
      <c r="H79" s="77">
        <v>357.5</v>
      </c>
      <c r="I79" s="78">
        <f t="shared" si="6"/>
        <v>0.20329190727614432</v>
      </c>
      <c r="J79" s="73">
        <v>2086523</v>
      </c>
      <c r="K79" s="21">
        <v>711.7</v>
      </c>
      <c r="L79" s="21">
        <f t="shared" si="7"/>
        <v>0.34109377179163614</v>
      </c>
      <c r="M79" s="21">
        <v>0.34109377179163614</v>
      </c>
      <c r="N79" s="76">
        <v>162336</v>
      </c>
      <c r="O79" s="77">
        <v>1.7</v>
      </c>
      <c r="P79" s="77">
        <f t="shared" si="8"/>
        <v>1.0472107234378081E-2</v>
      </c>
      <c r="Q79" s="73">
        <v>323772</v>
      </c>
      <c r="R79" s="21">
        <v>95.2</v>
      </c>
      <c r="S79" s="21">
        <f>(R79*1000)/Q79</f>
        <v>0.29403407336026588</v>
      </c>
      <c r="T79" s="77">
        <f t="shared" si="9"/>
        <v>0.84889185966242442</v>
      </c>
    </row>
    <row r="80" spans="2:33" x14ac:dyDescent="0.2">
      <c r="B80" s="92"/>
      <c r="C80" s="92" t="s">
        <v>59</v>
      </c>
      <c r="D80" s="92" t="s">
        <v>60</v>
      </c>
      <c r="E80" s="135">
        <v>0</v>
      </c>
      <c r="F80" s="23">
        <v>0</v>
      </c>
      <c r="G80" s="77"/>
      <c r="H80" s="77"/>
      <c r="I80" s="78"/>
      <c r="J80" s="21"/>
      <c r="K80" s="21"/>
      <c r="L80" s="21"/>
      <c r="M80" s="21"/>
      <c r="N80" s="77"/>
      <c r="O80" s="77"/>
      <c r="P80" s="77"/>
      <c r="Q80" s="21"/>
      <c r="R80" s="21"/>
      <c r="S80" s="21"/>
      <c r="T80" s="77"/>
    </row>
  </sheetData>
  <mergeCells count="8">
    <mergeCell ref="B5:U5"/>
    <mergeCell ref="O8:Q8"/>
    <mergeCell ref="Z8:AF8"/>
    <mergeCell ref="Z9:AB9"/>
    <mergeCell ref="AD9:AF9"/>
    <mergeCell ref="E71:F71"/>
    <mergeCell ref="B8:D8"/>
    <mergeCell ref="F8:H8"/>
  </mergeCells>
  <hyperlinks>
    <hyperlink ref="C2" location="'Management details'!E45" display="Yield data" xr:uid="{07A58ADD-1C92-4476-B681-2B6007933A6C}"/>
    <hyperlink ref="C3" location="'Management details'!G45" display="Pesticide data" xr:uid="{457EAB75-BF62-458E-8F3E-111E40D534C4}"/>
  </hyperlinks>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525128-4BBF-4C43-8E0E-F45B06E13D36}">
  <dimension ref="C2:P19"/>
  <sheetViews>
    <sheetView workbookViewId="0">
      <selection activeCell="E28" sqref="E28"/>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188</v>
      </c>
      <c r="D3" s="231" t="s">
        <v>12</v>
      </c>
      <c r="E3" s="231" t="s">
        <v>10</v>
      </c>
      <c r="F3" s="231" t="s">
        <v>11</v>
      </c>
      <c r="G3" s="1"/>
      <c r="H3" s="211" t="s">
        <v>188</v>
      </c>
      <c r="I3" s="231" t="s">
        <v>12</v>
      </c>
      <c r="J3" s="231" t="s">
        <v>10</v>
      </c>
      <c r="K3" s="231" t="s">
        <v>11</v>
      </c>
      <c r="L3" s="1"/>
      <c r="M3" s="211" t="s">
        <v>188</v>
      </c>
      <c r="N3" s="231" t="s">
        <v>12</v>
      </c>
      <c r="O3" s="231" t="s">
        <v>10</v>
      </c>
      <c r="P3" s="231" t="s">
        <v>11</v>
      </c>
    </row>
    <row r="4" spans="3:16" x14ac:dyDescent="0.2">
      <c r="C4" s="25" t="str">
        <f>'Focus Strategies Data All'!A24</f>
        <v>winterwheat</v>
      </c>
      <c r="D4" s="210">
        <f>'Focus Strategies Data All'!B24</f>
        <v>200</v>
      </c>
      <c r="E4" s="210">
        <f>'Focus Strategies Data All'!C24</f>
        <v>250</v>
      </c>
      <c r="F4" s="210">
        <f>'Focus Strategies Data All'!D24</f>
        <v>250</v>
      </c>
      <c r="H4" s="25" t="str">
        <f>'Focus Strategies Data All'!F24</f>
        <v>winterwheat</v>
      </c>
      <c r="I4" s="210">
        <f>'Focus Strategies Data All'!G24</f>
        <v>200</v>
      </c>
      <c r="J4" s="210">
        <f>'Focus Strategies Data All'!H24</f>
        <v>200</v>
      </c>
      <c r="K4" s="210">
        <f>'Focus Strategies Data All'!I24</f>
        <v>200</v>
      </c>
      <c r="M4" s="25" t="str">
        <f>'Focus Strategies Data All'!K24</f>
        <v>winterwheat</v>
      </c>
      <c r="N4" s="210">
        <f>'Focus Strategies Data All'!L24</f>
        <v>200</v>
      </c>
      <c r="O4" s="210">
        <f>'Focus Strategies Data All'!M24</f>
        <v>190</v>
      </c>
      <c r="P4" s="210">
        <f>'Focus Strategies Data All'!N24</f>
        <v>190</v>
      </c>
    </row>
    <row r="5" spans="3:16" x14ac:dyDescent="0.2">
      <c r="C5" s="25" t="str">
        <f>'Focus Strategies Data All'!A25</f>
        <v>springwheat</v>
      </c>
      <c r="D5" s="210" t="str">
        <f>'Focus Strategies Data All'!B25</f>
        <v>NA</v>
      </c>
      <c r="E5" s="210" t="str">
        <f>'Focus Strategies Data All'!C25</f>
        <v>NA</v>
      </c>
      <c r="F5" s="210" t="str">
        <f>'Focus Strategies Data All'!D25</f>
        <v>NA</v>
      </c>
      <c r="H5" s="25" t="str">
        <f>'Focus Strategies Data All'!F25</f>
        <v>springwheat</v>
      </c>
      <c r="I5" s="210" t="str">
        <f>'Focus Strategies Data All'!G25</f>
        <v>NA</v>
      </c>
      <c r="J5" s="210" t="str">
        <f>'Focus Strategies Data All'!H25</f>
        <v>NA</v>
      </c>
      <c r="K5" s="210" t="str">
        <f>'Focus Strategies Data All'!I25</f>
        <v>NA</v>
      </c>
      <c r="M5" s="25" t="str">
        <f>'Focus Strategies Data All'!K25</f>
        <v>springwheat</v>
      </c>
      <c r="N5" s="210" t="str">
        <f>'Focus Strategies Data All'!L25</f>
        <v>NA</v>
      </c>
      <c r="O5" s="210" t="str">
        <f>'Focus Strategies Data All'!M25</f>
        <v>NA</v>
      </c>
      <c r="P5" s="210" t="str">
        <f>'Focus Strategies Data All'!N25</f>
        <v>NA</v>
      </c>
    </row>
    <row r="6" spans="3:16" x14ac:dyDescent="0.2">
      <c r="C6" s="25" t="str">
        <f>'Focus Strategies Data All'!A26</f>
        <v>winterbarley</v>
      </c>
      <c r="D6" s="210" t="str">
        <f>'Focus Strategies Data All'!B26</f>
        <v>NA</v>
      </c>
      <c r="E6" s="210" t="str">
        <f>'Focus Strategies Data All'!C26</f>
        <v>NA</v>
      </c>
      <c r="F6" s="210" t="str">
        <f>'Focus Strategies Data All'!D26</f>
        <v>NA</v>
      </c>
      <c r="H6" s="25" t="str">
        <f>'Focus Strategies Data All'!F26</f>
        <v>winterbarley</v>
      </c>
      <c r="I6" s="210">
        <f>'Focus Strategies Data All'!G26</f>
        <v>216</v>
      </c>
      <c r="J6" s="210">
        <f>'Focus Strategies Data All'!H26</f>
        <v>205</v>
      </c>
      <c r="K6" s="210" t="str">
        <f>'Focus Strategies Data All'!I26</f>
        <v>NA</v>
      </c>
      <c r="M6" s="25" t="str">
        <f>'Focus Strategies Data All'!K26</f>
        <v>winterbarley</v>
      </c>
      <c r="N6" s="210" t="str">
        <f>'Focus Strategies Data All'!L26</f>
        <v>NA</v>
      </c>
      <c r="O6" s="210">
        <f>'Focus Strategies Data All'!M26</f>
        <v>195</v>
      </c>
      <c r="P6" s="210">
        <f>'Focus Strategies Data All'!N26</f>
        <v>195</v>
      </c>
    </row>
    <row r="7" spans="3:16" x14ac:dyDescent="0.2">
      <c r="C7" s="25" t="str">
        <f>'Focus Strategies Data All'!A27</f>
        <v>springbarley</v>
      </c>
      <c r="D7" s="210">
        <f>'Focus Strategies Data All'!B27</f>
        <v>200</v>
      </c>
      <c r="E7" s="210">
        <f>'Focus Strategies Data All'!C27</f>
        <v>200</v>
      </c>
      <c r="F7" s="210">
        <f>'Focus Strategies Data All'!D27</f>
        <v>200</v>
      </c>
      <c r="H7" s="25" t="str">
        <f>'Focus Strategies Data All'!F27</f>
        <v>springbarley</v>
      </c>
      <c r="I7" s="210" t="str">
        <f>'Focus Strategies Data All'!G27</f>
        <v>NA</v>
      </c>
      <c r="J7" s="210" t="str">
        <f>'Focus Strategies Data All'!H27</f>
        <v>NA</v>
      </c>
      <c r="K7" s="210">
        <f>'Focus Strategies Data All'!I27</f>
        <v>200</v>
      </c>
      <c r="M7" s="25" t="str">
        <f>'Focus Strategies Data All'!K27</f>
        <v>springbarley</v>
      </c>
      <c r="N7" s="210" t="str">
        <f>'Focus Strategies Data All'!L27</f>
        <v>NA</v>
      </c>
      <c r="O7" s="210" t="str">
        <f>'Focus Strategies Data All'!M27</f>
        <v>NA</v>
      </c>
      <c r="P7" s="210" t="str">
        <f>'Focus Strategies Data All'!N27</f>
        <v>NA</v>
      </c>
    </row>
    <row r="8" spans="3:16" x14ac:dyDescent="0.2">
      <c r="C8" s="25" t="str">
        <f>'Focus Strategies Data All'!A28</f>
        <v>winterbeans</v>
      </c>
      <c r="D8" s="210" t="str">
        <f>'Focus Strategies Data All'!B28</f>
        <v>NA</v>
      </c>
      <c r="E8" s="210" t="str">
        <f>'Focus Strategies Data All'!C28</f>
        <v>NA</v>
      </c>
      <c r="F8" s="210" t="str">
        <f>'Focus Strategies Data All'!D28</f>
        <v>NA</v>
      </c>
      <c r="H8" s="25" t="str">
        <f>'Focus Strategies Data All'!F28</f>
        <v>winterbeans</v>
      </c>
      <c r="I8" s="210" t="str">
        <f>'Focus Strategies Data All'!G28</f>
        <v>NA</v>
      </c>
      <c r="J8" s="210" t="str">
        <f>'Focus Strategies Data All'!H28</f>
        <v>NA</v>
      </c>
      <c r="K8" s="210" t="str">
        <f>'Focus Strategies Data All'!I28</f>
        <v>NA</v>
      </c>
      <c r="M8" s="25" t="str">
        <f>'Focus Strategies Data All'!K28</f>
        <v>winterbeans</v>
      </c>
      <c r="N8" s="210" t="str">
        <f>'Focus Strategies Data All'!L28</f>
        <v>NA</v>
      </c>
      <c r="O8" s="210" t="str">
        <f>'Focus Strategies Data All'!M28</f>
        <v>NA</v>
      </c>
      <c r="P8" s="210" t="str">
        <f>'Focus Strategies Data All'!N28</f>
        <v>NA</v>
      </c>
    </row>
    <row r="9" spans="3:16" x14ac:dyDescent="0.2">
      <c r="C9" s="25" t="str">
        <f>'Focus Strategies Data All'!A29</f>
        <v>springbeans</v>
      </c>
      <c r="D9" s="210">
        <f>'Focus Strategies Data All'!B29</f>
        <v>365</v>
      </c>
      <c r="E9" s="210" t="str">
        <f>'Focus Strategies Data All'!C29</f>
        <v>NA</v>
      </c>
      <c r="F9" s="210">
        <f>'Focus Strategies Data All'!D29</f>
        <v>365</v>
      </c>
      <c r="H9" s="25" t="str">
        <f>'Focus Strategies Data All'!F29</f>
        <v>springbeans</v>
      </c>
      <c r="I9" s="210">
        <f>'Focus Strategies Data All'!G29</f>
        <v>305</v>
      </c>
      <c r="J9" s="210">
        <f>'Focus Strategies Data All'!H29</f>
        <v>305</v>
      </c>
      <c r="K9" s="210" t="str">
        <f>'Focus Strategies Data All'!I29</f>
        <v>NA</v>
      </c>
      <c r="M9" s="25" t="str">
        <f>'Focus Strategies Data All'!K29</f>
        <v>springbeans</v>
      </c>
      <c r="N9" s="210" t="str">
        <f>'Focus Strategies Data All'!L29</f>
        <v>NA</v>
      </c>
      <c r="O9" s="210">
        <f>'Focus Strategies Data All'!M29</f>
        <v>305</v>
      </c>
      <c r="P9" s="210">
        <f>'Focus Strategies Data All'!N29</f>
        <v>305</v>
      </c>
    </row>
    <row r="10" spans="3:16" x14ac:dyDescent="0.2">
      <c r="C10" s="25" t="str">
        <f>'Focus Strategies Data All'!A30</f>
        <v>warepotatoes</v>
      </c>
      <c r="D10" s="210" t="str">
        <f>'Focus Strategies Data All'!B30</f>
        <v>NA</v>
      </c>
      <c r="E10" s="210" t="str">
        <f>'Focus Strategies Data All'!C30</f>
        <v>NA</v>
      </c>
      <c r="F10" s="210" t="str">
        <f>'Focus Strategies Data All'!D30</f>
        <v>NA</v>
      </c>
      <c r="H10" s="25" t="str">
        <f>'Focus Strategies Data All'!F30</f>
        <v>warepotatoes</v>
      </c>
      <c r="I10" s="210" t="str">
        <f>'Focus Strategies Data All'!G30</f>
        <v>NA</v>
      </c>
      <c r="J10" s="210" t="str">
        <f>'Focus Strategies Data All'!H30</f>
        <v>NA</v>
      </c>
      <c r="K10" s="210" t="str">
        <f>'Focus Strategies Data All'!I30</f>
        <v>NA</v>
      </c>
      <c r="M10" s="25" t="str">
        <f>'Focus Strategies Data All'!K30</f>
        <v>warepotatoes</v>
      </c>
      <c r="N10" s="210" t="str">
        <f>'Focus Strategies Data All'!L30</f>
        <v>NA</v>
      </c>
      <c r="O10" s="210" t="str">
        <f>'Focus Strategies Data All'!M30</f>
        <v>NA</v>
      </c>
      <c r="P10" s="210" t="str">
        <f>'Focus Strategies Data All'!N30</f>
        <v>NA</v>
      </c>
    </row>
    <row r="11" spans="3:16" x14ac:dyDescent="0.2">
      <c r="C11" s="25" t="str">
        <f>'Focus Strategies Data All'!A31</f>
        <v>wosr</v>
      </c>
      <c r="D11" s="210" t="str">
        <f>'Focus Strategies Data All'!B31</f>
        <v>NA</v>
      </c>
      <c r="E11" s="210">
        <f>'Focus Strategies Data All'!C31</f>
        <v>3.2</v>
      </c>
      <c r="F11" s="210">
        <f>'Focus Strategies Data All'!D31</f>
        <v>3.2</v>
      </c>
      <c r="H11" s="25" t="str">
        <f>'Focus Strategies Data All'!F31</f>
        <v>wosr</v>
      </c>
      <c r="I11" s="210">
        <f>'Focus Strategies Data All'!G31</f>
        <v>3.2</v>
      </c>
      <c r="J11" s="210" t="str">
        <f>'Focus Strategies Data All'!H31</f>
        <v>NA</v>
      </c>
      <c r="K11" s="210">
        <f>'Focus Strategies Data All'!I31</f>
        <v>3.2</v>
      </c>
      <c r="M11" s="25" t="str">
        <f>'Focus Strategies Data All'!K31</f>
        <v>wosr</v>
      </c>
      <c r="N11" s="210">
        <f>'Focus Strategies Data All'!L31</f>
        <v>3.2</v>
      </c>
      <c r="O11" s="210">
        <f>'Focus Strategies Data All'!M31</f>
        <v>3.2</v>
      </c>
      <c r="P11" s="210">
        <f>'Focus Strategies Data All'!N31</f>
        <v>3.2</v>
      </c>
    </row>
    <row r="12" spans="3:16" x14ac:dyDescent="0.2">
      <c r="C12" s="25" t="str">
        <f>'Focus Strategies Data All'!A32</f>
        <v>sosr</v>
      </c>
      <c r="D12" s="210" t="str">
        <f>'Focus Strategies Data All'!B32</f>
        <v>NA</v>
      </c>
      <c r="E12" s="210">
        <f>'Focus Strategies Data All'!C32</f>
        <v>4.8</v>
      </c>
      <c r="F12" s="210" t="str">
        <f>'Focus Strategies Data All'!D32</f>
        <v>NA</v>
      </c>
      <c r="H12" s="25" t="str">
        <f>'Focus Strategies Data All'!F32</f>
        <v>sosr</v>
      </c>
      <c r="I12" s="210" t="str">
        <f>'Focus Strategies Data All'!G32</f>
        <v>NA</v>
      </c>
      <c r="J12" s="210" t="str">
        <f>'Focus Strategies Data All'!H32</f>
        <v>NA</v>
      </c>
      <c r="K12" s="210" t="str">
        <f>'Focus Strategies Data All'!I32</f>
        <v>NA</v>
      </c>
      <c r="M12" s="25" t="str">
        <f>'Focus Strategies Data All'!K32</f>
        <v>sosr</v>
      </c>
      <c r="N12" s="210" t="str">
        <f>'Focus Strategies Data All'!L32</f>
        <v>NA</v>
      </c>
      <c r="O12" s="210" t="str">
        <f>'Focus Strategies Data All'!M32</f>
        <v>NA</v>
      </c>
      <c r="P12" s="210" t="str">
        <f>'Focus Strategies Data All'!N32</f>
        <v>NA</v>
      </c>
    </row>
    <row r="13" spans="3:16" x14ac:dyDescent="0.2">
      <c r="C13" s="25" t="str">
        <f>'Focus Strategies Data All'!A33</f>
        <v>sugarbeet</v>
      </c>
      <c r="D13" s="210">
        <f>'Focus Strategies Data All'!B33</f>
        <v>1.25</v>
      </c>
      <c r="E13" s="210" t="str">
        <f>'Focus Strategies Data All'!C33</f>
        <v>NA</v>
      </c>
      <c r="F13" s="210" t="str">
        <f>'Focus Strategies Data All'!D33</f>
        <v>NA</v>
      </c>
      <c r="H13" s="25" t="str">
        <f>'Focus Strategies Data All'!F33</f>
        <v>sugarbeet</v>
      </c>
      <c r="I13" s="210" t="str">
        <f>'Focus Strategies Data All'!G33</f>
        <v>NA</v>
      </c>
      <c r="J13" s="210" t="str">
        <f>'Focus Strategies Data All'!H33</f>
        <v>NA</v>
      </c>
      <c r="K13" s="210" t="str">
        <f>'Focus Strategies Data All'!I33</f>
        <v>NA</v>
      </c>
      <c r="M13" s="25" t="str">
        <f>'Focus Strategies Data All'!K33</f>
        <v>sugarbeet</v>
      </c>
      <c r="N13" s="210" t="str">
        <f>'Focus Strategies Data All'!L33</f>
        <v>NA</v>
      </c>
      <c r="O13" s="210" t="str">
        <f>'Focus Strategies Data All'!M33</f>
        <v>NA</v>
      </c>
      <c r="P13" s="210" t="str">
        <f>'Focus Strategies Data All'!N33</f>
        <v>NA</v>
      </c>
    </row>
    <row r="14" spans="3:16" x14ac:dyDescent="0.2">
      <c r="C14" s="25" t="str">
        <f>'Focus Strategies Data All'!A34</f>
        <v>winterlinseed</v>
      </c>
      <c r="D14" s="210" t="str">
        <f>'Focus Strategies Data All'!B34</f>
        <v>NA</v>
      </c>
      <c r="E14" s="210" t="str">
        <f>'Focus Strategies Data All'!C34</f>
        <v>NA</v>
      </c>
      <c r="F14" s="210" t="str">
        <f>'Focus Strategies Data All'!D34</f>
        <v>NA</v>
      </c>
      <c r="H14" s="25" t="str">
        <f>'Focus Strategies Data All'!F34</f>
        <v>winterlinseed</v>
      </c>
      <c r="I14" s="210" t="str">
        <f>'Focus Strategies Data All'!G34</f>
        <v>NA</v>
      </c>
      <c r="J14" s="210" t="str">
        <f>'Focus Strategies Data All'!H34</f>
        <v>NA</v>
      </c>
      <c r="K14" s="210" t="str">
        <f>'Focus Strategies Data All'!I34</f>
        <v>NA</v>
      </c>
      <c r="M14" s="25" t="str">
        <f>'Focus Strategies Data All'!K34</f>
        <v>winterlinseed</v>
      </c>
      <c r="N14" s="210" t="str">
        <f>'Focus Strategies Data All'!L34</f>
        <v>NA</v>
      </c>
      <c r="O14" s="210" t="str">
        <f>'Focus Strategies Data All'!M34</f>
        <v>NA</v>
      </c>
      <c r="P14" s="210" t="str">
        <f>'Focus Strategies Data All'!N34</f>
        <v>NA</v>
      </c>
    </row>
    <row r="15" spans="3:16" x14ac:dyDescent="0.2">
      <c r="C15" s="25" t="str">
        <f>'Focus Strategies Data All'!A35</f>
        <v>springlinseed</v>
      </c>
      <c r="D15" s="210">
        <f>'Focus Strategies Data All'!B35</f>
        <v>52</v>
      </c>
      <c r="E15" s="210" t="str">
        <f>'Focus Strategies Data All'!C35</f>
        <v>NA</v>
      </c>
      <c r="F15" s="210" t="str">
        <f>'Focus Strategies Data All'!D35</f>
        <v>NA</v>
      </c>
      <c r="H15" s="25" t="str">
        <f>'Focus Strategies Data All'!F35</f>
        <v>springlinseed</v>
      </c>
      <c r="I15" s="210" t="str">
        <f>'Focus Strategies Data All'!G35</f>
        <v>NA</v>
      </c>
      <c r="J15" s="210" t="str">
        <f>'Focus Strategies Data All'!H35</f>
        <v>NA</v>
      </c>
      <c r="K15" s="210" t="str">
        <f>'Focus Strategies Data All'!I35</f>
        <v>NA</v>
      </c>
      <c r="M15" s="25" t="str">
        <f>'Focus Strategies Data All'!K35</f>
        <v>springlinseed</v>
      </c>
      <c r="N15" s="210" t="str">
        <f>'Focus Strategies Data All'!L35</f>
        <v>NA</v>
      </c>
      <c r="O15" s="210" t="str">
        <f>'Focus Strategies Data All'!M35</f>
        <v>NA</v>
      </c>
      <c r="P15" s="210" t="str">
        <f>'Focus Strategies Data All'!N35</f>
        <v>NA</v>
      </c>
    </row>
    <row r="16" spans="3:16" x14ac:dyDescent="0.2">
      <c r="C16" s="25" t="str">
        <f>'Focus Strategies Data All'!A36</f>
        <v>driedpeas</v>
      </c>
      <c r="D16" s="210">
        <f>'Focus Strategies Data All'!B36</f>
        <v>300</v>
      </c>
      <c r="E16" s="210" t="str">
        <f>'Focus Strategies Data All'!C36</f>
        <v>NA</v>
      </c>
      <c r="F16" s="210">
        <f>'Focus Strategies Data All'!D36</f>
        <v>300</v>
      </c>
      <c r="H16" s="25" t="str">
        <f>'Focus Strategies Data All'!F36</f>
        <v>driedpeas</v>
      </c>
      <c r="I16" s="210">
        <f>'Focus Strategies Data All'!G36</f>
        <v>300</v>
      </c>
      <c r="J16" s="210">
        <f>'Focus Strategies Data All'!H36</f>
        <v>300</v>
      </c>
      <c r="K16" s="210" t="str">
        <f>'Focus Strategies Data All'!I36</f>
        <v>NA</v>
      </c>
      <c r="M16" s="25" t="str">
        <f>'Focus Strategies Data All'!K36</f>
        <v>driedpeas</v>
      </c>
      <c r="N16" s="210" t="str">
        <f>'Focus Strategies Data All'!L36</f>
        <v>NA</v>
      </c>
      <c r="O16" s="210">
        <f>'Focus Strategies Data All'!M36</f>
        <v>300</v>
      </c>
      <c r="P16" s="210">
        <f>'Focus Strategies Data All'!N36</f>
        <v>300</v>
      </c>
    </row>
    <row r="17" spans="3:16" x14ac:dyDescent="0.2">
      <c r="C17" s="25" t="str">
        <f>'Focus Strategies Data All'!A37</f>
        <v>setaside</v>
      </c>
      <c r="D17" s="210" t="str">
        <f>'Focus Strategies Data All'!B37</f>
        <v>NA</v>
      </c>
      <c r="E17" s="210">
        <f>'Focus Strategies Data All'!C37</f>
        <v>0</v>
      </c>
      <c r="F17" s="210" t="str">
        <f>'Focus Strategies Data All'!D37</f>
        <v>NA</v>
      </c>
      <c r="H17" s="25" t="str">
        <f>'Focus Strategies Data All'!F37</f>
        <v>setaside</v>
      </c>
      <c r="I17" s="210" t="str">
        <f>'Focus Strategies Data All'!G37</f>
        <v>NA</v>
      </c>
      <c r="J17" s="210" t="str">
        <f>'Focus Strategies Data All'!H37</f>
        <v>NA</v>
      </c>
      <c r="K17" s="210" t="str">
        <f>'Focus Strategies Data All'!I37</f>
        <v>NA</v>
      </c>
      <c r="M17" s="25" t="str">
        <f>'Focus Strategies Data All'!K37</f>
        <v>setaside</v>
      </c>
      <c r="N17" s="210" t="str">
        <f>'Focus Strategies Data All'!L37</f>
        <v>NA</v>
      </c>
      <c r="O17" s="210" t="str">
        <f>'Focus Strategies Data All'!M37</f>
        <v>NA</v>
      </c>
      <c r="P17" s="210" t="str">
        <f>'Focus Strategies Data All'!N37</f>
        <v>NA</v>
      </c>
    </row>
    <row r="18" spans="3:16" x14ac:dyDescent="0.2">
      <c r="C18" t="s">
        <v>270</v>
      </c>
      <c r="D18" s="210">
        <v>194</v>
      </c>
      <c r="E18" s="210" t="s">
        <v>249</v>
      </c>
      <c r="F18" s="210" t="s">
        <v>249</v>
      </c>
    </row>
    <row r="19" spans="3:16" x14ac:dyDescent="0.2">
      <c r="C19" t="s">
        <v>303</v>
      </c>
      <c r="D19" s="210" t="str">
        <f>'Focus Strategies Data All'!B41</f>
        <v>East</v>
      </c>
      <c r="E19" s="210" t="str">
        <f>'Focus Strategies Data All'!C41</f>
        <v>North</v>
      </c>
      <c r="F19" s="210" t="str">
        <f>'Focus Strategies Data All'!D41</f>
        <v>Central</v>
      </c>
    </row>
  </sheetData>
  <mergeCells count="3">
    <mergeCell ref="C2:F2"/>
    <mergeCell ref="H2:K2"/>
    <mergeCell ref="M2:P2"/>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CF633-0C6A-4696-BA65-E8BB136933A3}">
  <dimension ref="C2:P19"/>
  <sheetViews>
    <sheetView workbookViewId="0">
      <selection activeCell="D7" sqref="D7"/>
    </sheetView>
  </sheetViews>
  <sheetFormatPr baseColWidth="10" defaultColWidth="8.83203125" defaultRowHeight="15" x14ac:dyDescent="0.2"/>
  <cols>
    <col min="3" max="3" width="19.33203125" customWidth="1"/>
    <col min="8" max="8" width="18.6640625" customWidth="1"/>
    <col min="13" max="13" width="20" customWidth="1"/>
  </cols>
  <sheetData>
    <row r="2" spans="3:16" x14ac:dyDescent="0.2">
      <c r="C2" s="415" t="s">
        <v>274</v>
      </c>
      <c r="D2" s="415"/>
      <c r="E2" s="415"/>
      <c r="F2" s="415"/>
      <c r="H2" s="415" t="s">
        <v>275</v>
      </c>
      <c r="I2" s="415"/>
      <c r="J2" s="415"/>
      <c r="K2" s="415"/>
      <c r="M2" s="415" t="s">
        <v>276</v>
      </c>
      <c r="N2" s="415"/>
      <c r="O2" s="415"/>
      <c r="P2" s="415"/>
    </row>
    <row r="3" spans="3:16" ht="32" x14ac:dyDescent="0.2">
      <c r="C3" s="340" t="s">
        <v>216</v>
      </c>
      <c r="D3" s="231" t="s">
        <v>12</v>
      </c>
      <c r="E3" s="231" t="s">
        <v>10</v>
      </c>
      <c r="F3" s="231" t="s">
        <v>11</v>
      </c>
      <c r="G3" s="1"/>
      <c r="H3" s="340" t="s">
        <v>216</v>
      </c>
      <c r="I3" s="231" t="s">
        <v>12</v>
      </c>
      <c r="J3" s="231" t="s">
        <v>10</v>
      </c>
      <c r="K3" s="231" t="s">
        <v>11</v>
      </c>
      <c r="L3" s="1"/>
      <c r="M3" s="340" t="s">
        <v>216</v>
      </c>
      <c r="N3" s="231" t="s">
        <v>12</v>
      </c>
      <c r="O3" s="231" t="s">
        <v>10</v>
      </c>
      <c r="P3" s="231" t="s">
        <v>11</v>
      </c>
    </row>
    <row r="4" spans="3:16" x14ac:dyDescent="0.2">
      <c r="C4" s="25" t="str">
        <f>'Focus Strategies Data All'!A78</f>
        <v>winterwheat</v>
      </c>
      <c r="D4" s="210">
        <f>'Focus Strategies Data All'!B78</f>
        <v>10.84</v>
      </c>
      <c r="E4" s="210">
        <f>'Focus Strategies Data All'!C78</f>
        <v>9.3000000000000007</v>
      </c>
      <c r="F4" s="210">
        <f>'Focus Strategies Data All'!D78</f>
        <v>11.9</v>
      </c>
      <c r="H4" s="25" t="str">
        <f>'Focus Strategies Data All'!F78</f>
        <v>winterwheat</v>
      </c>
      <c r="I4" s="210">
        <f>'Focus Strategies Data All'!G78</f>
        <v>5.6</v>
      </c>
      <c r="J4" s="210">
        <f>'Focus Strategies Data All'!H78</f>
        <v>9.3000000000000007</v>
      </c>
      <c r="K4" s="210">
        <f>'Focus Strategies Data All'!I78</f>
        <v>2.9</v>
      </c>
      <c r="M4" s="25" t="str">
        <f>'Focus Strategies Data All'!K78</f>
        <v>winterwheat</v>
      </c>
      <c r="N4" s="210">
        <f>'Focus Strategies Data All'!L78</f>
        <v>5</v>
      </c>
      <c r="O4" s="210">
        <f>'Focus Strategies Data All'!M78</f>
        <v>1</v>
      </c>
      <c r="P4" s="210">
        <f>'Focus Strategies Data All'!N78</f>
        <v>1</v>
      </c>
    </row>
    <row r="5" spans="3:16" x14ac:dyDescent="0.2">
      <c r="C5" s="25" t="str">
        <f>'Focus Strategies Data All'!A79</f>
        <v>springwheat</v>
      </c>
      <c r="D5" s="210" t="str">
        <f>'Focus Strategies Data All'!B79</f>
        <v>NA</v>
      </c>
      <c r="E5" s="210" t="str">
        <f>'Focus Strategies Data All'!C79</f>
        <v>NA</v>
      </c>
      <c r="F5" s="210" t="str">
        <f>'Focus Strategies Data All'!D79</f>
        <v>NA</v>
      </c>
      <c r="H5" s="25" t="str">
        <f>'Focus Strategies Data All'!F79</f>
        <v>springwheat</v>
      </c>
      <c r="I5" s="210" t="str">
        <f>'Focus Strategies Data All'!G79</f>
        <v>NA</v>
      </c>
      <c r="J5" s="210" t="str">
        <f>'Focus Strategies Data All'!H79</f>
        <v>NA</v>
      </c>
      <c r="K5" s="210" t="str">
        <f>'Focus Strategies Data All'!I79</f>
        <v>NA</v>
      </c>
      <c r="M5" s="25" t="str">
        <f>'Focus Strategies Data All'!K79</f>
        <v>springwheat</v>
      </c>
      <c r="N5" s="210" t="str">
        <f>'Focus Strategies Data All'!L79</f>
        <v>NA</v>
      </c>
      <c r="O5" s="210" t="str">
        <f>'Focus Strategies Data All'!M79</f>
        <v>NA</v>
      </c>
      <c r="P5" s="210" t="str">
        <f>'Focus Strategies Data All'!N79</f>
        <v>NA</v>
      </c>
    </row>
    <row r="6" spans="3:16" x14ac:dyDescent="0.2">
      <c r="C6" s="25" t="str">
        <f>'Focus Strategies Data All'!A80</f>
        <v>winterbarley</v>
      </c>
      <c r="D6" s="210" t="str">
        <f>'Focus Strategies Data All'!B80</f>
        <v>NA</v>
      </c>
      <c r="E6" s="210" t="str">
        <f>'Focus Strategies Data All'!C80</f>
        <v>NA</v>
      </c>
      <c r="F6" s="210" t="str">
        <f>'Focus Strategies Data All'!D80</f>
        <v>NA</v>
      </c>
      <c r="H6" s="25" t="str">
        <f>'Focus Strategies Data All'!F80</f>
        <v>winterbarley</v>
      </c>
      <c r="I6" s="210">
        <f>'Focus Strategies Data All'!G80</f>
        <v>8.6</v>
      </c>
      <c r="J6" s="210">
        <f>'Focus Strategies Data All'!H80</f>
        <v>4.5999999999999996</v>
      </c>
      <c r="K6" s="210" t="str">
        <f>'Focus Strategies Data All'!I80</f>
        <v>NA</v>
      </c>
      <c r="M6" s="25" t="str">
        <f>'Focus Strategies Data All'!K80</f>
        <v>winterbarley</v>
      </c>
      <c r="N6" s="210" t="str">
        <f>'Focus Strategies Data All'!L80</f>
        <v>NA</v>
      </c>
      <c r="O6" s="210">
        <f>'Focus Strategies Data All'!M80</f>
        <v>0.4</v>
      </c>
      <c r="P6" s="210">
        <f>'Focus Strategies Data All'!N80</f>
        <v>0.4</v>
      </c>
    </row>
    <row r="7" spans="3:16" x14ac:dyDescent="0.2">
      <c r="C7" s="25" t="str">
        <f>'Focus Strategies Data All'!A81</f>
        <v>springbarley</v>
      </c>
      <c r="D7" s="210">
        <f>'Focus Strategies Data All'!B81</f>
        <v>0.25</v>
      </c>
      <c r="E7" s="210">
        <f>'Focus Strategies Data All'!C81</f>
        <v>4</v>
      </c>
      <c r="F7" s="210">
        <f>'Focus Strategies Data All'!D81</f>
        <v>0.4</v>
      </c>
      <c r="H7" s="25" t="str">
        <f>'Focus Strategies Data All'!F81</f>
        <v>springbarley</v>
      </c>
      <c r="I7" s="210" t="str">
        <f>'Focus Strategies Data All'!G81</f>
        <v>NA</v>
      </c>
      <c r="J7" s="210" t="str">
        <f>'Focus Strategies Data All'!H81</f>
        <v>NA</v>
      </c>
      <c r="K7" s="210">
        <f>'Focus Strategies Data All'!I81</f>
        <v>0.4</v>
      </c>
      <c r="M7" s="25" t="str">
        <f>'Focus Strategies Data All'!K81</f>
        <v>springbarley</v>
      </c>
      <c r="N7" s="210" t="str">
        <f>'Focus Strategies Data All'!L81</f>
        <v>NA</v>
      </c>
      <c r="O7" s="210" t="str">
        <f>'Focus Strategies Data All'!M81</f>
        <v>NA</v>
      </c>
      <c r="P7" s="210" t="str">
        <f>'Focus Strategies Data All'!N81</f>
        <v>NA</v>
      </c>
    </row>
    <row r="8" spans="3:16" x14ac:dyDescent="0.2">
      <c r="C8" s="25" t="str">
        <f>'Focus Strategies Data All'!A82</f>
        <v>winterbeans</v>
      </c>
      <c r="D8" s="210" t="str">
        <f>'Focus Strategies Data All'!B82</f>
        <v>NA</v>
      </c>
      <c r="E8" s="210" t="str">
        <f>'Focus Strategies Data All'!C82</f>
        <v>NA</v>
      </c>
      <c r="F8" s="210" t="str">
        <f>'Focus Strategies Data All'!D82</f>
        <v>NA</v>
      </c>
      <c r="H8" s="25" t="str">
        <f>'Focus Strategies Data All'!F82</f>
        <v>winterbeans</v>
      </c>
      <c r="I8" s="210" t="str">
        <f>'Focus Strategies Data All'!G82</f>
        <v>NA</v>
      </c>
      <c r="J8" s="210" t="str">
        <f>'Focus Strategies Data All'!H82</f>
        <v>NA</v>
      </c>
      <c r="K8" s="210" t="str">
        <f>'Focus Strategies Data All'!I82</f>
        <v>NA</v>
      </c>
      <c r="M8" s="25" t="str">
        <f>'Focus Strategies Data All'!K82</f>
        <v>winterbeans</v>
      </c>
      <c r="N8" s="210" t="str">
        <f>'Focus Strategies Data All'!L82</f>
        <v>NA</v>
      </c>
      <c r="O8" s="210" t="str">
        <f>'Focus Strategies Data All'!M82</f>
        <v>NA</v>
      </c>
      <c r="P8" s="210" t="str">
        <f>'Focus Strategies Data All'!N82</f>
        <v>NA</v>
      </c>
    </row>
    <row r="9" spans="3:16" x14ac:dyDescent="0.2">
      <c r="C9" s="25" t="str">
        <f>'Focus Strategies Data All'!A83</f>
        <v>springbeans</v>
      </c>
      <c r="D9" s="210">
        <f>'Focus Strategies Data All'!B83</f>
        <v>9</v>
      </c>
      <c r="E9" s="210" t="str">
        <f>'Focus Strategies Data All'!C83</f>
        <v>NA</v>
      </c>
      <c r="F9" s="210">
        <f>'Focus Strategies Data All'!D83</f>
        <v>4</v>
      </c>
      <c r="H9" s="25" t="str">
        <f>'Focus Strategies Data All'!F83</f>
        <v>springbeans</v>
      </c>
      <c r="I9" s="210">
        <f>'Focus Strategies Data All'!G83</f>
        <v>5.5</v>
      </c>
      <c r="J9" s="210">
        <f>'Focus Strategies Data All'!H83</f>
        <v>5.35</v>
      </c>
      <c r="K9" s="210" t="str">
        <f>'Focus Strategies Data All'!I83</f>
        <v>NA</v>
      </c>
      <c r="M9" s="25" t="str">
        <f>'Focus Strategies Data All'!K83</f>
        <v>springbeans</v>
      </c>
      <c r="N9" s="210" t="str">
        <f>'Focus Strategies Data All'!L83</f>
        <v>NA</v>
      </c>
      <c r="O9" s="210">
        <f>'Focus Strategies Data All'!M83</f>
        <v>4</v>
      </c>
      <c r="P9" s="210">
        <f>'Focus Strategies Data All'!N83</f>
        <v>4</v>
      </c>
    </row>
    <row r="10" spans="3:16" x14ac:dyDescent="0.2">
      <c r="C10" s="25" t="str">
        <f>'Focus Strategies Data All'!A84</f>
        <v>warepotatoes</v>
      </c>
      <c r="D10" s="210" t="str">
        <f>'Focus Strategies Data All'!B84</f>
        <v>NA</v>
      </c>
      <c r="E10" s="210" t="str">
        <f>'Focus Strategies Data All'!C84</f>
        <v>NA</v>
      </c>
      <c r="F10" s="210" t="str">
        <f>'Focus Strategies Data All'!D84</f>
        <v>NA</v>
      </c>
      <c r="H10" s="25" t="str">
        <f>'Focus Strategies Data All'!F84</f>
        <v>warepotatoes</v>
      </c>
      <c r="I10" s="210" t="str">
        <f>'Focus Strategies Data All'!G84</f>
        <v>NA</v>
      </c>
      <c r="J10" s="210" t="str">
        <f>'Focus Strategies Data All'!H84</f>
        <v>NA</v>
      </c>
      <c r="K10" s="210" t="str">
        <f>'Focus Strategies Data All'!I84</f>
        <v>NA</v>
      </c>
      <c r="M10" s="25" t="str">
        <f>'Focus Strategies Data All'!K84</f>
        <v>warepotatoes</v>
      </c>
      <c r="N10" s="210" t="str">
        <f>'Focus Strategies Data All'!L84</f>
        <v>NA</v>
      </c>
      <c r="O10" s="210" t="str">
        <f>'Focus Strategies Data All'!M84</f>
        <v>NA</v>
      </c>
      <c r="P10" s="210" t="str">
        <f>'Focus Strategies Data All'!N84</f>
        <v>NA</v>
      </c>
    </row>
    <row r="11" spans="3:16" x14ac:dyDescent="0.2">
      <c r="C11" s="25" t="str">
        <f>'Focus Strategies Data All'!A85</f>
        <v>wosr</v>
      </c>
      <c r="D11" s="210" t="str">
        <f>'Focus Strategies Data All'!B85</f>
        <v>NA</v>
      </c>
      <c r="E11" s="210">
        <f>'Focus Strategies Data All'!C85</f>
        <v>3.1</v>
      </c>
      <c r="F11" s="210">
        <f>'Focus Strategies Data All'!D85</f>
        <v>3.8</v>
      </c>
      <c r="H11" s="25" t="str">
        <f>'Focus Strategies Data All'!F85</f>
        <v>wosr</v>
      </c>
      <c r="I11" s="210">
        <f>'Focus Strategies Data All'!G85</f>
        <v>3.1</v>
      </c>
      <c r="J11" s="210" t="str">
        <f>'Focus Strategies Data All'!H85</f>
        <v>NA</v>
      </c>
      <c r="K11" s="210">
        <f>'Focus Strategies Data All'!I85</f>
        <v>7.7</v>
      </c>
      <c r="M11" s="25" t="str">
        <f>'Focus Strategies Data All'!K85</f>
        <v>wosr</v>
      </c>
      <c r="N11" s="210">
        <f>'Focus Strategies Data All'!L85</f>
        <v>0</v>
      </c>
      <c r="O11" s="210">
        <f>'Focus Strategies Data All'!M85</f>
        <v>2</v>
      </c>
      <c r="P11" s="210">
        <f>'Focus Strategies Data All'!N85</f>
        <v>2</v>
      </c>
    </row>
    <row r="12" spans="3:16" x14ac:dyDescent="0.2">
      <c r="C12" s="25" t="str">
        <f>'Focus Strategies Data All'!A86</f>
        <v>sosr</v>
      </c>
      <c r="D12" s="210" t="str">
        <f>'Focus Strategies Data All'!B86</f>
        <v>NA</v>
      </c>
      <c r="E12" s="210">
        <f>'Focus Strategies Data All'!C86</f>
        <v>0</v>
      </c>
      <c r="F12" s="210" t="str">
        <f>'Focus Strategies Data All'!D86</f>
        <v>NA</v>
      </c>
      <c r="H12" s="25" t="str">
        <f>'Focus Strategies Data All'!F86</f>
        <v>sosr</v>
      </c>
      <c r="I12" s="210" t="str">
        <f>'Focus Strategies Data All'!G86</f>
        <v>NA</v>
      </c>
      <c r="J12" s="210" t="str">
        <f>'Focus Strategies Data All'!H86</f>
        <v>NA</v>
      </c>
      <c r="K12" s="210" t="str">
        <f>'Focus Strategies Data All'!I86</f>
        <v>NA</v>
      </c>
      <c r="M12" s="25" t="str">
        <f>'Focus Strategies Data All'!K86</f>
        <v>sosr</v>
      </c>
      <c r="N12" s="210" t="str">
        <f>'Focus Strategies Data All'!L86</f>
        <v>NA</v>
      </c>
      <c r="O12" s="210" t="str">
        <f>'Focus Strategies Data All'!M86</f>
        <v>NA</v>
      </c>
      <c r="P12" s="210" t="str">
        <f>'Focus Strategies Data All'!N86</f>
        <v>NA</v>
      </c>
    </row>
    <row r="13" spans="3:16" x14ac:dyDescent="0.2">
      <c r="C13" s="25" t="str">
        <f>'Focus Strategies Data All'!A87</f>
        <v>sugarbeet</v>
      </c>
      <c r="D13" s="210">
        <f>'Focus Strategies Data All'!B87</f>
        <v>8.5500000000000007</v>
      </c>
      <c r="E13" s="210" t="str">
        <f>'Focus Strategies Data All'!C87</f>
        <v>NA</v>
      </c>
      <c r="F13" s="210" t="str">
        <f>'Focus Strategies Data All'!D87</f>
        <v>NA</v>
      </c>
      <c r="H13" s="25" t="str">
        <f>'Focus Strategies Data All'!F87</f>
        <v>sugarbeet</v>
      </c>
      <c r="I13" s="210" t="str">
        <f>'Focus Strategies Data All'!G87</f>
        <v>NA</v>
      </c>
      <c r="J13" s="210" t="str">
        <f>'Focus Strategies Data All'!H87</f>
        <v>NA</v>
      </c>
      <c r="K13" s="210" t="str">
        <f>'Focus Strategies Data All'!I87</f>
        <v>NA</v>
      </c>
      <c r="M13" s="25" t="str">
        <f>'Focus Strategies Data All'!K87</f>
        <v>sugarbeet</v>
      </c>
      <c r="N13" s="210" t="str">
        <f>'Focus Strategies Data All'!L87</f>
        <v>NA</v>
      </c>
      <c r="O13" s="210" t="str">
        <f>'Focus Strategies Data All'!M87</f>
        <v>NA</v>
      </c>
      <c r="P13" s="210" t="str">
        <f>'Focus Strategies Data All'!N87</f>
        <v>NA</v>
      </c>
    </row>
    <row r="14" spans="3:16" x14ac:dyDescent="0.2">
      <c r="C14" s="25" t="str">
        <f>'Focus Strategies Data All'!A88</f>
        <v>winterlinseed</v>
      </c>
      <c r="D14" s="210" t="str">
        <f>'Focus Strategies Data All'!B88</f>
        <v>NA</v>
      </c>
      <c r="E14" s="210" t="str">
        <f>'Focus Strategies Data All'!C88</f>
        <v>NA</v>
      </c>
      <c r="F14" s="210" t="str">
        <f>'Focus Strategies Data All'!D88</f>
        <v>NA</v>
      </c>
      <c r="H14" s="25" t="str">
        <f>'Focus Strategies Data All'!F88</f>
        <v>winterlinseed</v>
      </c>
      <c r="I14" s="210" t="str">
        <f>'Focus Strategies Data All'!G88</f>
        <v>NA</v>
      </c>
      <c r="J14" s="210" t="str">
        <f>'Focus Strategies Data All'!H88</f>
        <v>NA</v>
      </c>
      <c r="K14" s="210" t="str">
        <f>'Focus Strategies Data All'!I88</f>
        <v>NA</v>
      </c>
      <c r="M14" s="25" t="str">
        <f>'Focus Strategies Data All'!K88</f>
        <v>winterlinseed</v>
      </c>
      <c r="N14" s="210" t="str">
        <f>'Focus Strategies Data All'!L88</f>
        <v>NA</v>
      </c>
      <c r="O14" s="210" t="str">
        <f>'Focus Strategies Data All'!M88</f>
        <v>NA</v>
      </c>
      <c r="P14" s="210" t="str">
        <f>'Focus Strategies Data All'!N88</f>
        <v>NA</v>
      </c>
    </row>
    <row r="15" spans="3:16" x14ac:dyDescent="0.2">
      <c r="C15" s="25" t="str">
        <f>'Focus Strategies Data All'!A89</f>
        <v>springlinseed</v>
      </c>
      <c r="D15" s="210">
        <f>'Focus Strategies Data All'!B89</f>
        <v>5</v>
      </c>
      <c r="E15" s="210" t="str">
        <f>'Focus Strategies Data All'!C89</f>
        <v>NA</v>
      </c>
      <c r="F15" s="210" t="str">
        <f>'Focus Strategies Data All'!D89</f>
        <v>NA</v>
      </c>
      <c r="H15" s="25" t="str">
        <f>'Focus Strategies Data All'!F89</f>
        <v>springlinseed</v>
      </c>
      <c r="I15" s="210" t="str">
        <f>'Focus Strategies Data All'!G89</f>
        <v>NA</v>
      </c>
      <c r="J15" s="210" t="str">
        <f>'Focus Strategies Data All'!H89</f>
        <v>NA</v>
      </c>
      <c r="K15" s="210" t="str">
        <f>'Focus Strategies Data All'!I89</f>
        <v>NA</v>
      </c>
      <c r="M15" s="25" t="str">
        <f>'Focus Strategies Data All'!K89</f>
        <v>springlinseed</v>
      </c>
      <c r="N15" s="210" t="str">
        <f>'Focus Strategies Data All'!L89</f>
        <v>NA</v>
      </c>
      <c r="O15" s="210" t="str">
        <f>'Focus Strategies Data All'!M89</f>
        <v>NA</v>
      </c>
      <c r="P15" s="210" t="str">
        <f>'Focus Strategies Data All'!N89</f>
        <v>NA</v>
      </c>
    </row>
    <row r="16" spans="3:16" x14ac:dyDescent="0.2">
      <c r="C16" s="25" t="str">
        <f>'Focus Strategies Data All'!A90</f>
        <v>driedpeas</v>
      </c>
      <c r="D16" s="210">
        <f>'Focus Strategies Data All'!B90</f>
        <v>9</v>
      </c>
      <c r="E16" s="210" t="str">
        <f>'Focus Strategies Data All'!C90</f>
        <v>NA</v>
      </c>
      <c r="F16" s="210">
        <f>'Focus Strategies Data All'!D90</f>
        <v>4</v>
      </c>
      <c r="H16" s="25" t="str">
        <f>'Focus Strategies Data All'!F90</f>
        <v>driedpeas</v>
      </c>
      <c r="I16" s="210">
        <f>'Focus Strategies Data All'!G90</f>
        <v>6.5</v>
      </c>
      <c r="J16" s="210">
        <f>'Focus Strategies Data All'!H90</f>
        <v>6.5</v>
      </c>
      <c r="K16" s="210" t="str">
        <f>'Focus Strategies Data All'!I90</f>
        <v>NA</v>
      </c>
      <c r="M16" s="25" t="str">
        <f>'Focus Strategies Data All'!K90</f>
        <v>driedpeas</v>
      </c>
      <c r="N16" s="210" t="str">
        <f>'Focus Strategies Data All'!L90</f>
        <v>NA</v>
      </c>
      <c r="O16" s="210">
        <f>'Focus Strategies Data All'!M90</f>
        <v>4</v>
      </c>
      <c r="P16" s="210">
        <f>'Focus Strategies Data All'!N90</f>
        <v>4</v>
      </c>
    </row>
    <row r="17" spans="3:16" x14ac:dyDescent="0.2">
      <c r="C17" s="25" t="str">
        <f>'Focus Strategies Data All'!A91</f>
        <v>setaside</v>
      </c>
      <c r="D17" s="210" t="str">
        <f>'Focus Strategies Data All'!B91</f>
        <v>NA</v>
      </c>
      <c r="E17" s="210">
        <f>'Focus Strategies Data All'!C91</f>
        <v>0</v>
      </c>
      <c r="F17" s="210" t="str">
        <f>'Focus Strategies Data All'!D91</f>
        <v>NA</v>
      </c>
      <c r="H17" s="25" t="str">
        <f>'Focus Strategies Data All'!F91</f>
        <v>setaside</v>
      </c>
      <c r="I17" s="210" t="str">
        <f>'Focus Strategies Data All'!G91</f>
        <v>NA</v>
      </c>
      <c r="J17" s="210" t="str">
        <f>'Focus Strategies Data All'!H91</f>
        <v>NA</v>
      </c>
      <c r="K17" s="210" t="str">
        <f>'Focus Strategies Data All'!I91</f>
        <v>NA</v>
      </c>
      <c r="M17" s="25" t="str">
        <f>'Focus Strategies Data All'!K91</f>
        <v>setaside</v>
      </c>
      <c r="N17" s="210" t="str">
        <f>'Focus Strategies Data All'!L91</f>
        <v>NA</v>
      </c>
      <c r="O17" s="210" t="str">
        <f>'Focus Strategies Data All'!M91</f>
        <v>NA</v>
      </c>
      <c r="P17" s="210" t="str">
        <f>'Focus Strategies Data All'!N91</f>
        <v>NA</v>
      </c>
    </row>
    <row r="18" spans="3:16" x14ac:dyDescent="0.2">
      <c r="C18" s="25" t="s">
        <v>303</v>
      </c>
      <c r="D18" s="210" t="str">
        <f>'Focus Strategies Data All'!B92</f>
        <v>NA</v>
      </c>
      <c r="E18" s="210">
        <f>'Focus Strategies Data All'!C92</f>
        <v>0</v>
      </c>
      <c r="F18" s="210" t="str">
        <f>'Focus Strategies Data All'!D92</f>
        <v>NA</v>
      </c>
      <c r="H18" s="25" t="s">
        <v>303</v>
      </c>
      <c r="I18" s="210" t="str">
        <f>'Focus Strategies Data All'!G92</f>
        <v>NA</v>
      </c>
      <c r="J18" s="210" t="str">
        <f>'Focus Strategies Data All'!H92</f>
        <v>NA</v>
      </c>
      <c r="K18" s="210" t="str">
        <f>'Focus Strategies Data All'!I92</f>
        <v>NA</v>
      </c>
      <c r="M18" s="25" t="s">
        <v>303</v>
      </c>
      <c r="N18" s="210" t="str">
        <f>'Focus Strategies Data All'!L92</f>
        <v>NA</v>
      </c>
      <c r="O18" s="210" t="str">
        <f>'Focus Strategies Data All'!M92</f>
        <v>NA</v>
      </c>
      <c r="P18" s="210" t="str">
        <f>'Focus Strategies Data All'!N92</f>
        <v>NA</v>
      </c>
    </row>
    <row r="19" spans="3:16" x14ac:dyDescent="0.2">
      <c r="C19" s="25" t="s">
        <v>270</v>
      </c>
      <c r="D19" s="210">
        <f>'Focus Strategies Data All'!B93</f>
        <v>0.25</v>
      </c>
      <c r="E19" s="210" t="str">
        <f>'Focus Strategies Data All'!C93</f>
        <v>NA</v>
      </c>
      <c r="F19" s="210" t="str">
        <f>'Focus Strategies Data All'!D93</f>
        <v>NA</v>
      </c>
      <c r="H19" s="25" t="s">
        <v>270</v>
      </c>
      <c r="I19" s="210" t="str">
        <f>'Focus Strategies Data All'!G93</f>
        <v>NA</v>
      </c>
      <c r="J19" s="210" t="str">
        <f>'Focus Strategies Data All'!H93</f>
        <v>NA</v>
      </c>
      <c r="K19" s="210" t="str">
        <f>'Focus Strategies Data All'!I93</f>
        <v>NA</v>
      </c>
      <c r="M19" s="25" t="s">
        <v>270</v>
      </c>
      <c r="N19" s="210" t="str">
        <f>'Focus Strategies Data All'!L93</f>
        <v>NA</v>
      </c>
      <c r="O19" s="210" t="str">
        <f>'Focus Strategies Data All'!M93</f>
        <v>NA</v>
      </c>
      <c r="P19" s="210" t="str">
        <f>'Focus Strategies Data All'!N93</f>
        <v>NA</v>
      </c>
    </row>
  </sheetData>
  <mergeCells count="3">
    <mergeCell ref="C2:F2"/>
    <mergeCell ref="H2:K2"/>
    <mergeCell ref="M2:P2"/>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06F7A-324B-49CA-A49E-F456276CF549}">
  <dimension ref="C2:P19"/>
  <sheetViews>
    <sheetView workbookViewId="0">
      <selection activeCell="D19" sqref="D19"/>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221</v>
      </c>
      <c r="D3" s="231" t="s">
        <v>12</v>
      </c>
      <c r="E3" s="231" t="s">
        <v>10</v>
      </c>
      <c r="F3" s="231" t="s">
        <v>11</v>
      </c>
      <c r="G3" s="1"/>
      <c r="H3" s="211" t="s">
        <v>221</v>
      </c>
      <c r="I3" s="231" t="s">
        <v>12</v>
      </c>
      <c r="J3" s="231" t="s">
        <v>10</v>
      </c>
      <c r="K3" s="231" t="s">
        <v>11</v>
      </c>
      <c r="L3" s="1"/>
      <c r="M3" s="211" t="s">
        <v>221</v>
      </c>
      <c r="N3" s="231" t="s">
        <v>12</v>
      </c>
      <c r="O3" s="231" t="s">
        <v>10</v>
      </c>
      <c r="P3" s="231" t="s">
        <v>11</v>
      </c>
    </row>
    <row r="4" spans="3:16" x14ac:dyDescent="0.2">
      <c r="C4" s="25" t="str">
        <f>'Focus Strategies Data All'!A96</f>
        <v>winterwheat</v>
      </c>
      <c r="D4" s="210">
        <f>'Focus Strategies Data All'!B96</f>
        <v>6.3</v>
      </c>
      <c r="E4" s="210">
        <f>'Focus Strategies Data All'!C96</f>
        <v>4.2</v>
      </c>
      <c r="F4" s="210">
        <f>'Focus Strategies Data All'!D96</f>
        <v>9.3000000000000007</v>
      </c>
      <c r="H4" s="25" t="str">
        <f>'Focus Strategies Data All'!F96</f>
        <v>winterwheat</v>
      </c>
      <c r="I4" s="210">
        <f>'Focus Strategies Data All'!G96</f>
        <v>6.3</v>
      </c>
      <c r="J4" s="210">
        <f>'Focus Strategies Data All'!H96</f>
        <v>2</v>
      </c>
      <c r="K4" s="210">
        <f>'Focus Strategies Data All'!I96</f>
        <v>4.3</v>
      </c>
      <c r="M4" s="25" t="str">
        <f>'Focus Strategies Data All'!K96</f>
        <v>winterwheat</v>
      </c>
      <c r="N4" s="210">
        <f>'Focus Strategies Data All'!L96</f>
        <v>4</v>
      </c>
      <c r="O4" s="210">
        <f>'Focus Strategies Data All'!M96</f>
        <v>3</v>
      </c>
      <c r="P4" s="210">
        <f>'Focus Strategies Data All'!N96</f>
        <v>3</v>
      </c>
    </row>
    <row r="5" spans="3:16" x14ac:dyDescent="0.2">
      <c r="C5" s="25" t="str">
        <f>'Focus Strategies Data All'!A97</f>
        <v>springwheat</v>
      </c>
      <c r="D5" s="210" t="str">
        <f>'Focus Strategies Data All'!B97</f>
        <v>NA</v>
      </c>
      <c r="E5" s="210" t="str">
        <f>'Focus Strategies Data All'!C97</f>
        <v>NA</v>
      </c>
      <c r="F5" s="210" t="str">
        <f>'Focus Strategies Data All'!D97</f>
        <v>NA</v>
      </c>
      <c r="H5" s="25" t="str">
        <f>'Focus Strategies Data All'!F97</f>
        <v>springwheat</v>
      </c>
      <c r="I5" s="210" t="str">
        <f>'Focus Strategies Data All'!G97</f>
        <v>NA</v>
      </c>
      <c r="J5" s="210" t="str">
        <f>'Focus Strategies Data All'!H97</f>
        <v>NA</v>
      </c>
      <c r="K5" s="210" t="str">
        <f>'Focus Strategies Data All'!I97</f>
        <v>NA</v>
      </c>
      <c r="M5" s="25" t="str">
        <f>'Focus Strategies Data All'!K97</f>
        <v>springwheat</v>
      </c>
      <c r="N5" s="210" t="str">
        <f>'Focus Strategies Data All'!L97</f>
        <v>NA</v>
      </c>
      <c r="O5" s="210" t="str">
        <f>'Focus Strategies Data All'!M97</f>
        <v>NA</v>
      </c>
      <c r="P5" s="210" t="str">
        <f>'Focus Strategies Data All'!N97</f>
        <v>NA</v>
      </c>
    </row>
    <row r="6" spans="3:16" x14ac:dyDescent="0.2">
      <c r="C6" s="25" t="str">
        <f>'Focus Strategies Data All'!A98</f>
        <v>winterbarley</v>
      </c>
      <c r="D6" s="210" t="str">
        <f>'Focus Strategies Data All'!B98</f>
        <v>NA</v>
      </c>
      <c r="E6" s="210" t="str">
        <f>'Focus Strategies Data All'!C98</f>
        <v>NA</v>
      </c>
      <c r="F6" s="210" t="str">
        <f>'Focus Strategies Data All'!D98</f>
        <v>NA</v>
      </c>
      <c r="H6" s="25" t="str">
        <f>'Focus Strategies Data All'!F98</f>
        <v>winterbarley</v>
      </c>
      <c r="I6" s="210">
        <f>'Focus Strategies Data All'!G98</f>
        <v>6.3</v>
      </c>
      <c r="J6" s="210">
        <f>'Focus Strategies Data All'!H98</f>
        <v>2</v>
      </c>
      <c r="K6" s="210" t="str">
        <f>'Focus Strategies Data All'!I98</f>
        <v>NA</v>
      </c>
      <c r="M6" s="25" t="str">
        <f>'Focus Strategies Data All'!K98</f>
        <v>winterbarley</v>
      </c>
      <c r="N6" s="210" t="str">
        <f>'Focus Strategies Data All'!L98</f>
        <v>NA</v>
      </c>
      <c r="O6" s="210">
        <f>'Focus Strategies Data All'!M98</f>
        <v>3</v>
      </c>
      <c r="P6" s="210">
        <f>'Focus Strategies Data All'!N98</f>
        <v>3</v>
      </c>
    </row>
    <row r="7" spans="3:16" x14ac:dyDescent="0.2">
      <c r="C7" s="25" t="str">
        <f>'Focus Strategies Data All'!A99</f>
        <v>springbarley</v>
      </c>
      <c r="D7" s="210">
        <f>'Focus Strategies Data All'!B99</f>
        <v>6.3</v>
      </c>
      <c r="E7" s="210">
        <f>'Focus Strategies Data All'!C99</f>
        <v>4.2</v>
      </c>
      <c r="F7" s="210">
        <f>'Focus Strategies Data All'!D99</f>
        <v>12.3</v>
      </c>
      <c r="H7" s="25" t="str">
        <f>'Focus Strategies Data All'!F99</f>
        <v>springbarley</v>
      </c>
      <c r="I7" s="210" t="str">
        <f>'Focus Strategies Data All'!G99</f>
        <v>NA</v>
      </c>
      <c r="J7" s="210" t="str">
        <f>'Focus Strategies Data All'!H99</f>
        <v>NA</v>
      </c>
      <c r="K7" s="210">
        <f>'Focus Strategies Data All'!I99</f>
        <v>8</v>
      </c>
      <c r="M7" s="25" t="str">
        <f>'Focus Strategies Data All'!K99</f>
        <v>springbarley</v>
      </c>
      <c r="N7" s="210" t="str">
        <f>'Focus Strategies Data All'!L99</f>
        <v>NA</v>
      </c>
      <c r="O7" s="210" t="str">
        <f>'Focus Strategies Data All'!M99</f>
        <v>NA</v>
      </c>
      <c r="P7" s="210" t="str">
        <f>'Focus Strategies Data All'!N99</f>
        <v>NA</v>
      </c>
    </row>
    <row r="8" spans="3:16" x14ac:dyDescent="0.2">
      <c r="C8" s="25" t="str">
        <f>'Focus Strategies Data All'!A100</f>
        <v>winterbeans</v>
      </c>
      <c r="D8" s="210" t="str">
        <f>'Focus Strategies Data All'!B100</f>
        <v>NA</v>
      </c>
      <c r="E8" s="210" t="str">
        <f>'Focus Strategies Data All'!C100</f>
        <v>NA</v>
      </c>
      <c r="F8" s="210" t="str">
        <f>'Focus Strategies Data All'!D100</f>
        <v>NA</v>
      </c>
      <c r="H8" s="25" t="str">
        <f>'Focus Strategies Data All'!F100</f>
        <v>winterbeans</v>
      </c>
      <c r="I8" s="210" t="str">
        <f>'Focus Strategies Data All'!G100</f>
        <v>NA</v>
      </c>
      <c r="J8" s="210" t="str">
        <f>'Focus Strategies Data All'!H100</f>
        <v>NA</v>
      </c>
      <c r="K8" s="210" t="str">
        <f>'Focus Strategies Data All'!I100</f>
        <v>NA</v>
      </c>
      <c r="M8" s="25" t="str">
        <f>'Focus Strategies Data All'!K100</f>
        <v>winterbeans</v>
      </c>
      <c r="N8" s="210" t="str">
        <f>'Focus Strategies Data All'!L100</f>
        <v>NA</v>
      </c>
      <c r="O8" s="210" t="str">
        <f>'Focus Strategies Data All'!M100</f>
        <v>NA</v>
      </c>
      <c r="P8" s="210" t="str">
        <f>'Focus Strategies Data All'!N100</f>
        <v>NA</v>
      </c>
    </row>
    <row r="9" spans="3:16" x14ac:dyDescent="0.2">
      <c r="C9" s="25" t="str">
        <f>'Focus Strategies Data All'!A101</f>
        <v>springbeans</v>
      </c>
      <c r="D9" s="210">
        <f>'Focus Strategies Data All'!B101</f>
        <v>8.3000000000000007</v>
      </c>
      <c r="E9" s="210" t="str">
        <f>'Focus Strategies Data All'!C101</f>
        <v>NA</v>
      </c>
      <c r="F9" s="210">
        <f>'Focus Strategies Data All'!D101</f>
        <v>12.3</v>
      </c>
      <c r="H9" s="25" t="str">
        <f>'Focus Strategies Data All'!F101</f>
        <v>springbeans</v>
      </c>
      <c r="I9" s="210">
        <f>'Focus Strategies Data All'!G101</f>
        <v>9.3000000000000007</v>
      </c>
      <c r="J9" s="210">
        <f>'Focus Strategies Data All'!H101</f>
        <v>2</v>
      </c>
      <c r="K9" s="210" t="str">
        <f>'Focus Strategies Data All'!I101</f>
        <v>NA</v>
      </c>
      <c r="M9" s="25" t="str">
        <f>'Focus Strategies Data All'!K101</f>
        <v>springbeans</v>
      </c>
      <c r="N9" s="210" t="str">
        <f>'Focus Strategies Data All'!L101</f>
        <v>NA</v>
      </c>
      <c r="O9" s="210">
        <f>'Focus Strategies Data All'!M101</f>
        <v>6</v>
      </c>
      <c r="P9" s="210">
        <f>'Focus Strategies Data All'!N101</f>
        <v>6</v>
      </c>
    </row>
    <row r="10" spans="3:16" x14ac:dyDescent="0.2">
      <c r="C10" s="25" t="str">
        <f>'Focus Strategies Data All'!A102</f>
        <v>warepotatoes</v>
      </c>
      <c r="D10" s="210" t="str">
        <f>'Focus Strategies Data All'!B102</f>
        <v>NA</v>
      </c>
      <c r="E10" s="210" t="str">
        <f>'Focus Strategies Data All'!C102</f>
        <v>NA</v>
      </c>
      <c r="F10" s="210" t="str">
        <f>'Focus Strategies Data All'!D102</f>
        <v>NA</v>
      </c>
      <c r="H10" s="25" t="str">
        <f>'Focus Strategies Data All'!F102</f>
        <v>warepotatoes</v>
      </c>
      <c r="I10" s="210" t="str">
        <f>'Focus Strategies Data All'!G102</f>
        <v>NA</v>
      </c>
      <c r="J10" s="210" t="str">
        <f>'Focus Strategies Data All'!H102</f>
        <v>NA</v>
      </c>
      <c r="K10" s="210" t="str">
        <f>'Focus Strategies Data All'!I102</f>
        <v>NA</v>
      </c>
      <c r="M10" s="25" t="str">
        <f>'Focus Strategies Data All'!K102</f>
        <v>warepotatoes</v>
      </c>
      <c r="N10" s="210" t="str">
        <f>'Focus Strategies Data All'!L102</f>
        <v>NA</v>
      </c>
      <c r="O10" s="210" t="str">
        <f>'Focus Strategies Data All'!M102</f>
        <v>NA</v>
      </c>
      <c r="P10" s="210" t="str">
        <f>'Focus Strategies Data All'!N102</f>
        <v>NA</v>
      </c>
    </row>
    <row r="11" spans="3:16" x14ac:dyDescent="0.2">
      <c r="C11" s="25" t="str">
        <f>'Focus Strategies Data All'!A103</f>
        <v>wosr</v>
      </c>
      <c r="D11" s="210" t="str">
        <f>'Focus Strategies Data All'!B103</f>
        <v>NA</v>
      </c>
      <c r="E11" s="210">
        <f>'Focus Strategies Data All'!C103</f>
        <v>2</v>
      </c>
      <c r="F11" s="210">
        <f>'Focus Strategies Data All'!D103</f>
        <v>0</v>
      </c>
      <c r="H11" s="25" t="str">
        <f>'Focus Strategies Data All'!F103</f>
        <v>wosr</v>
      </c>
      <c r="I11" s="210">
        <v>0</v>
      </c>
      <c r="J11" s="210" t="str">
        <f>'Focus Strategies Data All'!H103</f>
        <v>NA</v>
      </c>
      <c r="K11" s="210">
        <f>'Focus Strategies Data All'!I103</f>
        <v>0</v>
      </c>
      <c r="M11" s="25" t="str">
        <f>'Focus Strategies Data All'!K103</f>
        <v>wosr</v>
      </c>
      <c r="N11" s="210">
        <f>'Focus Strategies Data All'!L103</f>
        <v>0</v>
      </c>
      <c r="O11" s="210">
        <f>'Focus Strategies Data All'!M103</f>
        <v>0</v>
      </c>
      <c r="P11" s="210">
        <f>'Focus Strategies Data All'!N103</f>
        <v>0</v>
      </c>
    </row>
    <row r="12" spans="3:16" x14ac:dyDescent="0.2">
      <c r="C12" s="25" t="str">
        <f>'Focus Strategies Data All'!A104</f>
        <v>sosr</v>
      </c>
      <c r="D12" s="210" t="str">
        <f>'Focus Strategies Data All'!B104</f>
        <v>NA</v>
      </c>
      <c r="E12" s="210">
        <f>'Focus Strategies Data All'!C104</f>
        <v>4.2</v>
      </c>
      <c r="F12" s="210" t="str">
        <f>'Focus Strategies Data All'!D104</f>
        <v>NA</v>
      </c>
      <c r="H12" s="25" t="str">
        <f>'Focus Strategies Data All'!F104</f>
        <v>sosr</v>
      </c>
      <c r="I12" s="210" t="str">
        <f>'Focus Strategies Data All'!G104</f>
        <v>NA</v>
      </c>
      <c r="J12" s="210" t="str">
        <f>'Focus Strategies Data All'!H104</f>
        <v>NA</v>
      </c>
      <c r="K12" s="210" t="str">
        <f>'Focus Strategies Data All'!I104</f>
        <v>NA</v>
      </c>
      <c r="M12" s="25" t="str">
        <f>'Focus Strategies Data All'!K104</f>
        <v>sosr</v>
      </c>
      <c r="N12" s="210" t="str">
        <f>'Focus Strategies Data All'!L104</f>
        <v>NA</v>
      </c>
      <c r="O12" s="210" t="str">
        <f>'Focus Strategies Data All'!M104</f>
        <v>NA</v>
      </c>
      <c r="P12" s="210" t="str">
        <f>'Focus Strategies Data All'!N104</f>
        <v>NA</v>
      </c>
    </row>
    <row r="13" spans="3:16" x14ac:dyDescent="0.2">
      <c r="C13" s="25" t="str">
        <f>'Focus Strategies Data All'!A105</f>
        <v>sugarbeet</v>
      </c>
      <c r="D13" s="210">
        <f>'Focus Strategies Data All'!B105</f>
        <v>6.3</v>
      </c>
      <c r="E13" s="210" t="str">
        <f>'Focus Strategies Data All'!C105</f>
        <v>NA</v>
      </c>
      <c r="F13" s="210" t="str">
        <f>'Focus Strategies Data All'!D105</f>
        <v>NA</v>
      </c>
      <c r="H13" s="25" t="str">
        <f>'Focus Strategies Data All'!F105</f>
        <v>sugarbeet</v>
      </c>
      <c r="I13" s="210" t="str">
        <f>'Focus Strategies Data All'!G105</f>
        <v>NA</v>
      </c>
      <c r="J13" s="210" t="str">
        <f>'Focus Strategies Data All'!H105</f>
        <v>NA</v>
      </c>
      <c r="K13" s="210" t="str">
        <f>'Focus Strategies Data All'!I105</f>
        <v>NA</v>
      </c>
      <c r="M13" s="25" t="str">
        <f>'Focus Strategies Data All'!K105</f>
        <v>sugarbeet</v>
      </c>
      <c r="N13" s="210" t="str">
        <f>'Focus Strategies Data All'!L105</f>
        <v>NA</v>
      </c>
      <c r="O13" s="210" t="str">
        <f>'Focus Strategies Data All'!M105</f>
        <v>NA</v>
      </c>
      <c r="P13" s="210" t="str">
        <f>'Focus Strategies Data All'!N105</f>
        <v>NA</v>
      </c>
    </row>
    <row r="14" spans="3:16" x14ac:dyDescent="0.2">
      <c r="C14" s="25" t="str">
        <f>'Focus Strategies Data All'!A106</f>
        <v>winterlinseed</v>
      </c>
      <c r="D14" s="210" t="str">
        <f>'Focus Strategies Data All'!B106</f>
        <v>NA</v>
      </c>
      <c r="E14" s="210" t="str">
        <f>'Focus Strategies Data All'!C106</f>
        <v>NA</v>
      </c>
      <c r="F14" s="210" t="str">
        <f>'Focus Strategies Data All'!D106</f>
        <v>NA</v>
      </c>
      <c r="H14" s="25" t="str">
        <f>'Focus Strategies Data All'!F106</f>
        <v>winterlinseed</v>
      </c>
      <c r="I14" s="210" t="str">
        <f>'Focus Strategies Data All'!G106</f>
        <v>NA</v>
      </c>
      <c r="J14" s="210" t="str">
        <f>'Focus Strategies Data All'!H106</f>
        <v>NA</v>
      </c>
      <c r="K14" s="210" t="str">
        <f>'Focus Strategies Data All'!I106</f>
        <v>NA</v>
      </c>
      <c r="M14" s="25" t="str">
        <f>'Focus Strategies Data All'!K106</f>
        <v>winterlinseed</v>
      </c>
      <c r="N14" s="210" t="str">
        <f>'Focus Strategies Data All'!L106</f>
        <v>NA</v>
      </c>
      <c r="O14" s="210" t="str">
        <f>'Focus Strategies Data All'!M106</f>
        <v>NA</v>
      </c>
      <c r="P14" s="210" t="str">
        <f>'Focus Strategies Data All'!N106</f>
        <v>NA</v>
      </c>
    </row>
    <row r="15" spans="3:16" x14ac:dyDescent="0.2">
      <c r="C15" s="25" t="str">
        <f>'Focus Strategies Data All'!A107</f>
        <v>springlinseed</v>
      </c>
      <c r="D15" s="210">
        <f>'Focus Strategies Data All'!B107</f>
        <v>9.3000000000000007</v>
      </c>
      <c r="E15" s="210" t="str">
        <f>'Focus Strategies Data All'!C107</f>
        <v>NA</v>
      </c>
      <c r="F15" s="210" t="str">
        <f>'Focus Strategies Data All'!D107</f>
        <v>NA</v>
      </c>
      <c r="H15" s="25" t="str">
        <f>'Focus Strategies Data All'!F107</f>
        <v>springlinseed</v>
      </c>
      <c r="I15" s="210" t="str">
        <f>'Focus Strategies Data All'!G107</f>
        <v>NA</v>
      </c>
      <c r="J15" s="210" t="str">
        <f>'Focus Strategies Data All'!H107</f>
        <v>NA</v>
      </c>
      <c r="K15" s="210" t="str">
        <f>'Focus Strategies Data All'!I107</f>
        <v>NA</v>
      </c>
      <c r="M15" s="25" t="str">
        <f>'Focus Strategies Data All'!K107</f>
        <v>springlinseed</v>
      </c>
      <c r="N15" s="210" t="str">
        <f>'Focus Strategies Data All'!L107</f>
        <v>NA</v>
      </c>
      <c r="O15" s="210" t="str">
        <f>'Focus Strategies Data All'!M107</f>
        <v>NA</v>
      </c>
      <c r="P15" s="210" t="str">
        <f>'Focus Strategies Data All'!N107</f>
        <v>NA</v>
      </c>
    </row>
    <row r="16" spans="3:16" x14ac:dyDescent="0.2">
      <c r="C16" s="25" t="str">
        <f>'Focus Strategies Data All'!A108</f>
        <v>driedpeas</v>
      </c>
      <c r="D16" s="210">
        <f>'Focus Strategies Data All'!B108</f>
        <v>8.3000000000000007</v>
      </c>
      <c r="E16" s="210" t="str">
        <f>'Focus Strategies Data All'!C108</f>
        <v>NA</v>
      </c>
      <c r="F16" s="210">
        <f>'Focus Strategies Data All'!D108</f>
        <v>12.3</v>
      </c>
      <c r="H16" s="25" t="str">
        <f>'Focus Strategies Data All'!F108</f>
        <v>driedpeas</v>
      </c>
      <c r="I16" s="210">
        <f>'Focus Strategies Data All'!G108</f>
        <v>11.3</v>
      </c>
      <c r="J16" s="210">
        <f>'Focus Strategies Data All'!H108</f>
        <v>2</v>
      </c>
      <c r="K16" s="210" t="str">
        <f>'Focus Strategies Data All'!I108</f>
        <v>NA</v>
      </c>
      <c r="M16" s="25" t="str">
        <f>'Focus Strategies Data All'!K108</f>
        <v>driedpeas</v>
      </c>
      <c r="N16" s="210" t="str">
        <f>'Focus Strategies Data All'!L108</f>
        <v>NA</v>
      </c>
      <c r="O16" s="210">
        <f>'Focus Strategies Data All'!M108</f>
        <v>6</v>
      </c>
      <c r="P16" s="210">
        <f>'Focus Strategies Data All'!N108</f>
        <v>6</v>
      </c>
    </row>
    <row r="17" spans="3:16" x14ac:dyDescent="0.2">
      <c r="C17" s="25" t="str">
        <f>'Focus Strategies Data All'!A109</f>
        <v>setaside</v>
      </c>
      <c r="D17" s="210" t="str">
        <f>'Focus Strategies Data All'!B109</f>
        <v>NA</v>
      </c>
      <c r="E17" s="210">
        <f>'Focus Strategies Data All'!C109</f>
        <v>8.1999999999999993</v>
      </c>
      <c r="F17" s="210" t="str">
        <f>'Focus Strategies Data All'!D109</f>
        <v>NA</v>
      </c>
      <c r="H17" s="25" t="str">
        <f>'Focus Strategies Data All'!F109</f>
        <v>setaside</v>
      </c>
      <c r="I17" s="210" t="str">
        <f>'Focus Strategies Data All'!G109</f>
        <v>NA</v>
      </c>
      <c r="J17" s="210" t="str">
        <f>'Focus Strategies Data All'!H109</f>
        <v>NA</v>
      </c>
      <c r="K17" s="210" t="str">
        <f>'Focus Strategies Data All'!I109</f>
        <v>NA</v>
      </c>
      <c r="M17" s="25" t="str">
        <f>'Focus Strategies Data All'!K109</f>
        <v>setaside</v>
      </c>
      <c r="N17" s="210" t="str">
        <f>'Focus Strategies Data All'!L109</f>
        <v>NA</v>
      </c>
      <c r="O17" s="210" t="str">
        <f>'Focus Strategies Data All'!M109</f>
        <v>NA</v>
      </c>
      <c r="P17" s="210" t="str">
        <f>'Focus Strategies Data All'!N109</f>
        <v>NA</v>
      </c>
    </row>
    <row r="18" spans="3:16" x14ac:dyDescent="0.2">
      <c r="C18" s="25" t="s">
        <v>303</v>
      </c>
      <c r="D18" s="210" t="str">
        <f>'Focus Strategies Data All'!B110</f>
        <v>NA</v>
      </c>
      <c r="E18" s="210">
        <f>'Focus Strategies Data All'!C110</f>
        <v>4.2</v>
      </c>
      <c r="F18" s="210" t="str">
        <f>'Focus Strategies Data All'!D110</f>
        <v>NA</v>
      </c>
      <c r="H18" s="25" t="s">
        <v>303</v>
      </c>
      <c r="I18" s="210" t="str">
        <f>'Focus Strategies Data All'!G110</f>
        <v>NA</v>
      </c>
      <c r="J18" s="210" t="str">
        <f>'Focus Strategies Data All'!H110</f>
        <v>NA</v>
      </c>
      <c r="K18" s="210" t="str">
        <f>'Focus Strategies Data All'!I110</f>
        <v>NA</v>
      </c>
      <c r="M18" s="25" t="s">
        <v>303</v>
      </c>
      <c r="N18" s="210" t="str">
        <f>'Focus Strategies Data All'!L110</f>
        <v>NA</v>
      </c>
      <c r="O18" s="210" t="str">
        <f>'Focus Strategies Data All'!M110</f>
        <v>NA</v>
      </c>
      <c r="P18" s="210" t="str">
        <f>'Focus Strategies Data All'!N110</f>
        <v>NA</v>
      </c>
    </row>
    <row r="19" spans="3:16" x14ac:dyDescent="0.2">
      <c r="C19" s="25" t="s">
        <v>270</v>
      </c>
      <c r="D19" s="210">
        <f>'Focus Strategies Data All'!B111</f>
        <v>6.3</v>
      </c>
      <c r="E19" s="210" t="str">
        <f>'Focus Strategies Data All'!C111</f>
        <v>NA</v>
      </c>
      <c r="F19" s="210" t="str">
        <f>'Focus Strategies Data All'!D111</f>
        <v>NA</v>
      </c>
      <c r="H19" s="25" t="s">
        <v>270</v>
      </c>
      <c r="I19" s="210" t="str">
        <f>'Focus Strategies Data All'!G111</f>
        <v>NA</v>
      </c>
      <c r="J19" s="210" t="str">
        <f>'Focus Strategies Data All'!H111</f>
        <v>NA</v>
      </c>
      <c r="K19" s="210" t="str">
        <f>'Focus Strategies Data All'!I111</f>
        <v>NA</v>
      </c>
      <c r="M19" s="25" t="s">
        <v>270</v>
      </c>
      <c r="N19" s="210" t="str">
        <f>'Focus Strategies Data All'!L111</f>
        <v>NA</v>
      </c>
      <c r="O19" s="210" t="str">
        <f>'Focus Strategies Data All'!M111</f>
        <v>NA</v>
      </c>
      <c r="P19" s="210" t="str">
        <f>'Focus Strategies Data All'!N111</f>
        <v>NA</v>
      </c>
    </row>
  </sheetData>
  <mergeCells count="3">
    <mergeCell ref="C2:F2"/>
    <mergeCell ref="H2:K2"/>
    <mergeCell ref="M2:P2"/>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284800-59A7-4D55-9D88-3D8C925FF416}">
  <dimension ref="C2:P19"/>
  <sheetViews>
    <sheetView workbookViewId="0">
      <selection activeCell="C4" sqref="C4"/>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277</v>
      </c>
      <c r="D3" s="231" t="s">
        <v>12</v>
      </c>
      <c r="E3" s="231" t="s">
        <v>10</v>
      </c>
      <c r="F3" s="231" t="s">
        <v>11</v>
      </c>
      <c r="H3" s="211" t="s">
        <v>277</v>
      </c>
      <c r="I3" s="231" t="s">
        <v>12</v>
      </c>
      <c r="J3" s="231" t="s">
        <v>10</v>
      </c>
      <c r="K3" s="231" t="s">
        <v>11</v>
      </c>
      <c r="M3" s="211" t="s">
        <v>277</v>
      </c>
      <c r="N3" s="231" t="s">
        <v>12</v>
      </c>
      <c r="O3" s="231" t="s">
        <v>10</v>
      </c>
      <c r="P3" s="231" t="s">
        <v>11</v>
      </c>
    </row>
    <row r="4" spans="3:16" x14ac:dyDescent="0.2">
      <c r="C4" s="25" t="str">
        <f>'Focus Strategies Data All'!A150</f>
        <v>winterwheat</v>
      </c>
      <c r="D4" s="210">
        <f>'Focus Strategies Data All'!B150</f>
        <v>220</v>
      </c>
      <c r="E4" s="210">
        <f>'Focus Strategies Data All'!C150</f>
        <v>220</v>
      </c>
      <c r="F4" s="210">
        <f>'Focus Strategies Data All'!D150</f>
        <v>250</v>
      </c>
      <c r="H4" s="25" t="str">
        <f>'Focus Strategies Data All'!F150</f>
        <v>winterwheat</v>
      </c>
      <c r="I4" s="210">
        <f>'Focus Strategies Data All'!G150</f>
        <v>240</v>
      </c>
      <c r="J4" s="210">
        <f>'Focus Strategies Data All'!H150</f>
        <v>220</v>
      </c>
      <c r="K4" s="210">
        <f>'Focus Strategies Data All'!I150</f>
        <v>220</v>
      </c>
      <c r="M4" s="25" t="str">
        <f>'Focus Strategies Data All'!K150</f>
        <v>winterwheat</v>
      </c>
      <c r="N4" s="210">
        <f>'Focus Strategies Data All'!L150</f>
        <v>220</v>
      </c>
      <c r="O4" s="210">
        <f>'Focus Strategies Data All'!M150</f>
        <v>220</v>
      </c>
      <c r="P4" s="210">
        <f>'Focus Strategies Data All'!N150</f>
        <v>220</v>
      </c>
    </row>
    <row r="5" spans="3:16" x14ac:dyDescent="0.2">
      <c r="C5" s="25" t="str">
        <f>'Focus Strategies Data All'!A151</f>
        <v>springwheat</v>
      </c>
      <c r="D5" s="210" t="str">
        <f>'Focus Strategies Data All'!B151</f>
        <v>NA</v>
      </c>
      <c r="E5" s="210" t="str">
        <f>'Focus Strategies Data All'!C151</f>
        <v>NA</v>
      </c>
      <c r="F5" s="210" t="str">
        <f>'Focus Strategies Data All'!D151</f>
        <v>NA</v>
      </c>
      <c r="H5" s="25" t="str">
        <f>'Focus Strategies Data All'!F151</f>
        <v>springwheat</v>
      </c>
      <c r="I5" s="210" t="str">
        <f>'Focus Strategies Data All'!G151</f>
        <v>NA</v>
      </c>
      <c r="J5" s="210" t="str">
        <f>'Focus Strategies Data All'!H151</f>
        <v>NA</v>
      </c>
      <c r="K5" s="210" t="str">
        <f>'Focus Strategies Data All'!I151</f>
        <v>NA</v>
      </c>
      <c r="M5" s="25" t="str">
        <f>'Focus Strategies Data All'!K151</f>
        <v>springwheat</v>
      </c>
      <c r="N5" s="210" t="str">
        <f>'Focus Strategies Data All'!L151</f>
        <v>NA</v>
      </c>
      <c r="O5" s="210" t="str">
        <f>'Focus Strategies Data All'!M151</f>
        <v>NA</v>
      </c>
      <c r="P5" s="210" t="str">
        <f>'Focus Strategies Data All'!N151</f>
        <v>NA</v>
      </c>
    </row>
    <row r="6" spans="3:16" x14ac:dyDescent="0.2">
      <c r="C6" s="25" t="str">
        <f>'Focus Strategies Data All'!A152</f>
        <v>winterbarley</v>
      </c>
      <c r="D6" s="210" t="str">
        <f>'Focus Strategies Data All'!B152</f>
        <v>NA</v>
      </c>
      <c r="E6" s="210" t="str">
        <f>'Focus Strategies Data All'!C152</f>
        <v>NA</v>
      </c>
      <c r="F6" s="210" t="str">
        <f>'Focus Strategies Data All'!D152</f>
        <v>NA</v>
      </c>
      <c r="H6" s="25" t="str">
        <f>'Focus Strategies Data All'!F152</f>
        <v>winterbarley</v>
      </c>
      <c r="I6" s="210">
        <f>'Focus Strategies Data All'!G152</f>
        <v>200</v>
      </c>
      <c r="J6" s="210">
        <f>'Focus Strategies Data All'!H152</f>
        <v>190</v>
      </c>
      <c r="K6" s="210" t="str">
        <f>'Focus Strategies Data All'!I152</f>
        <v>NA</v>
      </c>
      <c r="M6" s="25" t="str">
        <f>'Focus Strategies Data All'!K152</f>
        <v>winterbarley</v>
      </c>
      <c r="N6" s="210" t="str">
        <f>'Focus Strategies Data All'!L152</f>
        <v>NA</v>
      </c>
      <c r="O6" s="210">
        <f>'Focus Strategies Data All'!M152</f>
        <v>190</v>
      </c>
      <c r="P6" s="210">
        <f>'Focus Strategies Data All'!N152</f>
        <v>190</v>
      </c>
    </row>
    <row r="7" spans="3:16" x14ac:dyDescent="0.2">
      <c r="C7" s="25" t="str">
        <f>'Focus Strategies Data All'!A153</f>
        <v>springbarley</v>
      </c>
      <c r="D7" s="210" t="str">
        <f>'Focus Strategies Data All'!B153</f>
        <v>NA</v>
      </c>
      <c r="E7" s="210">
        <f>'Focus Strategies Data All'!C153</f>
        <v>110</v>
      </c>
      <c r="F7" s="210">
        <f>'Focus Strategies Data All'!D153</f>
        <v>150</v>
      </c>
      <c r="H7" s="25" t="str">
        <f>'Focus Strategies Data All'!F153</f>
        <v>springbarley</v>
      </c>
      <c r="I7" s="210" t="str">
        <f>'Focus Strategies Data All'!G153</f>
        <v>NA</v>
      </c>
      <c r="J7" s="210" t="str">
        <f>'Focus Strategies Data All'!H153</f>
        <v>NA</v>
      </c>
      <c r="K7" s="210">
        <f>'Focus Strategies Data All'!I153</f>
        <v>110</v>
      </c>
      <c r="M7" s="25" t="str">
        <f>'Focus Strategies Data All'!K153</f>
        <v>springbarley</v>
      </c>
      <c r="N7" s="210" t="str">
        <f>'Focus Strategies Data All'!L153</f>
        <v>NA</v>
      </c>
      <c r="O7" s="210" t="str">
        <f>'Focus Strategies Data All'!M153</f>
        <v>NA</v>
      </c>
      <c r="P7" s="210" t="str">
        <f>'Focus Strategies Data All'!N153</f>
        <v>NA</v>
      </c>
    </row>
    <row r="8" spans="3:16" x14ac:dyDescent="0.2">
      <c r="C8" s="25" t="str">
        <f>'Focus Strategies Data All'!A154</f>
        <v>winterbeans</v>
      </c>
      <c r="D8" s="210" t="str">
        <f>'Focus Strategies Data All'!B154</f>
        <v>NA</v>
      </c>
      <c r="E8" s="210" t="str">
        <f>'Focus Strategies Data All'!C154</f>
        <v>NA</v>
      </c>
      <c r="F8" s="210" t="str">
        <f>'Focus Strategies Data All'!D154</f>
        <v>NA</v>
      </c>
      <c r="H8" s="25" t="str">
        <f>'Focus Strategies Data All'!F154</f>
        <v>winterbeans</v>
      </c>
      <c r="I8" s="210" t="str">
        <f>'Focus Strategies Data All'!G154</f>
        <v>NA</v>
      </c>
      <c r="J8" s="210" t="str">
        <f>'Focus Strategies Data All'!H154</f>
        <v>NA</v>
      </c>
      <c r="K8" s="210" t="str">
        <f>'Focus Strategies Data All'!I154</f>
        <v>NA</v>
      </c>
      <c r="M8" s="25" t="str">
        <f>'Focus Strategies Data All'!K154</f>
        <v>winterbeans</v>
      </c>
      <c r="N8" s="210" t="str">
        <f>'Focus Strategies Data All'!L154</f>
        <v>NA</v>
      </c>
      <c r="O8" s="210" t="str">
        <f>'Focus Strategies Data All'!M154</f>
        <v>NA</v>
      </c>
      <c r="P8" s="210" t="str">
        <f>'Focus Strategies Data All'!N154</f>
        <v>NA</v>
      </c>
    </row>
    <row r="9" spans="3:16" x14ac:dyDescent="0.2">
      <c r="C9" s="25" t="str">
        <f>'Focus Strategies Data All'!A155</f>
        <v>springbeans</v>
      </c>
      <c r="D9" s="210">
        <f>'Focus Strategies Data All'!B155</f>
        <v>0</v>
      </c>
      <c r="E9" s="210" t="str">
        <f>'Focus Strategies Data All'!C155</f>
        <v>NA</v>
      </c>
      <c r="F9" s="210">
        <f>'Focus Strategies Data All'!D155</f>
        <v>0</v>
      </c>
      <c r="H9" s="25" t="str">
        <f>'Focus Strategies Data All'!F155</f>
        <v>springbeans</v>
      </c>
      <c r="I9" s="210">
        <f>'Focus Strategies Data All'!G155</f>
        <v>0</v>
      </c>
      <c r="J9" s="210">
        <f>'Focus Strategies Data All'!H155</f>
        <v>0</v>
      </c>
      <c r="K9" s="210" t="str">
        <f>'Focus Strategies Data All'!I155</f>
        <v>NA</v>
      </c>
      <c r="M9" s="25" t="str">
        <f>'Focus Strategies Data All'!K155</f>
        <v>springbeans</v>
      </c>
      <c r="N9" s="210" t="str">
        <f>'Focus Strategies Data All'!L155</f>
        <v>NA</v>
      </c>
      <c r="O9" s="210">
        <f>'Focus Strategies Data All'!M155</f>
        <v>0</v>
      </c>
      <c r="P9" s="210">
        <f>'Focus Strategies Data All'!N155</f>
        <v>0</v>
      </c>
    </row>
    <row r="10" spans="3:16" x14ac:dyDescent="0.2">
      <c r="C10" s="25" t="str">
        <f>'Focus Strategies Data All'!A156</f>
        <v>warepotatoes</v>
      </c>
      <c r="D10" s="210" t="str">
        <f>'Focus Strategies Data All'!B156</f>
        <v>NA</v>
      </c>
      <c r="E10" s="210" t="str">
        <f>'Focus Strategies Data All'!C156</f>
        <v>NA</v>
      </c>
      <c r="F10" s="210" t="str">
        <f>'Focus Strategies Data All'!D156</f>
        <v>NA</v>
      </c>
      <c r="H10" s="25" t="str">
        <f>'Focus Strategies Data All'!F156</f>
        <v>warepotatoes</v>
      </c>
      <c r="I10" s="210" t="str">
        <f>'Focus Strategies Data All'!G156</f>
        <v>NA</v>
      </c>
      <c r="J10" s="210" t="str">
        <f>'Focus Strategies Data All'!H156</f>
        <v>NA</v>
      </c>
      <c r="K10" s="210" t="str">
        <f>'Focus Strategies Data All'!I156</f>
        <v>NA</v>
      </c>
      <c r="M10" s="25" t="str">
        <f>'Focus Strategies Data All'!K156</f>
        <v>warepotatoes</v>
      </c>
      <c r="N10" s="210" t="str">
        <f>'Focus Strategies Data All'!L156</f>
        <v>NA</v>
      </c>
      <c r="O10" s="210" t="str">
        <f>'Focus Strategies Data All'!M156</f>
        <v>NA</v>
      </c>
      <c r="P10" s="210" t="str">
        <f>'Focus Strategies Data All'!N156</f>
        <v>NA</v>
      </c>
    </row>
    <row r="11" spans="3:16" x14ac:dyDescent="0.2">
      <c r="C11" s="25" t="str">
        <f>'Focus Strategies Data All'!A157</f>
        <v>wosr</v>
      </c>
      <c r="D11" s="210" t="str">
        <f>'Focus Strategies Data All'!B157</f>
        <v>NA</v>
      </c>
      <c r="E11" s="210">
        <f>'Focus Strategies Data All'!C157</f>
        <v>180</v>
      </c>
      <c r="F11" s="210">
        <f>'Focus Strategies Data All'!D157</f>
        <v>180</v>
      </c>
      <c r="H11" s="25" t="str">
        <f>'Focus Strategies Data All'!F157</f>
        <v>wosr</v>
      </c>
      <c r="I11" s="210">
        <f>'Focus Strategies Data All'!G157</f>
        <v>180</v>
      </c>
      <c r="J11" s="210" t="str">
        <f>'Focus Strategies Data All'!H157</f>
        <v>NA</v>
      </c>
      <c r="K11" s="210">
        <f>'Focus Strategies Data All'!I157</f>
        <v>180</v>
      </c>
      <c r="M11" s="25" t="str">
        <f>'Focus Strategies Data All'!K157</f>
        <v>wosr</v>
      </c>
      <c r="N11" s="210">
        <f>'Focus Strategies Data All'!L157</f>
        <v>180</v>
      </c>
      <c r="O11" s="210">
        <f>'Focus Strategies Data All'!M157</f>
        <v>180</v>
      </c>
      <c r="P11" s="210">
        <f>'Focus Strategies Data All'!N157</f>
        <v>180</v>
      </c>
    </row>
    <row r="12" spans="3:16" x14ac:dyDescent="0.2">
      <c r="C12" s="25" t="str">
        <f>'Focus Strategies Data All'!A158</f>
        <v>sosr</v>
      </c>
      <c r="D12" s="210" t="str">
        <f>'Focus Strategies Data All'!B158</f>
        <v>NA</v>
      </c>
      <c r="E12" s="210">
        <f>'Focus Strategies Data All'!C158</f>
        <v>120</v>
      </c>
      <c r="F12" s="210" t="str">
        <f>'Focus Strategies Data All'!D158</f>
        <v>NA</v>
      </c>
      <c r="H12" s="25" t="str">
        <f>'Focus Strategies Data All'!F158</f>
        <v>sosr</v>
      </c>
      <c r="I12" s="210" t="str">
        <f>'Focus Strategies Data All'!G158</f>
        <v>NA</v>
      </c>
      <c r="J12" s="210" t="str">
        <f>'Focus Strategies Data All'!H158</f>
        <v>NA</v>
      </c>
      <c r="K12" s="210" t="str">
        <f>'Focus Strategies Data All'!I158</f>
        <v>NA</v>
      </c>
      <c r="M12" s="25" t="str">
        <f>'Focus Strategies Data All'!K158</f>
        <v>sosr</v>
      </c>
      <c r="N12" s="210" t="str">
        <f>'Focus Strategies Data All'!L158</f>
        <v>NA</v>
      </c>
      <c r="O12" s="210" t="str">
        <f>'Focus Strategies Data All'!M158</f>
        <v>NA</v>
      </c>
      <c r="P12" s="210" t="str">
        <f>'Focus Strategies Data All'!N158</f>
        <v>NA</v>
      </c>
    </row>
    <row r="13" spans="3:16" x14ac:dyDescent="0.2">
      <c r="C13" s="25" t="str">
        <f>'Focus Strategies Data All'!A159</f>
        <v>sugarbeet</v>
      </c>
      <c r="D13" s="210">
        <f>'Focus Strategies Data All'!B159</f>
        <v>85</v>
      </c>
      <c r="E13" s="210" t="str">
        <f>'Focus Strategies Data All'!C159</f>
        <v>NA</v>
      </c>
      <c r="F13" s="210" t="str">
        <f>'Focus Strategies Data All'!D159</f>
        <v>NA</v>
      </c>
      <c r="H13" s="25" t="str">
        <f>'Focus Strategies Data All'!F159</f>
        <v>sugarbeet</v>
      </c>
      <c r="I13" s="210" t="str">
        <f>'Focus Strategies Data All'!G159</f>
        <v>NA</v>
      </c>
      <c r="J13" s="210" t="str">
        <f>'Focus Strategies Data All'!H159</f>
        <v>NA</v>
      </c>
      <c r="K13" s="210" t="str">
        <f>'Focus Strategies Data All'!I159</f>
        <v>NA</v>
      </c>
      <c r="M13" s="25" t="str">
        <f>'Focus Strategies Data All'!K159</f>
        <v>sugarbeet</v>
      </c>
      <c r="N13" s="210" t="str">
        <f>'Focus Strategies Data All'!L159</f>
        <v>NA</v>
      </c>
      <c r="O13" s="210" t="str">
        <f>'Focus Strategies Data All'!M159</f>
        <v>NA</v>
      </c>
      <c r="P13" s="210" t="str">
        <f>'Focus Strategies Data All'!N159</f>
        <v>NA</v>
      </c>
    </row>
    <row r="14" spans="3:16" x14ac:dyDescent="0.2">
      <c r="C14" s="25" t="str">
        <f>'Focus Strategies Data All'!A160</f>
        <v>winterlinseed</v>
      </c>
      <c r="D14" s="210" t="str">
        <f>'Focus Strategies Data All'!B160</f>
        <v>NA</v>
      </c>
      <c r="E14" s="210" t="str">
        <f>'Focus Strategies Data All'!C160</f>
        <v>NA</v>
      </c>
      <c r="F14" s="210" t="str">
        <f>'Focus Strategies Data All'!D160</f>
        <v>NA</v>
      </c>
      <c r="H14" s="25" t="str">
        <f>'Focus Strategies Data All'!F160</f>
        <v>winterlinseed</v>
      </c>
      <c r="I14" s="210" t="str">
        <f>'Focus Strategies Data All'!G160</f>
        <v>NA</v>
      </c>
      <c r="J14" s="210" t="str">
        <f>'Focus Strategies Data All'!H160</f>
        <v>NA</v>
      </c>
      <c r="K14" s="210" t="str">
        <f>'Focus Strategies Data All'!I160</f>
        <v>NA</v>
      </c>
      <c r="M14" s="25" t="str">
        <f>'Focus Strategies Data All'!K160</f>
        <v>winterlinseed</v>
      </c>
      <c r="N14" s="210" t="str">
        <f>'Focus Strategies Data All'!L160</f>
        <v>NA</v>
      </c>
      <c r="O14" s="210" t="str">
        <f>'Focus Strategies Data All'!M160</f>
        <v>NA</v>
      </c>
      <c r="P14" s="210" t="str">
        <f>'Focus Strategies Data All'!N160</f>
        <v>NA</v>
      </c>
    </row>
    <row r="15" spans="3:16" x14ac:dyDescent="0.2">
      <c r="C15" s="25" t="str">
        <f>'Focus Strategies Data All'!A161</f>
        <v>springlinseed</v>
      </c>
      <c r="D15" s="210">
        <f>'Focus Strategies Data All'!B161</f>
        <v>80</v>
      </c>
      <c r="E15" s="210" t="str">
        <f>'Focus Strategies Data All'!C161</f>
        <v>NA</v>
      </c>
      <c r="F15" s="210" t="str">
        <f>'Focus Strategies Data All'!D161</f>
        <v>NA</v>
      </c>
      <c r="H15" s="25" t="str">
        <f>'Focus Strategies Data All'!F161</f>
        <v>springlinseed</v>
      </c>
      <c r="I15" s="210" t="str">
        <f>'Focus Strategies Data All'!G161</f>
        <v>NA</v>
      </c>
      <c r="J15" s="210" t="str">
        <f>'Focus Strategies Data All'!H161</f>
        <v>NA</v>
      </c>
      <c r="K15" s="210" t="str">
        <f>'Focus Strategies Data All'!I161</f>
        <v>NA</v>
      </c>
      <c r="M15" s="25" t="str">
        <f>'Focus Strategies Data All'!K161</f>
        <v>springlinseed</v>
      </c>
      <c r="N15" s="210" t="str">
        <f>'Focus Strategies Data All'!L161</f>
        <v>NA</v>
      </c>
      <c r="O15" s="210" t="str">
        <f>'Focus Strategies Data All'!M161</f>
        <v>NA</v>
      </c>
      <c r="P15" s="210" t="str">
        <f>'Focus Strategies Data All'!N161</f>
        <v>NA</v>
      </c>
    </row>
    <row r="16" spans="3:16" x14ac:dyDescent="0.2">
      <c r="C16" s="25" t="str">
        <f>'Focus Strategies Data All'!A162</f>
        <v>driedpeas</v>
      </c>
      <c r="D16" s="210">
        <f>'Focus Strategies Data All'!B162</f>
        <v>0</v>
      </c>
      <c r="E16" s="210" t="str">
        <f>'Focus Strategies Data All'!C162</f>
        <v>NA</v>
      </c>
      <c r="F16" s="210">
        <f>'Focus Strategies Data All'!D162</f>
        <v>0</v>
      </c>
      <c r="H16" s="25" t="str">
        <f>'Focus Strategies Data All'!F162</f>
        <v>driedpeas</v>
      </c>
      <c r="I16" s="210">
        <f>'Focus Strategies Data All'!G162</f>
        <v>0</v>
      </c>
      <c r="J16" s="210">
        <f>'Focus Strategies Data All'!H162</f>
        <v>0</v>
      </c>
      <c r="K16" s="210" t="str">
        <f>'Focus Strategies Data All'!I162</f>
        <v>NA</v>
      </c>
      <c r="M16" s="25" t="str">
        <f>'Focus Strategies Data All'!K162</f>
        <v>driedpeas</v>
      </c>
      <c r="N16" s="210" t="str">
        <f>'Focus Strategies Data All'!L162</f>
        <v>NA</v>
      </c>
      <c r="O16" s="210">
        <f>'Focus Strategies Data All'!M162</f>
        <v>0</v>
      </c>
      <c r="P16" s="210">
        <f>'Focus Strategies Data All'!N162</f>
        <v>0</v>
      </c>
    </row>
    <row r="17" spans="3:16" x14ac:dyDescent="0.2">
      <c r="C17" s="25" t="str">
        <f>'Focus Strategies Data All'!A163</f>
        <v>setaside</v>
      </c>
      <c r="D17" s="210" t="str">
        <f>'Focus Strategies Data All'!B163</f>
        <v>NA</v>
      </c>
      <c r="E17" s="210">
        <f>'Focus Strategies Data All'!C163</f>
        <v>0</v>
      </c>
      <c r="F17" s="210" t="str">
        <f>'Focus Strategies Data All'!D163</f>
        <v>NA</v>
      </c>
      <c r="H17" s="25" t="str">
        <f>'Focus Strategies Data All'!F163</f>
        <v>setaside</v>
      </c>
      <c r="I17" s="210" t="str">
        <f>'Focus Strategies Data All'!G163</f>
        <v>NA</v>
      </c>
      <c r="J17" s="210" t="str">
        <f>'Focus Strategies Data All'!H163</f>
        <v>NA</v>
      </c>
      <c r="K17" s="210" t="str">
        <f>'Focus Strategies Data All'!I163</f>
        <v>NA</v>
      </c>
      <c r="M17" s="25" t="str">
        <f>'Focus Strategies Data All'!K163</f>
        <v>setaside</v>
      </c>
      <c r="N17" s="210" t="str">
        <f>'Focus Strategies Data All'!L163</f>
        <v>NA</v>
      </c>
      <c r="O17" s="210" t="str">
        <f>'Focus Strategies Data All'!M163</f>
        <v>NA</v>
      </c>
      <c r="P17" s="210" t="str">
        <f>'Focus Strategies Data All'!N163</f>
        <v>NA</v>
      </c>
    </row>
    <row r="18" spans="3:16" x14ac:dyDescent="0.2">
      <c r="C18" s="25" t="str">
        <f>'Focus Strategies Data All'!A164</f>
        <v>maize</v>
      </c>
      <c r="D18" s="210" t="str">
        <f>'Focus Strategies Data All'!B164</f>
        <v>NA</v>
      </c>
      <c r="E18" s="210">
        <f>'Focus Strategies Data All'!C164</f>
        <v>100</v>
      </c>
      <c r="F18" s="210" t="str">
        <f>'Focus Strategies Data All'!D164</f>
        <v>NA</v>
      </c>
      <c r="H18" s="25" t="str">
        <f>'Focus Strategies Data All'!F164</f>
        <v>maize</v>
      </c>
      <c r="I18" s="210" t="str">
        <f>'Focus Strategies Data All'!G164</f>
        <v>NA</v>
      </c>
      <c r="J18" s="210" t="str">
        <f>'Focus Strategies Data All'!H164</f>
        <v>NA</v>
      </c>
      <c r="K18" s="210" t="str">
        <f>'Focus Strategies Data All'!I164</f>
        <v>NA</v>
      </c>
      <c r="M18" s="25" t="str">
        <f>'Focus Strategies Data All'!K164</f>
        <v>maize</v>
      </c>
      <c r="N18" s="210" t="str">
        <f>'Focus Strategies Data All'!L164</f>
        <v>NA</v>
      </c>
      <c r="O18" s="210" t="str">
        <f>'Focus Strategies Data All'!M164</f>
        <v>NA</v>
      </c>
      <c r="P18" s="210" t="str">
        <f>'Focus Strategies Data All'!N164</f>
        <v>NA</v>
      </c>
    </row>
    <row r="19" spans="3:16" x14ac:dyDescent="0.2">
      <c r="C19" s="25" t="str">
        <f>'Focus Strategies Data All'!A165</f>
        <v>springoats</v>
      </c>
      <c r="D19" s="210">
        <f>'Focus Strategies Data All'!B165</f>
        <v>100</v>
      </c>
      <c r="E19" s="210" t="str">
        <f>'Focus Strategies Data All'!C165</f>
        <v>NA</v>
      </c>
      <c r="F19" s="210" t="str">
        <f>'Focus Strategies Data All'!D165</f>
        <v>NA</v>
      </c>
      <c r="H19" s="25" t="str">
        <f>'Focus Strategies Data All'!F165</f>
        <v>springoats</v>
      </c>
      <c r="I19" s="210" t="str">
        <f>'Focus Strategies Data All'!G165</f>
        <v>NA</v>
      </c>
      <c r="J19" s="210" t="str">
        <f>'Focus Strategies Data All'!H165</f>
        <v>NA</v>
      </c>
      <c r="K19" s="210" t="str">
        <f>'Focus Strategies Data All'!I165</f>
        <v>NA</v>
      </c>
      <c r="M19" s="25" t="str">
        <f>'Focus Strategies Data All'!K165</f>
        <v>oats</v>
      </c>
      <c r="N19" s="210" t="str">
        <f>'Focus Strategies Data All'!L165</f>
        <v>NA</v>
      </c>
      <c r="O19" s="210" t="str">
        <f>'Focus Strategies Data All'!M165</f>
        <v>NA</v>
      </c>
      <c r="P19" s="210" t="str">
        <f>'Focus Strategies Data All'!N165</f>
        <v>NA</v>
      </c>
    </row>
  </sheetData>
  <mergeCells count="3">
    <mergeCell ref="C2:F2"/>
    <mergeCell ref="H2:K2"/>
    <mergeCell ref="M2:P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AFD90-F0CA-45D3-BB60-358A3C18CB1C}">
  <dimension ref="C2:P19"/>
  <sheetViews>
    <sheetView workbookViewId="0">
      <selection activeCell="D9" sqref="D9"/>
    </sheetView>
  </sheetViews>
  <sheetFormatPr baseColWidth="10" defaultColWidth="8.83203125" defaultRowHeight="15" x14ac:dyDescent="0.2"/>
  <sheetData>
    <row r="2" spans="3:16" x14ac:dyDescent="0.2">
      <c r="C2" s="415" t="s">
        <v>274</v>
      </c>
      <c r="D2" s="415"/>
      <c r="E2" s="415"/>
      <c r="F2" s="415"/>
      <c r="H2" s="415" t="s">
        <v>275</v>
      </c>
      <c r="I2" s="415"/>
      <c r="J2" s="415"/>
      <c r="K2" s="415"/>
      <c r="M2" s="415" t="s">
        <v>276</v>
      </c>
      <c r="N2" s="415"/>
      <c r="O2" s="415"/>
      <c r="P2" s="415"/>
    </row>
    <row r="3" spans="3:16" x14ac:dyDescent="0.2">
      <c r="C3" s="211" t="s">
        <v>277</v>
      </c>
      <c r="D3" s="231" t="s">
        <v>12</v>
      </c>
      <c r="E3" s="231" t="s">
        <v>10</v>
      </c>
      <c r="F3" s="231" t="s">
        <v>11</v>
      </c>
      <c r="H3" s="211" t="s">
        <v>277</v>
      </c>
      <c r="I3" s="231" t="s">
        <v>12</v>
      </c>
      <c r="J3" s="231" t="s">
        <v>10</v>
      </c>
      <c r="K3" s="231" t="s">
        <v>11</v>
      </c>
      <c r="M3" s="211" t="s">
        <v>277</v>
      </c>
      <c r="N3" s="231" t="s">
        <v>12</v>
      </c>
      <c r="O3" s="231" t="s">
        <v>10</v>
      </c>
      <c r="P3" s="231" t="s">
        <v>11</v>
      </c>
    </row>
    <row r="4" spans="3:16" x14ac:dyDescent="0.2">
      <c r="C4" s="25" t="str">
        <f>'Focus Strategies Data All'!A132</f>
        <v>winterwheat</v>
      </c>
      <c r="D4" s="210">
        <f>'Focus Strategies Data All'!B132</f>
        <v>17.876000000000001</v>
      </c>
      <c r="E4" s="210">
        <f>'Focus Strategies Data All'!C132</f>
        <v>9.2639999999999993</v>
      </c>
      <c r="F4" s="210">
        <f>'Focus Strategies Data All'!D132</f>
        <v>18.175999999999998</v>
      </c>
      <c r="G4" s="25"/>
      <c r="H4" s="25" t="str">
        <f>'Focus Strategies Data All'!F132</f>
        <v>winterwheat</v>
      </c>
      <c r="I4" s="210">
        <f>'Focus Strategies Data All'!G132</f>
        <v>13.135999999999999</v>
      </c>
      <c r="J4" s="210">
        <f>'Focus Strategies Data All'!H132</f>
        <v>9.84</v>
      </c>
      <c r="K4" s="210">
        <f>'Focus Strategies Data All'!I132</f>
        <v>5.7560000000000002</v>
      </c>
      <c r="L4" s="25"/>
      <c r="M4" s="25" t="str">
        <f>'Focus Strategies Data All'!K132</f>
        <v>winterwheat</v>
      </c>
      <c r="N4" s="210">
        <f>'Focus Strategies Data All'!L132</f>
        <v>6.3887999999999998</v>
      </c>
      <c r="O4" s="210">
        <f>'Focus Strategies Data All'!M132</f>
        <v>2.7888000000000002</v>
      </c>
      <c r="P4" s="210">
        <f>'Focus Strategies Data All'!N132</f>
        <v>2.7888000000000002</v>
      </c>
    </row>
    <row r="5" spans="3:16" x14ac:dyDescent="0.2">
      <c r="C5" s="25" t="str">
        <f>'Focus Strategies Data All'!A133</f>
        <v>springwheat</v>
      </c>
      <c r="D5" s="210" t="str">
        <f>'Focus Strategies Data All'!B133</f>
        <v>NA</v>
      </c>
      <c r="E5" s="210" t="str">
        <f>'Focus Strategies Data All'!C133</f>
        <v>NA</v>
      </c>
      <c r="F5" s="210" t="str">
        <f>'Focus Strategies Data All'!D133</f>
        <v>NA</v>
      </c>
      <c r="G5" s="25"/>
      <c r="H5" s="25" t="str">
        <f>'Focus Strategies Data All'!F133</f>
        <v>springwheat</v>
      </c>
      <c r="I5" s="210" t="str">
        <f>'Focus Strategies Data All'!G133</f>
        <v>NA</v>
      </c>
      <c r="J5" s="210" t="str">
        <f>'Focus Strategies Data All'!H133</f>
        <v>NA</v>
      </c>
      <c r="K5" s="210" t="str">
        <f>'Focus Strategies Data All'!I133</f>
        <v>NA</v>
      </c>
      <c r="L5" s="25"/>
      <c r="M5" s="25" t="str">
        <f>'Focus Strategies Data All'!K133</f>
        <v>springwheat</v>
      </c>
      <c r="N5" s="210" t="str">
        <f>'Focus Strategies Data All'!L133</f>
        <v>NA</v>
      </c>
      <c r="O5" s="210" t="str">
        <f>'Focus Strategies Data All'!M133</f>
        <v>NA</v>
      </c>
      <c r="P5" s="210" t="str">
        <f>'Focus Strategies Data All'!N133</f>
        <v>NA</v>
      </c>
    </row>
    <row r="6" spans="3:16" x14ac:dyDescent="0.2">
      <c r="C6" s="25" t="str">
        <f>'Focus Strategies Data All'!A134</f>
        <v>winterbarley</v>
      </c>
      <c r="D6" s="210" t="str">
        <f>'Focus Strategies Data All'!B134</f>
        <v>NA</v>
      </c>
      <c r="E6" s="210" t="str">
        <f>'Focus Strategies Data All'!C134</f>
        <v>NA</v>
      </c>
      <c r="F6" s="210">
        <f>'Focus Strategies Data All'!D134</f>
        <v>11.2</v>
      </c>
      <c r="G6" s="25"/>
      <c r="H6" s="25" t="str">
        <f>'Focus Strategies Data All'!F134</f>
        <v>winterbarley</v>
      </c>
      <c r="I6" s="210">
        <f>'Focus Strategies Data All'!G134</f>
        <v>14.436</v>
      </c>
      <c r="J6" s="210">
        <f>'Focus Strategies Data All'!H134</f>
        <v>9.16</v>
      </c>
      <c r="K6" s="210" t="str">
        <f>'Focus Strategies Data All'!I134</f>
        <v>NA</v>
      </c>
      <c r="L6" s="25"/>
      <c r="M6" s="25" t="str">
        <f>'Focus Strategies Data All'!K134</f>
        <v>winterbarley</v>
      </c>
      <c r="N6" s="210" t="str">
        <f>'Focus Strategies Data All'!L134</f>
        <v>NA</v>
      </c>
      <c r="O6" s="210">
        <f>'Focus Strategies Data All'!M134</f>
        <v>2.56</v>
      </c>
      <c r="P6" s="210">
        <f>'Focus Strategies Data All'!N134</f>
        <v>2.56</v>
      </c>
    </row>
    <row r="7" spans="3:16" x14ac:dyDescent="0.2">
      <c r="C7" s="25" t="str">
        <f>'Focus Strategies Data All'!A135</f>
        <v>springbarley</v>
      </c>
      <c r="D7" s="210" t="str">
        <f>'Focus Strategies Data All'!B135</f>
        <v>NA</v>
      </c>
      <c r="E7" s="210">
        <f>'Focus Strategies Data All'!C135</f>
        <v>7.6639999999999997</v>
      </c>
      <c r="F7" s="210">
        <f>'Focus Strategies Data All'!D135</f>
        <v>9.2560000000000002</v>
      </c>
      <c r="G7" s="25"/>
      <c r="H7" s="25" t="str">
        <f>'Focus Strategies Data All'!F135</f>
        <v>springbarley</v>
      </c>
      <c r="I7" s="210" t="str">
        <f>'Focus Strategies Data All'!G135</f>
        <v>NA</v>
      </c>
      <c r="J7" s="210" t="str">
        <f>'Focus Strategies Data All'!H135</f>
        <v>NA</v>
      </c>
      <c r="K7" s="210">
        <f>'Focus Strategies Data All'!I135</f>
        <v>6.16</v>
      </c>
      <c r="L7" s="25"/>
      <c r="M7" s="25" t="str">
        <f>'Focus Strategies Data All'!K135</f>
        <v>springbarley</v>
      </c>
      <c r="N7" s="210" t="str">
        <f>'Focus Strategies Data All'!L135</f>
        <v>NA</v>
      </c>
      <c r="O7" s="210" t="str">
        <f>'Focus Strategies Data All'!M135</f>
        <v>NA</v>
      </c>
      <c r="P7" s="210" t="str">
        <f>'Focus Strategies Data All'!N135</f>
        <v>NA</v>
      </c>
    </row>
    <row r="8" spans="3:16" x14ac:dyDescent="0.2">
      <c r="C8" s="25" t="str">
        <f>'Focus Strategies Data All'!A136</f>
        <v>winterbeans</v>
      </c>
      <c r="D8" s="210" t="str">
        <f>'Focus Strategies Data All'!B136</f>
        <v>NA</v>
      </c>
      <c r="E8" s="210" t="str">
        <f>'Focus Strategies Data All'!C136</f>
        <v>NA</v>
      </c>
      <c r="F8" s="210" t="str">
        <f>'Focus Strategies Data All'!D136</f>
        <v>NA</v>
      </c>
      <c r="G8" s="25"/>
      <c r="H8" s="25" t="str">
        <f>'Focus Strategies Data All'!F136</f>
        <v>winterbeans</v>
      </c>
      <c r="I8" s="210" t="str">
        <f>'Focus Strategies Data All'!G136</f>
        <v>NA</v>
      </c>
      <c r="J8" s="210" t="str">
        <f>'Focus Strategies Data All'!H136</f>
        <v>NA</v>
      </c>
      <c r="K8" s="210" t="str">
        <f>'Focus Strategies Data All'!I136</f>
        <v>NA</v>
      </c>
      <c r="L8" s="25"/>
      <c r="M8" s="25" t="str">
        <f>'Focus Strategies Data All'!K136</f>
        <v>winterbeans</v>
      </c>
      <c r="N8" s="210" t="str">
        <f>'Focus Strategies Data All'!L136</f>
        <v>NA</v>
      </c>
      <c r="O8" s="210" t="str">
        <f>'Focus Strategies Data All'!M136</f>
        <v>NA</v>
      </c>
      <c r="P8" s="210" t="str">
        <f>'Focus Strategies Data All'!N136</f>
        <v>NA</v>
      </c>
    </row>
    <row r="9" spans="3:16" x14ac:dyDescent="0.2">
      <c r="C9" s="25" t="str">
        <f>'Focus Strategies Data All'!A137</f>
        <v>springbeans</v>
      </c>
      <c r="D9" s="210">
        <f>'Focus Strategies Data All'!B137</f>
        <v>10.776599999999998</v>
      </c>
      <c r="E9" s="210" t="str">
        <f>'Focus Strategies Data All'!C137</f>
        <v>NA</v>
      </c>
      <c r="F9" s="210">
        <f>'Focus Strategies Data All'!D137</f>
        <v>10.989600000000001</v>
      </c>
      <c r="G9" s="25"/>
      <c r="H9" s="25" t="str">
        <f>'Focus Strategies Data All'!F137</f>
        <v>springbeans</v>
      </c>
      <c r="I9" s="210">
        <f>'Focus Strategies Data All'!G137</f>
        <v>9.3362999999999996</v>
      </c>
      <c r="J9" s="210">
        <f>'Focus Strategies Data All'!H137</f>
        <v>6.5750000000000002</v>
      </c>
      <c r="K9" s="210" t="str">
        <f>'Focus Strategies Data All'!I137</f>
        <v>NA</v>
      </c>
      <c r="L9" s="25"/>
      <c r="M9" s="25" t="str">
        <f>'Focus Strategies Data All'!K137</f>
        <v>springbeans</v>
      </c>
      <c r="N9" s="210" t="str">
        <f>'Focus Strategies Data All'!L137</f>
        <v>NA</v>
      </c>
      <c r="O9" s="210">
        <f>'Focus Strategies Data All'!M137</f>
        <v>6.4536000000000007</v>
      </c>
      <c r="P9" s="210">
        <f>'Focus Strategies Data All'!N137</f>
        <v>6.4536000000000007</v>
      </c>
    </row>
    <row r="10" spans="3:16" x14ac:dyDescent="0.2">
      <c r="C10" s="25" t="str">
        <f>'Focus Strategies Data All'!A138</f>
        <v>warepotatoes</v>
      </c>
      <c r="D10" s="210" t="str">
        <f>'Focus Strategies Data All'!B138</f>
        <v>NA</v>
      </c>
      <c r="E10" s="210" t="str">
        <f>'Focus Strategies Data All'!C138</f>
        <v>NA</v>
      </c>
      <c r="F10" s="210" t="str">
        <f>'Focus Strategies Data All'!D138</f>
        <v>NA</v>
      </c>
      <c r="G10" s="25"/>
      <c r="H10" s="25" t="str">
        <f>'Focus Strategies Data All'!F138</f>
        <v>warepotatoes</v>
      </c>
      <c r="I10" s="210" t="str">
        <f>'Focus Strategies Data All'!G138</f>
        <v>NA</v>
      </c>
      <c r="J10" s="210" t="str">
        <f>'Focus Strategies Data All'!H138</f>
        <v>NA</v>
      </c>
      <c r="K10" s="210" t="str">
        <f>'Focus Strategies Data All'!I138</f>
        <v>NA</v>
      </c>
      <c r="L10" s="25"/>
      <c r="M10" s="25" t="str">
        <f>'Focus Strategies Data All'!K138</f>
        <v>warepotatoes</v>
      </c>
      <c r="N10" s="210" t="str">
        <f>'Focus Strategies Data All'!L138</f>
        <v>NA</v>
      </c>
      <c r="O10" s="210" t="str">
        <f>'Focus Strategies Data All'!M138</f>
        <v>NA</v>
      </c>
      <c r="P10" s="210" t="str">
        <f>'Focus Strategies Data All'!N138</f>
        <v>NA</v>
      </c>
    </row>
    <row r="11" spans="3:16" x14ac:dyDescent="0.2">
      <c r="C11" s="25" t="str">
        <f>'Focus Strategies Data All'!A139</f>
        <v>wosr</v>
      </c>
      <c r="D11" s="210" t="str">
        <f>'Focus Strategies Data All'!B139</f>
        <v>NA</v>
      </c>
      <c r="E11" s="210">
        <f>'Focus Strategies Data All'!C139</f>
        <v>3.78</v>
      </c>
      <c r="F11" s="210">
        <f>'Focus Strategies Data All'!D139</f>
        <v>3.1</v>
      </c>
      <c r="G11" s="25"/>
      <c r="H11" s="25" t="str">
        <f>'Focus Strategies Data All'!F139</f>
        <v>wosr</v>
      </c>
      <c r="I11" s="210">
        <f>'Focus Strategies Data All'!G139</f>
        <v>6.24</v>
      </c>
      <c r="J11" s="210" t="str">
        <f>'Focus Strategies Data All'!H139</f>
        <v>NA</v>
      </c>
      <c r="K11" s="210">
        <f>'Focus Strategies Data All'!I139</f>
        <v>6.94</v>
      </c>
      <c r="L11" s="25"/>
      <c r="M11" s="25" t="str">
        <f>'Focus Strategies Data All'!K139</f>
        <v>wosr</v>
      </c>
      <c r="N11" s="210">
        <f>'Focus Strategies Data All'!L139</f>
        <v>0</v>
      </c>
      <c r="O11" s="210">
        <f>'Focus Strategies Data All'!M139</f>
        <v>1.4</v>
      </c>
      <c r="P11" s="210">
        <f>'Focus Strategies Data All'!N139</f>
        <v>1.4</v>
      </c>
    </row>
    <row r="12" spans="3:16" x14ac:dyDescent="0.2">
      <c r="C12" s="25" t="str">
        <f>'Focus Strategies Data All'!A140</f>
        <v>sosr</v>
      </c>
      <c r="D12" s="210" t="str">
        <f>'Focus Strategies Data All'!B140</f>
        <v>NA</v>
      </c>
      <c r="E12" s="210" t="str">
        <f>'Focus Strategies Data All'!C140</f>
        <v>NA</v>
      </c>
      <c r="F12" s="210" t="str">
        <f>'Focus Strategies Data All'!D140</f>
        <v>NA</v>
      </c>
      <c r="G12" s="25"/>
      <c r="H12" s="25" t="str">
        <f>'Focus Strategies Data All'!F140</f>
        <v>sosr</v>
      </c>
      <c r="I12" s="210" t="str">
        <f>'Focus Strategies Data All'!G140</f>
        <v>NA</v>
      </c>
      <c r="J12" s="210" t="str">
        <f>'Focus Strategies Data All'!H140</f>
        <v>NA</v>
      </c>
      <c r="K12" s="210" t="str">
        <f>'Focus Strategies Data All'!I140</f>
        <v>NA</v>
      </c>
      <c r="L12" s="25"/>
      <c r="M12" s="25" t="str">
        <f>'Focus Strategies Data All'!K140</f>
        <v>sosr</v>
      </c>
      <c r="N12" s="210" t="str">
        <f>'Focus Strategies Data All'!L140</f>
        <v>NA</v>
      </c>
      <c r="O12" s="210" t="str">
        <f>'Focus Strategies Data All'!M140</f>
        <v>NA</v>
      </c>
      <c r="P12" s="210" t="str">
        <f>'Focus Strategies Data All'!N140</f>
        <v>NA</v>
      </c>
    </row>
    <row r="13" spans="3:16" x14ac:dyDescent="0.2">
      <c r="C13" s="25" t="str">
        <f>'Focus Strategies Data All'!A141</f>
        <v>sugarbeet</v>
      </c>
      <c r="D13" s="210">
        <f>'Focus Strategies Data All'!B141</f>
        <v>12.673500000000001</v>
      </c>
      <c r="E13" s="210" t="str">
        <f>'Focus Strategies Data All'!C141</f>
        <v>NA</v>
      </c>
      <c r="F13" s="210" t="str">
        <f>'Focus Strategies Data All'!D141</f>
        <v>NA</v>
      </c>
      <c r="G13" s="25"/>
      <c r="H13" s="25" t="str">
        <f>'Focus Strategies Data All'!F141</f>
        <v>sugarbeet</v>
      </c>
      <c r="I13" s="210" t="str">
        <f>'Focus Strategies Data All'!G141</f>
        <v>NA</v>
      </c>
      <c r="J13" s="210" t="str">
        <f>'Focus Strategies Data All'!H141</f>
        <v>NA</v>
      </c>
      <c r="K13" s="210" t="str">
        <f>'Focus Strategies Data All'!I141</f>
        <v>NA</v>
      </c>
      <c r="L13" s="25"/>
      <c r="M13" s="25" t="str">
        <f>'Focus Strategies Data All'!K141</f>
        <v>sugarbeet</v>
      </c>
      <c r="N13" s="210" t="str">
        <f>'Focus Strategies Data All'!L141</f>
        <v>NA</v>
      </c>
      <c r="O13" s="210" t="str">
        <f>'Focus Strategies Data All'!M141</f>
        <v>NA</v>
      </c>
      <c r="P13" s="210" t="str">
        <f>'Focus Strategies Data All'!N141</f>
        <v>NA</v>
      </c>
    </row>
    <row r="14" spans="3:16" x14ac:dyDescent="0.2">
      <c r="C14" s="25" t="str">
        <f>'Focus Strategies Data All'!A142</f>
        <v>winterlinseed</v>
      </c>
      <c r="D14" s="210" t="str">
        <f>'Focus Strategies Data All'!B142</f>
        <v>NA</v>
      </c>
      <c r="E14" s="210" t="str">
        <f>'Focus Strategies Data All'!C142</f>
        <v>NA</v>
      </c>
      <c r="F14" s="210" t="str">
        <f>'Focus Strategies Data All'!D142</f>
        <v>NA</v>
      </c>
      <c r="G14" s="25"/>
      <c r="H14" s="25" t="str">
        <f>'Focus Strategies Data All'!F142</f>
        <v>winterlinseed</v>
      </c>
      <c r="I14" s="210" t="str">
        <f>'Focus Strategies Data All'!G142</f>
        <v>NA</v>
      </c>
      <c r="J14" s="210" t="str">
        <f>'Focus Strategies Data All'!H142</f>
        <v>NA</v>
      </c>
      <c r="K14" s="210" t="str">
        <f>'Focus Strategies Data All'!I142</f>
        <v>NA</v>
      </c>
      <c r="L14" s="25"/>
      <c r="M14" s="25" t="str">
        <f>'Focus Strategies Data All'!K142</f>
        <v>winterlinseed</v>
      </c>
      <c r="N14" s="210" t="str">
        <f>'Focus Strategies Data All'!L142</f>
        <v>NA</v>
      </c>
      <c r="O14" s="210" t="str">
        <f>'Focus Strategies Data All'!M142</f>
        <v>NA</v>
      </c>
      <c r="P14" s="210" t="str">
        <f>'Focus Strategies Data All'!N142</f>
        <v>NA</v>
      </c>
    </row>
    <row r="15" spans="3:16" x14ac:dyDescent="0.2">
      <c r="C15" s="25" t="str">
        <f>'Focus Strategies Data All'!A143</f>
        <v>springlinseed</v>
      </c>
      <c r="D15" s="210">
        <f>'Focus Strategies Data All'!B143</f>
        <v>11.246</v>
      </c>
      <c r="E15" s="210" t="str">
        <f>'Focus Strategies Data All'!C143</f>
        <v>NA</v>
      </c>
      <c r="F15" s="210" t="str">
        <f>'Focus Strategies Data All'!D143</f>
        <v>NA</v>
      </c>
      <c r="G15" s="25"/>
      <c r="H15" s="25" t="str">
        <f>'Focus Strategies Data All'!F143</f>
        <v>springlinseed</v>
      </c>
      <c r="I15" s="210" t="str">
        <f>'Focus Strategies Data All'!G143</f>
        <v>NA</v>
      </c>
      <c r="J15" s="210" t="str">
        <f>'Focus Strategies Data All'!H143</f>
        <v>NA</v>
      </c>
      <c r="K15" s="210" t="str">
        <f>'Focus Strategies Data All'!I143</f>
        <v>NA</v>
      </c>
      <c r="L15" s="25"/>
      <c r="M15" s="25" t="str">
        <f>'Focus Strategies Data All'!K143</f>
        <v>springlinseed</v>
      </c>
      <c r="N15" s="210" t="str">
        <f>'Focus Strategies Data All'!L143</f>
        <v>NA</v>
      </c>
      <c r="O15" s="210" t="str">
        <f>'Focus Strategies Data All'!M143</f>
        <v>NA</v>
      </c>
      <c r="P15" s="210" t="str">
        <f>'Focus Strategies Data All'!N143</f>
        <v>NA</v>
      </c>
    </row>
    <row r="16" spans="3:16" x14ac:dyDescent="0.2">
      <c r="C16" s="25" t="str">
        <f>'Focus Strategies Data All'!A144</f>
        <v>driedpeas</v>
      </c>
      <c r="D16" s="210">
        <f>'Focus Strategies Data All'!B144</f>
        <v>8.3762999999999987</v>
      </c>
      <c r="E16" s="210" t="str">
        <f>'Focus Strategies Data All'!C144</f>
        <v>NA</v>
      </c>
      <c r="F16" s="210">
        <f>'Focus Strategies Data All'!D144</f>
        <v>10.989600000000001</v>
      </c>
      <c r="G16" s="25"/>
      <c r="H16" s="25" t="str">
        <f>'Focus Strategies Data All'!F144</f>
        <v>driedpeas</v>
      </c>
      <c r="I16" s="210">
        <f>'Focus Strategies Data All'!G144</f>
        <v>8.3762999999999987</v>
      </c>
      <c r="J16" s="210">
        <f>'Focus Strategies Data All'!H144</f>
        <v>6.0002999999999993</v>
      </c>
      <c r="K16" s="210" t="str">
        <f>'Focus Strategies Data All'!I144</f>
        <v>NA</v>
      </c>
      <c r="L16" s="25"/>
      <c r="M16" s="25" t="str">
        <f>'Focus Strategies Data All'!K144</f>
        <v>driedpeas</v>
      </c>
      <c r="N16" s="210" t="str">
        <f>'Focus Strategies Data All'!L144</f>
        <v>NA</v>
      </c>
      <c r="O16" s="210">
        <f>'Focus Strategies Data All'!M144</f>
        <v>6.6696</v>
      </c>
      <c r="P16" s="210">
        <f>'Focus Strategies Data All'!N144</f>
        <v>6.6696</v>
      </c>
    </row>
    <row r="17" spans="3:16" x14ac:dyDescent="0.2">
      <c r="C17" s="25" t="str">
        <f>'Focus Strategies Data All'!A145</f>
        <v>setaside</v>
      </c>
      <c r="D17" s="210" t="str">
        <f>'Focus Strategies Data All'!B145</f>
        <v>NA</v>
      </c>
      <c r="E17" s="210">
        <f>'Focus Strategies Data All'!C145</f>
        <v>4.4640000000000004</v>
      </c>
      <c r="F17" s="210" t="str">
        <f>'Focus Strategies Data All'!D145</f>
        <v>NA</v>
      </c>
      <c r="G17" s="25"/>
      <c r="H17" s="25" t="str">
        <f>'Focus Strategies Data All'!F145</f>
        <v>setaside</v>
      </c>
      <c r="I17" s="210" t="str">
        <f>'Focus Strategies Data All'!G145</f>
        <v>NA</v>
      </c>
      <c r="J17" s="210" t="str">
        <f>'Focus Strategies Data All'!H145</f>
        <v>NA</v>
      </c>
      <c r="K17" s="210" t="str">
        <f>'Focus Strategies Data All'!I145</f>
        <v>NA</v>
      </c>
      <c r="L17" s="25"/>
      <c r="M17" s="25" t="str">
        <f>'Focus Strategies Data All'!K145</f>
        <v>setaside</v>
      </c>
      <c r="N17" s="210" t="str">
        <f>'Focus Strategies Data All'!L145</f>
        <v>NA</v>
      </c>
      <c r="O17" s="210" t="str">
        <f>'Focus Strategies Data All'!M145</f>
        <v>NA</v>
      </c>
      <c r="P17" s="210" t="str">
        <f>'Focus Strategies Data All'!N145</f>
        <v>NA</v>
      </c>
    </row>
    <row r="18" spans="3:16" x14ac:dyDescent="0.2">
      <c r="C18" s="25" t="str">
        <f>'Focus Strategies Data All'!A146</f>
        <v>maize</v>
      </c>
      <c r="D18" s="210" t="str">
        <f>'Focus Strategies Data All'!B146</f>
        <v>NA</v>
      </c>
      <c r="E18" s="210">
        <f>'Focus Strategies Data All'!C146</f>
        <v>3.024</v>
      </c>
      <c r="F18" s="210" t="str">
        <f>'Focus Strategies Data All'!D146</f>
        <v>NA</v>
      </c>
      <c r="G18" s="25"/>
      <c r="H18" s="25" t="str">
        <f>'Focus Strategies Data All'!F146</f>
        <v>maize</v>
      </c>
      <c r="I18" s="210" t="str">
        <f>'Focus Strategies Data All'!G146</f>
        <v>NA</v>
      </c>
      <c r="J18" s="210" t="str">
        <f>'Focus Strategies Data All'!H146</f>
        <v>NA</v>
      </c>
      <c r="K18" s="210" t="str">
        <f>'Focus Strategies Data All'!I146</f>
        <v>NA</v>
      </c>
      <c r="L18" s="25"/>
      <c r="M18" s="25" t="str">
        <f>'Focus Strategies Data All'!K146</f>
        <v>maize</v>
      </c>
      <c r="N18" s="210" t="str">
        <f>'Focus Strategies Data All'!L146</f>
        <v>NA</v>
      </c>
      <c r="O18" s="210" t="str">
        <f>'Focus Strategies Data All'!M146</f>
        <v>NA</v>
      </c>
      <c r="P18" s="210" t="str">
        <f>'Focus Strategies Data All'!N146</f>
        <v>NA</v>
      </c>
    </row>
    <row r="19" spans="3:16" x14ac:dyDescent="0.2">
      <c r="C19" s="25" t="str">
        <f>'Focus Strategies Data All'!A147</f>
        <v>springoats</v>
      </c>
      <c r="D19" s="210">
        <f>'Focus Strategies Data All'!B147</f>
        <v>4.7859999999999996</v>
      </c>
      <c r="E19" s="210" t="str">
        <f>'Focus Strategies Data All'!C147</f>
        <v>NA</v>
      </c>
      <c r="F19" s="210" t="str">
        <f>'Focus Strategies Data All'!D147</f>
        <v>NA</v>
      </c>
      <c r="G19" s="25"/>
      <c r="H19" s="25" t="str">
        <f>'Focus Strategies Data All'!F147</f>
        <v>springoats</v>
      </c>
      <c r="I19" s="210" t="str">
        <f>'Focus Strategies Data All'!G147</f>
        <v>NA</v>
      </c>
      <c r="J19" s="210" t="str">
        <f>'Focus Strategies Data All'!H147</f>
        <v>NA</v>
      </c>
      <c r="K19" s="210" t="str">
        <f>'Focus Strategies Data All'!I147</f>
        <v>NA</v>
      </c>
      <c r="L19" s="25"/>
      <c r="M19" s="25" t="str">
        <f>'Focus Strategies Data All'!K147</f>
        <v>springoats</v>
      </c>
      <c r="N19" s="210" t="str">
        <f>'Focus Strategies Data All'!L147</f>
        <v>NA</v>
      </c>
      <c r="O19" s="210" t="str">
        <f>'Focus Strategies Data All'!M147</f>
        <v>NA</v>
      </c>
      <c r="P19" s="210" t="str">
        <f>'Focus Strategies Data All'!N147</f>
        <v>NA</v>
      </c>
    </row>
  </sheetData>
  <mergeCells count="3">
    <mergeCell ref="C2:F2"/>
    <mergeCell ref="H2:K2"/>
    <mergeCell ref="M2:P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2C10E-39AE-42AB-B1D2-4FA5B86B693A}">
  <dimension ref="C2:P19"/>
  <sheetViews>
    <sheetView workbookViewId="0">
      <selection activeCell="L28" sqref="L28"/>
    </sheetView>
  </sheetViews>
  <sheetFormatPr baseColWidth="10" defaultColWidth="8.83203125" defaultRowHeight="15" x14ac:dyDescent="0.2"/>
  <cols>
    <col min="8" max="8" width="9.33203125" customWidth="1"/>
  </cols>
  <sheetData>
    <row r="2" spans="3:16" x14ac:dyDescent="0.2">
      <c r="C2" s="415" t="s">
        <v>274</v>
      </c>
      <c r="D2" s="415"/>
      <c r="E2" s="415"/>
      <c r="F2" s="415"/>
      <c r="H2" s="415" t="s">
        <v>275</v>
      </c>
      <c r="I2" s="415"/>
      <c r="J2" s="415"/>
      <c r="K2" s="415"/>
      <c r="M2" s="415" t="s">
        <v>276</v>
      </c>
      <c r="N2" s="415"/>
      <c r="O2" s="415"/>
      <c r="P2" s="415"/>
    </row>
    <row r="3" spans="3:16" x14ac:dyDescent="0.2">
      <c r="C3" s="211" t="str">
        <f>'Focus Strategies Data All'!A167</f>
        <v>№ Fertiliser sprayings, CFT</v>
      </c>
      <c r="D3" s="231" t="str">
        <f>'Focus Strategies Data All'!B167</f>
        <v>East</v>
      </c>
      <c r="E3" s="231" t="str">
        <f>'Focus Strategies Data All'!C167</f>
        <v>North</v>
      </c>
      <c r="F3" s="231" t="str">
        <f>'Focus Strategies Data All'!D167</f>
        <v>Central</v>
      </c>
      <c r="G3" s="1"/>
      <c r="H3" s="211" t="str">
        <f>'Focus Strategies Data All'!F167</f>
        <v>№ Fertiliser sprayings</v>
      </c>
      <c r="I3" s="231" t="str">
        <f>'Focus Strategies Data All'!G167</f>
        <v>East</v>
      </c>
      <c r="J3" s="231" t="str">
        <f>'Focus Strategies Data All'!H167</f>
        <v>North</v>
      </c>
      <c r="K3" s="231" t="str">
        <f>'Focus Strategies Data All'!I167</f>
        <v>Central</v>
      </c>
      <c r="L3" s="1"/>
      <c r="M3" s="211" t="str">
        <f>'Focus Strategies Data All'!K167</f>
        <v>№ Fertiliser sprayings</v>
      </c>
      <c r="N3" s="231" t="str">
        <f>'Focus Strategies Data All'!L167</f>
        <v>East</v>
      </c>
      <c r="O3" s="231" t="str">
        <f>'Focus Strategies Data All'!M167</f>
        <v>North</v>
      </c>
      <c r="P3" s="231" t="str">
        <f>'Focus Strategies Data All'!N167</f>
        <v>Central</v>
      </c>
    </row>
    <row r="4" spans="3:16" x14ac:dyDescent="0.2">
      <c r="C4" s="25" t="str">
        <f>'Focus Strategies Data All'!A168</f>
        <v>winterwheat</v>
      </c>
      <c r="D4" s="210">
        <f>'Focus Strategies Data All'!B168</f>
        <v>3</v>
      </c>
      <c r="E4" s="210">
        <f>'Focus Strategies Data All'!C168</f>
        <v>3</v>
      </c>
      <c r="F4" s="210">
        <f>'Focus Strategies Data All'!D168</f>
        <v>3</v>
      </c>
      <c r="H4" s="25" t="str">
        <f>'Focus Strategies Data All'!F168</f>
        <v>winterwheat</v>
      </c>
      <c r="I4" s="210">
        <f>'Focus Strategies Data All'!G168</f>
        <v>3</v>
      </c>
      <c r="J4" s="210">
        <f>'Focus Strategies Data All'!H168</f>
        <v>3</v>
      </c>
      <c r="K4" s="210">
        <f>'Focus Strategies Data All'!I168</f>
        <v>3</v>
      </c>
      <c r="M4" s="25" t="str">
        <f>'Focus Strategies Data All'!K168</f>
        <v>winterwheat</v>
      </c>
      <c r="N4" s="210">
        <f>'Focus Strategies Data All'!L168</f>
        <v>3</v>
      </c>
      <c r="O4" s="210">
        <f>'Focus Strategies Data All'!M168</f>
        <v>3</v>
      </c>
      <c r="P4" s="210">
        <f>'Focus Strategies Data All'!N168</f>
        <v>3</v>
      </c>
    </row>
    <row r="5" spans="3:16" x14ac:dyDescent="0.2">
      <c r="C5" s="25" t="str">
        <f>'Focus Strategies Data All'!A169</f>
        <v>springwheat</v>
      </c>
      <c r="D5" s="210" t="str">
        <f>'Focus Strategies Data All'!B169</f>
        <v>NA</v>
      </c>
      <c r="E5" s="210" t="str">
        <f>'Focus Strategies Data All'!C169</f>
        <v>NA</v>
      </c>
      <c r="F5" s="210" t="str">
        <f>'Focus Strategies Data All'!D169</f>
        <v>NA</v>
      </c>
      <c r="H5" s="25" t="str">
        <f>'Focus Strategies Data All'!F169</f>
        <v>springwheat</v>
      </c>
      <c r="I5" s="210" t="str">
        <f>'Focus Strategies Data All'!G169</f>
        <v>NA</v>
      </c>
      <c r="J5" s="210" t="str">
        <f>'Focus Strategies Data All'!H169</f>
        <v>NA</v>
      </c>
      <c r="K5" s="210" t="str">
        <f>'Focus Strategies Data All'!I169</f>
        <v>NA</v>
      </c>
      <c r="M5" s="25" t="str">
        <f>'Focus Strategies Data All'!K169</f>
        <v>springwheat</v>
      </c>
      <c r="N5" s="210" t="str">
        <f>'Focus Strategies Data All'!L169</f>
        <v>NA</v>
      </c>
      <c r="O5" s="210" t="str">
        <f>'Focus Strategies Data All'!M169</f>
        <v>NA</v>
      </c>
      <c r="P5" s="210" t="str">
        <f>'Focus Strategies Data All'!N169</f>
        <v>NA</v>
      </c>
    </row>
    <row r="6" spans="3:16" x14ac:dyDescent="0.2">
      <c r="C6" s="25" t="str">
        <f>'Focus Strategies Data All'!A170</f>
        <v>winterbarley</v>
      </c>
      <c r="D6" s="210" t="str">
        <f>'Focus Strategies Data All'!B170</f>
        <v>NA</v>
      </c>
      <c r="E6" s="210" t="str">
        <f>'Focus Strategies Data All'!C170</f>
        <v>NA</v>
      </c>
      <c r="F6" s="210" t="str">
        <f>'Focus Strategies Data All'!D170</f>
        <v>NA</v>
      </c>
      <c r="H6" s="25" t="str">
        <f>'Focus Strategies Data All'!F170</f>
        <v>winterbarley</v>
      </c>
      <c r="I6" s="210">
        <f>'Focus Strategies Data All'!G170</f>
        <v>2</v>
      </c>
      <c r="J6" s="239">
        <f>'Focus Strategies Data All'!H170</f>
        <v>3</v>
      </c>
      <c r="K6" s="210" t="str">
        <f>'Focus Strategies Data All'!I170</f>
        <v>NA</v>
      </c>
      <c r="M6" s="25" t="str">
        <f>'Focus Strategies Data All'!K170</f>
        <v>winterbarley</v>
      </c>
      <c r="N6" s="210" t="str">
        <f>'Focus Strategies Data All'!L170</f>
        <v>NA</v>
      </c>
      <c r="O6" s="239">
        <f>'Focus Strategies Data All'!M170</f>
        <v>3</v>
      </c>
      <c r="P6" s="239">
        <f>'Focus Strategies Data All'!N170</f>
        <v>3</v>
      </c>
    </row>
    <row r="7" spans="3:16" x14ac:dyDescent="0.2">
      <c r="C7" s="25" t="str">
        <f>'Focus Strategies Data All'!A171</f>
        <v>springbarley</v>
      </c>
      <c r="D7" s="210" t="str">
        <f>'Focus Strategies Data All'!B171</f>
        <v>NA</v>
      </c>
      <c r="E7" s="210">
        <f>'Focus Strategies Data All'!C171</f>
        <v>1</v>
      </c>
      <c r="F7" s="210">
        <f>'Focus Strategies Data All'!D171</f>
        <v>1</v>
      </c>
      <c r="H7" s="25" t="str">
        <f>'Focus Strategies Data All'!F171</f>
        <v>springbarley</v>
      </c>
      <c r="I7" s="210" t="str">
        <f>'Focus Strategies Data All'!G171</f>
        <v>NA</v>
      </c>
      <c r="J7" s="210" t="str">
        <f>'Focus Strategies Data All'!H171</f>
        <v>NA</v>
      </c>
      <c r="K7" s="210">
        <f>'Focus Strategies Data All'!I171</f>
        <v>1</v>
      </c>
      <c r="M7" s="25" t="str">
        <f>'Focus Strategies Data All'!K171</f>
        <v>springbarley</v>
      </c>
      <c r="N7" s="210" t="str">
        <f>'Focus Strategies Data All'!L171</f>
        <v>NA</v>
      </c>
      <c r="O7" s="210" t="str">
        <f>'Focus Strategies Data All'!M171</f>
        <v>NA</v>
      </c>
      <c r="P7" s="210" t="str">
        <f>'Focus Strategies Data All'!N171</f>
        <v>NA</v>
      </c>
    </row>
    <row r="8" spans="3:16" x14ac:dyDescent="0.2">
      <c r="C8" s="25" t="str">
        <f>'Focus Strategies Data All'!A172</f>
        <v>winterbeans</v>
      </c>
      <c r="D8" s="210" t="str">
        <f>'Focus Strategies Data All'!B172</f>
        <v>NA</v>
      </c>
      <c r="E8" s="210" t="str">
        <f>'Focus Strategies Data All'!C172</f>
        <v>NA</v>
      </c>
      <c r="F8" s="210" t="str">
        <f>'Focus Strategies Data All'!D172</f>
        <v>NA</v>
      </c>
      <c r="H8" s="25" t="str">
        <f>'Focus Strategies Data All'!F172</f>
        <v>winterbeans</v>
      </c>
      <c r="I8" s="210" t="str">
        <f>'Focus Strategies Data All'!G172</f>
        <v>NA</v>
      </c>
      <c r="J8" s="210" t="str">
        <f>'Focus Strategies Data All'!H172</f>
        <v>NA</v>
      </c>
      <c r="K8" s="210" t="str">
        <f>'Focus Strategies Data All'!I172</f>
        <v>NA</v>
      </c>
      <c r="M8" s="25" t="str">
        <f>'Focus Strategies Data All'!K172</f>
        <v>winterbeans</v>
      </c>
      <c r="N8" s="210" t="str">
        <f>'Focus Strategies Data All'!L172</f>
        <v>NA</v>
      </c>
      <c r="O8" s="210" t="str">
        <f>'Focus Strategies Data All'!M172</f>
        <v>NA</v>
      </c>
      <c r="P8" s="210" t="str">
        <f>'Focus Strategies Data All'!N172</f>
        <v>NA</v>
      </c>
    </row>
    <row r="9" spans="3:16" x14ac:dyDescent="0.2">
      <c r="C9" s="25" t="str">
        <f>'Focus Strategies Data All'!A173</f>
        <v>springbeans</v>
      </c>
      <c r="D9" s="210">
        <f>'Focus Strategies Data All'!B173</f>
        <v>0</v>
      </c>
      <c r="E9" s="210" t="str">
        <f>'Focus Strategies Data All'!C173</f>
        <v>NA</v>
      </c>
      <c r="F9" s="210">
        <f>'Focus Strategies Data All'!D173</f>
        <v>0</v>
      </c>
      <c r="H9" s="25" t="str">
        <f>'Focus Strategies Data All'!F173</f>
        <v>springbeans</v>
      </c>
      <c r="I9" s="210">
        <f>'Focus Strategies Data All'!G173</f>
        <v>0</v>
      </c>
      <c r="J9" s="210">
        <f>'Focus Strategies Data All'!H173</f>
        <v>0</v>
      </c>
      <c r="K9" s="210" t="str">
        <f>'Focus Strategies Data All'!I173</f>
        <v>NA</v>
      </c>
      <c r="M9" s="25" t="str">
        <f>'Focus Strategies Data All'!K173</f>
        <v>springbeans</v>
      </c>
      <c r="N9" s="210" t="str">
        <f>'Focus Strategies Data All'!L173</f>
        <v>NA</v>
      </c>
      <c r="O9" s="210">
        <f>'Focus Strategies Data All'!M173</f>
        <v>0</v>
      </c>
      <c r="P9" s="210">
        <f>'Focus Strategies Data All'!N173</f>
        <v>0</v>
      </c>
    </row>
    <row r="10" spans="3:16" x14ac:dyDescent="0.2">
      <c r="C10" s="25" t="str">
        <f>'Focus Strategies Data All'!A174</f>
        <v>warepotatoes</v>
      </c>
      <c r="D10" s="210" t="str">
        <f>'Focus Strategies Data All'!B174</f>
        <v>NA</v>
      </c>
      <c r="E10" s="210" t="str">
        <f>'Focus Strategies Data All'!C174</f>
        <v>NA</v>
      </c>
      <c r="F10" s="210" t="str">
        <f>'Focus Strategies Data All'!D174</f>
        <v>NA</v>
      </c>
      <c r="H10" s="25" t="str">
        <f>'Focus Strategies Data All'!F174</f>
        <v>warepotatoes</v>
      </c>
      <c r="I10" s="210" t="str">
        <f>'Focus Strategies Data All'!G174</f>
        <v>NA</v>
      </c>
      <c r="J10" s="210" t="str">
        <f>'Focus Strategies Data All'!H174</f>
        <v>NA</v>
      </c>
      <c r="K10" s="210" t="str">
        <f>'Focus Strategies Data All'!I174</f>
        <v>NA</v>
      </c>
      <c r="M10" s="25" t="str">
        <f>'Focus Strategies Data All'!K174</f>
        <v>warepotatoes</v>
      </c>
      <c r="N10" s="210" t="str">
        <f>'Focus Strategies Data All'!L174</f>
        <v>NA</v>
      </c>
      <c r="O10" s="210" t="str">
        <f>'Focus Strategies Data All'!M174</f>
        <v>NA</v>
      </c>
      <c r="P10" s="210" t="str">
        <f>'Focus Strategies Data All'!N174</f>
        <v>NA</v>
      </c>
    </row>
    <row r="11" spans="3:16" x14ac:dyDescent="0.2">
      <c r="C11" s="25" t="str">
        <f>'Focus Strategies Data All'!A175</f>
        <v>wosr</v>
      </c>
      <c r="D11" s="210" t="str">
        <f>'Focus Strategies Data All'!B175</f>
        <v>NA</v>
      </c>
      <c r="E11" s="210">
        <f>'Focus Strategies Data All'!C175</f>
        <v>3</v>
      </c>
      <c r="F11" s="210">
        <f>'Focus Strategies Data All'!D175</f>
        <v>3</v>
      </c>
      <c r="H11" s="25" t="str">
        <f>'Focus Strategies Data All'!F175</f>
        <v>wosr</v>
      </c>
      <c r="I11" s="210">
        <f>'Focus Strategies Data All'!G175</f>
        <v>3</v>
      </c>
      <c r="J11" s="210" t="str">
        <f>'Focus Strategies Data All'!H175</f>
        <v>NA</v>
      </c>
      <c r="K11" s="210">
        <f>'Focus Strategies Data All'!I175</f>
        <v>3</v>
      </c>
      <c r="M11" s="25" t="str">
        <f>'Focus Strategies Data All'!K175</f>
        <v>wosr</v>
      </c>
      <c r="N11" s="210">
        <f>'Focus Strategies Data All'!L175</f>
        <v>3</v>
      </c>
      <c r="O11" s="210">
        <f>'Focus Strategies Data All'!M175</f>
        <v>3</v>
      </c>
      <c r="P11" s="210">
        <f>'Focus Strategies Data All'!N175</f>
        <v>3</v>
      </c>
    </row>
    <row r="12" spans="3:16" x14ac:dyDescent="0.2">
      <c r="C12" s="25" t="str">
        <f>'Focus Strategies Data All'!A176</f>
        <v>sosr</v>
      </c>
      <c r="D12" s="210" t="str">
        <f>'Focus Strategies Data All'!B176</f>
        <v>NA</v>
      </c>
      <c r="E12" s="210" t="str">
        <f>'Focus Strategies Data All'!C176</f>
        <v>NA</v>
      </c>
      <c r="F12" s="210" t="str">
        <f>'Focus Strategies Data All'!D176</f>
        <v>NA</v>
      </c>
      <c r="H12" s="25" t="str">
        <f>'Focus Strategies Data All'!F176</f>
        <v>sosr</v>
      </c>
      <c r="I12" s="210" t="str">
        <f>'Focus Strategies Data All'!G176</f>
        <v>NA</v>
      </c>
      <c r="J12" s="210" t="str">
        <f>'Focus Strategies Data All'!H176</f>
        <v>NA</v>
      </c>
      <c r="K12" s="210" t="str">
        <f>'Focus Strategies Data All'!I176</f>
        <v>NA</v>
      </c>
      <c r="M12" s="25" t="str">
        <f>'Focus Strategies Data All'!K176</f>
        <v>sosr</v>
      </c>
      <c r="N12" s="210" t="str">
        <f>'Focus Strategies Data All'!L176</f>
        <v>NA</v>
      </c>
      <c r="O12" s="210" t="str">
        <f>'Focus Strategies Data All'!M176</f>
        <v>NA</v>
      </c>
      <c r="P12" s="210" t="str">
        <f>'Focus Strategies Data All'!N176</f>
        <v>NA</v>
      </c>
    </row>
    <row r="13" spans="3:16" x14ac:dyDescent="0.2">
      <c r="C13" s="25" t="str">
        <f>'Focus Strategies Data All'!A177</f>
        <v>sugarbeet</v>
      </c>
      <c r="D13" s="210">
        <f>'Focus Strategies Data All'!B177</f>
        <v>1</v>
      </c>
      <c r="E13" s="210" t="str">
        <f>'Focus Strategies Data All'!C177</f>
        <v>NA</v>
      </c>
      <c r="F13" s="210" t="str">
        <f>'Focus Strategies Data All'!D177</f>
        <v>NA</v>
      </c>
      <c r="H13" s="25" t="str">
        <f>'Focus Strategies Data All'!F177</f>
        <v>sugarbeet</v>
      </c>
      <c r="I13" s="210" t="str">
        <f>'Focus Strategies Data All'!G177</f>
        <v>NA</v>
      </c>
      <c r="J13" s="210" t="str">
        <f>'Focus Strategies Data All'!H177</f>
        <v>NA</v>
      </c>
      <c r="K13" s="210" t="str">
        <f>'Focus Strategies Data All'!I177</f>
        <v>NA</v>
      </c>
      <c r="M13" s="25" t="str">
        <f>'Focus Strategies Data All'!K177</f>
        <v>sugarbeet</v>
      </c>
      <c r="N13" s="210" t="str">
        <f>'Focus Strategies Data All'!L177</f>
        <v>NA</v>
      </c>
      <c r="O13" s="210" t="str">
        <f>'Focus Strategies Data All'!M177</f>
        <v>NA</v>
      </c>
      <c r="P13" s="210" t="str">
        <f>'Focus Strategies Data All'!N177</f>
        <v>NA</v>
      </c>
    </row>
    <row r="14" spans="3:16" x14ac:dyDescent="0.2">
      <c r="C14" s="25" t="str">
        <f>'Focus Strategies Data All'!A178</f>
        <v>winterlinseed</v>
      </c>
      <c r="D14" s="210" t="str">
        <f>'Focus Strategies Data All'!B178</f>
        <v>NA</v>
      </c>
      <c r="E14" s="210" t="str">
        <f>'Focus Strategies Data All'!C178</f>
        <v>NA</v>
      </c>
      <c r="F14" s="210" t="str">
        <f>'Focus Strategies Data All'!D178</f>
        <v>NA</v>
      </c>
      <c r="H14" s="25" t="str">
        <f>'Focus Strategies Data All'!F178</f>
        <v>winterlinseed</v>
      </c>
      <c r="I14" s="210" t="str">
        <f>'Focus Strategies Data All'!G178</f>
        <v>NA</v>
      </c>
      <c r="J14" s="210" t="str">
        <f>'Focus Strategies Data All'!H178</f>
        <v>NA</v>
      </c>
      <c r="K14" s="210" t="str">
        <f>'Focus Strategies Data All'!I178</f>
        <v>NA</v>
      </c>
      <c r="M14" s="25" t="str">
        <f>'Focus Strategies Data All'!K178</f>
        <v>winterlinseed</v>
      </c>
      <c r="N14" s="210" t="str">
        <f>'Focus Strategies Data All'!L178</f>
        <v>NA</v>
      </c>
      <c r="O14" s="210" t="str">
        <f>'Focus Strategies Data All'!M178</f>
        <v>NA</v>
      </c>
      <c r="P14" s="210" t="str">
        <f>'Focus Strategies Data All'!N178</f>
        <v>NA</v>
      </c>
    </row>
    <row r="15" spans="3:16" x14ac:dyDescent="0.2">
      <c r="C15" s="25" t="str">
        <f>'Focus Strategies Data All'!A179</f>
        <v>springlinseed</v>
      </c>
      <c r="D15" s="210">
        <f>'Focus Strategies Data All'!B179</f>
        <v>1</v>
      </c>
      <c r="E15" s="210" t="str">
        <f>'Focus Strategies Data All'!C179</f>
        <v>NA</v>
      </c>
      <c r="F15" s="210" t="str">
        <f>'Focus Strategies Data All'!D179</f>
        <v>NA</v>
      </c>
      <c r="H15" s="25" t="str">
        <f>'Focus Strategies Data All'!F179</f>
        <v>springlinseed</v>
      </c>
      <c r="I15" s="210" t="str">
        <f>'Focus Strategies Data All'!G179</f>
        <v>NA</v>
      </c>
      <c r="J15" s="210" t="str">
        <f>'Focus Strategies Data All'!H179</f>
        <v>NA</v>
      </c>
      <c r="K15" s="210" t="str">
        <f>'Focus Strategies Data All'!I179</f>
        <v>NA</v>
      </c>
      <c r="M15" s="25" t="str">
        <f>'Focus Strategies Data All'!K179</f>
        <v>springlinseed</v>
      </c>
      <c r="N15" s="210" t="str">
        <f>'Focus Strategies Data All'!L179</f>
        <v>NA</v>
      </c>
      <c r="O15" s="210" t="str">
        <f>'Focus Strategies Data All'!M179</f>
        <v>NA</v>
      </c>
      <c r="P15" s="210" t="str">
        <f>'Focus Strategies Data All'!N179</f>
        <v>NA</v>
      </c>
    </row>
    <row r="16" spans="3:16" x14ac:dyDescent="0.2">
      <c r="C16" s="25" t="str">
        <f>'Focus Strategies Data All'!A180</f>
        <v>driedpeas</v>
      </c>
      <c r="D16" s="210">
        <f>'Focus Strategies Data All'!B180</f>
        <v>0</v>
      </c>
      <c r="E16" s="210" t="str">
        <f>'Focus Strategies Data All'!C180</f>
        <v>NA</v>
      </c>
      <c r="F16" s="210">
        <f>'Focus Strategies Data All'!D180</f>
        <v>0</v>
      </c>
      <c r="H16" s="25" t="str">
        <f>'Focus Strategies Data All'!F180</f>
        <v>driedpeas</v>
      </c>
      <c r="I16" s="210">
        <f>'Focus Strategies Data All'!G180</f>
        <v>0</v>
      </c>
      <c r="J16" s="210">
        <f>'Focus Strategies Data All'!H180</f>
        <v>0</v>
      </c>
      <c r="K16" s="210" t="str">
        <f>'Focus Strategies Data All'!I180</f>
        <v>NA</v>
      </c>
      <c r="M16" s="25" t="str">
        <f>'Focus Strategies Data All'!K180</f>
        <v>driedpeas</v>
      </c>
      <c r="N16" s="210" t="str">
        <f>'Focus Strategies Data All'!L180</f>
        <v>NA</v>
      </c>
      <c r="O16" s="210">
        <f>'Focus Strategies Data All'!M180</f>
        <v>0</v>
      </c>
      <c r="P16" s="210">
        <f>'Focus Strategies Data All'!N180</f>
        <v>0</v>
      </c>
    </row>
    <row r="17" spans="3:16" x14ac:dyDescent="0.2">
      <c r="C17" s="25" t="str">
        <f>'Focus Strategies Data All'!A181</f>
        <v>setaside</v>
      </c>
      <c r="D17" s="210" t="str">
        <f>'Focus Strategies Data All'!B181</f>
        <v>NA</v>
      </c>
      <c r="E17" s="210">
        <f>'Focus Strategies Data All'!C181</f>
        <v>0</v>
      </c>
      <c r="F17" s="210" t="str">
        <f>'Focus Strategies Data All'!D181</f>
        <v>NA</v>
      </c>
      <c r="H17" s="25" t="str">
        <f>'Focus Strategies Data All'!F181</f>
        <v>setaside</v>
      </c>
      <c r="I17" s="210" t="str">
        <f>'Focus Strategies Data All'!G181</f>
        <v>NA</v>
      </c>
      <c r="J17" s="210" t="str">
        <f>'Focus Strategies Data All'!H181</f>
        <v>NA</v>
      </c>
      <c r="K17" s="210" t="str">
        <f>'Focus Strategies Data All'!I181</f>
        <v>NA</v>
      </c>
      <c r="M17" s="25" t="str">
        <f>'Focus Strategies Data All'!K181</f>
        <v>setaside</v>
      </c>
      <c r="N17" s="210" t="str">
        <f>'Focus Strategies Data All'!L181</f>
        <v>NA</v>
      </c>
      <c r="O17" s="210" t="str">
        <f>'Focus Strategies Data All'!M181</f>
        <v>NA</v>
      </c>
      <c r="P17" s="210" t="str">
        <f>'Focus Strategies Data All'!N181</f>
        <v>NA</v>
      </c>
    </row>
    <row r="18" spans="3:16" x14ac:dyDescent="0.2">
      <c r="C18" s="25" t="str">
        <f>'Focus Strategies Data All'!A183</f>
        <v>springoats</v>
      </c>
      <c r="D18" s="210">
        <f>'Focus Strategies Data All'!B183</f>
        <v>1</v>
      </c>
      <c r="E18" s="210" t="str">
        <f>'Focus Strategies Data All'!C183</f>
        <v>NA</v>
      </c>
      <c r="F18" s="210" t="str">
        <f>'Focus Strategies Data All'!D183</f>
        <v>NA</v>
      </c>
      <c r="H18" s="25" t="str">
        <f>'Focus Strategies Data All'!F183</f>
        <v>springoats</v>
      </c>
      <c r="I18" s="210" t="str">
        <f>'Focus Strategies Data All'!G183</f>
        <v>NA</v>
      </c>
      <c r="J18" s="210" t="str">
        <f>'Focus Strategies Data All'!H183</f>
        <v>NA</v>
      </c>
      <c r="K18" s="210" t="str">
        <f>'Focus Strategies Data All'!I183</f>
        <v>NA</v>
      </c>
      <c r="M18" s="25" t="str">
        <f>'Focus Strategies Data All'!K183</f>
        <v>springoats</v>
      </c>
      <c r="N18" s="210" t="str">
        <f>'Focus Strategies Data All'!L183</f>
        <v>NA</v>
      </c>
      <c r="O18" s="210" t="str">
        <f>'Focus Strategies Data All'!M183</f>
        <v>NA</v>
      </c>
      <c r="P18" s="210" t="str">
        <f>'Focus Strategies Data All'!N183</f>
        <v>NA</v>
      </c>
    </row>
    <row r="19" spans="3:16" x14ac:dyDescent="0.2">
      <c r="C19" s="25" t="str">
        <f>'Focus Strategies Data All'!A182</f>
        <v>maize</v>
      </c>
      <c r="D19" s="210" t="str">
        <f>'Focus Strategies Data All'!B182</f>
        <v>NA</v>
      </c>
      <c r="E19" s="210">
        <f>'Focus Strategies Data All'!C182</f>
        <v>2</v>
      </c>
      <c r="F19" s="210" t="str">
        <f>'Focus Strategies Data All'!D182</f>
        <v>NA</v>
      </c>
      <c r="H19" s="25" t="str">
        <f>'Focus Strategies Data All'!F182</f>
        <v>maize</v>
      </c>
      <c r="I19" s="210" t="str">
        <f>'Focus Strategies Data All'!G182</f>
        <v>NA</v>
      </c>
      <c r="J19" s="210" t="str">
        <f>'Focus Strategies Data All'!H182</f>
        <v>NA</v>
      </c>
      <c r="K19" s="210" t="str">
        <f>'Focus Strategies Data All'!I182</f>
        <v>NA</v>
      </c>
      <c r="M19" s="25" t="str">
        <f>'Focus Strategies Data All'!K182</f>
        <v>maize</v>
      </c>
      <c r="N19" s="210" t="str">
        <f>'Focus Strategies Data All'!L182</f>
        <v>NA</v>
      </c>
      <c r="O19" s="210" t="str">
        <f>'Focus Strategies Data All'!M182</f>
        <v>NA</v>
      </c>
      <c r="P19" s="210" t="str">
        <f>'Focus Strategies Data All'!N182</f>
        <v>NA</v>
      </c>
    </row>
  </sheetData>
  <mergeCells count="3">
    <mergeCell ref="C2:F2"/>
    <mergeCell ref="H2:K2"/>
    <mergeCell ref="M2:P2"/>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27C76-44C3-4681-BBA2-80ED87FC71A1}">
  <dimension ref="C2:P19"/>
  <sheetViews>
    <sheetView workbookViewId="0">
      <selection activeCell="H17" sqref="H17"/>
    </sheetView>
  </sheetViews>
  <sheetFormatPr baseColWidth="10" defaultColWidth="8.83203125" defaultRowHeight="15" x14ac:dyDescent="0.2"/>
  <cols>
    <col min="4" max="6" width="13.1640625" customWidth="1"/>
    <col min="8" max="8" width="16.6640625" customWidth="1"/>
    <col min="9" max="11" width="13.5" customWidth="1"/>
    <col min="13" max="13" width="20.33203125" customWidth="1"/>
    <col min="14" max="16" width="14.33203125" customWidth="1"/>
  </cols>
  <sheetData>
    <row r="2" spans="3:16" x14ac:dyDescent="0.2">
      <c r="C2" s="415" t="s">
        <v>274</v>
      </c>
      <c r="D2" s="415"/>
      <c r="E2" s="415"/>
      <c r="F2" s="415"/>
      <c r="H2" s="415" t="s">
        <v>275</v>
      </c>
      <c r="I2" s="415"/>
      <c r="J2" s="415"/>
      <c r="K2" s="415"/>
      <c r="M2" s="415" t="s">
        <v>276</v>
      </c>
      <c r="N2" s="415"/>
      <c r="O2" s="415"/>
      <c r="P2" s="415"/>
    </row>
    <row r="3" spans="3:16" x14ac:dyDescent="0.2">
      <c r="C3" s="211" t="s">
        <v>280</v>
      </c>
      <c r="D3" s="231" t="s">
        <v>12</v>
      </c>
      <c r="E3" s="231" t="s">
        <v>10</v>
      </c>
      <c r="F3" s="231" t="s">
        <v>11</v>
      </c>
      <c r="G3" s="1"/>
      <c r="H3" s="211" t="s">
        <v>280</v>
      </c>
      <c r="I3" s="231" t="s">
        <v>12</v>
      </c>
      <c r="J3" s="231" t="s">
        <v>10</v>
      </c>
      <c r="K3" s="231" t="s">
        <v>11</v>
      </c>
      <c r="L3" s="1"/>
      <c r="M3" s="211" t="s">
        <v>280</v>
      </c>
      <c r="N3" s="231" t="s">
        <v>12</v>
      </c>
      <c r="O3" s="231" t="s">
        <v>10</v>
      </c>
      <c r="P3" s="231" t="s">
        <v>11</v>
      </c>
    </row>
    <row r="4" spans="3:16" x14ac:dyDescent="0.2">
      <c r="C4" s="394" t="str">
        <f>'Focus Strategies Data All'!A8</f>
        <v>1</v>
      </c>
      <c r="D4" s="210" t="str">
        <f>'Focus Strategies Data All'!B8</f>
        <v>springlinseed</v>
      </c>
      <c r="E4" s="210" t="str">
        <f>'Focus Strategies Data All'!C8</f>
        <v>setaside</v>
      </c>
      <c r="F4" s="210" t="str">
        <f>'Focus Strategies Data All'!D8</f>
        <v>winterwheat</v>
      </c>
      <c r="G4" s="25"/>
      <c r="H4" s="394" t="str">
        <f>'Focus Strategies Data All'!F8</f>
        <v>1</v>
      </c>
      <c r="I4" s="210" t="str">
        <f>'Focus Strategies Data All'!G8</f>
        <v>winterwheat</v>
      </c>
      <c r="J4" s="210" t="str">
        <f>'Focus Strategies Data All'!H8</f>
        <v>winterwheat</v>
      </c>
      <c r="K4" s="210" t="str">
        <f>'Focus Strategies Data All'!I8</f>
        <v>winterwheat</v>
      </c>
      <c r="L4" s="25"/>
      <c r="M4" s="394" t="str">
        <f>'Focus Strategies Data All'!K8</f>
        <v>1</v>
      </c>
      <c r="N4" s="210" t="str">
        <f>'Focus Strategies Data All'!L8</f>
        <v>winterwheat</v>
      </c>
      <c r="O4" s="210" t="str">
        <f>'Focus Strategies Data All'!M8</f>
        <v>winterwheat</v>
      </c>
      <c r="P4" s="210" t="str">
        <f>'Focus Strategies Data All'!N8</f>
        <v>winterwheat</v>
      </c>
    </row>
    <row r="5" spans="3:16" x14ac:dyDescent="0.2">
      <c r="C5" s="394" t="str">
        <f>'Focus Strategies Data All'!A9</f>
        <v>2</v>
      </c>
      <c r="D5" s="210" t="str">
        <f>'Focus Strategies Data All'!B9</f>
        <v>springbeans</v>
      </c>
      <c r="E5" s="210" t="str">
        <f>'Focus Strategies Data All'!C9</f>
        <v>maize</v>
      </c>
      <c r="F5" s="210" t="str">
        <f>'Focus Strategies Data All'!D9</f>
        <v>springbarley</v>
      </c>
      <c r="G5" s="25"/>
      <c r="H5" s="394" t="str">
        <f>'Focus Strategies Data All'!F9</f>
        <v>2</v>
      </c>
      <c r="I5" s="210" t="str">
        <f>'Focus Strategies Data All'!G9</f>
        <v>springbeans</v>
      </c>
      <c r="J5" s="210" t="str">
        <f>'Focus Strategies Data All'!H9</f>
        <v>winterbarley</v>
      </c>
      <c r="K5" s="210" t="str">
        <f>'Focus Strategies Data All'!I9</f>
        <v>springbarley</v>
      </c>
      <c r="L5" s="25"/>
      <c r="M5" s="394" t="str">
        <f>'Focus Strategies Data All'!K9</f>
        <v>2</v>
      </c>
      <c r="N5" s="210" t="str">
        <f>'Focus Strategies Data All'!L9</f>
        <v>wosr</v>
      </c>
      <c r="O5" s="210" t="str">
        <f>'Focus Strategies Data All'!M9</f>
        <v>winterbarley</v>
      </c>
      <c r="P5" s="210" t="str">
        <f>'Focus Strategies Data All'!N9</f>
        <v>winterbarley</v>
      </c>
    </row>
    <row r="6" spans="3:16" x14ac:dyDescent="0.2">
      <c r="C6" s="394" t="str">
        <f>'Focus Strategies Data All'!A10</f>
        <v>3</v>
      </c>
      <c r="D6" s="210" t="str">
        <f>'Focus Strategies Data All'!B10</f>
        <v>winterwheat</v>
      </c>
      <c r="E6" s="210" t="str">
        <f>'Focus Strategies Data All'!C10</f>
        <v>springbarley</v>
      </c>
      <c r="F6" s="210" t="str">
        <f>'Focus Strategies Data All'!D10</f>
        <v>springbeans</v>
      </c>
      <c r="G6" s="25"/>
      <c r="H6" s="394" t="str">
        <f>'Focus Strategies Data All'!F10</f>
        <v>3</v>
      </c>
      <c r="I6" s="210" t="str">
        <f>'Focus Strategies Data All'!G10</f>
        <v>winterwheat</v>
      </c>
      <c r="J6" s="210" t="str">
        <f>'Focus Strategies Data All'!H10</f>
        <v>springbeans</v>
      </c>
      <c r="K6" s="210" t="str">
        <f>'Focus Strategies Data All'!I10</f>
        <v>wosr</v>
      </c>
      <c r="L6" s="25"/>
      <c r="M6" s="394" t="str">
        <f>'Focus Strategies Data All'!K10</f>
        <v>3</v>
      </c>
      <c r="N6" s="210" t="str">
        <f>'Focus Strategies Data All'!L10</f>
        <v>winterwheat</v>
      </c>
      <c r="O6" s="210" t="str">
        <f>'Focus Strategies Data All'!M10</f>
        <v>wosr</v>
      </c>
      <c r="P6" s="210" t="str">
        <f>'Focus Strategies Data All'!N10</f>
        <v>wosr</v>
      </c>
    </row>
    <row r="7" spans="3:16" x14ac:dyDescent="0.2">
      <c r="C7" s="394" t="str">
        <f>'Focus Strategies Data All'!A11</f>
        <v>4</v>
      </c>
      <c r="D7" s="210" t="str">
        <f>'Focus Strategies Data All'!B11</f>
        <v>springoats</v>
      </c>
      <c r="E7" s="210" t="str">
        <f>'Focus Strategies Data All'!C11</f>
        <v>winterwheat</v>
      </c>
      <c r="F7" s="210" t="str">
        <f>'Focus Strategies Data All'!D11</f>
        <v>winterwheat</v>
      </c>
      <c r="G7" s="25"/>
      <c r="H7" s="394" t="str">
        <f>'Focus Strategies Data All'!F11</f>
        <v>4</v>
      </c>
      <c r="I7" s="210" t="str">
        <f>'Focus Strategies Data All'!G11</f>
        <v>winterbarley</v>
      </c>
      <c r="J7" s="210" t="str">
        <f>'Focus Strategies Data All'!H11</f>
        <v>winterwheat</v>
      </c>
      <c r="K7" s="210" t="str">
        <f>'Focus Strategies Data All'!I11</f>
        <v>winterwheat</v>
      </c>
      <c r="L7" s="25"/>
      <c r="M7" s="394" t="str">
        <f>'Focus Strategies Data All'!K11</f>
        <v>4</v>
      </c>
      <c r="N7" s="210" t="str">
        <f>'Focus Strategies Data All'!L11</f>
        <v>winterwheat</v>
      </c>
      <c r="O7" s="210" t="str">
        <f>'Focus Strategies Data All'!M11</f>
        <v>winterwheat</v>
      </c>
      <c r="P7" s="210" t="str">
        <f>'Focus Strategies Data All'!N11</f>
        <v>winterwheat</v>
      </c>
    </row>
    <row r="8" spans="3:16" x14ac:dyDescent="0.2">
      <c r="C8" s="394" t="str">
        <f>'Focus Strategies Data All'!A12</f>
        <v>5</v>
      </c>
      <c r="D8" s="210" t="str">
        <f>'Focus Strategies Data All'!B12</f>
        <v>winterwheat</v>
      </c>
      <c r="E8" s="210" t="str">
        <f>'Focus Strategies Data All'!C12</f>
        <v>wosr</v>
      </c>
      <c r="F8" s="210" t="str">
        <f>'Focus Strategies Data All'!D12</f>
        <v>springbarley</v>
      </c>
      <c r="G8" s="25"/>
      <c r="H8" s="394" t="str">
        <f>'Focus Strategies Data All'!F12</f>
        <v>5</v>
      </c>
      <c r="I8" s="210" t="str">
        <f>'Focus Strategies Data All'!G12</f>
        <v>wosr</v>
      </c>
      <c r="J8" s="210" t="str">
        <f>'Focus Strategies Data All'!H12</f>
        <v>winterbarley</v>
      </c>
      <c r="K8" s="210" t="str">
        <f>'Focus Strategies Data All'!I12</f>
        <v>springbarley</v>
      </c>
      <c r="L8" s="25"/>
      <c r="M8" s="394" t="str">
        <f>'Focus Strategies Data All'!K12</f>
        <v>5</v>
      </c>
      <c r="N8" s="210" t="str">
        <f>'Focus Strategies Data All'!L12</f>
        <v>wosr</v>
      </c>
      <c r="O8" s="210" t="str">
        <f>'Focus Strategies Data All'!M12</f>
        <v>springbeans</v>
      </c>
      <c r="P8" s="210" t="str">
        <f>'Focus Strategies Data All'!N12</f>
        <v>springbeans</v>
      </c>
    </row>
    <row r="9" spans="3:16" x14ac:dyDescent="0.2">
      <c r="C9" s="394" t="str">
        <f>'Focus Strategies Data All'!A13</f>
        <v>6</v>
      </c>
      <c r="D9" s="210" t="str">
        <f>'Focus Strategies Data All'!B13</f>
        <v>springlinseed</v>
      </c>
      <c r="E9" s="210" t="str">
        <f>'Focus Strategies Data All'!C13</f>
        <v>winterwheat</v>
      </c>
      <c r="F9" s="210" t="str">
        <f>'Focus Strategies Data All'!D13</f>
        <v>wosr</v>
      </c>
      <c r="G9" s="25"/>
      <c r="H9" s="394" t="str">
        <f>'Focus Strategies Data All'!F13</f>
        <v>6</v>
      </c>
      <c r="I9" s="210" t="str">
        <f>'Focus Strategies Data All'!G13</f>
        <v>winterwheat</v>
      </c>
      <c r="J9" s="210" t="str">
        <f>'Focus Strategies Data All'!H13</f>
        <v>springbeans</v>
      </c>
      <c r="K9" s="210" t="str">
        <f>'Focus Strategies Data All'!I13</f>
        <v>wosr</v>
      </c>
      <c r="L9" s="25"/>
      <c r="M9" s="394" t="str">
        <f>'Focus Strategies Data All'!K13</f>
        <v>6</v>
      </c>
      <c r="N9" s="210" t="str">
        <f>'Focus Strategies Data All'!L13</f>
        <v>winterwheat</v>
      </c>
      <c r="O9" s="210" t="str">
        <f>'Focus Strategies Data All'!M13</f>
        <v>winterwheat</v>
      </c>
      <c r="P9" s="210" t="str">
        <f>'Focus Strategies Data All'!N13</f>
        <v>winterwheat</v>
      </c>
    </row>
    <row r="10" spans="3:16" x14ac:dyDescent="0.2">
      <c r="C10" s="25"/>
      <c r="D10" s="25"/>
      <c r="E10" s="25"/>
      <c r="F10" s="25"/>
      <c r="G10" s="25"/>
      <c r="H10" s="25"/>
      <c r="I10" s="25"/>
      <c r="J10" s="25"/>
      <c r="K10" s="25"/>
      <c r="L10" s="25"/>
      <c r="M10" s="25"/>
      <c r="N10" s="25"/>
      <c r="O10" s="25"/>
      <c r="P10" s="25"/>
    </row>
    <row r="11" spans="3:16" x14ac:dyDescent="0.2">
      <c r="C11" s="211" t="str">
        <f>'Focus Strategies Data All'!A15</f>
        <v>Crop rotation (light soils)</v>
      </c>
      <c r="D11" s="231" t="str">
        <f>'Focus Strategies Data All'!B15</f>
        <v>East</v>
      </c>
      <c r="E11" s="231" t="str">
        <f>'Focus Strategies Data All'!C15</f>
        <v>North</v>
      </c>
      <c r="F11" s="231" t="str">
        <f>'Focus Strategies Data All'!D15</f>
        <v>Central</v>
      </c>
      <c r="G11" s="211"/>
      <c r="H11" s="211" t="str">
        <f>'Focus Strategies Data All'!F15</f>
        <v>Crop rotation (light soils)</v>
      </c>
      <c r="I11" s="231" t="str">
        <f>'Focus Strategies Data All'!G15</f>
        <v>East</v>
      </c>
      <c r="J11" s="231" t="str">
        <f>'Focus Strategies Data All'!H15</f>
        <v>North</v>
      </c>
      <c r="K11" s="231" t="str">
        <f>'Focus Strategies Data All'!I15</f>
        <v>Central</v>
      </c>
      <c r="L11" s="211"/>
      <c r="M11" s="211" t="str">
        <f>'Focus Strategies Data All'!K15</f>
        <v>Crop rotation (light soils)</v>
      </c>
      <c r="N11" s="231" t="str">
        <f>'Focus Strategies Data All'!L15</f>
        <v>East</v>
      </c>
      <c r="O11" s="231" t="str">
        <f>'Focus Strategies Data All'!M15</f>
        <v>North</v>
      </c>
      <c r="P11" s="231" t="str">
        <f>'Focus Strategies Data All'!N15</f>
        <v>Central</v>
      </c>
    </row>
    <row r="12" spans="3:16" x14ac:dyDescent="0.2">
      <c r="C12" s="394" t="str">
        <f>'Focus Strategies Data All'!A16</f>
        <v>1</v>
      </c>
      <c r="D12" s="210" t="str">
        <f>'Focus Strategies Data All'!B16</f>
        <v>springlinseed</v>
      </c>
      <c r="E12" s="210" t="str">
        <f>'Focus Strategies Data All'!C16</f>
        <v>setaside</v>
      </c>
      <c r="F12" s="210" t="str">
        <f>'Focus Strategies Data All'!D16</f>
        <v>winterwheat</v>
      </c>
      <c r="G12" s="25"/>
      <c r="H12" s="394" t="str">
        <f>'Focus Strategies Data All'!F16</f>
        <v>1</v>
      </c>
      <c r="I12" s="210" t="str">
        <f>'Focus Strategies Data All'!G16</f>
        <v>winterwheat</v>
      </c>
      <c r="J12" s="210" t="str">
        <f>'Focus Strategies Data All'!H16</f>
        <v>winterwheat</v>
      </c>
      <c r="K12" s="210" t="str">
        <f>'Focus Strategies Data All'!I16</f>
        <v>winterwheat</v>
      </c>
      <c r="L12" s="25"/>
      <c r="M12" s="394" t="str">
        <f>'Focus Strategies Data All'!K16</f>
        <v>1</v>
      </c>
      <c r="N12" s="210" t="str">
        <f>'Focus Strategies Data All'!L16</f>
        <v>winterwheat</v>
      </c>
      <c r="O12" s="210" t="str">
        <f>'Focus Strategies Data All'!M16</f>
        <v>winterwheat</v>
      </c>
      <c r="P12" s="210" t="str">
        <f>'Focus Strategies Data All'!N16</f>
        <v>winterwheat</v>
      </c>
    </row>
    <row r="13" spans="3:16" x14ac:dyDescent="0.2">
      <c r="C13" s="394" t="str">
        <f>'Focus Strategies Data All'!A17</f>
        <v>2</v>
      </c>
      <c r="D13" s="210" t="str">
        <f>'Focus Strategies Data All'!B17</f>
        <v>driedpeas</v>
      </c>
      <c r="E13" s="210" t="str">
        <f>'Focus Strategies Data All'!C17</f>
        <v>maize</v>
      </c>
      <c r="F13" s="210" t="str">
        <f>'Focus Strategies Data All'!D17</f>
        <v>springbarley</v>
      </c>
      <c r="G13" s="25"/>
      <c r="H13" s="394" t="str">
        <f>'Focus Strategies Data All'!F17</f>
        <v>2</v>
      </c>
      <c r="I13" s="210" t="str">
        <f>'Focus Strategies Data All'!G17</f>
        <v>driedpeas</v>
      </c>
      <c r="J13" s="210" t="str">
        <f>'Focus Strategies Data All'!H17</f>
        <v>winterbarley</v>
      </c>
      <c r="K13" s="210" t="str">
        <f>'Focus Strategies Data All'!I17</f>
        <v>springbarley</v>
      </c>
      <c r="L13" s="25"/>
      <c r="M13" s="394" t="str">
        <f>'Focus Strategies Data All'!K17</f>
        <v>2</v>
      </c>
      <c r="N13" s="210" t="str">
        <f>'Focus Strategies Data All'!L17</f>
        <v>wosr</v>
      </c>
      <c r="O13" s="210" t="str">
        <f>'Focus Strategies Data All'!M17</f>
        <v>winterbarley</v>
      </c>
      <c r="P13" s="210" t="str">
        <f>'Focus Strategies Data All'!N17</f>
        <v>winterbarley</v>
      </c>
    </row>
    <row r="14" spans="3:16" x14ac:dyDescent="0.2">
      <c r="C14" s="394" t="str">
        <f>'Focus Strategies Data All'!A18</f>
        <v>3</v>
      </c>
      <c r="D14" s="210" t="str">
        <f>'Focus Strategies Data All'!B18</f>
        <v>winterwheat</v>
      </c>
      <c r="E14" s="210" t="str">
        <f>'Focus Strategies Data All'!C18</f>
        <v>springbarley</v>
      </c>
      <c r="F14" s="210" t="str">
        <f>'Focus Strategies Data All'!D18</f>
        <v>driedpeas</v>
      </c>
      <c r="G14" s="25"/>
      <c r="H14" s="394" t="str">
        <f>'Focus Strategies Data All'!F18</f>
        <v>3</v>
      </c>
      <c r="I14" s="210" t="str">
        <f>'Focus Strategies Data All'!G18</f>
        <v>winterwheat</v>
      </c>
      <c r="J14" s="210" t="str">
        <f>'Focus Strategies Data All'!H18</f>
        <v>driedpeas</v>
      </c>
      <c r="K14" s="210" t="str">
        <f>'Focus Strategies Data All'!I18</f>
        <v>wosr</v>
      </c>
      <c r="L14" s="25"/>
      <c r="M14" s="394" t="str">
        <f>'Focus Strategies Data All'!K18</f>
        <v>3</v>
      </c>
      <c r="N14" s="210" t="str">
        <f>'Focus Strategies Data All'!L18</f>
        <v>winterwheat</v>
      </c>
      <c r="O14" s="210" t="str">
        <f>'Focus Strategies Data All'!M18</f>
        <v>wosr</v>
      </c>
      <c r="P14" s="210" t="str">
        <f>'Focus Strategies Data All'!N18</f>
        <v>wosr</v>
      </c>
    </row>
    <row r="15" spans="3:16" x14ac:dyDescent="0.2">
      <c r="C15" s="394" t="str">
        <f>'Focus Strategies Data All'!A19</f>
        <v>4</v>
      </c>
      <c r="D15" s="210" t="str">
        <f>'Focus Strategies Data All'!B19</f>
        <v>sugarbeet</v>
      </c>
      <c r="E15" s="210" t="str">
        <f>'Focus Strategies Data All'!C19</f>
        <v>winterwheat</v>
      </c>
      <c r="F15" s="210" t="str">
        <f>'Focus Strategies Data All'!D19</f>
        <v>winterwheat</v>
      </c>
      <c r="G15" s="25"/>
      <c r="H15" s="394" t="str">
        <f>'Focus Strategies Data All'!F19</f>
        <v>4</v>
      </c>
      <c r="I15" s="210" t="str">
        <f>'Focus Strategies Data All'!G19</f>
        <v>winterbarley</v>
      </c>
      <c r="J15" s="210" t="str">
        <f>'Focus Strategies Data All'!H19</f>
        <v>winterwheat</v>
      </c>
      <c r="K15" s="210" t="str">
        <f>'Focus Strategies Data All'!I19</f>
        <v>winterwheat</v>
      </c>
      <c r="L15" s="25"/>
      <c r="M15" s="394" t="str">
        <f>'Focus Strategies Data All'!K19</f>
        <v>4</v>
      </c>
      <c r="N15" s="210" t="str">
        <f>'Focus Strategies Data All'!L19</f>
        <v>winterwheat</v>
      </c>
      <c r="O15" s="210" t="str">
        <f>'Focus Strategies Data All'!M19</f>
        <v>winterwheat</v>
      </c>
      <c r="P15" s="210" t="str">
        <f>'Focus Strategies Data All'!N19</f>
        <v>winterwheat</v>
      </c>
    </row>
    <row r="16" spans="3:16" x14ac:dyDescent="0.2">
      <c r="C16" s="394" t="str">
        <f>'Focus Strategies Data All'!A20</f>
        <v>5</v>
      </c>
      <c r="D16" s="210" t="str">
        <f>'Focus Strategies Data All'!B20</f>
        <v>springoats</v>
      </c>
      <c r="E16" s="210" t="str">
        <f>'Focus Strategies Data All'!C20</f>
        <v>wosr</v>
      </c>
      <c r="F16" s="210" t="str">
        <f>'Focus Strategies Data All'!D20</f>
        <v>springbarley</v>
      </c>
      <c r="G16" s="25"/>
      <c r="H16" s="394" t="str">
        <f>'Focus Strategies Data All'!F20</f>
        <v>5</v>
      </c>
      <c r="I16" s="210" t="str">
        <f>'Focus Strategies Data All'!G20</f>
        <v>wosr</v>
      </c>
      <c r="J16" s="210" t="str">
        <f>'Focus Strategies Data All'!H20</f>
        <v>winterbarley</v>
      </c>
      <c r="K16" s="210" t="str">
        <f>'Focus Strategies Data All'!I20</f>
        <v>springbarley</v>
      </c>
      <c r="L16" s="25"/>
      <c r="M16" s="394" t="str">
        <f>'Focus Strategies Data All'!K20</f>
        <v>5</v>
      </c>
      <c r="N16" s="210" t="str">
        <f>'Focus Strategies Data All'!L20</f>
        <v>wosr</v>
      </c>
      <c r="O16" s="210" t="str">
        <f>'Focus Strategies Data All'!M20</f>
        <v>driedpeas</v>
      </c>
      <c r="P16" s="210" t="str">
        <f>'Focus Strategies Data All'!N20</f>
        <v>driedpeas</v>
      </c>
    </row>
    <row r="17" spans="3:16" x14ac:dyDescent="0.2">
      <c r="C17" s="394" t="str">
        <f>'Focus Strategies Data All'!A21</f>
        <v>6</v>
      </c>
      <c r="D17" s="210" t="str">
        <f>'Focus Strategies Data All'!B21</f>
        <v>winterwheat</v>
      </c>
      <c r="E17" s="210" t="str">
        <f>'Focus Strategies Data All'!C21</f>
        <v>winterwheat</v>
      </c>
      <c r="F17" s="210" t="str">
        <f>'Focus Strategies Data All'!D21</f>
        <v>wosr</v>
      </c>
      <c r="G17" s="25"/>
      <c r="H17" s="394" t="str">
        <f>'Focus Strategies Data All'!F21</f>
        <v>6</v>
      </c>
      <c r="I17" s="210" t="str">
        <f>'Focus Strategies Data All'!G21</f>
        <v>winterwheat</v>
      </c>
      <c r="J17" s="210" t="str">
        <f>'Focus Strategies Data All'!H21</f>
        <v>driedpeas</v>
      </c>
      <c r="K17" s="210" t="str">
        <f>'Focus Strategies Data All'!I21</f>
        <v>wosr</v>
      </c>
      <c r="L17" s="25"/>
      <c r="M17" s="394" t="str">
        <f>'Focus Strategies Data All'!K21</f>
        <v>6</v>
      </c>
      <c r="N17" s="210" t="str">
        <f>'Focus Strategies Data All'!L21</f>
        <v>winterwheat</v>
      </c>
      <c r="O17" s="210" t="str">
        <f>'Focus Strategies Data All'!M21</f>
        <v>winterwheat</v>
      </c>
      <c r="P17" s="210" t="str">
        <f>'Focus Strategies Data All'!N21</f>
        <v>winterwheat</v>
      </c>
    </row>
    <row r="18" spans="3:16" x14ac:dyDescent="0.2">
      <c r="C18" s="25"/>
      <c r="D18" s="210"/>
      <c r="E18" s="210"/>
      <c r="F18" s="210"/>
      <c r="H18" s="25"/>
      <c r="I18" s="210"/>
      <c r="J18" s="210"/>
      <c r="K18" s="210"/>
      <c r="M18" s="25"/>
      <c r="N18" s="210"/>
      <c r="O18" s="210"/>
      <c r="P18" s="210"/>
    </row>
    <row r="19" spans="3:16" x14ac:dyDescent="0.2">
      <c r="C19" s="25"/>
      <c r="D19" s="210"/>
      <c r="E19" s="210"/>
      <c r="F19" s="210"/>
      <c r="H19" s="25"/>
      <c r="I19" s="210"/>
      <c r="J19" s="210"/>
      <c r="K19" s="210"/>
      <c r="M19" s="25"/>
      <c r="N19" s="210"/>
      <c r="O19" s="210"/>
      <c r="P19" s="210"/>
    </row>
  </sheetData>
  <mergeCells count="3">
    <mergeCell ref="C2:F2"/>
    <mergeCell ref="H2:K2"/>
    <mergeCell ref="M2:P2"/>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C32EF-7029-454E-B1E7-75347186285F}">
  <dimension ref="B2:HH71"/>
  <sheetViews>
    <sheetView zoomScale="115" zoomScaleNormal="115" workbookViewId="0">
      <selection activeCell="F20" sqref="F20"/>
    </sheetView>
  </sheetViews>
  <sheetFormatPr baseColWidth="10" defaultColWidth="8.83203125" defaultRowHeight="15" x14ac:dyDescent="0.2"/>
  <cols>
    <col min="1" max="1" width="20.83203125" bestFit="1" customWidth="1"/>
    <col min="2" max="2" width="22.5" bestFit="1" customWidth="1"/>
    <col min="3" max="3" width="17.33203125" bestFit="1" customWidth="1"/>
    <col min="4" max="4" width="18.5" bestFit="1" customWidth="1"/>
    <col min="6" max="6" width="19.83203125" customWidth="1"/>
    <col min="7" max="7" width="15.83203125" customWidth="1"/>
    <col min="13" max="13" width="9.83203125" customWidth="1"/>
  </cols>
  <sheetData>
    <row r="2" spans="2:8" x14ac:dyDescent="0.2">
      <c r="B2" t="s">
        <v>511</v>
      </c>
      <c r="F2" s="436" t="s">
        <v>512</v>
      </c>
      <c r="G2" s="436"/>
    </row>
    <row r="3" spans="2:8" x14ac:dyDescent="0.2">
      <c r="B3" s="231" t="s">
        <v>513</v>
      </c>
      <c r="C3" s="231" t="s">
        <v>514</v>
      </c>
      <c r="D3" s="231" t="s">
        <v>515</v>
      </c>
      <c r="F3" s="212" t="s">
        <v>516</v>
      </c>
      <c r="G3" s="212" t="s">
        <v>517</v>
      </c>
      <c r="H3" s="1" t="s">
        <v>518</v>
      </c>
    </row>
    <row r="4" spans="2:8" x14ac:dyDescent="0.2">
      <c r="B4" s="210" t="s">
        <v>519</v>
      </c>
      <c r="C4" s="210" t="s">
        <v>519</v>
      </c>
      <c r="D4" s="210" t="s">
        <v>520</v>
      </c>
      <c r="F4" s="206" t="s">
        <v>281</v>
      </c>
      <c r="G4" s="206" t="s">
        <v>362</v>
      </c>
      <c r="H4" s="20">
        <v>8.6</v>
      </c>
    </row>
    <row r="5" spans="2:8" x14ac:dyDescent="0.2">
      <c r="B5" s="210" t="s">
        <v>521</v>
      </c>
      <c r="C5" s="210" t="s">
        <v>522</v>
      </c>
      <c r="D5" s="210" t="s">
        <v>520</v>
      </c>
      <c r="F5" s="206" t="s">
        <v>282</v>
      </c>
      <c r="G5" s="206" t="s">
        <v>523</v>
      </c>
      <c r="H5" s="20">
        <v>6.1</v>
      </c>
    </row>
    <row r="6" spans="2:8" x14ac:dyDescent="0.2">
      <c r="B6" s="210" t="s">
        <v>524</v>
      </c>
      <c r="C6" s="210" t="s">
        <v>525</v>
      </c>
      <c r="D6" s="210" t="s">
        <v>520</v>
      </c>
      <c r="F6" s="206" t="s">
        <v>250</v>
      </c>
      <c r="G6" s="206" t="s">
        <v>524</v>
      </c>
      <c r="H6" s="20">
        <v>7.4</v>
      </c>
    </row>
    <row r="7" spans="2:8" x14ac:dyDescent="0.2">
      <c r="B7" s="210" t="s">
        <v>526</v>
      </c>
      <c r="C7" s="210" t="s">
        <v>527</v>
      </c>
      <c r="D7" s="210" t="s">
        <v>528</v>
      </c>
      <c r="F7" s="206" t="s">
        <v>247</v>
      </c>
      <c r="G7" s="206" t="s">
        <v>524</v>
      </c>
      <c r="H7" s="20">
        <v>5.7</v>
      </c>
    </row>
    <row r="8" spans="2:8" x14ac:dyDescent="0.2">
      <c r="B8" s="210" t="s">
        <v>529</v>
      </c>
      <c r="C8" s="210" t="s">
        <v>522</v>
      </c>
      <c r="D8" s="210" t="s">
        <v>520</v>
      </c>
      <c r="F8" s="206" t="s">
        <v>283</v>
      </c>
      <c r="G8" s="206" t="s">
        <v>563</v>
      </c>
      <c r="H8" s="20">
        <v>4.2</v>
      </c>
    </row>
    <row r="9" spans="2:8" x14ac:dyDescent="0.2">
      <c r="B9" s="210" t="s">
        <v>531</v>
      </c>
      <c r="C9" s="210" t="s">
        <v>532</v>
      </c>
      <c r="D9" s="210" t="s">
        <v>520</v>
      </c>
      <c r="F9" s="206" t="s">
        <v>252</v>
      </c>
      <c r="G9" s="206" t="s">
        <v>545</v>
      </c>
      <c r="H9" s="20">
        <v>3.9</v>
      </c>
    </row>
    <row r="10" spans="2:8" x14ac:dyDescent="0.2">
      <c r="B10" s="210" t="s">
        <v>530</v>
      </c>
      <c r="C10" s="210" t="s">
        <v>533</v>
      </c>
      <c r="D10" s="210" t="s">
        <v>528</v>
      </c>
      <c r="F10" s="206" t="s">
        <v>284</v>
      </c>
      <c r="G10" s="206" t="s">
        <v>534</v>
      </c>
      <c r="H10" s="20">
        <v>45</v>
      </c>
    </row>
    <row r="11" spans="2:8" x14ac:dyDescent="0.2">
      <c r="B11" s="210" t="s">
        <v>535</v>
      </c>
      <c r="C11" s="210" t="s">
        <v>535</v>
      </c>
      <c r="D11" s="210" t="s">
        <v>536</v>
      </c>
      <c r="F11" s="206" t="s">
        <v>195</v>
      </c>
      <c r="G11" s="206" t="s">
        <v>532</v>
      </c>
      <c r="H11" s="20">
        <v>3.5</v>
      </c>
    </row>
    <row r="12" spans="2:8" x14ac:dyDescent="0.2">
      <c r="B12" s="210" t="s">
        <v>537</v>
      </c>
      <c r="C12" s="210" t="s">
        <v>525</v>
      </c>
      <c r="D12" s="210" t="s">
        <v>520</v>
      </c>
      <c r="F12" s="206" t="s">
        <v>285</v>
      </c>
      <c r="G12" s="206" t="s">
        <v>532</v>
      </c>
      <c r="H12" s="20">
        <v>2.25</v>
      </c>
    </row>
    <row r="13" spans="2:8" x14ac:dyDescent="0.2">
      <c r="B13" s="210" t="s">
        <v>538</v>
      </c>
      <c r="C13" s="210" t="s">
        <v>525</v>
      </c>
      <c r="D13" s="210" t="s">
        <v>520</v>
      </c>
      <c r="F13" s="206" t="s">
        <v>272</v>
      </c>
      <c r="G13" s="206" t="s">
        <v>539</v>
      </c>
      <c r="H13" s="20">
        <v>78</v>
      </c>
    </row>
    <row r="14" spans="2:8" x14ac:dyDescent="0.2">
      <c r="B14" s="210" t="s">
        <v>540</v>
      </c>
      <c r="C14" s="210" t="s">
        <v>525</v>
      </c>
      <c r="D14" s="210" t="s">
        <v>520</v>
      </c>
      <c r="F14" s="206" t="s">
        <v>286</v>
      </c>
      <c r="G14" s="206" t="s">
        <v>532</v>
      </c>
      <c r="H14" s="20">
        <v>2</v>
      </c>
    </row>
    <row r="15" spans="2:8" x14ac:dyDescent="0.2">
      <c r="B15" s="210" t="s">
        <v>542</v>
      </c>
      <c r="C15" s="210" t="s">
        <v>533</v>
      </c>
      <c r="D15" s="210" t="s">
        <v>528</v>
      </c>
      <c r="F15" s="206" t="s">
        <v>269</v>
      </c>
      <c r="G15" s="206" t="s">
        <v>532</v>
      </c>
      <c r="H15" s="20">
        <v>1.75</v>
      </c>
    </row>
    <row r="16" spans="2:8" x14ac:dyDescent="0.2">
      <c r="B16" s="210" t="s">
        <v>543</v>
      </c>
      <c r="C16" s="210" t="s">
        <v>543</v>
      </c>
      <c r="D16" s="210" t="s">
        <v>544</v>
      </c>
      <c r="F16" s="206" t="s">
        <v>253</v>
      </c>
      <c r="G16" s="206" t="s">
        <v>545</v>
      </c>
      <c r="H16" s="20">
        <v>4</v>
      </c>
    </row>
    <row r="17" spans="2:12" x14ac:dyDescent="0.2">
      <c r="B17" s="210" t="s">
        <v>534</v>
      </c>
      <c r="C17" s="210" t="s">
        <v>546</v>
      </c>
      <c r="D17" s="210" t="s">
        <v>520</v>
      </c>
      <c r="F17" s="206" t="s">
        <v>246</v>
      </c>
      <c r="G17" s="206" t="s">
        <v>543</v>
      </c>
      <c r="H17">
        <f>'(From BGRI) Crop Data'!Q27</f>
        <v>0</v>
      </c>
    </row>
    <row r="18" spans="2:12" x14ac:dyDescent="0.2">
      <c r="B18" s="210" t="s">
        <v>547</v>
      </c>
      <c r="C18" s="210" t="s">
        <v>525</v>
      </c>
      <c r="D18" s="210" t="s">
        <v>548</v>
      </c>
      <c r="F18" s="213" t="s">
        <v>303</v>
      </c>
      <c r="G18" s="206" t="s">
        <v>537</v>
      </c>
      <c r="H18">
        <v>7.5</v>
      </c>
    </row>
    <row r="19" spans="2:12" x14ac:dyDescent="0.2">
      <c r="B19" s="210" t="s">
        <v>549</v>
      </c>
      <c r="C19" s="210" t="s">
        <v>525</v>
      </c>
      <c r="D19" s="210" t="s">
        <v>520</v>
      </c>
      <c r="F19" s="214" t="s">
        <v>270</v>
      </c>
      <c r="G19" s="206" t="s">
        <v>540</v>
      </c>
      <c r="H19">
        <v>5.5</v>
      </c>
    </row>
    <row r="20" spans="2:12" x14ac:dyDescent="0.2">
      <c r="B20" s="210" t="s">
        <v>550</v>
      </c>
      <c r="C20" s="210" t="s">
        <v>525</v>
      </c>
      <c r="D20" s="210" t="s">
        <v>520</v>
      </c>
    </row>
    <row r="21" spans="2:12" x14ac:dyDescent="0.2">
      <c r="B21" s="210" t="s">
        <v>551</v>
      </c>
      <c r="C21" s="210" t="s">
        <v>533</v>
      </c>
      <c r="D21" s="210" t="s">
        <v>528</v>
      </c>
    </row>
    <row r="22" spans="2:12" x14ac:dyDescent="0.2">
      <c r="B22" s="210" t="s">
        <v>523</v>
      </c>
      <c r="C22" s="210" t="s">
        <v>525</v>
      </c>
      <c r="D22" s="210" t="s">
        <v>520</v>
      </c>
      <c r="F22" s="415" t="s">
        <v>552</v>
      </c>
      <c r="G22" s="415"/>
      <c r="H22" s="415"/>
      <c r="I22" s="415"/>
      <c r="J22" s="415"/>
      <c r="K22" s="415"/>
    </row>
    <row r="23" spans="2:12" x14ac:dyDescent="0.2">
      <c r="B23" s="210" t="s">
        <v>553</v>
      </c>
      <c r="C23" s="210" t="s">
        <v>522</v>
      </c>
      <c r="D23" s="210" t="s">
        <v>520</v>
      </c>
      <c r="F23" s="231" t="s">
        <v>234</v>
      </c>
      <c r="G23" s="231" t="s">
        <v>554</v>
      </c>
      <c r="H23" s="231" t="s">
        <v>555</v>
      </c>
      <c r="I23" s="231" t="s">
        <v>556</v>
      </c>
      <c r="J23" s="231" t="s">
        <v>557</v>
      </c>
      <c r="K23" s="231" t="s">
        <v>558</v>
      </c>
      <c r="L23" s="231" t="s">
        <v>559</v>
      </c>
    </row>
    <row r="24" spans="2:12" x14ac:dyDescent="0.2">
      <c r="B24" s="210" t="s">
        <v>560</v>
      </c>
      <c r="C24" s="210" t="s">
        <v>560</v>
      </c>
      <c r="D24" s="210" t="s">
        <v>520</v>
      </c>
      <c r="F24" t="s">
        <v>281</v>
      </c>
      <c r="G24">
        <v>1</v>
      </c>
      <c r="H24">
        <f>1-'(From BGRI) Yield Penalty ↺'!D6/100</f>
        <v>0.9</v>
      </c>
      <c r="I24">
        <f>1-'(From BGRI) Yield Penalty ↺'!E6/100</f>
        <v>0.89</v>
      </c>
      <c r="J24">
        <f>1-'(From BGRI) Yield Penalty ↺'!F6/100</f>
        <v>0.85</v>
      </c>
      <c r="K24">
        <f>1-'(From BGRI) Yield Penalty ↺'!G6/100</f>
        <v>0.85</v>
      </c>
      <c r="L24">
        <f>K24</f>
        <v>0.85</v>
      </c>
    </row>
    <row r="25" spans="2:12" x14ac:dyDescent="0.2">
      <c r="B25" s="210" t="s">
        <v>522</v>
      </c>
      <c r="C25" s="210" t="s">
        <v>561</v>
      </c>
      <c r="D25" s="210" t="s">
        <v>520</v>
      </c>
      <c r="F25" t="s">
        <v>282</v>
      </c>
      <c r="G25">
        <v>1</v>
      </c>
      <c r="H25">
        <f>1-'(From BGRI) Yield Penalty ↺'!D7/100</f>
        <v>0.89</v>
      </c>
      <c r="I25">
        <f>1-'(From BGRI) Yield Penalty ↺'!E7/100</f>
        <v>0.89</v>
      </c>
      <c r="J25">
        <f>1-'(From BGRI) Yield Penalty ↺'!F7/100</f>
        <v>0.89</v>
      </c>
      <c r="K25">
        <f>1-'(From BGRI) Yield Penalty ↺'!G7/100</f>
        <v>0.89</v>
      </c>
      <c r="L25">
        <f t="shared" ref="L25:L29" si="0">K25</f>
        <v>0.89</v>
      </c>
    </row>
    <row r="26" spans="2:12" x14ac:dyDescent="0.2">
      <c r="B26" s="210" t="s">
        <v>562</v>
      </c>
      <c r="C26" s="210" t="s">
        <v>562</v>
      </c>
      <c r="D26" s="210" t="s">
        <v>520</v>
      </c>
      <c r="F26" t="s">
        <v>250</v>
      </c>
      <c r="G26">
        <v>1</v>
      </c>
      <c r="H26">
        <f>1-'(From BGRI) Yield Penalty ↺'!D8/100</f>
        <v>0.89</v>
      </c>
      <c r="I26">
        <f>1-'(From BGRI) Yield Penalty ↺'!E8/100</f>
        <v>0.89</v>
      </c>
      <c r="J26">
        <f>1-'(From BGRI) Yield Penalty ↺'!F8/100</f>
        <v>0.89</v>
      </c>
      <c r="K26">
        <f>1-'(From BGRI) Yield Penalty ↺'!G8/100</f>
        <v>0.89</v>
      </c>
      <c r="L26">
        <f t="shared" si="0"/>
        <v>0.89</v>
      </c>
    </row>
    <row r="27" spans="2:12" x14ac:dyDescent="0.2">
      <c r="B27" s="210" t="s">
        <v>362</v>
      </c>
      <c r="C27" s="210" t="s">
        <v>525</v>
      </c>
      <c r="D27" s="210" t="s">
        <v>520</v>
      </c>
      <c r="F27" t="s">
        <v>247</v>
      </c>
      <c r="G27">
        <v>1</v>
      </c>
      <c r="H27">
        <f>1-'(From BGRI) Yield Penalty ↺'!D9/100</f>
        <v>0.89</v>
      </c>
      <c r="I27">
        <f>1-'(From BGRI) Yield Penalty ↺'!E9/100</f>
        <v>0.89</v>
      </c>
      <c r="J27">
        <f>1-'(From BGRI) Yield Penalty ↺'!F9/100</f>
        <v>0.89</v>
      </c>
      <c r="K27">
        <f>1-'(From BGRI) Yield Penalty ↺'!G9/100</f>
        <v>0.89</v>
      </c>
      <c r="L27">
        <f t="shared" si="0"/>
        <v>0.89</v>
      </c>
    </row>
    <row r="28" spans="2:12" x14ac:dyDescent="0.2">
      <c r="B28" s="210" t="s">
        <v>541</v>
      </c>
      <c r="C28" s="210" t="s">
        <v>525</v>
      </c>
      <c r="D28" s="210" t="s">
        <v>520</v>
      </c>
      <c r="F28" t="s">
        <v>283</v>
      </c>
      <c r="G28">
        <v>1</v>
      </c>
      <c r="H28">
        <f>1-'(From BGRI) Yield Penalty ↺'!D10/100</f>
        <v>1</v>
      </c>
      <c r="I28">
        <f>1-'(From BGRI) Yield Penalty ↺'!E10/100</f>
        <v>1</v>
      </c>
      <c r="J28">
        <f>1-'(From BGRI) Yield Penalty ↺'!F10/100</f>
        <v>1</v>
      </c>
      <c r="K28">
        <f>1-'(From BGRI) Yield Penalty ↺'!G10/100</f>
        <v>1</v>
      </c>
      <c r="L28">
        <f t="shared" si="0"/>
        <v>1</v>
      </c>
    </row>
    <row r="29" spans="2:12" x14ac:dyDescent="0.2">
      <c r="B29" s="210" t="s">
        <v>545</v>
      </c>
      <c r="C29" s="210" t="s">
        <v>533</v>
      </c>
      <c r="D29" s="210" t="s">
        <v>528</v>
      </c>
      <c r="F29" t="s">
        <v>252</v>
      </c>
      <c r="G29">
        <v>1</v>
      </c>
      <c r="H29">
        <f>1-'(From BGRI) Yield Penalty ↺'!D11/100</f>
        <v>1</v>
      </c>
      <c r="I29">
        <f>1-'(From BGRI) Yield Penalty ↺'!E11/100</f>
        <v>1</v>
      </c>
      <c r="J29">
        <f>1-'(From BGRI) Yield Penalty ↺'!F11/100</f>
        <v>1</v>
      </c>
      <c r="K29">
        <f>1-'(From BGRI) Yield Penalty ↺'!G11/100</f>
        <v>1</v>
      </c>
      <c r="L29">
        <f t="shared" si="0"/>
        <v>1</v>
      </c>
    </row>
    <row r="30" spans="2:12" x14ac:dyDescent="0.2">
      <c r="B30" s="210" t="s">
        <v>563</v>
      </c>
      <c r="C30" s="210" t="s">
        <v>527</v>
      </c>
      <c r="D30" s="210" t="s">
        <v>528</v>
      </c>
      <c r="F30" t="s">
        <v>284</v>
      </c>
      <c r="G30">
        <v>1</v>
      </c>
      <c r="H30">
        <v>0</v>
      </c>
      <c r="I30">
        <v>0</v>
      </c>
      <c r="J30">
        <v>0</v>
      </c>
      <c r="K30">
        <v>0</v>
      </c>
      <c r="L30">
        <v>0</v>
      </c>
    </row>
    <row r="31" spans="2:12" x14ac:dyDescent="0.2">
      <c r="B31" s="210" t="s">
        <v>564</v>
      </c>
      <c r="C31" s="210" t="s">
        <v>565</v>
      </c>
      <c r="D31" s="210" t="s">
        <v>544</v>
      </c>
      <c r="F31" t="s">
        <v>195</v>
      </c>
      <c r="G31">
        <v>1</v>
      </c>
      <c r="H31">
        <v>0</v>
      </c>
      <c r="I31">
        <v>0</v>
      </c>
      <c r="J31">
        <v>0</v>
      </c>
      <c r="K31">
        <v>0</v>
      </c>
      <c r="L31">
        <v>0</v>
      </c>
    </row>
    <row r="32" spans="2:12" x14ac:dyDescent="0.2">
      <c r="B32" s="210" t="s">
        <v>539</v>
      </c>
      <c r="C32" s="210" t="s">
        <v>566</v>
      </c>
      <c r="D32" s="210" t="s">
        <v>520</v>
      </c>
      <c r="F32" t="s">
        <v>285</v>
      </c>
      <c r="G32">
        <v>1</v>
      </c>
      <c r="H32">
        <v>0</v>
      </c>
      <c r="I32">
        <v>0</v>
      </c>
      <c r="J32">
        <v>0</v>
      </c>
      <c r="K32">
        <v>0</v>
      </c>
      <c r="L32">
        <v>0</v>
      </c>
    </row>
    <row r="33" spans="2:216" x14ac:dyDescent="0.2">
      <c r="B33" s="210" t="s">
        <v>567</v>
      </c>
      <c r="C33" s="210" t="s">
        <v>546</v>
      </c>
      <c r="D33" s="210" t="s">
        <v>520</v>
      </c>
      <c r="F33" t="s">
        <v>272</v>
      </c>
      <c r="G33">
        <v>1</v>
      </c>
      <c r="H33">
        <v>0</v>
      </c>
      <c r="I33">
        <v>0</v>
      </c>
      <c r="J33">
        <v>0</v>
      </c>
      <c r="K33">
        <v>0</v>
      </c>
      <c r="L33">
        <v>0</v>
      </c>
    </row>
    <row r="34" spans="2:216" x14ac:dyDescent="0.2">
      <c r="B34" s="210" t="s">
        <v>532</v>
      </c>
      <c r="C34" s="210" t="s">
        <v>532</v>
      </c>
      <c r="D34" s="210" t="s">
        <v>520</v>
      </c>
      <c r="F34" t="s">
        <v>286</v>
      </c>
      <c r="G34">
        <v>1</v>
      </c>
      <c r="H34">
        <v>0</v>
      </c>
      <c r="I34">
        <v>0</v>
      </c>
      <c r="J34">
        <v>0</v>
      </c>
      <c r="K34">
        <v>0</v>
      </c>
      <c r="L34">
        <v>0</v>
      </c>
    </row>
    <row r="35" spans="2:216" x14ac:dyDescent="0.2">
      <c r="F35" t="s">
        <v>269</v>
      </c>
      <c r="G35">
        <v>1</v>
      </c>
      <c r="H35">
        <v>0</v>
      </c>
      <c r="I35">
        <v>0</v>
      </c>
      <c r="J35">
        <v>0</v>
      </c>
      <c r="K35">
        <v>0</v>
      </c>
      <c r="L35">
        <v>0</v>
      </c>
    </row>
    <row r="36" spans="2:216" x14ac:dyDescent="0.2">
      <c r="F36" t="s">
        <v>253</v>
      </c>
      <c r="G36">
        <v>1</v>
      </c>
      <c r="H36">
        <f>1-'(From BGRI) Yield Penalty ↺'!D12/100</f>
        <v>0.89</v>
      </c>
      <c r="I36">
        <f>1-'(From BGRI) Yield Penalty ↺'!E12/100</f>
        <v>0.89</v>
      </c>
      <c r="J36">
        <f>1-'(From BGRI) Yield Penalty ↺'!F12/100</f>
        <v>0.89</v>
      </c>
      <c r="K36">
        <f>1-'(From BGRI) Yield Penalty ↺'!G12/100</f>
        <v>0.89</v>
      </c>
      <c r="L36">
        <f>K36</f>
        <v>0.89</v>
      </c>
    </row>
    <row r="37" spans="2:216" x14ac:dyDescent="0.2">
      <c r="F37" t="s">
        <v>246</v>
      </c>
      <c r="G37">
        <v>1</v>
      </c>
      <c r="H37">
        <v>1</v>
      </c>
      <c r="I37">
        <v>1</v>
      </c>
      <c r="J37">
        <v>1</v>
      </c>
      <c r="K37">
        <v>1</v>
      </c>
      <c r="L37">
        <v>1</v>
      </c>
    </row>
    <row r="38" spans="2:216" x14ac:dyDescent="0.2">
      <c r="F38" t="s">
        <v>303</v>
      </c>
      <c r="G38">
        <v>1</v>
      </c>
      <c r="H38">
        <v>1</v>
      </c>
      <c r="I38">
        <v>1</v>
      </c>
      <c r="J38">
        <v>1</v>
      </c>
      <c r="K38">
        <v>1</v>
      </c>
      <c r="L38">
        <v>1</v>
      </c>
    </row>
    <row r="39" spans="2:216" x14ac:dyDescent="0.2">
      <c r="F39" t="s">
        <v>304</v>
      </c>
      <c r="G39">
        <v>1</v>
      </c>
      <c r="H39">
        <v>1</v>
      </c>
      <c r="I39">
        <v>1</v>
      </c>
      <c r="J39">
        <v>1</v>
      </c>
      <c r="K39">
        <v>1</v>
      </c>
      <c r="L39">
        <v>1</v>
      </c>
    </row>
    <row r="40" spans="2:216" x14ac:dyDescent="0.2">
      <c r="BF40" s="263" t="s">
        <v>1573</v>
      </c>
    </row>
    <row r="41" spans="2:216" x14ac:dyDescent="0.2">
      <c r="M41" s="415" t="s">
        <v>568</v>
      </c>
      <c r="N41" s="415"/>
      <c r="O41" s="415"/>
      <c r="P41" s="415"/>
      <c r="Q41" s="1"/>
      <c r="R41" s="415" t="s">
        <v>568</v>
      </c>
      <c r="S41" s="415"/>
      <c r="T41" s="415"/>
      <c r="U41" s="415"/>
      <c r="V41" s="1"/>
      <c r="W41" s="415" t="s">
        <v>568</v>
      </c>
      <c r="X41" s="415"/>
      <c r="Y41" s="415"/>
      <c r="Z41" s="415"/>
      <c r="AB41" s="415" t="s">
        <v>568</v>
      </c>
      <c r="AC41" s="415"/>
      <c r="AD41" s="415"/>
      <c r="AE41" s="415"/>
      <c r="AF41" s="1"/>
      <c r="AG41" s="415" t="s">
        <v>568</v>
      </c>
      <c r="AH41" s="415"/>
      <c r="AI41" s="415"/>
      <c r="AJ41" s="415"/>
      <c r="AK41" s="1"/>
      <c r="AL41" s="415" t="s">
        <v>568</v>
      </c>
      <c r="AM41" s="415"/>
      <c r="AN41" s="415"/>
      <c r="AO41" s="415"/>
      <c r="AQ41" s="415" t="s">
        <v>568</v>
      </c>
      <c r="AR41" s="415"/>
      <c r="AS41" s="415"/>
      <c r="AT41" s="415"/>
      <c r="AU41" s="1"/>
      <c r="AV41" s="415" t="s">
        <v>568</v>
      </c>
      <c r="AW41" s="415"/>
      <c r="AX41" s="415"/>
      <c r="AY41" s="415"/>
      <c r="AZ41" s="1"/>
      <c r="BA41" s="415" t="s">
        <v>568</v>
      </c>
      <c r="BB41" s="415"/>
      <c r="BC41" s="415"/>
      <c r="BD41" s="415"/>
      <c r="BF41" s="435" t="s">
        <v>569</v>
      </c>
      <c r="BG41" s="435"/>
      <c r="BH41" s="435"/>
      <c r="BI41" s="435"/>
      <c r="BJ41" s="258"/>
      <c r="BK41" s="415" t="s">
        <v>569</v>
      </c>
      <c r="BL41" s="415"/>
      <c r="BM41" s="415"/>
      <c r="BN41" s="415"/>
      <c r="BO41" s="1"/>
      <c r="BP41" s="415" t="s">
        <v>569</v>
      </c>
      <c r="BQ41" s="415"/>
      <c r="BR41" s="415"/>
      <c r="BS41" s="415"/>
      <c r="BU41" s="415" t="s">
        <v>569</v>
      </c>
      <c r="BV41" s="415"/>
      <c r="BW41" s="415"/>
      <c r="BX41" s="415"/>
      <c r="BZ41" s="415" t="s">
        <v>569</v>
      </c>
      <c r="CA41" s="415"/>
      <c r="CB41" s="415"/>
      <c r="CC41" s="415"/>
      <c r="CE41" s="415" t="s">
        <v>570</v>
      </c>
      <c r="CF41" s="415"/>
      <c r="CG41" s="415"/>
      <c r="CH41" s="415"/>
      <c r="CI41" s="1"/>
      <c r="CJ41" s="415" t="s">
        <v>570</v>
      </c>
      <c r="CK41" s="415"/>
      <c r="CL41" s="415"/>
      <c r="CM41" s="415"/>
      <c r="CN41" s="1"/>
      <c r="CO41" s="415" t="s">
        <v>570</v>
      </c>
      <c r="CP41" s="415"/>
      <c r="CQ41" s="415"/>
      <c r="CR41" s="415"/>
      <c r="CT41" s="415" t="s">
        <v>571</v>
      </c>
      <c r="CU41" s="415"/>
      <c r="CV41" s="415"/>
      <c r="CW41" s="415"/>
      <c r="CY41" s="415" t="s">
        <v>571</v>
      </c>
      <c r="CZ41" s="415"/>
      <c r="DA41" s="415"/>
      <c r="DB41" s="415"/>
      <c r="DD41" s="415" t="s">
        <v>571</v>
      </c>
      <c r="DE41" s="415"/>
      <c r="DF41" s="415"/>
      <c r="DG41" s="415"/>
      <c r="DH41" s="1"/>
      <c r="DI41" s="415" t="s">
        <v>571</v>
      </c>
      <c r="DJ41" s="415"/>
      <c r="DK41" s="415"/>
      <c r="DL41" s="415"/>
      <c r="DN41" s="415" t="s">
        <v>571</v>
      </c>
      <c r="DO41" s="415"/>
      <c r="DP41" s="415"/>
      <c r="DQ41" s="415"/>
      <c r="DS41" s="415" t="s">
        <v>571</v>
      </c>
      <c r="DT41" s="415"/>
      <c r="DU41" s="415"/>
      <c r="DV41" s="415"/>
      <c r="DX41" s="415" t="s">
        <v>34</v>
      </c>
      <c r="DY41" s="415"/>
      <c r="DZ41" s="415"/>
      <c r="EA41" s="415"/>
      <c r="EB41" s="1"/>
      <c r="EC41" s="415" t="s">
        <v>34</v>
      </c>
      <c r="ED41" s="415"/>
      <c r="EE41" s="415"/>
      <c r="EF41" s="415"/>
      <c r="EG41" s="1"/>
      <c r="EH41" s="415" t="s">
        <v>34</v>
      </c>
      <c r="EI41" s="415"/>
      <c r="EJ41" s="415"/>
      <c r="EK41" s="415"/>
      <c r="EM41" s="415" t="s">
        <v>34</v>
      </c>
      <c r="EN41" s="415"/>
      <c r="EO41" s="415"/>
      <c r="EP41" s="415"/>
      <c r="ER41" s="415" t="s">
        <v>34</v>
      </c>
      <c r="ES41" s="415"/>
      <c r="ET41" s="415"/>
      <c r="EU41" s="415"/>
      <c r="EW41" s="415" t="s">
        <v>34</v>
      </c>
      <c r="EX41" s="415"/>
      <c r="EY41" s="415"/>
      <c r="EZ41" s="415"/>
      <c r="FB41" s="415" t="s">
        <v>34</v>
      </c>
      <c r="FC41" s="415"/>
      <c r="FD41" s="415"/>
      <c r="FE41" s="415"/>
      <c r="FG41" s="415" t="s">
        <v>572</v>
      </c>
      <c r="FH41" s="415"/>
      <c r="FI41" s="415"/>
      <c r="FJ41" s="415"/>
      <c r="FL41" s="415" t="s">
        <v>573</v>
      </c>
      <c r="FM41" s="415"/>
      <c r="FN41" s="415"/>
      <c r="FO41" s="415"/>
      <c r="FQ41" s="415" t="s">
        <v>574</v>
      </c>
      <c r="FR41" s="415"/>
      <c r="FS41" s="415"/>
      <c r="FT41" s="415"/>
      <c r="FV41" s="415" t="s">
        <v>574</v>
      </c>
      <c r="FW41" s="415"/>
      <c r="FX41" s="415"/>
      <c r="FY41" s="415"/>
      <c r="GA41" s="415" t="s">
        <v>574</v>
      </c>
      <c r="GB41" s="415"/>
      <c r="GC41" s="415"/>
      <c r="GD41" s="415"/>
      <c r="GE41" s="1"/>
      <c r="GF41" s="415" t="s">
        <v>574</v>
      </c>
      <c r="GG41" s="415"/>
      <c r="GH41" s="415"/>
      <c r="GI41" s="415"/>
      <c r="GK41" s="415" t="s">
        <v>574</v>
      </c>
      <c r="GL41" s="415"/>
      <c r="GM41" s="415"/>
      <c r="GN41" s="415"/>
      <c r="GP41" s="415" t="s">
        <v>574</v>
      </c>
      <c r="GQ41" s="415"/>
      <c r="GR41" s="415"/>
      <c r="GS41" s="415"/>
      <c r="GU41" s="415" t="s">
        <v>575</v>
      </c>
      <c r="GV41" s="415"/>
      <c r="GW41" s="415"/>
      <c r="GX41" s="415"/>
      <c r="GZ41" s="415" t="s">
        <v>576</v>
      </c>
      <c r="HA41" s="415"/>
      <c r="HB41" s="415"/>
      <c r="HC41" s="415"/>
      <c r="HE41" s="415" t="s">
        <v>577</v>
      </c>
      <c r="HF41" s="415"/>
      <c r="HG41" s="415"/>
      <c r="HH41" s="415"/>
    </row>
    <row r="42" spans="2:216" x14ac:dyDescent="0.2">
      <c r="M42" s="415" t="s">
        <v>578</v>
      </c>
      <c r="N42" s="415"/>
      <c r="O42" s="415"/>
      <c r="P42" s="415"/>
      <c r="R42" s="415" t="s">
        <v>579</v>
      </c>
      <c r="S42" s="415"/>
      <c r="T42" s="415"/>
      <c r="U42" s="415"/>
      <c r="W42" s="415" t="s">
        <v>580</v>
      </c>
      <c r="X42" s="415"/>
      <c r="Y42" s="415"/>
      <c r="Z42" s="415"/>
      <c r="AB42" s="415" t="s">
        <v>581</v>
      </c>
      <c r="AC42" s="415"/>
      <c r="AD42" s="415"/>
      <c r="AE42" s="415"/>
      <c r="AG42" s="415" t="s">
        <v>582</v>
      </c>
      <c r="AH42" s="415"/>
      <c r="AI42" s="415"/>
      <c r="AJ42" s="415"/>
      <c r="AL42" s="415" t="s">
        <v>583</v>
      </c>
      <c r="AM42" s="415"/>
      <c r="AN42" s="415"/>
      <c r="AO42" s="415"/>
      <c r="AQ42" s="415" t="s">
        <v>584</v>
      </c>
      <c r="AR42" s="415"/>
      <c r="AS42" s="415"/>
      <c r="AT42" s="415"/>
      <c r="AV42" s="415" t="s">
        <v>585</v>
      </c>
      <c r="AW42" s="415"/>
      <c r="AX42" s="415"/>
      <c r="AY42" s="415"/>
      <c r="BA42" s="415" t="s">
        <v>586</v>
      </c>
      <c r="BB42" s="415"/>
      <c r="BC42" s="415"/>
      <c r="BD42" s="415"/>
      <c r="BF42" s="435" t="s">
        <v>587</v>
      </c>
      <c r="BG42" s="435"/>
      <c r="BH42" s="435"/>
      <c r="BI42" s="435"/>
      <c r="BJ42" s="259"/>
      <c r="BK42" s="415" t="s">
        <v>588</v>
      </c>
      <c r="BL42" s="415"/>
      <c r="BM42" s="415"/>
      <c r="BN42" s="415"/>
      <c r="BP42" s="415" t="s">
        <v>582</v>
      </c>
      <c r="BQ42" s="415"/>
      <c r="BR42" s="415"/>
      <c r="BS42" s="415"/>
      <c r="BU42" s="415" t="s">
        <v>589</v>
      </c>
      <c r="BV42" s="415"/>
      <c r="BW42" s="415"/>
      <c r="BX42" s="415"/>
      <c r="BZ42" s="415" t="s">
        <v>590</v>
      </c>
      <c r="CA42" s="415"/>
      <c r="CB42" s="415"/>
      <c r="CC42" s="415"/>
      <c r="CE42" s="415" t="s">
        <v>591</v>
      </c>
      <c r="CF42" s="415"/>
      <c r="CG42" s="415"/>
      <c r="CH42" s="415"/>
      <c r="CJ42" s="415" t="s">
        <v>587</v>
      </c>
      <c r="CK42" s="415"/>
      <c r="CL42" s="415"/>
      <c r="CM42" s="415"/>
      <c r="CO42" s="415" t="s">
        <v>585</v>
      </c>
      <c r="CP42" s="415"/>
      <c r="CQ42" s="415"/>
      <c r="CR42" s="415"/>
      <c r="CT42" s="415" t="s">
        <v>578</v>
      </c>
      <c r="CU42" s="415"/>
      <c r="CV42" s="415"/>
      <c r="CW42" s="415"/>
      <c r="CY42" s="415" t="s">
        <v>587</v>
      </c>
      <c r="CZ42" s="415"/>
      <c r="DA42" s="415"/>
      <c r="DB42" s="415"/>
      <c r="DD42" s="415" t="s">
        <v>588</v>
      </c>
      <c r="DE42" s="415"/>
      <c r="DF42" s="415"/>
      <c r="DG42" s="415"/>
      <c r="DI42" s="415" t="s">
        <v>582</v>
      </c>
      <c r="DJ42" s="415"/>
      <c r="DK42" s="415"/>
      <c r="DL42" s="415"/>
      <c r="DN42" s="415" t="s">
        <v>589</v>
      </c>
      <c r="DO42" s="415"/>
      <c r="DP42" s="415"/>
      <c r="DQ42" s="415"/>
      <c r="DS42" s="415" t="s">
        <v>590</v>
      </c>
      <c r="DT42" s="415"/>
      <c r="DU42" s="415"/>
      <c r="DV42" s="415"/>
      <c r="DX42" s="415" t="s">
        <v>591</v>
      </c>
      <c r="DY42" s="415"/>
      <c r="DZ42" s="415"/>
      <c r="EA42" s="415"/>
      <c r="EC42" s="415" t="s">
        <v>587</v>
      </c>
      <c r="ED42" s="415"/>
      <c r="EE42" s="415"/>
      <c r="EF42" s="415"/>
      <c r="EH42" s="415" t="s">
        <v>588</v>
      </c>
      <c r="EI42" s="415"/>
      <c r="EJ42" s="415"/>
      <c r="EK42" s="415"/>
      <c r="EM42" s="415" t="s">
        <v>585</v>
      </c>
      <c r="EN42" s="415"/>
      <c r="EO42" s="415"/>
      <c r="EP42" s="415"/>
      <c r="ER42" s="415" t="s">
        <v>580</v>
      </c>
      <c r="ES42" s="415"/>
      <c r="ET42" s="415"/>
      <c r="EU42" s="415"/>
      <c r="EW42" s="415" t="s">
        <v>589</v>
      </c>
      <c r="EX42" s="415"/>
      <c r="EY42" s="415"/>
      <c r="EZ42" s="415"/>
      <c r="FB42" s="415" t="s">
        <v>590</v>
      </c>
      <c r="FC42" s="415"/>
      <c r="FD42" s="415"/>
      <c r="FE42" s="415"/>
      <c r="FG42" s="415" t="s">
        <v>578</v>
      </c>
      <c r="FH42" s="415"/>
      <c r="FI42" s="415"/>
      <c r="FJ42" s="415"/>
      <c r="FL42" s="415" t="s">
        <v>578</v>
      </c>
      <c r="FM42" s="415"/>
      <c r="FN42" s="415"/>
      <c r="FO42" s="415"/>
      <c r="FQ42" s="415" t="s">
        <v>578</v>
      </c>
      <c r="FR42" s="415"/>
      <c r="FS42" s="415"/>
      <c r="FT42" s="415"/>
      <c r="FV42" s="415" t="s">
        <v>587</v>
      </c>
      <c r="FW42" s="415"/>
      <c r="FX42" s="415"/>
      <c r="FY42" s="415"/>
      <c r="GA42" s="415" t="s">
        <v>588</v>
      </c>
      <c r="GB42" s="415"/>
      <c r="GC42" s="415"/>
      <c r="GD42" s="415"/>
      <c r="GF42" s="415" t="s">
        <v>582</v>
      </c>
      <c r="GG42" s="415"/>
      <c r="GH42" s="415"/>
      <c r="GI42" s="415"/>
      <c r="GK42" s="415" t="s">
        <v>589</v>
      </c>
      <c r="GL42" s="415"/>
      <c r="GM42" s="415"/>
      <c r="GN42" s="415"/>
      <c r="GP42" s="415" t="s">
        <v>590</v>
      </c>
      <c r="GQ42" s="415"/>
      <c r="GR42" s="415"/>
      <c r="GS42" s="415"/>
      <c r="GU42" s="415" t="s">
        <v>591</v>
      </c>
      <c r="GV42" s="415"/>
      <c r="GW42" s="415"/>
      <c r="GX42" s="415"/>
      <c r="GZ42" s="434" t="s">
        <v>591</v>
      </c>
      <c r="HA42" s="434"/>
      <c r="HB42" s="434"/>
      <c r="HC42" s="434"/>
      <c r="HE42" s="415" t="s">
        <v>578</v>
      </c>
      <c r="HF42" s="415"/>
      <c r="HG42" s="415"/>
      <c r="HH42" s="415"/>
    </row>
    <row r="43" spans="2:216" ht="16" x14ac:dyDescent="0.2">
      <c r="M43" s="137" t="s">
        <v>592</v>
      </c>
      <c r="N43" s="99" t="s">
        <v>185</v>
      </c>
      <c r="O43" s="99" t="s">
        <v>186</v>
      </c>
      <c r="P43" s="70" t="s">
        <v>187</v>
      </c>
      <c r="R43" s="137" t="s">
        <v>592</v>
      </c>
      <c r="S43" s="99" t="s">
        <v>185</v>
      </c>
      <c r="T43" s="99" t="s">
        <v>186</v>
      </c>
      <c r="U43" s="70" t="s">
        <v>187</v>
      </c>
      <c r="W43" s="137" t="s">
        <v>592</v>
      </c>
      <c r="X43" s="99" t="s">
        <v>185</v>
      </c>
      <c r="Y43" s="99" t="s">
        <v>186</v>
      </c>
      <c r="Z43" s="70" t="s">
        <v>187</v>
      </c>
      <c r="AB43" s="137" t="s">
        <v>592</v>
      </c>
      <c r="AC43" s="99" t="s">
        <v>185</v>
      </c>
      <c r="AD43" s="99" t="s">
        <v>186</v>
      </c>
      <c r="AE43" s="70" t="s">
        <v>187</v>
      </c>
      <c r="AG43" s="137" t="s">
        <v>592</v>
      </c>
      <c r="AH43" s="99" t="s">
        <v>185</v>
      </c>
      <c r="AI43" s="99" t="s">
        <v>186</v>
      </c>
      <c r="AJ43" s="70" t="s">
        <v>187</v>
      </c>
      <c r="AL43" s="137" t="s">
        <v>592</v>
      </c>
      <c r="AM43" s="99" t="s">
        <v>185</v>
      </c>
      <c r="AN43" s="99" t="s">
        <v>186</v>
      </c>
      <c r="AO43" s="70" t="s">
        <v>187</v>
      </c>
      <c r="AQ43" s="137" t="s">
        <v>592</v>
      </c>
      <c r="AR43" s="99" t="s">
        <v>185</v>
      </c>
      <c r="AS43" s="99" t="s">
        <v>186</v>
      </c>
      <c r="AT43" s="70" t="s">
        <v>187</v>
      </c>
      <c r="AV43" s="137" t="s">
        <v>592</v>
      </c>
      <c r="AW43" s="99" t="s">
        <v>185</v>
      </c>
      <c r="AX43" s="99" t="s">
        <v>186</v>
      </c>
      <c r="AY43" s="70" t="s">
        <v>187</v>
      </c>
      <c r="BA43" s="137" t="s">
        <v>592</v>
      </c>
      <c r="BB43" s="99" t="s">
        <v>185</v>
      </c>
      <c r="BC43" s="99" t="s">
        <v>186</v>
      </c>
      <c r="BD43" s="70" t="s">
        <v>187</v>
      </c>
      <c r="BF43" s="260" t="s">
        <v>592</v>
      </c>
      <c r="BG43" s="261" t="s">
        <v>185</v>
      </c>
      <c r="BH43" s="261" t="s">
        <v>186</v>
      </c>
      <c r="BI43" s="262" t="s">
        <v>187</v>
      </c>
      <c r="BJ43" s="259"/>
      <c r="BK43" s="137" t="s">
        <v>592</v>
      </c>
      <c r="BL43" s="99" t="s">
        <v>185</v>
      </c>
      <c r="BM43" s="99" t="s">
        <v>186</v>
      </c>
      <c r="BN43" s="70" t="s">
        <v>187</v>
      </c>
      <c r="BP43" s="137" t="s">
        <v>592</v>
      </c>
      <c r="BQ43" s="99" t="s">
        <v>185</v>
      </c>
      <c r="BR43" s="99" t="s">
        <v>186</v>
      </c>
      <c r="BS43" s="70" t="s">
        <v>187</v>
      </c>
      <c r="BU43" s="137" t="s">
        <v>592</v>
      </c>
      <c r="BV43" s="99" t="s">
        <v>185</v>
      </c>
      <c r="BW43" s="99" t="s">
        <v>186</v>
      </c>
      <c r="BX43" s="70" t="s">
        <v>187</v>
      </c>
      <c r="BZ43" s="137" t="s">
        <v>592</v>
      </c>
      <c r="CA43" s="99" t="s">
        <v>185</v>
      </c>
      <c r="CB43" s="99" t="s">
        <v>186</v>
      </c>
      <c r="CC43" s="70" t="s">
        <v>187</v>
      </c>
      <c r="CE43" s="137" t="s">
        <v>592</v>
      </c>
      <c r="CF43" s="99" t="s">
        <v>185</v>
      </c>
      <c r="CG43" s="99" t="s">
        <v>186</v>
      </c>
      <c r="CH43" s="70" t="s">
        <v>187</v>
      </c>
      <c r="CJ43" s="137" t="s">
        <v>592</v>
      </c>
      <c r="CK43" s="99" t="s">
        <v>185</v>
      </c>
      <c r="CL43" s="99" t="s">
        <v>186</v>
      </c>
      <c r="CM43" s="70" t="s">
        <v>187</v>
      </c>
      <c r="CO43" s="137" t="s">
        <v>592</v>
      </c>
      <c r="CP43" s="99" t="s">
        <v>185</v>
      </c>
      <c r="CQ43" s="99" t="s">
        <v>186</v>
      </c>
      <c r="CR43" s="70" t="s">
        <v>187</v>
      </c>
      <c r="CT43" s="137" t="s">
        <v>592</v>
      </c>
      <c r="CU43" s="99" t="s">
        <v>185</v>
      </c>
      <c r="CV43" s="99" t="s">
        <v>186</v>
      </c>
      <c r="CW43" s="70" t="s">
        <v>187</v>
      </c>
      <c r="CY43" s="137" t="s">
        <v>592</v>
      </c>
      <c r="CZ43" s="99" t="s">
        <v>185</v>
      </c>
      <c r="DA43" s="99" t="s">
        <v>186</v>
      </c>
      <c r="DB43" s="70" t="s">
        <v>187</v>
      </c>
      <c r="DD43" s="137" t="s">
        <v>592</v>
      </c>
      <c r="DE43" s="99" t="s">
        <v>185</v>
      </c>
      <c r="DF43" s="99" t="s">
        <v>186</v>
      </c>
      <c r="DG43" s="70" t="s">
        <v>187</v>
      </c>
      <c r="DI43" s="137" t="s">
        <v>592</v>
      </c>
      <c r="DJ43" s="99" t="s">
        <v>185</v>
      </c>
      <c r="DK43" s="99" t="s">
        <v>186</v>
      </c>
      <c r="DL43" s="70" t="s">
        <v>187</v>
      </c>
      <c r="DN43" s="137" t="s">
        <v>592</v>
      </c>
      <c r="DO43" s="99" t="s">
        <v>185</v>
      </c>
      <c r="DP43" s="99" t="s">
        <v>186</v>
      </c>
      <c r="DQ43" s="70" t="s">
        <v>187</v>
      </c>
      <c r="DS43" s="137" t="s">
        <v>592</v>
      </c>
      <c r="DT43" s="99" t="s">
        <v>185</v>
      </c>
      <c r="DU43" s="99" t="s">
        <v>186</v>
      </c>
      <c r="DV43" s="70" t="s">
        <v>187</v>
      </c>
      <c r="DX43" s="137" t="s">
        <v>592</v>
      </c>
      <c r="DY43" s="99" t="s">
        <v>185</v>
      </c>
      <c r="DZ43" s="99" t="s">
        <v>186</v>
      </c>
      <c r="EA43" s="70" t="s">
        <v>187</v>
      </c>
      <c r="EC43" s="137" t="s">
        <v>592</v>
      </c>
      <c r="ED43" s="99" t="s">
        <v>185</v>
      </c>
      <c r="EE43" s="99" t="s">
        <v>186</v>
      </c>
      <c r="EF43" s="70" t="s">
        <v>187</v>
      </c>
      <c r="EH43" s="137" t="s">
        <v>592</v>
      </c>
      <c r="EI43" s="99" t="s">
        <v>185</v>
      </c>
      <c r="EJ43" s="99" t="s">
        <v>186</v>
      </c>
      <c r="EK43" s="70" t="s">
        <v>187</v>
      </c>
      <c r="EM43" s="137" t="s">
        <v>592</v>
      </c>
      <c r="EN43" s="99" t="s">
        <v>185</v>
      </c>
      <c r="EO43" s="99" t="s">
        <v>186</v>
      </c>
      <c r="EP43" s="70" t="s">
        <v>187</v>
      </c>
      <c r="ER43" s="137" t="s">
        <v>592</v>
      </c>
      <c r="ES43" s="99" t="s">
        <v>185</v>
      </c>
      <c r="ET43" s="99" t="s">
        <v>186</v>
      </c>
      <c r="EU43" s="70" t="s">
        <v>187</v>
      </c>
      <c r="EW43" s="137" t="s">
        <v>592</v>
      </c>
      <c r="EX43" s="99" t="s">
        <v>185</v>
      </c>
      <c r="EY43" s="99" t="s">
        <v>186</v>
      </c>
      <c r="EZ43" s="70" t="s">
        <v>187</v>
      </c>
      <c r="FB43" s="137" t="s">
        <v>592</v>
      </c>
      <c r="FC43" s="99" t="s">
        <v>185</v>
      </c>
      <c r="FD43" s="99" t="s">
        <v>186</v>
      </c>
      <c r="FE43" s="70" t="s">
        <v>187</v>
      </c>
      <c r="FG43" s="137" t="s">
        <v>592</v>
      </c>
      <c r="FH43" s="99" t="s">
        <v>185</v>
      </c>
      <c r="FI43" s="99" t="s">
        <v>186</v>
      </c>
      <c r="FJ43" s="70" t="s">
        <v>187</v>
      </c>
      <c r="FL43" s="137" t="s">
        <v>592</v>
      </c>
      <c r="FM43" s="99" t="s">
        <v>185</v>
      </c>
      <c r="FN43" s="99" t="s">
        <v>186</v>
      </c>
      <c r="FO43" s="70" t="s">
        <v>187</v>
      </c>
      <c r="FQ43" s="137" t="s">
        <v>592</v>
      </c>
      <c r="FR43" s="99" t="s">
        <v>185</v>
      </c>
      <c r="FS43" s="99" t="s">
        <v>186</v>
      </c>
      <c r="FT43" s="70" t="s">
        <v>187</v>
      </c>
      <c r="FV43" s="137" t="s">
        <v>592</v>
      </c>
      <c r="FW43" s="99" t="s">
        <v>185</v>
      </c>
      <c r="FX43" s="99" t="s">
        <v>186</v>
      </c>
      <c r="FY43" s="70" t="s">
        <v>187</v>
      </c>
      <c r="GA43" s="137" t="s">
        <v>592</v>
      </c>
      <c r="GB43" s="99" t="s">
        <v>185</v>
      </c>
      <c r="GC43" s="99" t="s">
        <v>186</v>
      </c>
      <c r="GD43" s="70" t="s">
        <v>187</v>
      </c>
      <c r="GF43" s="137" t="s">
        <v>592</v>
      </c>
      <c r="GG43" s="99" t="s">
        <v>185</v>
      </c>
      <c r="GH43" s="99" t="s">
        <v>186</v>
      </c>
      <c r="GI43" s="70" t="s">
        <v>187</v>
      </c>
      <c r="GK43" s="137" t="s">
        <v>592</v>
      </c>
      <c r="GL43" s="99" t="s">
        <v>185</v>
      </c>
      <c r="GM43" s="99" t="s">
        <v>186</v>
      </c>
      <c r="GN43" s="70" t="s">
        <v>187</v>
      </c>
      <c r="GP43" s="137" t="s">
        <v>592</v>
      </c>
      <c r="GQ43" s="99" t="s">
        <v>185</v>
      </c>
      <c r="GR43" s="99" t="s">
        <v>186</v>
      </c>
      <c r="GS43" s="70" t="s">
        <v>187</v>
      </c>
      <c r="GU43" s="137" t="s">
        <v>592</v>
      </c>
      <c r="GV43" s="99" t="s">
        <v>185</v>
      </c>
      <c r="GW43" s="99" t="s">
        <v>186</v>
      </c>
      <c r="GX43" s="70" t="s">
        <v>187</v>
      </c>
      <c r="GZ43" s="137" t="s">
        <v>592</v>
      </c>
      <c r="HA43" s="99" t="s">
        <v>185</v>
      </c>
      <c r="HB43" s="99" t="s">
        <v>186</v>
      </c>
      <c r="HC43" s="70" t="s">
        <v>187</v>
      </c>
      <c r="HE43" s="137" t="s">
        <v>592</v>
      </c>
      <c r="HF43" s="99" t="s">
        <v>185</v>
      </c>
      <c r="HG43" s="99" t="s">
        <v>186</v>
      </c>
      <c r="HH43" s="70" t="s">
        <v>187</v>
      </c>
    </row>
    <row r="44" spans="2:216" x14ac:dyDescent="0.2">
      <c r="M44" t="s">
        <v>171</v>
      </c>
      <c r="N44">
        <v>3</v>
      </c>
      <c r="O44">
        <v>360</v>
      </c>
      <c r="P44">
        <f>N44*O44</f>
        <v>1080</v>
      </c>
      <c r="R44" t="s">
        <v>171</v>
      </c>
      <c r="S44">
        <v>3</v>
      </c>
      <c r="T44">
        <v>360</v>
      </c>
      <c r="U44">
        <f>S44*T44</f>
        <v>1080</v>
      </c>
      <c r="W44" t="s">
        <v>171</v>
      </c>
      <c r="X44">
        <v>2</v>
      </c>
      <c r="Y44">
        <v>360</v>
      </c>
      <c r="Z44">
        <f>X44*Y44</f>
        <v>720</v>
      </c>
      <c r="AB44" t="s">
        <v>171</v>
      </c>
      <c r="AC44">
        <v>2</v>
      </c>
      <c r="AD44">
        <v>360</v>
      </c>
      <c r="AE44">
        <f>AC44*AD44</f>
        <v>720</v>
      </c>
      <c r="AG44" t="s">
        <v>171</v>
      </c>
      <c r="AH44">
        <v>1</v>
      </c>
      <c r="AI44">
        <v>540</v>
      </c>
      <c r="AJ44">
        <f>AH44*AI44</f>
        <v>540</v>
      </c>
      <c r="AL44" t="s">
        <v>171</v>
      </c>
      <c r="AM44">
        <v>3</v>
      </c>
      <c r="AN44">
        <v>360</v>
      </c>
      <c r="AO44">
        <f>AN44*AM44</f>
        <v>1080</v>
      </c>
      <c r="AQ44" t="s">
        <v>171</v>
      </c>
      <c r="AR44">
        <v>3</v>
      </c>
      <c r="AS44">
        <v>360</v>
      </c>
      <c r="AT44">
        <f>AS44*AR44</f>
        <v>1080</v>
      </c>
      <c r="AV44" t="s">
        <v>171</v>
      </c>
      <c r="AW44">
        <v>2</v>
      </c>
      <c r="AX44">
        <v>360</v>
      </c>
      <c r="AY44">
        <f>AX44*AW44</f>
        <v>720</v>
      </c>
      <c r="BA44" t="s">
        <v>171</v>
      </c>
      <c r="BB44">
        <v>3</v>
      </c>
      <c r="BC44">
        <v>360</v>
      </c>
      <c r="BD44">
        <f>BB44*BC44</f>
        <v>1080</v>
      </c>
      <c r="BF44" s="259" t="s">
        <v>171</v>
      </c>
      <c r="BG44" s="259">
        <v>3</v>
      </c>
      <c r="BH44" s="259">
        <v>360</v>
      </c>
      <c r="BI44" s="259">
        <f>BG44*BH44</f>
        <v>1080</v>
      </c>
      <c r="BJ44" s="259"/>
      <c r="BK44" t="s">
        <v>171</v>
      </c>
      <c r="BL44">
        <v>3</v>
      </c>
      <c r="BM44">
        <v>360</v>
      </c>
      <c r="BN44">
        <f>BL44*BM44</f>
        <v>1080</v>
      </c>
      <c r="BP44" t="s">
        <v>171</v>
      </c>
      <c r="BQ44">
        <v>1</v>
      </c>
      <c r="BR44">
        <v>540</v>
      </c>
      <c r="BS44">
        <f>BQ44*BR44</f>
        <v>540</v>
      </c>
      <c r="BU44" t="s">
        <v>171</v>
      </c>
      <c r="BV44">
        <v>3</v>
      </c>
      <c r="BW44">
        <v>360</v>
      </c>
      <c r="BX44">
        <f>BV44*BW44</f>
        <v>1080</v>
      </c>
      <c r="BZ44" t="s">
        <v>171</v>
      </c>
      <c r="CA44">
        <v>3</v>
      </c>
      <c r="CB44">
        <v>360</v>
      </c>
      <c r="CC44">
        <f>CA44*CB44</f>
        <v>1080</v>
      </c>
      <c r="CE44" t="s">
        <v>171</v>
      </c>
      <c r="CF44">
        <v>2</v>
      </c>
      <c r="CG44">
        <v>360</v>
      </c>
      <c r="CH44">
        <f>CF44*CG44</f>
        <v>720</v>
      </c>
      <c r="CJ44" t="s">
        <v>171</v>
      </c>
      <c r="CK44">
        <v>3</v>
      </c>
      <c r="CL44">
        <v>360</v>
      </c>
      <c r="CM44">
        <f>CK44*CL44</f>
        <v>1080</v>
      </c>
      <c r="CO44" t="s">
        <v>171</v>
      </c>
      <c r="CP44" s="257">
        <v>2</v>
      </c>
      <c r="CQ44">
        <v>360</v>
      </c>
      <c r="CR44">
        <f>CP44*CQ44</f>
        <v>720</v>
      </c>
      <c r="CT44" t="s">
        <v>171</v>
      </c>
      <c r="CU44">
        <v>3</v>
      </c>
      <c r="CV44">
        <v>360</v>
      </c>
      <c r="CW44">
        <f>CU44*CV44</f>
        <v>1080</v>
      </c>
      <c r="CY44" t="s">
        <v>171</v>
      </c>
      <c r="CZ44">
        <v>3</v>
      </c>
      <c r="DA44">
        <v>360</v>
      </c>
      <c r="DB44">
        <f>CZ44*DA44</f>
        <v>1080</v>
      </c>
      <c r="DD44" t="s">
        <v>171</v>
      </c>
      <c r="DE44">
        <v>3</v>
      </c>
      <c r="DF44">
        <v>360</v>
      </c>
      <c r="DG44">
        <f>DE44*DF44</f>
        <v>1080</v>
      </c>
      <c r="DI44" t="s">
        <v>171</v>
      </c>
      <c r="DJ44">
        <v>1</v>
      </c>
      <c r="DK44">
        <v>540</v>
      </c>
      <c r="DL44">
        <f>DJ44*DK44</f>
        <v>540</v>
      </c>
      <c r="DN44" t="s">
        <v>171</v>
      </c>
      <c r="DO44">
        <v>3</v>
      </c>
      <c r="DP44">
        <v>360</v>
      </c>
      <c r="DQ44">
        <f>DO44*DP44</f>
        <v>1080</v>
      </c>
      <c r="DS44" t="s">
        <v>171</v>
      </c>
      <c r="DT44">
        <v>3</v>
      </c>
      <c r="DU44">
        <v>360</v>
      </c>
      <c r="DV44">
        <f>DT44*DU44</f>
        <v>1080</v>
      </c>
      <c r="DX44" t="s">
        <v>171</v>
      </c>
      <c r="DY44">
        <v>2</v>
      </c>
      <c r="DZ44">
        <v>360</v>
      </c>
      <c r="EA44">
        <f>DY44*DZ44</f>
        <v>720</v>
      </c>
      <c r="EC44" t="s">
        <v>593</v>
      </c>
      <c r="ED44">
        <v>1.5</v>
      </c>
      <c r="EE44">
        <v>500</v>
      </c>
      <c r="EF44">
        <f>ED44*EE44</f>
        <v>750</v>
      </c>
      <c r="EH44" t="s">
        <v>171</v>
      </c>
      <c r="EI44">
        <v>3</v>
      </c>
      <c r="EJ44">
        <v>360</v>
      </c>
      <c r="EK44">
        <f>EI44*EJ44</f>
        <v>1080</v>
      </c>
      <c r="EM44" t="s">
        <v>594</v>
      </c>
      <c r="EN44">
        <v>2.5</v>
      </c>
      <c r="EO44">
        <v>400</v>
      </c>
      <c r="EP44">
        <f>EN44*EO44</f>
        <v>1000</v>
      </c>
      <c r="EW44" t="s">
        <v>595</v>
      </c>
      <c r="EX44">
        <v>1</v>
      </c>
      <c r="EY44">
        <v>200</v>
      </c>
      <c r="EZ44">
        <f>EX44*EY44</f>
        <v>200</v>
      </c>
      <c r="FB44" t="s">
        <v>595</v>
      </c>
      <c r="FC44">
        <v>1</v>
      </c>
      <c r="FD44">
        <v>200</v>
      </c>
      <c r="FE44">
        <f>FC44*FD44</f>
        <v>200</v>
      </c>
      <c r="FG44" t="s">
        <v>171</v>
      </c>
      <c r="FH44">
        <v>3</v>
      </c>
      <c r="FI44">
        <v>360</v>
      </c>
      <c r="FJ44">
        <f>FH44*FI44</f>
        <v>1080</v>
      </c>
      <c r="FL44" t="s">
        <v>171</v>
      </c>
      <c r="FM44">
        <v>3</v>
      </c>
      <c r="FN44">
        <v>360</v>
      </c>
      <c r="FO44">
        <f>FM44*FN44</f>
        <v>1080</v>
      </c>
      <c r="FQ44" t="s">
        <v>171</v>
      </c>
      <c r="FR44">
        <v>3</v>
      </c>
      <c r="FS44">
        <v>360</v>
      </c>
      <c r="FT44">
        <f>FR44*FS44</f>
        <v>1080</v>
      </c>
      <c r="FV44" t="s">
        <v>171</v>
      </c>
      <c r="FW44">
        <v>3</v>
      </c>
      <c r="FX44">
        <v>360</v>
      </c>
      <c r="FY44">
        <f>FW44*FX44</f>
        <v>1080</v>
      </c>
      <c r="GA44" t="s">
        <v>171</v>
      </c>
      <c r="GB44">
        <v>3</v>
      </c>
      <c r="GC44">
        <v>360</v>
      </c>
      <c r="GD44">
        <f>GB44*GC44</f>
        <v>1080</v>
      </c>
      <c r="GF44" t="s">
        <v>171</v>
      </c>
      <c r="GG44">
        <v>540</v>
      </c>
      <c r="GH44">
        <v>1</v>
      </c>
      <c r="GI44">
        <f>GG44*GH44</f>
        <v>540</v>
      </c>
      <c r="GK44" t="s">
        <v>171</v>
      </c>
      <c r="GL44">
        <v>3</v>
      </c>
      <c r="GM44">
        <v>360</v>
      </c>
      <c r="GN44">
        <f t="shared" ref="GN44:GN47" si="1">GL44*GM44</f>
        <v>1080</v>
      </c>
      <c r="GP44" t="s">
        <v>171</v>
      </c>
      <c r="GQ44">
        <v>3</v>
      </c>
      <c r="GR44">
        <v>360</v>
      </c>
      <c r="GS44">
        <f t="shared" ref="GS44:GS47" si="2">GQ44*GR44</f>
        <v>1080</v>
      </c>
      <c r="GU44" t="s">
        <v>171</v>
      </c>
      <c r="GV44">
        <v>2</v>
      </c>
      <c r="GW44">
        <v>360</v>
      </c>
      <c r="GX44">
        <f t="shared" ref="GX44" si="3">GV44*GW44</f>
        <v>720</v>
      </c>
      <c r="GZ44" t="s">
        <v>171</v>
      </c>
      <c r="HA44">
        <v>2</v>
      </c>
      <c r="HB44">
        <v>360</v>
      </c>
      <c r="HC44">
        <f t="shared" ref="HC44:HC46" si="4">HA44*HB44</f>
        <v>720</v>
      </c>
      <c r="HE44" t="s">
        <v>171</v>
      </c>
      <c r="HF44">
        <v>3</v>
      </c>
      <c r="HG44">
        <v>360</v>
      </c>
      <c r="HH44">
        <f>HF44*HG44</f>
        <v>1080</v>
      </c>
    </row>
    <row r="45" spans="2:216" x14ac:dyDescent="0.2">
      <c r="M45" t="s">
        <v>171</v>
      </c>
      <c r="N45">
        <v>3</v>
      </c>
      <c r="O45">
        <v>360</v>
      </c>
      <c r="P45">
        <f t="shared" ref="P45:P47" si="5">N45*O45</f>
        <v>1080</v>
      </c>
      <c r="R45" t="s">
        <v>171</v>
      </c>
      <c r="S45">
        <v>3</v>
      </c>
      <c r="T45">
        <v>360</v>
      </c>
      <c r="U45">
        <f t="shared" ref="U45:U48" si="6">S45*T45</f>
        <v>1080</v>
      </c>
      <c r="W45" t="s">
        <v>171</v>
      </c>
      <c r="X45">
        <v>2</v>
      </c>
      <c r="Y45">
        <v>360</v>
      </c>
      <c r="Z45">
        <f t="shared" ref="Z45:Z48" si="7">X45*Y45</f>
        <v>720</v>
      </c>
      <c r="AB45" t="s">
        <v>171</v>
      </c>
      <c r="AC45">
        <v>2</v>
      </c>
      <c r="AD45">
        <v>360</v>
      </c>
      <c r="AE45">
        <f t="shared" ref="AE45:AE46" si="8">AC45*AD45</f>
        <v>720</v>
      </c>
      <c r="AG45" t="s">
        <v>171</v>
      </c>
      <c r="AH45">
        <v>1</v>
      </c>
      <c r="AI45">
        <v>540</v>
      </c>
      <c r="AJ45">
        <f t="shared" ref="AJ45:AJ48" si="9">AH45*AI45</f>
        <v>540</v>
      </c>
      <c r="AL45" t="s">
        <v>204</v>
      </c>
      <c r="AM45">
        <v>0.6</v>
      </c>
      <c r="AN45">
        <v>500</v>
      </c>
      <c r="AO45">
        <f t="shared" ref="AO45:AO46" si="10">AN45*AM45</f>
        <v>300</v>
      </c>
      <c r="AQ45" t="s">
        <v>171</v>
      </c>
      <c r="AR45">
        <v>3</v>
      </c>
      <c r="AS45">
        <v>360</v>
      </c>
      <c r="AT45">
        <f t="shared" ref="AT45:AT52" si="11">AS45*AR45</f>
        <v>1080</v>
      </c>
      <c r="AV45" t="s">
        <v>171</v>
      </c>
      <c r="AW45">
        <v>2</v>
      </c>
      <c r="AX45">
        <v>360</v>
      </c>
      <c r="AY45">
        <f t="shared" ref="AY45:AY49" si="12">AX45*AW45</f>
        <v>720</v>
      </c>
      <c r="BA45" t="s">
        <v>204</v>
      </c>
      <c r="BB45">
        <v>0.6</v>
      </c>
      <c r="BC45">
        <v>500</v>
      </c>
      <c r="BD45">
        <f t="shared" ref="BD45:BD46" si="13">BB45*BC45</f>
        <v>300</v>
      </c>
      <c r="BF45" s="259" t="s">
        <v>171</v>
      </c>
      <c r="BG45" s="259">
        <v>3</v>
      </c>
      <c r="BH45" s="259">
        <v>360</v>
      </c>
      <c r="BI45" s="259">
        <f t="shared" ref="BI45:BI49" si="14">BG45*BH45</f>
        <v>1080</v>
      </c>
      <c r="BJ45" s="259"/>
      <c r="BK45" t="s">
        <v>171</v>
      </c>
      <c r="BL45">
        <v>3</v>
      </c>
      <c r="BM45">
        <v>360</v>
      </c>
      <c r="BN45">
        <f t="shared" ref="BN45:BN49" si="15">BL45*BM45</f>
        <v>1080</v>
      </c>
      <c r="BP45" t="s">
        <v>171</v>
      </c>
      <c r="BQ45">
        <v>1</v>
      </c>
      <c r="BR45">
        <v>540</v>
      </c>
      <c r="BS45">
        <f t="shared" ref="BS45:BS47" si="16">BQ45*BR45</f>
        <v>540</v>
      </c>
      <c r="BU45" t="s">
        <v>204</v>
      </c>
      <c r="BV45">
        <v>0.4</v>
      </c>
      <c r="BW45">
        <v>500</v>
      </c>
      <c r="BX45">
        <f t="shared" ref="BX45" si="17">BV45*BW45</f>
        <v>200</v>
      </c>
      <c r="BZ45" t="s">
        <v>204</v>
      </c>
      <c r="CA45">
        <v>0.4</v>
      </c>
      <c r="CB45">
        <v>500</v>
      </c>
      <c r="CC45">
        <f t="shared" ref="CC45" si="18">CA45*CB45</f>
        <v>200</v>
      </c>
      <c r="CE45" t="s">
        <v>171</v>
      </c>
      <c r="CF45">
        <v>2</v>
      </c>
      <c r="CG45">
        <v>360</v>
      </c>
      <c r="CH45">
        <f t="shared" ref="CH45:CH48" si="19">CF45*CG45</f>
        <v>720</v>
      </c>
      <c r="CJ45" t="s">
        <v>171</v>
      </c>
      <c r="CK45">
        <v>3</v>
      </c>
      <c r="CL45">
        <v>360</v>
      </c>
      <c r="CM45">
        <f t="shared" ref="CM45:CM49" si="20">CK45*CL45</f>
        <v>1080</v>
      </c>
      <c r="CO45" t="s">
        <v>171</v>
      </c>
      <c r="CP45" s="257">
        <v>2</v>
      </c>
      <c r="CQ45">
        <v>360</v>
      </c>
      <c r="CR45">
        <f t="shared" ref="CR45:CR48" si="21">CP45*CQ45</f>
        <v>720</v>
      </c>
      <c r="CT45" t="s">
        <v>171</v>
      </c>
      <c r="CU45">
        <v>3</v>
      </c>
      <c r="CV45">
        <v>360</v>
      </c>
      <c r="CW45">
        <f t="shared" ref="CW45:CW47" si="22">CU45*CV45</f>
        <v>1080</v>
      </c>
      <c r="CY45" t="s">
        <v>171</v>
      </c>
      <c r="CZ45">
        <v>3</v>
      </c>
      <c r="DA45">
        <v>360</v>
      </c>
      <c r="DB45">
        <f t="shared" ref="DB45:DB49" si="23">CZ45*DA45</f>
        <v>1080</v>
      </c>
      <c r="DD45" t="s">
        <v>171</v>
      </c>
      <c r="DE45">
        <v>3</v>
      </c>
      <c r="DF45">
        <v>360</v>
      </c>
      <c r="DG45">
        <f t="shared" ref="DG45:DG49" si="24">DE45*DF45</f>
        <v>1080</v>
      </c>
      <c r="DI45" t="s">
        <v>171</v>
      </c>
      <c r="DJ45">
        <v>1</v>
      </c>
      <c r="DK45">
        <v>540</v>
      </c>
      <c r="DL45">
        <f t="shared" ref="DL45:DL47" si="25">DJ45*DK45</f>
        <v>540</v>
      </c>
      <c r="DN45" t="s">
        <v>171</v>
      </c>
      <c r="DO45">
        <v>3</v>
      </c>
      <c r="DP45">
        <v>360</v>
      </c>
      <c r="DQ45">
        <f t="shared" ref="DQ45:DQ46" si="26">DO45*DP45</f>
        <v>1080</v>
      </c>
      <c r="DS45" t="s">
        <v>171</v>
      </c>
      <c r="DT45">
        <v>3</v>
      </c>
      <c r="DU45">
        <v>360</v>
      </c>
      <c r="DV45">
        <f t="shared" ref="DV45:DV46" si="27">DT45*DU45</f>
        <v>1080</v>
      </c>
      <c r="DX45" t="s">
        <v>596</v>
      </c>
      <c r="DY45">
        <v>1</v>
      </c>
      <c r="DZ45">
        <v>120</v>
      </c>
      <c r="EA45">
        <f t="shared" ref="EA45:EA46" si="28">DY45*DZ45</f>
        <v>120</v>
      </c>
      <c r="EC45" t="s">
        <v>596</v>
      </c>
      <c r="ED45">
        <v>1</v>
      </c>
      <c r="EE45">
        <v>120</v>
      </c>
      <c r="EF45">
        <f t="shared" ref="EF45:EF47" si="29">ED45*EE45</f>
        <v>120</v>
      </c>
      <c r="EH45" t="s">
        <v>171</v>
      </c>
      <c r="EI45">
        <v>3</v>
      </c>
      <c r="EJ45">
        <v>360</v>
      </c>
      <c r="EK45">
        <f t="shared" ref="EK45:EK47" si="30">EI45*EJ45</f>
        <v>1080</v>
      </c>
      <c r="EM45" t="s">
        <v>597</v>
      </c>
      <c r="EN45">
        <v>1</v>
      </c>
      <c r="EO45">
        <v>120</v>
      </c>
      <c r="EP45">
        <f t="shared" ref="EP45:EP47" si="31">EN45*EO45</f>
        <v>120</v>
      </c>
      <c r="EW45" t="s">
        <v>598</v>
      </c>
      <c r="EX45">
        <v>1</v>
      </c>
      <c r="EY45">
        <v>500</v>
      </c>
      <c r="EZ45">
        <f>EX45*EY45</f>
        <v>500</v>
      </c>
      <c r="FB45" t="s">
        <v>598</v>
      </c>
      <c r="FC45">
        <v>1</v>
      </c>
      <c r="FD45">
        <v>500</v>
      </c>
      <c r="FE45">
        <f>FC45*FD45</f>
        <v>500</v>
      </c>
      <c r="FG45" t="s">
        <v>171</v>
      </c>
      <c r="FH45">
        <v>3</v>
      </c>
      <c r="FI45">
        <v>360</v>
      </c>
      <c r="FJ45">
        <f t="shared" ref="FJ45:FJ52" si="32">FH45*FI45</f>
        <v>1080</v>
      </c>
      <c r="FL45" t="s">
        <v>171</v>
      </c>
      <c r="FM45">
        <v>3</v>
      </c>
      <c r="FN45">
        <v>360</v>
      </c>
      <c r="FO45">
        <f t="shared" ref="FO45" si="33">FM45*FN45</f>
        <v>1080</v>
      </c>
      <c r="FQ45" t="s">
        <v>171</v>
      </c>
      <c r="FR45">
        <v>3</v>
      </c>
      <c r="FS45">
        <v>360</v>
      </c>
      <c r="FT45">
        <f t="shared" ref="FT45:FT48" si="34">FR45*FS45</f>
        <v>1080</v>
      </c>
      <c r="FV45" t="s">
        <v>171</v>
      </c>
      <c r="FW45">
        <v>3</v>
      </c>
      <c r="FX45">
        <v>360</v>
      </c>
      <c r="FY45">
        <f t="shared" ref="FY45:FY48" si="35">FW45*FX45</f>
        <v>1080</v>
      </c>
      <c r="GA45" t="s">
        <v>171</v>
      </c>
      <c r="GB45">
        <v>3</v>
      </c>
      <c r="GC45">
        <v>360</v>
      </c>
      <c r="GD45">
        <f t="shared" ref="GD45:GD48" si="36">GB45*GC45</f>
        <v>1080</v>
      </c>
      <c r="GF45" t="s">
        <v>171</v>
      </c>
      <c r="GG45">
        <v>540</v>
      </c>
      <c r="GH45">
        <v>1</v>
      </c>
      <c r="GI45">
        <f>GG45*GH45</f>
        <v>540</v>
      </c>
      <c r="GK45" t="s">
        <v>171</v>
      </c>
      <c r="GL45">
        <v>3</v>
      </c>
      <c r="GM45">
        <v>360</v>
      </c>
      <c r="GN45">
        <f t="shared" si="1"/>
        <v>1080</v>
      </c>
      <c r="GP45" t="s">
        <v>171</v>
      </c>
      <c r="GQ45">
        <v>3</v>
      </c>
      <c r="GR45">
        <v>360</v>
      </c>
      <c r="GS45">
        <f t="shared" si="2"/>
        <v>1080</v>
      </c>
      <c r="GU45" t="s">
        <v>171</v>
      </c>
      <c r="GV45">
        <v>2</v>
      </c>
      <c r="GW45">
        <v>360</v>
      </c>
      <c r="GX45">
        <f t="shared" ref="GX45:GX47" si="37">GV45*GW45</f>
        <v>720</v>
      </c>
      <c r="GZ45" t="s">
        <v>171</v>
      </c>
      <c r="HA45">
        <v>2</v>
      </c>
      <c r="HB45">
        <v>360</v>
      </c>
      <c r="HC45">
        <f t="shared" si="4"/>
        <v>720</v>
      </c>
      <c r="HE45" t="s">
        <v>171</v>
      </c>
      <c r="HF45">
        <v>3</v>
      </c>
      <c r="HG45">
        <v>360</v>
      </c>
      <c r="HH45">
        <f t="shared" ref="HH45:HH47" si="38">HF45*HG45</f>
        <v>1080</v>
      </c>
    </row>
    <row r="46" spans="2:216" x14ac:dyDescent="0.2">
      <c r="M46" t="s">
        <v>204</v>
      </c>
      <c r="N46">
        <v>0.6</v>
      </c>
      <c r="O46">
        <v>500</v>
      </c>
      <c r="P46">
        <f t="shared" si="5"/>
        <v>300</v>
      </c>
      <c r="R46" t="s">
        <v>204</v>
      </c>
      <c r="S46">
        <v>0.6</v>
      </c>
      <c r="T46">
        <v>500</v>
      </c>
      <c r="U46">
        <f t="shared" si="6"/>
        <v>300</v>
      </c>
      <c r="W46" t="s">
        <v>200</v>
      </c>
      <c r="X46">
        <v>4</v>
      </c>
      <c r="Y46">
        <v>360</v>
      </c>
      <c r="Z46">
        <f t="shared" si="7"/>
        <v>1440</v>
      </c>
      <c r="AB46" s="257" t="s">
        <v>599</v>
      </c>
      <c r="AC46">
        <v>15</v>
      </c>
      <c r="AD46">
        <v>150</v>
      </c>
      <c r="AE46">
        <f t="shared" si="8"/>
        <v>2250</v>
      </c>
      <c r="AG46" t="s">
        <v>599</v>
      </c>
      <c r="AH46">
        <v>15</v>
      </c>
      <c r="AI46">
        <v>150</v>
      </c>
      <c r="AJ46">
        <f t="shared" si="9"/>
        <v>2250</v>
      </c>
      <c r="AL46" t="s">
        <v>209</v>
      </c>
      <c r="AM46">
        <v>0.4</v>
      </c>
      <c r="AN46">
        <v>36</v>
      </c>
      <c r="AO46">
        <f t="shared" si="10"/>
        <v>14.4</v>
      </c>
      <c r="AQ46" t="s">
        <v>171</v>
      </c>
      <c r="AR46">
        <v>3</v>
      </c>
      <c r="AS46">
        <v>360</v>
      </c>
      <c r="AT46">
        <f t="shared" si="11"/>
        <v>1080</v>
      </c>
      <c r="AV46" t="s">
        <v>204</v>
      </c>
      <c r="AW46">
        <v>0.6</v>
      </c>
      <c r="AX46">
        <v>500</v>
      </c>
      <c r="AY46">
        <f t="shared" si="12"/>
        <v>300</v>
      </c>
      <c r="BA46" t="s">
        <v>209</v>
      </c>
      <c r="BB46">
        <v>0.4</v>
      </c>
      <c r="BC46">
        <v>36</v>
      </c>
      <c r="BD46">
        <f t="shared" si="13"/>
        <v>14.4</v>
      </c>
      <c r="BF46" s="259" t="s">
        <v>171</v>
      </c>
      <c r="BG46" s="259">
        <v>3</v>
      </c>
      <c r="BH46" s="259">
        <v>360</v>
      </c>
      <c r="BI46" s="259">
        <f t="shared" si="14"/>
        <v>1080</v>
      </c>
      <c r="BJ46" s="259"/>
      <c r="BK46" t="s">
        <v>204</v>
      </c>
      <c r="BL46">
        <v>0.6</v>
      </c>
      <c r="BM46">
        <v>500</v>
      </c>
      <c r="BN46">
        <f t="shared" si="15"/>
        <v>300</v>
      </c>
      <c r="BP46" t="s">
        <v>204</v>
      </c>
      <c r="BQ46">
        <v>0.6</v>
      </c>
      <c r="BR46">
        <v>500</v>
      </c>
      <c r="BS46">
        <f t="shared" si="16"/>
        <v>300</v>
      </c>
      <c r="CE46" t="s">
        <v>200</v>
      </c>
      <c r="CF46">
        <v>2</v>
      </c>
      <c r="CG46">
        <v>360</v>
      </c>
      <c r="CH46">
        <f t="shared" si="19"/>
        <v>720</v>
      </c>
      <c r="CJ46" t="s">
        <v>171</v>
      </c>
      <c r="CK46">
        <v>3</v>
      </c>
      <c r="CL46">
        <v>360</v>
      </c>
      <c r="CM46">
        <f t="shared" si="20"/>
        <v>1080</v>
      </c>
      <c r="CO46" t="s">
        <v>171</v>
      </c>
      <c r="CP46" s="257">
        <v>2</v>
      </c>
      <c r="CQ46">
        <v>360</v>
      </c>
      <c r="CR46">
        <f t="shared" si="21"/>
        <v>720</v>
      </c>
      <c r="CT46" t="s">
        <v>600</v>
      </c>
      <c r="CU46">
        <v>4.5</v>
      </c>
      <c r="CV46">
        <v>266.7</v>
      </c>
      <c r="CW46">
        <f t="shared" si="22"/>
        <v>1200.1499999999999</v>
      </c>
      <c r="CY46" t="s">
        <v>171</v>
      </c>
      <c r="CZ46">
        <v>3</v>
      </c>
      <c r="DA46">
        <v>360</v>
      </c>
      <c r="DB46">
        <f t="shared" si="23"/>
        <v>1080</v>
      </c>
      <c r="DD46" t="s">
        <v>171</v>
      </c>
      <c r="DE46">
        <v>3</v>
      </c>
      <c r="DF46">
        <v>360</v>
      </c>
      <c r="DG46">
        <f t="shared" si="24"/>
        <v>1080</v>
      </c>
      <c r="DI46" t="s">
        <v>601</v>
      </c>
      <c r="DJ46">
        <v>4</v>
      </c>
      <c r="DK46">
        <v>400</v>
      </c>
      <c r="DL46">
        <f t="shared" si="25"/>
        <v>1600</v>
      </c>
      <c r="DN46" t="s">
        <v>600</v>
      </c>
      <c r="DO46">
        <v>4</v>
      </c>
      <c r="DP46">
        <v>266.7</v>
      </c>
      <c r="DQ46">
        <f t="shared" si="26"/>
        <v>1066.8</v>
      </c>
      <c r="DS46" t="s">
        <v>600</v>
      </c>
      <c r="DT46">
        <v>4</v>
      </c>
      <c r="DU46">
        <v>266.7</v>
      </c>
      <c r="DV46">
        <f t="shared" si="27"/>
        <v>1066.8</v>
      </c>
      <c r="DX46" t="s">
        <v>602</v>
      </c>
      <c r="DY46">
        <v>2.1</v>
      </c>
      <c r="DZ46">
        <v>500</v>
      </c>
      <c r="EA46">
        <f t="shared" si="28"/>
        <v>1050</v>
      </c>
      <c r="EC46" t="s">
        <v>602</v>
      </c>
      <c r="ED46">
        <v>1</v>
      </c>
      <c r="EE46">
        <v>500</v>
      </c>
      <c r="EF46">
        <f t="shared" si="29"/>
        <v>500</v>
      </c>
      <c r="EH46" t="s">
        <v>596</v>
      </c>
      <c r="EI46">
        <v>1</v>
      </c>
      <c r="EJ46">
        <v>120</v>
      </c>
      <c r="EK46">
        <f t="shared" si="30"/>
        <v>120</v>
      </c>
      <c r="EM46" t="s">
        <v>598</v>
      </c>
      <c r="EN46">
        <v>1.7</v>
      </c>
      <c r="EO46">
        <v>500</v>
      </c>
      <c r="EP46">
        <f t="shared" si="31"/>
        <v>850</v>
      </c>
      <c r="FG46" t="s">
        <v>603</v>
      </c>
      <c r="FH46">
        <v>1.25</v>
      </c>
      <c r="FI46">
        <v>189</v>
      </c>
      <c r="FJ46">
        <f t="shared" si="32"/>
        <v>236.25</v>
      </c>
      <c r="FL46" t="s">
        <v>171</v>
      </c>
      <c r="FM46">
        <v>3</v>
      </c>
      <c r="FN46">
        <v>360</v>
      </c>
      <c r="FO46">
        <f t="shared" ref="FO46" si="39">FM46*FN46</f>
        <v>1080</v>
      </c>
      <c r="FQ46" t="s">
        <v>600</v>
      </c>
      <c r="FR46">
        <v>4.5</v>
      </c>
      <c r="FS46">
        <v>266.7</v>
      </c>
      <c r="FT46">
        <f t="shared" si="34"/>
        <v>1200.1499999999999</v>
      </c>
      <c r="FV46" t="s">
        <v>171</v>
      </c>
      <c r="FW46">
        <v>3</v>
      </c>
      <c r="FX46">
        <v>360</v>
      </c>
      <c r="FY46">
        <f t="shared" si="35"/>
        <v>1080</v>
      </c>
      <c r="GA46" t="s">
        <v>600</v>
      </c>
      <c r="GB46">
        <v>4.5</v>
      </c>
      <c r="GC46">
        <v>266.7</v>
      </c>
      <c r="GD46">
        <f t="shared" si="36"/>
        <v>1200.1499999999999</v>
      </c>
      <c r="GF46" t="s">
        <v>600</v>
      </c>
      <c r="GG46">
        <v>4.5</v>
      </c>
      <c r="GH46">
        <v>266.7</v>
      </c>
      <c r="GI46">
        <f t="shared" ref="GI46:GI47" si="40">GG46*GH46</f>
        <v>1200.1499999999999</v>
      </c>
      <c r="GK46" t="s">
        <v>600</v>
      </c>
      <c r="GL46" s="257">
        <v>4</v>
      </c>
      <c r="GM46">
        <v>266.7</v>
      </c>
      <c r="GN46">
        <f t="shared" si="1"/>
        <v>1066.8</v>
      </c>
      <c r="GP46" t="s">
        <v>600</v>
      </c>
      <c r="GQ46" s="257">
        <v>4</v>
      </c>
      <c r="GR46">
        <v>266.7</v>
      </c>
      <c r="GS46">
        <f t="shared" si="2"/>
        <v>1066.8</v>
      </c>
      <c r="GU46" t="s">
        <v>171</v>
      </c>
      <c r="GV46">
        <v>2</v>
      </c>
      <c r="GW46">
        <v>360</v>
      </c>
      <c r="GX46">
        <f t="shared" si="37"/>
        <v>720</v>
      </c>
      <c r="GZ46" t="s">
        <v>171</v>
      </c>
      <c r="HA46">
        <v>0.2</v>
      </c>
      <c r="HB46">
        <v>360</v>
      </c>
      <c r="HC46">
        <f t="shared" si="4"/>
        <v>72</v>
      </c>
      <c r="HE46" t="s">
        <v>604</v>
      </c>
      <c r="HF46">
        <v>0.25</v>
      </c>
      <c r="HG46">
        <v>500</v>
      </c>
      <c r="HH46">
        <f t="shared" si="38"/>
        <v>125</v>
      </c>
    </row>
    <row r="47" spans="2:216" x14ac:dyDescent="0.2">
      <c r="M47" t="s">
        <v>605</v>
      </c>
      <c r="N47">
        <v>5</v>
      </c>
      <c r="O47">
        <v>800</v>
      </c>
      <c r="P47">
        <f t="shared" si="5"/>
        <v>4000</v>
      </c>
      <c r="R47" t="s">
        <v>605</v>
      </c>
      <c r="S47">
        <v>5</v>
      </c>
      <c r="T47">
        <v>800</v>
      </c>
      <c r="U47">
        <f t="shared" si="6"/>
        <v>4000</v>
      </c>
      <c r="W47" t="s">
        <v>204</v>
      </c>
      <c r="X47">
        <v>0.6</v>
      </c>
      <c r="Y47">
        <v>500</v>
      </c>
      <c r="Z47">
        <f t="shared" si="7"/>
        <v>300</v>
      </c>
      <c r="AB47" t="s">
        <v>200</v>
      </c>
      <c r="AC47">
        <v>2</v>
      </c>
      <c r="AD47">
        <v>360</v>
      </c>
      <c r="AE47">
        <f>AC47*AD47</f>
        <v>720</v>
      </c>
      <c r="AG47" t="s">
        <v>200</v>
      </c>
      <c r="AH47">
        <v>4</v>
      </c>
      <c r="AI47">
        <v>360</v>
      </c>
      <c r="AJ47">
        <f t="shared" si="9"/>
        <v>1440</v>
      </c>
      <c r="AQ47" t="s">
        <v>204</v>
      </c>
      <c r="AR47">
        <v>0.6</v>
      </c>
      <c r="AS47">
        <v>500</v>
      </c>
      <c r="AT47">
        <f t="shared" si="11"/>
        <v>300</v>
      </c>
      <c r="AV47" t="s">
        <v>601</v>
      </c>
      <c r="AW47">
        <v>2</v>
      </c>
      <c r="AX47">
        <v>455</v>
      </c>
      <c r="AY47">
        <f t="shared" si="12"/>
        <v>910</v>
      </c>
      <c r="BF47" s="259" t="s">
        <v>171</v>
      </c>
      <c r="BG47" s="259">
        <v>3</v>
      </c>
      <c r="BH47" s="259">
        <v>360</v>
      </c>
      <c r="BI47" s="259">
        <f t="shared" si="14"/>
        <v>1080</v>
      </c>
      <c r="BJ47" s="259"/>
      <c r="BK47" t="s">
        <v>605</v>
      </c>
      <c r="BL47">
        <v>3</v>
      </c>
      <c r="BM47">
        <v>800</v>
      </c>
      <c r="BN47">
        <f t="shared" si="15"/>
        <v>2400</v>
      </c>
      <c r="BP47" t="s">
        <v>605</v>
      </c>
      <c r="BQ47">
        <v>4</v>
      </c>
      <c r="BR47">
        <v>800</v>
      </c>
      <c r="BS47">
        <f t="shared" si="16"/>
        <v>3200</v>
      </c>
      <c r="CE47" t="s">
        <v>605</v>
      </c>
      <c r="CF47">
        <v>2</v>
      </c>
      <c r="CG47">
        <v>800</v>
      </c>
      <c r="CH47">
        <f t="shared" si="19"/>
        <v>1600</v>
      </c>
      <c r="CJ47" t="s">
        <v>171</v>
      </c>
      <c r="CK47">
        <v>3</v>
      </c>
      <c r="CL47">
        <v>360</v>
      </c>
      <c r="CM47">
        <f t="shared" si="20"/>
        <v>1080</v>
      </c>
      <c r="CO47" t="s">
        <v>171</v>
      </c>
      <c r="CP47" s="257">
        <v>2</v>
      </c>
      <c r="CQ47">
        <v>360</v>
      </c>
      <c r="CR47">
        <f t="shared" si="21"/>
        <v>720</v>
      </c>
      <c r="CT47" t="s">
        <v>171</v>
      </c>
      <c r="CU47">
        <v>2</v>
      </c>
      <c r="CV47">
        <v>360</v>
      </c>
      <c r="CW47">
        <f t="shared" si="22"/>
        <v>720</v>
      </c>
      <c r="CY47" t="s">
        <v>171</v>
      </c>
      <c r="CZ47">
        <v>3</v>
      </c>
      <c r="DA47">
        <v>360</v>
      </c>
      <c r="DB47">
        <f t="shared" si="23"/>
        <v>1080</v>
      </c>
      <c r="DD47" t="s">
        <v>600</v>
      </c>
      <c r="DE47">
        <v>4.5</v>
      </c>
      <c r="DF47">
        <v>266.7</v>
      </c>
      <c r="DG47">
        <f t="shared" si="24"/>
        <v>1200.1499999999999</v>
      </c>
      <c r="DI47" t="s">
        <v>606</v>
      </c>
      <c r="DJ47">
        <v>1.35</v>
      </c>
      <c r="DK47">
        <v>450</v>
      </c>
      <c r="DL47">
        <f t="shared" si="25"/>
        <v>607.5</v>
      </c>
      <c r="EC47" t="s">
        <v>607</v>
      </c>
      <c r="ED47">
        <v>0.3</v>
      </c>
      <c r="EE47">
        <v>600</v>
      </c>
      <c r="EF47">
        <f t="shared" si="29"/>
        <v>180</v>
      </c>
      <c r="EH47" t="s">
        <v>598</v>
      </c>
      <c r="EI47">
        <v>2.1</v>
      </c>
      <c r="EJ47">
        <v>400</v>
      </c>
      <c r="EK47">
        <f t="shared" si="30"/>
        <v>840</v>
      </c>
      <c r="EM47" t="s">
        <v>607</v>
      </c>
      <c r="EN47">
        <v>2.5</v>
      </c>
      <c r="EO47">
        <v>600</v>
      </c>
      <c r="EP47">
        <f t="shared" si="31"/>
        <v>1500</v>
      </c>
      <c r="FG47" t="s">
        <v>608</v>
      </c>
      <c r="FH47">
        <v>1.6</v>
      </c>
      <c r="FI47">
        <v>700</v>
      </c>
      <c r="FJ47">
        <f t="shared" si="32"/>
        <v>1120</v>
      </c>
      <c r="FL47" t="s">
        <v>609</v>
      </c>
      <c r="FM47">
        <v>5</v>
      </c>
      <c r="FN47">
        <v>455</v>
      </c>
      <c r="FO47">
        <f>FM47*FN47</f>
        <v>2275</v>
      </c>
      <c r="FQ47" t="s">
        <v>171</v>
      </c>
      <c r="FR47">
        <v>2</v>
      </c>
      <c r="FS47">
        <v>360</v>
      </c>
      <c r="FT47">
        <f t="shared" si="34"/>
        <v>720</v>
      </c>
      <c r="FV47" t="s">
        <v>171</v>
      </c>
      <c r="FW47">
        <v>3</v>
      </c>
      <c r="FX47">
        <v>360</v>
      </c>
      <c r="FY47">
        <f t="shared" si="35"/>
        <v>1080</v>
      </c>
      <c r="GA47" t="s">
        <v>171</v>
      </c>
      <c r="GB47">
        <v>2</v>
      </c>
      <c r="GC47">
        <v>360</v>
      </c>
      <c r="GD47">
        <f t="shared" si="36"/>
        <v>720</v>
      </c>
      <c r="GF47" t="s">
        <v>171</v>
      </c>
      <c r="GG47">
        <v>2</v>
      </c>
      <c r="GH47">
        <v>360</v>
      </c>
      <c r="GI47">
        <f t="shared" si="40"/>
        <v>720</v>
      </c>
      <c r="GK47" t="s">
        <v>171</v>
      </c>
      <c r="GL47">
        <v>0.3</v>
      </c>
      <c r="GM47">
        <v>360</v>
      </c>
      <c r="GN47">
        <f t="shared" si="1"/>
        <v>108</v>
      </c>
      <c r="GP47" t="s">
        <v>171</v>
      </c>
      <c r="GQ47">
        <v>0.3</v>
      </c>
      <c r="GR47">
        <v>360</v>
      </c>
      <c r="GS47">
        <f t="shared" si="2"/>
        <v>108</v>
      </c>
      <c r="GU47" t="s">
        <v>171</v>
      </c>
      <c r="GV47">
        <v>0.2</v>
      </c>
      <c r="GW47">
        <v>360</v>
      </c>
      <c r="GX47">
        <f t="shared" si="37"/>
        <v>72</v>
      </c>
      <c r="HE47" t="s">
        <v>171</v>
      </c>
      <c r="HF47">
        <v>0.3</v>
      </c>
      <c r="HG47">
        <v>360</v>
      </c>
      <c r="HH47">
        <f t="shared" si="38"/>
        <v>108</v>
      </c>
    </row>
    <row r="48" spans="2:216" x14ac:dyDescent="0.2">
      <c r="M48" t="s">
        <v>599</v>
      </c>
      <c r="N48">
        <v>15</v>
      </c>
      <c r="O48">
        <v>150</v>
      </c>
      <c r="P48">
        <f t="shared" ref="P48:P49" si="41">O48*N48</f>
        <v>2250</v>
      </c>
      <c r="R48" t="s">
        <v>171</v>
      </c>
      <c r="S48">
        <v>0.3</v>
      </c>
      <c r="T48">
        <v>360</v>
      </c>
      <c r="U48">
        <f t="shared" si="6"/>
        <v>108</v>
      </c>
      <c r="W48" t="s">
        <v>209</v>
      </c>
      <c r="X48">
        <v>0.4</v>
      </c>
      <c r="Y48">
        <v>36</v>
      </c>
      <c r="Z48">
        <f t="shared" si="7"/>
        <v>14.4</v>
      </c>
      <c r="AB48" s="257" t="s">
        <v>204</v>
      </c>
      <c r="AC48">
        <v>0.3</v>
      </c>
      <c r="AD48">
        <v>500</v>
      </c>
      <c r="AE48">
        <f>AC48*AD48</f>
        <v>150</v>
      </c>
      <c r="AG48" t="s">
        <v>204</v>
      </c>
      <c r="AH48">
        <v>0.3</v>
      </c>
      <c r="AI48">
        <v>500</v>
      </c>
      <c r="AJ48">
        <f t="shared" si="9"/>
        <v>150</v>
      </c>
      <c r="AQ48" t="s">
        <v>200</v>
      </c>
      <c r="AR48">
        <v>4</v>
      </c>
      <c r="AS48">
        <v>360</v>
      </c>
      <c r="AT48">
        <f t="shared" si="11"/>
        <v>1440</v>
      </c>
      <c r="AV48" t="s">
        <v>610</v>
      </c>
      <c r="AW48">
        <v>0.3</v>
      </c>
      <c r="AX48">
        <v>400</v>
      </c>
      <c r="AY48">
        <f t="shared" si="12"/>
        <v>120</v>
      </c>
      <c r="BF48" s="259" t="s">
        <v>204</v>
      </c>
      <c r="BG48" s="259">
        <v>0.4</v>
      </c>
      <c r="BH48" s="259">
        <v>500</v>
      </c>
      <c r="BI48" s="259">
        <f t="shared" si="14"/>
        <v>200</v>
      </c>
      <c r="BJ48" s="259"/>
      <c r="BK48" t="s">
        <v>599</v>
      </c>
      <c r="BL48">
        <v>15</v>
      </c>
      <c r="BM48">
        <v>150</v>
      </c>
      <c r="BN48">
        <f t="shared" si="15"/>
        <v>2250</v>
      </c>
      <c r="CE48" t="s">
        <v>171</v>
      </c>
      <c r="CF48">
        <v>0.2</v>
      </c>
      <c r="CG48">
        <v>360</v>
      </c>
      <c r="CH48">
        <f t="shared" si="19"/>
        <v>72</v>
      </c>
      <c r="CJ48" t="s">
        <v>204</v>
      </c>
      <c r="CK48">
        <v>0.4</v>
      </c>
      <c r="CL48">
        <v>500</v>
      </c>
      <c r="CM48">
        <f t="shared" si="20"/>
        <v>200</v>
      </c>
      <c r="CO48" t="s">
        <v>204</v>
      </c>
      <c r="CP48">
        <v>0.4</v>
      </c>
      <c r="CQ48">
        <v>500</v>
      </c>
      <c r="CR48">
        <f t="shared" si="21"/>
        <v>200</v>
      </c>
      <c r="CT48" s="257" t="s">
        <v>600</v>
      </c>
      <c r="CU48" s="257">
        <v>4.5</v>
      </c>
      <c r="CV48" s="257">
        <v>266.7</v>
      </c>
      <c r="CW48" s="257">
        <f t="shared" ref="CW48" si="42">CU48*CV48</f>
        <v>1200.1499999999999</v>
      </c>
      <c r="CY48" t="s">
        <v>600</v>
      </c>
      <c r="CZ48">
        <v>4</v>
      </c>
      <c r="DA48">
        <v>266.7</v>
      </c>
      <c r="DB48">
        <f t="shared" si="23"/>
        <v>1066.8</v>
      </c>
      <c r="DD48" t="s">
        <v>596</v>
      </c>
      <c r="DE48">
        <v>1</v>
      </c>
      <c r="DF48">
        <v>120</v>
      </c>
      <c r="DG48">
        <f t="shared" si="24"/>
        <v>120</v>
      </c>
      <c r="FG48" t="s">
        <v>603</v>
      </c>
      <c r="FH48">
        <v>1.25</v>
      </c>
      <c r="FI48">
        <v>189</v>
      </c>
      <c r="FJ48">
        <f t="shared" si="32"/>
        <v>236.25</v>
      </c>
      <c r="FL48" t="s">
        <v>171</v>
      </c>
      <c r="FM48">
        <v>0.3</v>
      </c>
      <c r="FN48">
        <v>360</v>
      </c>
      <c r="FO48">
        <f>FM48*FN48</f>
        <v>108</v>
      </c>
      <c r="FQ48" t="s">
        <v>171</v>
      </c>
      <c r="FR48">
        <v>0.3</v>
      </c>
      <c r="FS48">
        <v>360</v>
      </c>
      <c r="FT48">
        <f t="shared" si="34"/>
        <v>108</v>
      </c>
      <c r="FV48" t="s">
        <v>600</v>
      </c>
      <c r="FW48">
        <v>4</v>
      </c>
      <c r="FX48">
        <v>266.7</v>
      </c>
      <c r="FY48">
        <f t="shared" si="35"/>
        <v>1066.8</v>
      </c>
      <c r="GA48" t="s">
        <v>171</v>
      </c>
      <c r="GB48">
        <v>0.3</v>
      </c>
      <c r="GC48">
        <v>360</v>
      </c>
      <c r="GD48">
        <f t="shared" si="36"/>
        <v>108</v>
      </c>
    </row>
    <row r="49" spans="13:216" x14ac:dyDescent="0.2">
      <c r="M49" t="s">
        <v>610</v>
      </c>
      <c r="N49">
        <v>0.24</v>
      </c>
      <c r="O49">
        <v>500</v>
      </c>
      <c r="P49">
        <f t="shared" si="41"/>
        <v>120</v>
      </c>
      <c r="AB49" t="s">
        <v>171</v>
      </c>
      <c r="AC49">
        <v>0.2</v>
      </c>
      <c r="AD49">
        <v>360</v>
      </c>
      <c r="AE49">
        <f>AC49*AD49</f>
        <v>72</v>
      </c>
      <c r="AQ49" t="s">
        <v>599</v>
      </c>
      <c r="AR49">
        <v>15</v>
      </c>
      <c r="AS49">
        <v>150</v>
      </c>
      <c r="AT49">
        <f t="shared" si="11"/>
        <v>2250</v>
      </c>
      <c r="AV49" t="s">
        <v>171</v>
      </c>
      <c r="AW49">
        <v>0.3</v>
      </c>
      <c r="AX49">
        <v>360</v>
      </c>
      <c r="AY49">
        <f t="shared" si="12"/>
        <v>108</v>
      </c>
      <c r="BF49" s="259" t="s">
        <v>171</v>
      </c>
      <c r="BG49" s="259">
        <v>3</v>
      </c>
      <c r="BH49" s="259">
        <v>360</v>
      </c>
      <c r="BI49" s="259">
        <f t="shared" si="14"/>
        <v>1080</v>
      </c>
      <c r="BJ49" s="259"/>
      <c r="BK49" s="257" t="s">
        <v>171</v>
      </c>
      <c r="BL49" s="257">
        <v>0.3</v>
      </c>
      <c r="BM49" s="257">
        <v>360</v>
      </c>
      <c r="BN49" s="257">
        <f t="shared" si="15"/>
        <v>108</v>
      </c>
      <c r="CJ49" t="s">
        <v>171</v>
      </c>
      <c r="CK49">
        <v>0.3</v>
      </c>
      <c r="CL49">
        <v>360</v>
      </c>
      <c r="CM49">
        <f t="shared" si="20"/>
        <v>108</v>
      </c>
      <c r="CT49" t="s">
        <v>171</v>
      </c>
      <c r="CU49">
        <v>0.3</v>
      </c>
      <c r="CV49">
        <v>360</v>
      </c>
      <c r="CW49">
        <f>CU49*CV49</f>
        <v>108</v>
      </c>
      <c r="CY49" t="s">
        <v>171</v>
      </c>
      <c r="CZ49">
        <v>0.3</v>
      </c>
      <c r="DA49">
        <v>360</v>
      </c>
      <c r="DB49">
        <f t="shared" si="23"/>
        <v>108</v>
      </c>
      <c r="DD49" t="s">
        <v>171</v>
      </c>
      <c r="DE49">
        <v>0.3</v>
      </c>
      <c r="DF49">
        <v>360</v>
      </c>
      <c r="DG49">
        <f t="shared" si="24"/>
        <v>108</v>
      </c>
      <c r="FG49" t="s">
        <v>608</v>
      </c>
      <c r="FH49">
        <v>1.6</v>
      </c>
      <c r="FI49">
        <v>700</v>
      </c>
      <c r="FJ49">
        <f t="shared" si="32"/>
        <v>1120</v>
      </c>
      <c r="FV49" t="s">
        <v>171</v>
      </c>
      <c r="FW49">
        <v>0.3</v>
      </c>
      <c r="FX49">
        <v>360</v>
      </c>
      <c r="FY49">
        <f>FW49*FX49</f>
        <v>108</v>
      </c>
    </row>
    <row r="50" spans="13:216" x14ac:dyDescent="0.2">
      <c r="M50" t="s">
        <v>171</v>
      </c>
      <c r="N50">
        <v>0.3</v>
      </c>
      <c r="O50">
        <v>360</v>
      </c>
      <c r="P50">
        <f>N50*O50</f>
        <v>108</v>
      </c>
      <c r="AQ50" t="s">
        <v>204</v>
      </c>
      <c r="AR50">
        <v>0.3</v>
      </c>
      <c r="AS50">
        <v>500</v>
      </c>
      <c r="AT50">
        <f t="shared" si="11"/>
        <v>150</v>
      </c>
      <c r="BF50" s="259"/>
      <c r="BG50" s="259"/>
      <c r="BH50" s="259"/>
      <c r="BI50" s="259"/>
      <c r="BJ50" s="259"/>
      <c r="FG50" t="s">
        <v>603</v>
      </c>
      <c r="FH50">
        <v>1.25</v>
      </c>
      <c r="FI50">
        <v>189</v>
      </c>
      <c r="FJ50">
        <f t="shared" si="32"/>
        <v>236.25</v>
      </c>
    </row>
    <row r="51" spans="13:216" x14ac:dyDescent="0.2">
      <c r="AQ51" t="s">
        <v>605</v>
      </c>
      <c r="AR51" s="257">
        <v>2</v>
      </c>
      <c r="AS51">
        <v>800</v>
      </c>
      <c r="AT51">
        <f t="shared" si="11"/>
        <v>1600</v>
      </c>
      <c r="BF51" s="259"/>
      <c r="BG51" s="259"/>
      <c r="BH51" s="259"/>
      <c r="BI51" s="259"/>
      <c r="BJ51" s="259"/>
      <c r="FG51" t="s">
        <v>608</v>
      </c>
      <c r="FH51">
        <v>1.6</v>
      </c>
      <c r="FI51">
        <v>700</v>
      </c>
      <c r="FJ51">
        <f t="shared" si="32"/>
        <v>1120</v>
      </c>
    </row>
    <row r="52" spans="13:216" x14ac:dyDescent="0.2">
      <c r="AQ52" t="s">
        <v>171</v>
      </c>
      <c r="AR52">
        <v>0.3</v>
      </c>
      <c r="AS52">
        <v>360</v>
      </c>
      <c r="AT52">
        <f t="shared" si="11"/>
        <v>108</v>
      </c>
      <c r="FG52" t="s">
        <v>171</v>
      </c>
      <c r="FH52">
        <v>0.3</v>
      </c>
      <c r="FI52">
        <v>360</v>
      </c>
      <c r="FJ52">
        <f t="shared" si="32"/>
        <v>108</v>
      </c>
    </row>
    <row r="54" spans="13:216" x14ac:dyDescent="0.2">
      <c r="O54" t="s">
        <v>611</v>
      </c>
      <c r="P54">
        <f>SUM(P44:P53)</f>
        <v>8938</v>
      </c>
      <c r="T54" t="s">
        <v>611</v>
      </c>
      <c r="U54">
        <f>SUM(U44:U53)</f>
        <v>6568</v>
      </c>
      <c r="Y54" t="s">
        <v>611</v>
      </c>
      <c r="Z54">
        <f>SUM(Z44:Z53)</f>
        <v>3194.4</v>
      </c>
      <c r="AD54" t="s">
        <v>611</v>
      </c>
      <c r="AE54">
        <f>SUM(AE44:AE53)</f>
        <v>4632</v>
      </c>
      <c r="AI54" t="s">
        <v>611</v>
      </c>
      <c r="AJ54">
        <f>SUM(AJ44:AJ53)</f>
        <v>4920</v>
      </c>
      <c r="AN54" t="s">
        <v>611</v>
      </c>
      <c r="AO54">
        <f>SUM(AO44:AO53)</f>
        <v>1394.4</v>
      </c>
      <c r="AS54" t="s">
        <v>611</v>
      </c>
      <c r="AT54">
        <f>SUM(AT44:AT53)</f>
        <v>9088</v>
      </c>
      <c r="AX54" t="s">
        <v>611</v>
      </c>
      <c r="AY54">
        <f>SUM(AY44:AY53)</f>
        <v>2878</v>
      </c>
      <c r="BC54" t="s">
        <v>611</v>
      </c>
      <c r="BD54">
        <f>SUM(BD44:BD53)</f>
        <v>1394.4</v>
      </c>
      <c r="BH54" t="s">
        <v>611</v>
      </c>
      <c r="BI54">
        <f>SUM(BI44:BI53)</f>
        <v>5600</v>
      </c>
      <c r="BM54" t="s">
        <v>611</v>
      </c>
      <c r="BN54">
        <f>SUM(BN44:BN53)</f>
        <v>7218</v>
      </c>
      <c r="BR54" t="s">
        <v>611</v>
      </c>
      <c r="BS54">
        <f>SUM(BS44:BS53)</f>
        <v>4580</v>
      </c>
      <c r="BW54" t="s">
        <v>611</v>
      </c>
      <c r="BX54">
        <f>SUM(BX44:BX53)</f>
        <v>1280</v>
      </c>
      <c r="CB54" t="s">
        <v>611</v>
      </c>
      <c r="CC54">
        <f>SUM(CC44:CC53)</f>
        <v>1280</v>
      </c>
      <c r="CG54" t="s">
        <v>611</v>
      </c>
      <c r="CH54">
        <f>SUM(CH44:CH53)</f>
        <v>3832</v>
      </c>
      <c r="CL54" t="s">
        <v>611</v>
      </c>
      <c r="CM54">
        <f>SUM(CM44:CM53)</f>
        <v>4628</v>
      </c>
      <c r="CQ54" t="s">
        <v>611</v>
      </c>
      <c r="CR54">
        <f>SUM(CR44:CR53)</f>
        <v>3080</v>
      </c>
      <c r="CV54" t="s">
        <v>611</v>
      </c>
      <c r="CW54">
        <f>SUM(CW44:CW53)</f>
        <v>5388.2999999999993</v>
      </c>
      <c r="DA54" t="s">
        <v>611</v>
      </c>
      <c r="DB54">
        <f>SUM(DB44:DB53)</f>
        <v>5494.8</v>
      </c>
      <c r="DF54" t="s">
        <v>611</v>
      </c>
      <c r="DG54">
        <f>SUM(DG44:DG53)</f>
        <v>4668.1499999999996</v>
      </c>
      <c r="DK54" t="s">
        <v>611</v>
      </c>
      <c r="DL54">
        <f>SUM(DL44:DL53)</f>
        <v>3287.5</v>
      </c>
      <c r="DP54" t="s">
        <v>611</v>
      </c>
      <c r="DQ54">
        <f>SUM(DQ44:DQ53)</f>
        <v>3226.8</v>
      </c>
      <c r="DU54" t="s">
        <v>611</v>
      </c>
      <c r="DV54">
        <f>SUM(DV44:DV53)</f>
        <v>3226.8</v>
      </c>
      <c r="DZ54" t="s">
        <v>611</v>
      </c>
      <c r="EA54">
        <f>SUM(EA44:EA53)</f>
        <v>1890</v>
      </c>
      <c r="EE54" t="s">
        <v>611</v>
      </c>
      <c r="EF54">
        <f>SUM(EF44:EF53)</f>
        <v>1550</v>
      </c>
      <c r="EJ54" t="s">
        <v>611</v>
      </c>
      <c r="EK54">
        <f>SUM(EK44:EK53)</f>
        <v>3120</v>
      </c>
      <c r="EO54" t="s">
        <v>611</v>
      </c>
      <c r="EP54">
        <f>SUM(EP44:EP53)</f>
        <v>3470</v>
      </c>
      <c r="ET54" t="s">
        <v>611</v>
      </c>
      <c r="EU54">
        <f>SUM(EU44:EU53)</f>
        <v>0</v>
      </c>
      <c r="EY54" t="s">
        <v>611</v>
      </c>
      <c r="EZ54">
        <f>SUM(EZ44:EZ53)</f>
        <v>700</v>
      </c>
      <c r="FD54" t="s">
        <v>611</v>
      </c>
      <c r="FE54">
        <f>SUM(FE44:FE53)</f>
        <v>700</v>
      </c>
      <c r="FI54" t="s">
        <v>611</v>
      </c>
      <c r="FJ54">
        <f>SUM(FJ44:FJ53)</f>
        <v>6336.75</v>
      </c>
      <c r="FN54" t="s">
        <v>611</v>
      </c>
      <c r="FO54">
        <f>SUM(FO44:FO53)</f>
        <v>5623</v>
      </c>
      <c r="FS54" t="s">
        <v>611</v>
      </c>
      <c r="FT54">
        <f>SUM(FT44:FT53)</f>
        <v>4188.1499999999996</v>
      </c>
      <c r="FX54" t="s">
        <v>611</v>
      </c>
      <c r="FY54">
        <f>SUM(FY44:FY53)</f>
        <v>5494.8</v>
      </c>
      <c r="GC54" t="s">
        <v>611</v>
      </c>
      <c r="GD54">
        <f>SUM(GD44:GD53)</f>
        <v>4188.1499999999996</v>
      </c>
      <c r="GH54" t="s">
        <v>611</v>
      </c>
      <c r="GI54">
        <f>SUM(GI44:GI53)</f>
        <v>3000.1499999999996</v>
      </c>
      <c r="GM54" t="s">
        <v>611</v>
      </c>
      <c r="GN54">
        <f>SUM(GN44:GN53)</f>
        <v>3334.8</v>
      </c>
      <c r="GR54" t="s">
        <v>611</v>
      </c>
      <c r="GS54">
        <f>SUM(GS44:GS53)</f>
        <v>3334.8</v>
      </c>
      <c r="GW54" t="s">
        <v>611</v>
      </c>
      <c r="GX54">
        <f>SUM(GX44:GX53)</f>
        <v>2232</v>
      </c>
      <c r="HB54" t="s">
        <v>611</v>
      </c>
      <c r="HC54">
        <f>SUM(HC44:HC53)</f>
        <v>1512</v>
      </c>
      <c r="HG54" t="s">
        <v>611</v>
      </c>
      <c r="HH54">
        <f>SUM(HH44:HH53)</f>
        <v>2393</v>
      </c>
    </row>
    <row r="55" spans="13:216" x14ac:dyDescent="0.2">
      <c r="O55" t="s">
        <v>612</v>
      </c>
      <c r="P55">
        <f>P54/500</f>
        <v>17.876000000000001</v>
      </c>
      <c r="T55" t="s">
        <v>612</v>
      </c>
      <c r="U55">
        <f>U54/500</f>
        <v>13.135999999999999</v>
      </c>
      <c r="Y55" t="s">
        <v>612</v>
      </c>
      <c r="Z55">
        <f>Z54/500</f>
        <v>6.3887999999999998</v>
      </c>
      <c r="AD55" t="s">
        <v>612</v>
      </c>
      <c r="AE55">
        <f>AE54/500</f>
        <v>9.2639999999999993</v>
      </c>
      <c r="AI55" t="s">
        <v>612</v>
      </c>
      <c r="AJ55">
        <f>AJ54/500</f>
        <v>9.84</v>
      </c>
      <c r="AN55" t="s">
        <v>612</v>
      </c>
      <c r="AO55">
        <f>AO54/500</f>
        <v>2.7888000000000002</v>
      </c>
      <c r="AS55" t="s">
        <v>612</v>
      </c>
      <c r="AT55">
        <f>AT54/500</f>
        <v>18.175999999999998</v>
      </c>
      <c r="AX55" t="s">
        <v>612</v>
      </c>
      <c r="AY55">
        <f>AY54/500</f>
        <v>5.7560000000000002</v>
      </c>
      <c r="BC55" t="s">
        <v>612</v>
      </c>
      <c r="BD55">
        <f>BD54/500</f>
        <v>2.7888000000000002</v>
      </c>
      <c r="BH55" t="s">
        <v>612</v>
      </c>
      <c r="BI55">
        <f>BI54/500</f>
        <v>11.2</v>
      </c>
      <c r="BM55" t="s">
        <v>612</v>
      </c>
      <c r="BN55">
        <f>BN54/500</f>
        <v>14.436</v>
      </c>
      <c r="BR55" t="s">
        <v>612</v>
      </c>
      <c r="BS55">
        <f>BS54/500</f>
        <v>9.16</v>
      </c>
      <c r="BW55" t="s">
        <v>612</v>
      </c>
      <c r="BX55">
        <f>BX54/500</f>
        <v>2.56</v>
      </c>
      <c r="CB55" t="s">
        <v>612</v>
      </c>
      <c r="CC55">
        <f>CC54/500</f>
        <v>2.56</v>
      </c>
      <c r="CG55" t="s">
        <v>612</v>
      </c>
      <c r="CH55">
        <f>CH54/500</f>
        <v>7.6639999999999997</v>
      </c>
      <c r="CL55" t="s">
        <v>612</v>
      </c>
      <c r="CM55">
        <f>CM54/500</f>
        <v>9.2560000000000002</v>
      </c>
      <c r="CQ55" t="s">
        <v>612</v>
      </c>
      <c r="CR55">
        <f>CR54/500</f>
        <v>6.16</v>
      </c>
      <c r="CV55" t="s">
        <v>612</v>
      </c>
      <c r="CW55">
        <f>CW54/500</f>
        <v>10.776599999999998</v>
      </c>
      <c r="DA55" t="s">
        <v>612</v>
      </c>
      <c r="DB55">
        <f>DB54/500</f>
        <v>10.989600000000001</v>
      </c>
      <c r="DF55" t="s">
        <v>612</v>
      </c>
      <c r="DG55">
        <f>DG54/500</f>
        <v>9.3362999999999996</v>
      </c>
      <c r="DK55" t="s">
        <v>612</v>
      </c>
      <c r="DL55">
        <f>DL54/500</f>
        <v>6.5750000000000002</v>
      </c>
      <c r="DP55" t="s">
        <v>612</v>
      </c>
      <c r="DQ55">
        <f>DQ54/500</f>
        <v>6.4536000000000007</v>
      </c>
      <c r="DU55" t="s">
        <v>612</v>
      </c>
      <c r="DV55">
        <f>DV54/500</f>
        <v>6.4536000000000007</v>
      </c>
      <c r="DZ55" t="s">
        <v>612</v>
      </c>
      <c r="EA55">
        <f>EA54/500</f>
        <v>3.78</v>
      </c>
      <c r="EE55" t="s">
        <v>612</v>
      </c>
      <c r="EF55">
        <f>EF54/500</f>
        <v>3.1</v>
      </c>
      <c r="EJ55" t="s">
        <v>612</v>
      </c>
      <c r="EK55">
        <f>EK54/500</f>
        <v>6.24</v>
      </c>
      <c r="EO55" t="s">
        <v>612</v>
      </c>
      <c r="EP55">
        <f>EP54/500</f>
        <v>6.94</v>
      </c>
      <c r="ET55" t="s">
        <v>612</v>
      </c>
      <c r="EU55">
        <f>EU54/500</f>
        <v>0</v>
      </c>
      <c r="EY55" t="s">
        <v>612</v>
      </c>
      <c r="EZ55">
        <f>EZ54/500</f>
        <v>1.4</v>
      </c>
      <c r="FD55" t="s">
        <v>612</v>
      </c>
      <c r="FE55">
        <f>FE54/500</f>
        <v>1.4</v>
      </c>
      <c r="FI55" t="s">
        <v>612</v>
      </c>
      <c r="FJ55">
        <f>FJ54/500</f>
        <v>12.673500000000001</v>
      </c>
      <c r="FN55" t="s">
        <v>612</v>
      </c>
      <c r="FO55">
        <f>FO54/500</f>
        <v>11.246</v>
      </c>
      <c r="FS55" t="s">
        <v>612</v>
      </c>
      <c r="FT55">
        <f>FT54/500</f>
        <v>8.3762999999999987</v>
      </c>
      <c r="FX55" t="s">
        <v>612</v>
      </c>
      <c r="FY55">
        <f>FY54/500</f>
        <v>10.989600000000001</v>
      </c>
      <c r="GC55" t="s">
        <v>612</v>
      </c>
      <c r="GD55">
        <f>GD54/500</f>
        <v>8.3762999999999987</v>
      </c>
      <c r="GH55" t="s">
        <v>612</v>
      </c>
      <c r="GI55">
        <f>GI54/500</f>
        <v>6.0002999999999993</v>
      </c>
      <c r="GM55" t="s">
        <v>612</v>
      </c>
      <c r="GN55">
        <f>GN54/500</f>
        <v>6.6696</v>
      </c>
      <c r="GR55" t="s">
        <v>612</v>
      </c>
      <c r="GS55">
        <f>GS54/500</f>
        <v>6.6696</v>
      </c>
      <c r="GW55" t="s">
        <v>612</v>
      </c>
      <c r="GX55">
        <f>GX54/500</f>
        <v>4.4640000000000004</v>
      </c>
      <c r="HB55" t="s">
        <v>612</v>
      </c>
      <c r="HC55">
        <f>HC54/500</f>
        <v>3.024</v>
      </c>
      <c r="HG55" t="s">
        <v>612</v>
      </c>
      <c r="HH55">
        <f>HH54/500</f>
        <v>4.7859999999999996</v>
      </c>
    </row>
    <row r="57" spans="13:216" x14ac:dyDescent="0.2">
      <c r="R57" s="415" t="s">
        <v>568</v>
      </c>
      <c r="S57" s="415"/>
      <c r="T57" s="415"/>
      <c r="U57" s="415"/>
      <c r="AL57" s="415" t="s">
        <v>568</v>
      </c>
      <c r="AM57" s="415"/>
      <c r="AN57" s="415"/>
      <c r="AO57" s="415"/>
      <c r="AQ57" s="415" t="s">
        <v>568</v>
      </c>
      <c r="AR57" s="415"/>
      <c r="AS57" s="415"/>
      <c r="AT57" s="415"/>
      <c r="BA57" s="415" t="s">
        <v>568</v>
      </c>
      <c r="BB57" s="415"/>
      <c r="BC57" s="415"/>
      <c r="BD57" s="415"/>
    </row>
    <row r="58" spans="13:216" x14ac:dyDescent="0.2">
      <c r="R58" s="415" t="s">
        <v>613</v>
      </c>
      <c r="S58" s="415"/>
      <c r="T58" s="415"/>
      <c r="U58" s="415"/>
      <c r="AL58" s="415" t="s">
        <v>614</v>
      </c>
      <c r="AM58" s="415"/>
      <c r="AN58" s="415"/>
      <c r="AO58" s="415"/>
      <c r="AQ58" s="415" t="s">
        <v>615</v>
      </c>
      <c r="AR58" s="415"/>
      <c r="AS58" s="415"/>
      <c r="AT58" s="415"/>
      <c r="BA58" s="415" t="s">
        <v>616</v>
      </c>
      <c r="BB58" s="415"/>
      <c r="BC58" s="415"/>
      <c r="BD58" s="415"/>
    </row>
    <row r="59" spans="13:216" ht="16" x14ac:dyDescent="0.2">
      <c r="R59" s="137" t="s">
        <v>592</v>
      </c>
      <c r="S59" s="99" t="s">
        <v>185</v>
      </c>
      <c r="T59" s="99" t="s">
        <v>186</v>
      </c>
      <c r="U59" s="70" t="s">
        <v>187</v>
      </c>
      <c r="AL59" s="137" t="s">
        <v>592</v>
      </c>
      <c r="AM59" s="99" t="s">
        <v>185</v>
      </c>
      <c r="AN59" s="99" t="s">
        <v>186</v>
      </c>
      <c r="AO59" s="70" t="s">
        <v>187</v>
      </c>
      <c r="AQ59" s="137" t="s">
        <v>592</v>
      </c>
      <c r="AR59" s="99" t="s">
        <v>185</v>
      </c>
      <c r="AS59" s="99" t="s">
        <v>186</v>
      </c>
      <c r="AT59" s="70" t="s">
        <v>187</v>
      </c>
      <c r="BA59" s="137" t="s">
        <v>592</v>
      </c>
      <c r="BB59" s="99" t="s">
        <v>185</v>
      </c>
      <c r="BC59" s="99" t="s">
        <v>186</v>
      </c>
      <c r="BD59" s="70" t="s">
        <v>187</v>
      </c>
    </row>
    <row r="60" spans="13:216" x14ac:dyDescent="0.2">
      <c r="R60" t="s">
        <v>171</v>
      </c>
      <c r="S60">
        <v>3</v>
      </c>
      <c r="T60">
        <v>360</v>
      </c>
      <c r="U60">
        <f>S60*T60</f>
        <v>1080</v>
      </c>
      <c r="AL60" t="s">
        <v>171</v>
      </c>
      <c r="AM60">
        <v>3</v>
      </c>
      <c r="AN60">
        <v>360</v>
      </c>
      <c r="AO60">
        <f>AN60*AM60</f>
        <v>1080</v>
      </c>
      <c r="AQ60" t="s">
        <v>171</v>
      </c>
      <c r="AR60">
        <v>3</v>
      </c>
      <c r="AS60">
        <v>360</v>
      </c>
      <c r="AT60">
        <f t="shared" ref="AT60:AT66" si="43">AS60*AR60</f>
        <v>1080</v>
      </c>
      <c r="BA60" t="s">
        <v>171</v>
      </c>
      <c r="BB60">
        <v>3</v>
      </c>
      <c r="BC60">
        <v>360</v>
      </c>
      <c r="BD60">
        <f>BC60*BB60</f>
        <v>1080</v>
      </c>
    </row>
    <row r="61" spans="13:216" x14ac:dyDescent="0.2">
      <c r="R61" t="s">
        <v>171</v>
      </c>
      <c r="S61">
        <v>3</v>
      </c>
      <c r="T61">
        <v>360</v>
      </c>
      <c r="U61">
        <f t="shared" ref="U61:U64" si="44">S61*T61</f>
        <v>1080</v>
      </c>
      <c r="AL61" t="s">
        <v>200</v>
      </c>
      <c r="AM61">
        <v>4</v>
      </c>
      <c r="AN61">
        <v>360</v>
      </c>
      <c r="AO61">
        <f t="shared" ref="AO61:AO62" si="45">AN61*AM61</f>
        <v>1440</v>
      </c>
      <c r="AQ61" t="s">
        <v>204</v>
      </c>
      <c r="AR61">
        <v>0.6</v>
      </c>
      <c r="AS61">
        <v>500</v>
      </c>
      <c r="AT61">
        <f t="shared" si="43"/>
        <v>300</v>
      </c>
      <c r="BA61" t="s">
        <v>200</v>
      </c>
      <c r="BB61">
        <v>4</v>
      </c>
      <c r="BC61">
        <v>360</v>
      </c>
      <c r="BD61">
        <f t="shared" ref="BD61:BD62" si="46">BC61*BB61</f>
        <v>1440</v>
      </c>
    </row>
    <row r="62" spans="13:216" x14ac:dyDescent="0.2">
      <c r="R62" t="s">
        <v>204</v>
      </c>
      <c r="S62">
        <v>0.6</v>
      </c>
      <c r="T62">
        <v>500</v>
      </c>
      <c r="U62">
        <f t="shared" si="44"/>
        <v>300</v>
      </c>
      <c r="AL62" t="s">
        <v>209</v>
      </c>
      <c r="AM62">
        <v>0.4</v>
      </c>
      <c r="AN62">
        <v>36</v>
      </c>
      <c r="AO62">
        <f t="shared" si="45"/>
        <v>14.4</v>
      </c>
      <c r="AQ62" t="s">
        <v>200</v>
      </c>
      <c r="AR62">
        <v>4</v>
      </c>
      <c r="AS62">
        <v>360</v>
      </c>
      <c r="AT62">
        <f t="shared" si="43"/>
        <v>1440</v>
      </c>
      <c r="BA62" t="s">
        <v>209</v>
      </c>
      <c r="BB62">
        <v>0.4</v>
      </c>
      <c r="BC62">
        <v>36</v>
      </c>
      <c r="BD62">
        <f t="shared" si="46"/>
        <v>14.4</v>
      </c>
    </row>
    <row r="63" spans="13:216" x14ac:dyDescent="0.2">
      <c r="R63" t="s">
        <v>605</v>
      </c>
      <c r="S63">
        <v>5</v>
      </c>
      <c r="T63">
        <v>800</v>
      </c>
      <c r="U63">
        <f t="shared" si="44"/>
        <v>4000</v>
      </c>
      <c r="AQ63" t="s">
        <v>599</v>
      </c>
      <c r="AR63">
        <v>15</v>
      </c>
      <c r="AS63">
        <v>150</v>
      </c>
      <c r="AT63">
        <f t="shared" si="43"/>
        <v>2250</v>
      </c>
    </row>
    <row r="64" spans="13:216" x14ac:dyDescent="0.2">
      <c r="R64" t="s">
        <v>171</v>
      </c>
      <c r="S64" s="257">
        <v>0.3</v>
      </c>
      <c r="T64" s="257">
        <v>360</v>
      </c>
      <c r="U64" s="257">
        <f t="shared" si="44"/>
        <v>108</v>
      </c>
      <c r="AQ64" t="s">
        <v>204</v>
      </c>
      <c r="AR64">
        <v>0.3</v>
      </c>
      <c r="AS64">
        <v>500</v>
      </c>
      <c r="AT64">
        <f t="shared" si="43"/>
        <v>150</v>
      </c>
    </row>
    <row r="65" spans="20:56" x14ac:dyDescent="0.2">
      <c r="AQ65" t="s">
        <v>605</v>
      </c>
      <c r="AR65" s="257">
        <v>2</v>
      </c>
      <c r="AS65">
        <v>800</v>
      </c>
      <c r="AT65">
        <f t="shared" si="43"/>
        <v>1600</v>
      </c>
    </row>
    <row r="66" spans="20:56" x14ac:dyDescent="0.2">
      <c r="AQ66" t="s">
        <v>171</v>
      </c>
      <c r="AR66">
        <v>0.3</v>
      </c>
      <c r="AS66">
        <v>360</v>
      </c>
      <c r="AT66">
        <f t="shared" si="43"/>
        <v>108</v>
      </c>
    </row>
    <row r="70" spans="20:56" x14ac:dyDescent="0.2">
      <c r="T70" t="s">
        <v>611</v>
      </c>
      <c r="U70">
        <f>SUM(U60:U69)</f>
        <v>6568</v>
      </c>
      <c r="AN70" t="s">
        <v>611</v>
      </c>
      <c r="AO70">
        <f>SUM(AO60:AO69)</f>
        <v>2534.4</v>
      </c>
      <c r="AS70" t="s">
        <v>611</v>
      </c>
      <c r="AT70">
        <f>SUM(AT60:AT67)</f>
        <v>6928</v>
      </c>
      <c r="BC70" t="s">
        <v>611</v>
      </c>
      <c r="BD70">
        <f>SUM(BD60:BD69)</f>
        <v>2534.4</v>
      </c>
    </row>
    <row r="71" spans="20:56" x14ac:dyDescent="0.2">
      <c r="T71" t="s">
        <v>612</v>
      </c>
      <c r="U71">
        <f>U70/500</f>
        <v>13.135999999999999</v>
      </c>
      <c r="AN71" t="s">
        <v>612</v>
      </c>
      <c r="AO71">
        <f>AO70/500</f>
        <v>5.0688000000000004</v>
      </c>
      <c r="AS71" t="s">
        <v>612</v>
      </c>
      <c r="AT71">
        <f>AT70/500</f>
        <v>13.856</v>
      </c>
      <c r="BC71" t="s">
        <v>612</v>
      </c>
      <c r="BD71">
        <f>BD70/500</f>
        <v>5.0688000000000004</v>
      </c>
    </row>
  </sheetData>
  <mergeCells count="92">
    <mergeCell ref="F2:G2"/>
    <mergeCell ref="F22:K22"/>
    <mergeCell ref="M42:P42"/>
    <mergeCell ref="R42:U42"/>
    <mergeCell ref="W42:Z42"/>
    <mergeCell ref="M41:P41"/>
    <mergeCell ref="R41:U41"/>
    <mergeCell ref="W41:Z41"/>
    <mergeCell ref="BA42:BD42"/>
    <mergeCell ref="AB41:AE41"/>
    <mergeCell ref="AG41:AJ41"/>
    <mergeCell ref="AL41:AO41"/>
    <mergeCell ref="AQ41:AT41"/>
    <mergeCell ref="AV41:AY41"/>
    <mergeCell ref="BA41:BD41"/>
    <mergeCell ref="AB42:AE42"/>
    <mergeCell ref="AG42:AJ42"/>
    <mergeCell ref="AL42:AO42"/>
    <mergeCell ref="AQ42:AT42"/>
    <mergeCell ref="AV42:AY42"/>
    <mergeCell ref="BU42:BX42"/>
    <mergeCell ref="BZ42:CC42"/>
    <mergeCell ref="BF41:BI41"/>
    <mergeCell ref="BK41:BN41"/>
    <mergeCell ref="BP41:BS41"/>
    <mergeCell ref="BU41:BX41"/>
    <mergeCell ref="BZ41:CC41"/>
    <mergeCell ref="BF42:BI42"/>
    <mergeCell ref="BK42:BN42"/>
    <mergeCell ref="BP42:BS42"/>
    <mergeCell ref="CE41:CH41"/>
    <mergeCell ref="CJ41:CM41"/>
    <mergeCell ref="CO41:CR41"/>
    <mergeCell ref="CT41:CW41"/>
    <mergeCell ref="CE42:CH42"/>
    <mergeCell ref="CJ42:CM42"/>
    <mergeCell ref="CO42:CR42"/>
    <mergeCell ref="CT42:CW42"/>
    <mergeCell ref="CY41:DB41"/>
    <mergeCell ref="CY42:DB42"/>
    <mergeCell ref="DD41:DG41"/>
    <mergeCell ref="DI41:DL41"/>
    <mergeCell ref="DD42:DG42"/>
    <mergeCell ref="DI42:DL42"/>
    <mergeCell ref="DN41:DQ41"/>
    <mergeCell ref="DS41:DV41"/>
    <mergeCell ref="DN42:DQ42"/>
    <mergeCell ref="DS42:DV42"/>
    <mergeCell ref="DX41:EA41"/>
    <mergeCell ref="EC41:EF41"/>
    <mergeCell ref="EH41:EK41"/>
    <mergeCell ref="DX42:EA42"/>
    <mergeCell ref="EC42:EF42"/>
    <mergeCell ref="EH42:EK42"/>
    <mergeCell ref="EM41:EP41"/>
    <mergeCell ref="EM42:EP42"/>
    <mergeCell ref="EW41:EZ41"/>
    <mergeCell ref="FB41:FE41"/>
    <mergeCell ref="EW42:EZ42"/>
    <mergeCell ref="FB42:FE42"/>
    <mergeCell ref="ER41:EU41"/>
    <mergeCell ref="ER42:EU42"/>
    <mergeCell ref="FG41:FJ41"/>
    <mergeCell ref="FG42:FJ42"/>
    <mergeCell ref="FL41:FO41"/>
    <mergeCell ref="FL42:FO42"/>
    <mergeCell ref="FQ41:FT41"/>
    <mergeCell ref="FQ42:FT42"/>
    <mergeCell ref="FV41:FY41"/>
    <mergeCell ref="FV42:FY42"/>
    <mergeCell ref="GA41:GD41"/>
    <mergeCell ref="GF41:GI41"/>
    <mergeCell ref="GA42:GD42"/>
    <mergeCell ref="GF42:GI42"/>
    <mergeCell ref="GZ41:HC41"/>
    <mergeCell ref="GZ42:HC42"/>
    <mergeCell ref="HE41:HH41"/>
    <mergeCell ref="HE42:HH42"/>
    <mergeCell ref="GK41:GN41"/>
    <mergeCell ref="GP41:GS41"/>
    <mergeCell ref="GK42:GN42"/>
    <mergeCell ref="GP42:GS42"/>
    <mergeCell ref="GU41:GX41"/>
    <mergeCell ref="GU42:GX42"/>
    <mergeCell ref="BA57:BD57"/>
    <mergeCell ref="BA58:BD58"/>
    <mergeCell ref="R57:U57"/>
    <mergeCell ref="R58:U58"/>
    <mergeCell ref="AL57:AO57"/>
    <mergeCell ref="AL58:AO58"/>
    <mergeCell ref="AQ57:AT57"/>
    <mergeCell ref="AQ58:AT58"/>
  </mergeCells>
  <phoneticPr fontId="8" type="noConversion"/>
  <pageMargins left="0.7" right="0.7" top="0.75" bottom="0.75" header="0.3" footer="0.3"/>
  <pageSetup paperSize="9"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F94CA-E5B1-4F41-814D-50D7C2AB36CE}">
  <dimension ref="A1:M34"/>
  <sheetViews>
    <sheetView workbookViewId="0">
      <selection activeCell="D18" sqref="D18"/>
    </sheetView>
  </sheetViews>
  <sheetFormatPr baseColWidth="10" defaultColWidth="8.6640625" defaultRowHeight="16" x14ac:dyDescent="0.2"/>
  <cols>
    <col min="1" max="1" width="9.5" style="220" customWidth="1"/>
    <col min="2" max="2" width="3.83203125" style="220" customWidth="1"/>
    <col min="3" max="3" width="16.6640625" style="220" customWidth="1"/>
    <col min="4" max="7" width="8.6640625" style="220"/>
    <col min="8" max="8" width="3.83203125" style="220" customWidth="1"/>
    <col min="9" max="9" width="36.33203125" style="220" customWidth="1"/>
    <col min="10" max="10" width="15.5" style="220" customWidth="1"/>
    <col min="11" max="11" width="47.83203125" style="220" customWidth="1"/>
    <col min="12" max="12" width="3.83203125" style="220" customWidth="1"/>
    <col min="13" max="13" width="9.5" style="220" customWidth="1"/>
    <col min="14" max="16384" width="8.6640625" style="220"/>
  </cols>
  <sheetData>
    <row r="1" spans="1:13" s="216" customFormat="1" ht="8" customHeight="1" x14ac:dyDescent="0.2">
      <c r="A1" s="215"/>
      <c r="B1" s="215"/>
      <c r="C1" s="215"/>
      <c r="D1" s="215"/>
      <c r="E1" s="215"/>
      <c r="F1" s="215"/>
      <c r="G1" s="215"/>
      <c r="H1" s="215"/>
      <c r="I1" s="215"/>
      <c r="J1" s="215"/>
      <c r="K1" s="215"/>
      <c r="L1" s="215"/>
      <c r="M1" s="215"/>
    </row>
    <row r="2" spans="1:13" s="216" customFormat="1" ht="31" customHeight="1" x14ac:dyDescent="0.2">
      <c r="A2" s="215"/>
      <c r="C2" s="217" t="s">
        <v>617</v>
      </c>
      <c r="D2" s="218"/>
      <c r="E2" s="218"/>
      <c r="I2" s="217" t="s">
        <v>618</v>
      </c>
      <c r="M2" s="215"/>
    </row>
    <row r="3" spans="1:13" s="216" customFormat="1" ht="7" customHeight="1" x14ac:dyDescent="0.2">
      <c r="A3" s="215"/>
      <c r="M3" s="215"/>
    </row>
    <row r="4" spans="1:13" ht="27.25" customHeight="1" thickBot="1" x14ac:dyDescent="0.25">
      <c r="A4" s="219"/>
      <c r="C4" s="437" t="s">
        <v>234</v>
      </c>
      <c r="D4" s="439" t="s">
        <v>619</v>
      </c>
      <c r="E4" s="439"/>
      <c r="F4" s="439"/>
      <c r="G4" s="439"/>
      <c r="I4" s="232" t="s">
        <v>620</v>
      </c>
      <c r="J4" s="221" t="s">
        <v>619</v>
      </c>
      <c r="K4" s="232" t="s">
        <v>621</v>
      </c>
      <c r="M4" s="219"/>
    </row>
    <row r="5" spans="1:13" ht="22" customHeight="1" thickTop="1" thickBot="1" x14ac:dyDescent="0.25">
      <c r="A5" s="219"/>
      <c r="C5" s="438"/>
      <c r="D5" s="222" t="s">
        <v>135</v>
      </c>
      <c r="E5" s="222" t="s">
        <v>136</v>
      </c>
      <c r="F5" s="222" t="s">
        <v>137</v>
      </c>
      <c r="G5" s="222" t="s">
        <v>138</v>
      </c>
      <c r="I5" s="223" t="s">
        <v>622</v>
      </c>
      <c r="J5" s="223">
        <v>11</v>
      </c>
      <c r="K5" s="223"/>
      <c r="M5" s="219"/>
    </row>
    <row r="6" spans="1:13" ht="22" customHeight="1" thickTop="1" x14ac:dyDescent="0.2">
      <c r="A6" s="219"/>
      <c r="C6" s="223" t="s">
        <v>362</v>
      </c>
      <c r="D6" s="223">
        <v>10</v>
      </c>
      <c r="E6" s="223">
        <v>11</v>
      </c>
      <c r="F6" s="223">
        <v>15</v>
      </c>
      <c r="G6" s="223">
        <v>15</v>
      </c>
      <c r="I6" s="224" t="s">
        <v>623</v>
      </c>
      <c r="J6" s="224">
        <v>6</v>
      </c>
      <c r="K6" s="224"/>
      <c r="M6" s="219"/>
    </row>
    <row r="7" spans="1:13" ht="22" customHeight="1" x14ac:dyDescent="0.2">
      <c r="A7" s="219"/>
      <c r="C7" s="224" t="s">
        <v>523</v>
      </c>
      <c r="D7" s="224">
        <v>11</v>
      </c>
      <c r="E7" s="224">
        <v>11</v>
      </c>
      <c r="F7" s="224">
        <v>11</v>
      </c>
      <c r="G7" s="224">
        <v>11</v>
      </c>
      <c r="I7" s="224" t="s">
        <v>624</v>
      </c>
      <c r="J7" s="224">
        <v>11</v>
      </c>
      <c r="K7" s="224"/>
      <c r="M7" s="219"/>
    </row>
    <row r="8" spans="1:13" ht="22" customHeight="1" x14ac:dyDescent="0.2">
      <c r="A8" s="219"/>
      <c r="C8" s="224" t="s">
        <v>625</v>
      </c>
      <c r="D8" s="224">
        <v>11</v>
      </c>
      <c r="E8" s="224">
        <v>11</v>
      </c>
      <c r="F8" s="224">
        <v>11</v>
      </c>
      <c r="G8" s="224">
        <v>11</v>
      </c>
      <c r="I8" s="224" t="s">
        <v>626</v>
      </c>
      <c r="J8" s="224">
        <v>6</v>
      </c>
      <c r="K8" s="224"/>
      <c r="M8" s="219"/>
    </row>
    <row r="9" spans="1:13" ht="22" customHeight="1" x14ac:dyDescent="0.2">
      <c r="A9" s="219"/>
      <c r="C9" s="224" t="s">
        <v>627</v>
      </c>
      <c r="D9" s="224">
        <v>11</v>
      </c>
      <c r="E9" s="224">
        <v>11</v>
      </c>
      <c r="F9" s="224">
        <v>11</v>
      </c>
      <c r="G9" s="224">
        <v>11</v>
      </c>
      <c r="I9" s="224" t="s">
        <v>628</v>
      </c>
      <c r="J9" s="224">
        <v>11</v>
      </c>
      <c r="K9" s="224"/>
      <c r="M9" s="219"/>
    </row>
    <row r="10" spans="1:13" ht="22" customHeight="1" x14ac:dyDescent="0.2">
      <c r="A10" s="219"/>
      <c r="C10" s="224" t="s">
        <v>629</v>
      </c>
      <c r="D10" s="224">
        <v>0</v>
      </c>
      <c r="E10" s="224">
        <v>0</v>
      </c>
      <c r="F10" s="224">
        <v>0</v>
      </c>
      <c r="G10" s="224">
        <v>0</v>
      </c>
      <c r="I10" s="224" t="s">
        <v>630</v>
      </c>
      <c r="J10" s="224">
        <v>6</v>
      </c>
      <c r="K10" s="224"/>
      <c r="M10" s="219"/>
    </row>
    <row r="11" spans="1:13" ht="22" customHeight="1" x14ac:dyDescent="0.2">
      <c r="A11" s="219"/>
      <c r="C11" s="224" t="s">
        <v>631</v>
      </c>
      <c r="D11" s="224">
        <v>0</v>
      </c>
      <c r="E11" s="224">
        <v>0</v>
      </c>
      <c r="F11" s="224">
        <v>0</v>
      </c>
      <c r="G11" s="224">
        <v>0</v>
      </c>
      <c r="I11" s="224" t="s">
        <v>632</v>
      </c>
      <c r="J11" s="224">
        <v>11</v>
      </c>
      <c r="K11" s="224"/>
      <c r="M11" s="219"/>
    </row>
    <row r="12" spans="1:13" ht="22" customHeight="1" x14ac:dyDescent="0.2">
      <c r="A12" s="219"/>
      <c r="C12" s="224" t="s">
        <v>633</v>
      </c>
      <c r="D12" s="224">
        <v>11</v>
      </c>
      <c r="E12" s="224">
        <v>11</v>
      </c>
      <c r="F12" s="224">
        <v>11</v>
      </c>
      <c r="G12" s="224">
        <v>11</v>
      </c>
      <c r="I12" s="224" t="s">
        <v>634</v>
      </c>
      <c r="J12" s="224">
        <v>6</v>
      </c>
      <c r="K12" s="224"/>
      <c r="M12" s="219"/>
    </row>
    <row r="13" spans="1:13" ht="34.75" customHeight="1" x14ac:dyDescent="0.2">
      <c r="A13" s="219"/>
      <c r="C13" s="440" t="s">
        <v>635</v>
      </c>
      <c r="D13" s="440"/>
      <c r="E13" s="440"/>
      <c r="F13" s="440"/>
      <c r="G13" s="440"/>
      <c r="I13" s="224" t="s">
        <v>636</v>
      </c>
      <c r="J13" s="224" t="s">
        <v>637</v>
      </c>
      <c r="K13" s="224" t="s">
        <v>638</v>
      </c>
      <c r="M13" s="219"/>
    </row>
    <row r="14" spans="1:13" ht="34.75" customHeight="1" x14ac:dyDescent="0.2">
      <c r="A14" s="219"/>
      <c r="C14" s="441"/>
      <c r="D14" s="441"/>
      <c r="E14" s="441"/>
      <c r="F14" s="441"/>
      <c r="G14" s="441"/>
      <c r="I14" s="224" t="s">
        <v>639</v>
      </c>
      <c r="J14" s="224" t="s">
        <v>637</v>
      </c>
      <c r="K14" s="224" t="s">
        <v>638</v>
      </c>
      <c r="M14" s="219"/>
    </row>
    <row r="15" spans="1:13" ht="28.75" customHeight="1" x14ac:dyDescent="0.2">
      <c r="A15" s="219"/>
      <c r="C15" s="441"/>
      <c r="D15" s="441"/>
      <c r="E15" s="441"/>
      <c r="F15" s="441"/>
      <c r="G15" s="441"/>
      <c r="I15" s="224" t="s">
        <v>640</v>
      </c>
      <c r="J15" s="224" t="s">
        <v>637</v>
      </c>
      <c r="K15" s="224" t="s">
        <v>638</v>
      </c>
      <c r="M15" s="219"/>
    </row>
    <row r="16" spans="1:13" ht="34.75" customHeight="1" x14ac:dyDescent="0.2">
      <c r="A16" s="219"/>
      <c r="C16" s="225"/>
      <c r="D16" s="225"/>
      <c r="E16" s="225"/>
      <c r="F16" s="225"/>
      <c r="G16" s="225"/>
      <c r="I16" s="224" t="s">
        <v>641</v>
      </c>
      <c r="J16" s="224" t="s">
        <v>637</v>
      </c>
      <c r="K16" s="224" t="s">
        <v>638</v>
      </c>
      <c r="M16" s="219"/>
    </row>
    <row r="17" spans="1:13" ht="22" customHeight="1" x14ac:dyDescent="0.2">
      <c r="A17" s="219"/>
      <c r="I17" s="224" t="s">
        <v>642</v>
      </c>
      <c r="J17" s="224" t="s">
        <v>637</v>
      </c>
      <c r="K17" s="224" t="s">
        <v>638</v>
      </c>
      <c r="M17" s="219"/>
    </row>
    <row r="18" spans="1:13" ht="22" customHeight="1" x14ac:dyDescent="0.2">
      <c r="A18" s="219"/>
      <c r="I18" s="224" t="s">
        <v>643</v>
      </c>
      <c r="J18" s="224">
        <v>5</v>
      </c>
      <c r="K18" s="224"/>
      <c r="M18" s="219"/>
    </row>
    <row r="19" spans="1:13" ht="22" customHeight="1" x14ac:dyDescent="0.2">
      <c r="A19" s="219"/>
      <c r="I19" s="224" t="s">
        <v>644</v>
      </c>
      <c r="J19" s="224" t="s">
        <v>637</v>
      </c>
      <c r="K19" s="224" t="s">
        <v>638</v>
      </c>
      <c r="M19" s="219"/>
    </row>
    <row r="20" spans="1:13" ht="22" customHeight="1" x14ac:dyDescent="0.2">
      <c r="A20" s="219"/>
      <c r="I20" s="224" t="s">
        <v>645</v>
      </c>
      <c r="J20" s="224" t="s">
        <v>637</v>
      </c>
      <c r="K20" s="224" t="s">
        <v>638</v>
      </c>
      <c r="M20" s="219"/>
    </row>
    <row r="21" spans="1:13" ht="22" customHeight="1" x14ac:dyDescent="0.2">
      <c r="A21" s="219"/>
      <c r="I21" s="224" t="s">
        <v>646</v>
      </c>
      <c r="J21" s="224" t="s">
        <v>637</v>
      </c>
      <c r="K21" s="224" t="s">
        <v>638</v>
      </c>
      <c r="M21" s="219"/>
    </row>
    <row r="22" spans="1:13" ht="22" customHeight="1" x14ac:dyDescent="0.2">
      <c r="A22" s="219"/>
      <c r="I22" s="224" t="s">
        <v>647</v>
      </c>
      <c r="J22" s="224" t="s">
        <v>637</v>
      </c>
      <c r="K22" s="224" t="s">
        <v>638</v>
      </c>
      <c r="M22" s="219"/>
    </row>
    <row r="23" spans="1:13" ht="22" customHeight="1" x14ac:dyDescent="0.2">
      <c r="A23" s="219"/>
      <c r="I23" s="224" t="s">
        <v>648</v>
      </c>
      <c r="J23" s="224" t="s">
        <v>637</v>
      </c>
      <c r="K23" s="224" t="s">
        <v>638</v>
      </c>
      <c r="M23" s="219"/>
    </row>
    <row r="24" spans="1:13" ht="22" customHeight="1" x14ac:dyDescent="0.2">
      <c r="A24" s="219"/>
      <c r="I24" s="224" t="s">
        <v>649</v>
      </c>
      <c r="J24" s="224" t="s">
        <v>637</v>
      </c>
      <c r="K24" s="224" t="s">
        <v>638</v>
      </c>
      <c r="M24" s="219"/>
    </row>
    <row r="25" spans="1:13" ht="22" customHeight="1" x14ac:dyDescent="0.2">
      <c r="A25" s="219"/>
      <c r="I25" s="224" t="s">
        <v>650</v>
      </c>
      <c r="J25" s="224" t="s">
        <v>637</v>
      </c>
      <c r="K25" s="224" t="s">
        <v>638</v>
      </c>
      <c r="M25" s="219"/>
    </row>
    <row r="26" spans="1:13" ht="22" customHeight="1" x14ac:dyDescent="0.2">
      <c r="A26" s="219"/>
      <c r="I26" s="224" t="s">
        <v>650</v>
      </c>
      <c r="J26" s="224" t="s">
        <v>637</v>
      </c>
      <c r="K26" s="224" t="s">
        <v>638</v>
      </c>
      <c r="M26" s="219"/>
    </row>
    <row r="27" spans="1:13" ht="22" customHeight="1" x14ac:dyDescent="0.2">
      <c r="A27" s="219"/>
      <c r="I27" s="224" t="s">
        <v>651</v>
      </c>
      <c r="J27" s="224" t="s">
        <v>637</v>
      </c>
      <c r="K27" s="224" t="s">
        <v>638</v>
      </c>
      <c r="M27" s="219"/>
    </row>
    <row r="28" spans="1:13" ht="22" customHeight="1" x14ac:dyDescent="0.2">
      <c r="A28" s="219"/>
      <c r="I28" s="224" t="s">
        <v>652</v>
      </c>
      <c r="J28" s="224" t="s">
        <v>637</v>
      </c>
      <c r="K28" s="224" t="s">
        <v>638</v>
      </c>
      <c r="M28" s="219"/>
    </row>
    <row r="29" spans="1:13" ht="22" customHeight="1" x14ac:dyDescent="0.2">
      <c r="A29" s="219"/>
      <c r="I29" s="224" t="s">
        <v>652</v>
      </c>
      <c r="J29" s="224" t="s">
        <v>637</v>
      </c>
      <c r="K29" s="224" t="s">
        <v>638</v>
      </c>
      <c r="M29" s="219"/>
    </row>
    <row r="30" spans="1:13" ht="34.75" customHeight="1" x14ac:dyDescent="0.2">
      <c r="A30" s="219"/>
      <c r="I30" s="224" t="s">
        <v>653</v>
      </c>
      <c r="J30" s="224" t="s">
        <v>637</v>
      </c>
      <c r="K30" s="224" t="s">
        <v>638</v>
      </c>
      <c r="M30" s="219"/>
    </row>
    <row r="31" spans="1:13" ht="34.75" customHeight="1" x14ac:dyDescent="0.2">
      <c r="A31" s="219"/>
      <c r="I31" s="224" t="s">
        <v>654</v>
      </c>
      <c r="J31" s="224" t="s">
        <v>637</v>
      </c>
      <c r="K31" s="224" t="s">
        <v>638</v>
      </c>
      <c r="M31" s="219"/>
    </row>
    <row r="32" spans="1:13" ht="22" customHeight="1" x14ac:dyDescent="0.2">
      <c r="A32" s="219"/>
      <c r="I32" s="224" t="s">
        <v>655</v>
      </c>
      <c r="J32" s="224" t="s">
        <v>637</v>
      </c>
      <c r="K32" s="224" t="s">
        <v>638</v>
      </c>
      <c r="M32" s="219"/>
    </row>
    <row r="33" spans="1:13" x14ac:dyDescent="0.2">
      <c r="A33" s="219"/>
      <c r="M33" s="219"/>
    </row>
    <row r="34" spans="1:13" ht="8" customHeight="1" x14ac:dyDescent="0.2">
      <c r="A34" s="219"/>
      <c r="B34" s="219"/>
      <c r="C34" s="219"/>
      <c r="D34" s="219"/>
      <c r="E34" s="219"/>
      <c r="F34" s="219"/>
      <c r="G34" s="219"/>
      <c r="H34" s="219"/>
      <c r="I34" s="219"/>
      <c r="J34" s="219"/>
      <c r="K34" s="219"/>
      <c r="L34" s="219"/>
      <c r="M34" s="219"/>
    </row>
  </sheetData>
  <sheetProtection selectLockedCells="1" selectUnlockedCells="1"/>
  <mergeCells count="3">
    <mergeCell ref="C4:C5"/>
    <mergeCell ref="D4:G4"/>
    <mergeCell ref="C13:G15"/>
  </mergeCells>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6F24E-0060-4579-9338-2F90EC02E445}">
  <dimension ref="A1:O17"/>
  <sheetViews>
    <sheetView workbookViewId="0">
      <selection activeCell="M22" sqref="M22"/>
    </sheetView>
  </sheetViews>
  <sheetFormatPr baseColWidth="10" defaultColWidth="8.83203125" defaultRowHeight="15" x14ac:dyDescent="0.2"/>
  <cols>
    <col min="1" max="1" width="9.5" customWidth="1"/>
    <col min="2" max="2" width="3.83203125" customWidth="1"/>
    <col min="3" max="3" width="14.6640625" customWidth="1"/>
    <col min="4" max="4" width="47.83203125" bestFit="1" customWidth="1"/>
    <col min="6" max="6" width="3.83203125" customWidth="1"/>
    <col min="7" max="7" width="9.5" customWidth="1"/>
    <col min="9" max="9" width="9.5" customWidth="1"/>
    <col min="10" max="10" width="3.83203125" customWidth="1"/>
    <col min="11" max="11" width="12.1640625" customWidth="1"/>
    <col min="14" max="14" width="3.83203125" customWidth="1"/>
    <col min="15" max="15" width="9.5" customWidth="1"/>
  </cols>
  <sheetData>
    <row r="1" spans="1:15" ht="8" customHeight="1" x14ac:dyDescent="0.2">
      <c r="A1" s="198" t="e">
        <f>#REF!</f>
        <v>#REF!</v>
      </c>
      <c r="B1" s="198"/>
      <c r="C1" s="198"/>
      <c r="D1" s="198"/>
      <c r="E1" s="198"/>
      <c r="F1" s="198"/>
      <c r="G1" s="198"/>
      <c r="I1" s="185"/>
      <c r="J1" s="185"/>
      <c r="K1" s="185"/>
      <c r="L1" s="185"/>
      <c r="M1" s="185"/>
      <c r="N1" s="185"/>
      <c r="O1" s="185"/>
    </row>
    <row r="2" spans="1:15" s="52" customFormat="1" ht="16" x14ac:dyDescent="0.2">
      <c r="A2" s="185"/>
      <c r="C2" s="51" t="s">
        <v>698</v>
      </c>
      <c r="D2" s="199"/>
      <c r="E2" s="199"/>
      <c r="G2" s="185"/>
      <c r="I2" s="185"/>
      <c r="K2" s="51" t="s">
        <v>699</v>
      </c>
      <c r="O2" s="185"/>
    </row>
    <row r="3" spans="1:15" s="52" customFormat="1" ht="16" x14ac:dyDescent="0.2">
      <c r="A3" s="185"/>
      <c r="C3" s="51"/>
      <c r="D3" s="199"/>
      <c r="E3" s="199"/>
      <c r="G3" s="185"/>
      <c r="I3" s="185"/>
      <c r="O3" s="185"/>
    </row>
    <row r="4" spans="1:15" s="52" customFormat="1" ht="16" thickBot="1" x14ac:dyDescent="0.25">
      <c r="A4" s="185"/>
      <c r="C4" s="55" t="s">
        <v>700</v>
      </c>
      <c r="D4" s="55"/>
      <c r="E4" s="200" t="s">
        <v>701</v>
      </c>
      <c r="G4" s="185"/>
      <c r="I4" s="185"/>
      <c r="K4" s="201" t="s">
        <v>702</v>
      </c>
      <c r="L4" s="201" t="s">
        <v>662</v>
      </c>
      <c r="M4" s="202" t="s">
        <v>703</v>
      </c>
      <c r="O4" s="185"/>
    </row>
    <row r="5" spans="1:15" s="52" customFormat="1" ht="18" thickTop="1" x14ac:dyDescent="0.2">
      <c r="A5" s="185"/>
      <c r="C5" s="442" t="s">
        <v>704</v>
      </c>
      <c r="D5" s="58" t="s">
        <v>705</v>
      </c>
      <c r="E5" s="58">
        <v>0.5</v>
      </c>
      <c r="G5" s="185"/>
      <c r="I5" s="185"/>
      <c r="K5" s="203" t="s">
        <v>13</v>
      </c>
      <c r="L5" s="203"/>
      <c r="M5" s="204">
        <v>2.5</v>
      </c>
      <c r="N5" s="186" t="s">
        <v>706</v>
      </c>
      <c r="O5" s="185"/>
    </row>
    <row r="6" spans="1:15" s="52" customFormat="1" ht="20.25" customHeight="1" x14ac:dyDescent="0.2">
      <c r="A6" s="185"/>
      <c r="C6" s="443"/>
      <c r="D6" s="60" t="s">
        <v>707</v>
      </c>
      <c r="E6" s="60">
        <v>0.75</v>
      </c>
      <c r="G6" s="185"/>
      <c r="I6" s="185"/>
      <c r="K6" s="203" t="s">
        <v>708</v>
      </c>
      <c r="L6" s="203" t="s">
        <v>685</v>
      </c>
      <c r="M6" s="203">
        <v>0.625</v>
      </c>
      <c r="O6" s="185"/>
    </row>
    <row r="7" spans="1:15" s="52" customFormat="1" ht="20.25" customHeight="1" x14ac:dyDescent="0.2">
      <c r="A7" s="185"/>
      <c r="C7" s="443"/>
      <c r="D7" s="60" t="s">
        <v>709</v>
      </c>
      <c r="E7" s="60">
        <v>1</v>
      </c>
      <c r="G7" s="185"/>
      <c r="I7" s="185"/>
      <c r="K7" s="203" t="s">
        <v>710</v>
      </c>
      <c r="L7" s="203" t="s">
        <v>711</v>
      </c>
      <c r="M7" s="203">
        <v>10.08</v>
      </c>
      <c r="O7" s="185"/>
    </row>
    <row r="8" spans="1:15" s="52" customFormat="1" ht="20.25" customHeight="1" x14ac:dyDescent="0.2">
      <c r="A8" s="185"/>
      <c r="C8" s="443" t="s">
        <v>712</v>
      </c>
      <c r="D8" s="60" t="s">
        <v>713</v>
      </c>
      <c r="E8" s="60">
        <v>1.25</v>
      </c>
      <c r="G8" s="185"/>
      <c r="I8" s="185"/>
      <c r="K8" s="203" t="s">
        <v>697</v>
      </c>
      <c r="L8" s="203" t="s">
        <v>691</v>
      </c>
      <c r="M8" s="203">
        <v>207</v>
      </c>
      <c r="O8" s="185"/>
    </row>
    <row r="9" spans="1:15" s="52" customFormat="1" ht="20.25" customHeight="1" x14ac:dyDescent="0.2">
      <c r="A9" s="185"/>
      <c r="C9" s="443"/>
      <c r="D9" s="60" t="s">
        <v>714</v>
      </c>
      <c r="E9" s="205" t="s">
        <v>715</v>
      </c>
      <c r="G9" s="185"/>
      <c r="I9" s="185"/>
      <c r="O9" s="185"/>
    </row>
    <row r="10" spans="1:15" s="52" customFormat="1" ht="20.25" customHeight="1" x14ac:dyDescent="0.2">
      <c r="A10" s="185"/>
      <c r="C10" s="443"/>
      <c r="D10" s="60" t="s">
        <v>716</v>
      </c>
      <c r="E10" s="60">
        <v>1.75</v>
      </c>
      <c r="G10" s="185"/>
      <c r="I10" s="185"/>
      <c r="K10" s="444" t="s">
        <v>717</v>
      </c>
      <c r="L10" s="444"/>
      <c r="M10" s="444"/>
      <c r="O10" s="185"/>
    </row>
    <row r="11" spans="1:15" s="52" customFormat="1" ht="20.25" customHeight="1" x14ac:dyDescent="0.2">
      <c r="A11" s="185"/>
      <c r="C11" s="443" t="s">
        <v>718</v>
      </c>
      <c r="D11" s="60" t="s">
        <v>719</v>
      </c>
      <c r="E11" s="60">
        <v>2</v>
      </c>
      <c r="G11" s="185"/>
      <c r="I11" s="185"/>
      <c r="K11" s="444"/>
      <c r="L11" s="444"/>
      <c r="M11" s="444"/>
      <c r="O11" s="185"/>
    </row>
    <row r="12" spans="1:15" s="52" customFormat="1" ht="20.25" customHeight="1" x14ac:dyDescent="0.2">
      <c r="A12" s="185"/>
      <c r="C12" s="443"/>
      <c r="D12" s="60" t="s">
        <v>720</v>
      </c>
      <c r="E12" s="60">
        <v>2.25</v>
      </c>
      <c r="G12" s="185"/>
      <c r="I12" s="185"/>
      <c r="O12" s="185"/>
    </row>
    <row r="13" spans="1:15" s="52" customFormat="1" ht="20.25" customHeight="1" x14ac:dyDescent="0.2">
      <c r="A13" s="185"/>
      <c r="C13" s="443"/>
      <c r="D13" s="60" t="s">
        <v>721</v>
      </c>
      <c r="E13" s="60">
        <v>2.5</v>
      </c>
      <c r="G13" s="185"/>
      <c r="I13" s="185"/>
      <c r="J13" s="185"/>
      <c r="K13" s="185"/>
      <c r="L13" s="185"/>
      <c r="M13" s="185"/>
      <c r="N13" s="185"/>
      <c r="O13" s="185"/>
    </row>
    <row r="14" spans="1:15" s="52" customFormat="1" ht="20.25" customHeight="1" x14ac:dyDescent="0.2">
      <c r="A14" s="185"/>
      <c r="C14" s="186" t="s">
        <v>722</v>
      </c>
      <c r="D14" s="186"/>
      <c r="E14" s="186"/>
      <c r="G14" s="185"/>
    </row>
    <row r="15" spans="1:15" s="52" customFormat="1" ht="17" x14ac:dyDescent="0.2">
      <c r="A15" s="185"/>
      <c r="C15" s="186" t="s">
        <v>723</v>
      </c>
      <c r="D15" s="186"/>
      <c r="E15" s="186"/>
      <c r="G15" s="185"/>
    </row>
    <row r="16" spans="1:15" s="52" customFormat="1" ht="20.25" customHeight="1" x14ac:dyDescent="0.2">
      <c r="A16" s="185"/>
      <c r="C16" s="186"/>
      <c r="D16" s="186"/>
      <c r="E16" s="186"/>
      <c r="G16" s="185"/>
    </row>
    <row r="17" spans="1:7" ht="8" customHeight="1" x14ac:dyDescent="0.2">
      <c r="A17" s="198"/>
      <c r="B17" s="198"/>
      <c r="C17" s="198"/>
      <c r="D17" s="198"/>
      <c r="E17" s="198"/>
      <c r="F17" s="198"/>
      <c r="G17" s="198"/>
    </row>
  </sheetData>
  <mergeCells count="4">
    <mergeCell ref="C5:C7"/>
    <mergeCell ref="C8:C10"/>
    <mergeCell ref="K10:M11"/>
    <mergeCell ref="C11:C13"/>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B1AD5-C9B5-4D91-9AC2-1849A96DCD34}">
  <dimension ref="A1:AK667"/>
  <sheetViews>
    <sheetView topLeftCell="A91" workbookViewId="0"/>
  </sheetViews>
  <sheetFormatPr baseColWidth="10" defaultColWidth="11.1640625" defaultRowHeight="15" x14ac:dyDescent="0.2"/>
  <cols>
    <col min="5" max="5" width="26" bestFit="1" customWidth="1"/>
    <col min="7" max="7" width="13.83203125" bestFit="1" customWidth="1"/>
    <col min="17" max="17" width="12.5" bestFit="1" customWidth="1"/>
    <col min="19" max="19" width="12.5" bestFit="1" customWidth="1"/>
    <col min="20" max="20" width="15" style="47" bestFit="1" customWidth="1"/>
    <col min="21" max="21" width="20.1640625" bestFit="1" customWidth="1"/>
    <col min="22" max="22" width="18.1640625" bestFit="1" customWidth="1"/>
    <col min="23" max="23" width="11.5" style="47" bestFit="1" customWidth="1"/>
    <col min="24" max="24" width="8.5" style="47" bestFit="1" customWidth="1"/>
    <col min="25" max="25" width="10.5" style="47" bestFit="1" customWidth="1"/>
    <col min="26" max="26" width="18.33203125" style="47" bestFit="1" customWidth="1"/>
    <col min="27" max="27" width="8.5" style="47" bestFit="1" customWidth="1"/>
    <col min="28" max="28" width="13.1640625" style="47" bestFit="1" customWidth="1"/>
    <col min="29" max="29" width="15.6640625" style="47" bestFit="1" customWidth="1"/>
    <col min="30" max="30" width="11.5" style="47" bestFit="1" customWidth="1"/>
    <col min="31" max="35" width="11.1640625" style="47"/>
  </cols>
  <sheetData>
    <row r="1" spans="1:37" x14ac:dyDescent="0.2">
      <c r="A1" t="s">
        <v>309</v>
      </c>
      <c r="B1" t="s">
        <v>310</v>
      </c>
      <c r="C1" t="s">
        <v>181</v>
      </c>
      <c r="D1" t="s">
        <v>311</v>
      </c>
      <c r="E1" t="s">
        <v>312</v>
      </c>
      <c r="F1" t="s">
        <v>313</v>
      </c>
      <c r="G1" t="s">
        <v>314</v>
      </c>
      <c r="H1" t="s">
        <v>315</v>
      </c>
      <c r="I1" t="s">
        <v>316</v>
      </c>
      <c r="J1" t="s">
        <v>317</v>
      </c>
      <c r="K1" t="s">
        <v>318</v>
      </c>
      <c r="L1" t="s">
        <v>319</v>
      </c>
      <c r="M1" t="s">
        <v>320</v>
      </c>
      <c r="N1" t="s">
        <v>321</v>
      </c>
      <c r="O1" t="s">
        <v>322</v>
      </c>
      <c r="P1" t="s">
        <v>323</v>
      </c>
      <c r="Q1" t="s">
        <v>324</v>
      </c>
      <c r="R1" t="s">
        <v>325</v>
      </c>
      <c r="S1" t="s">
        <v>326</v>
      </c>
      <c r="T1" s="47" t="s">
        <v>328</v>
      </c>
      <c r="U1" t="s">
        <v>329</v>
      </c>
      <c r="V1" t="s">
        <v>333</v>
      </c>
      <c r="W1" s="47" t="s">
        <v>334</v>
      </c>
      <c r="X1" s="47" t="s">
        <v>335</v>
      </c>
      <c r="Y1" s="47" t="s">
        <v>336</v>
      </c>
      <c r="Z1" s="47" t="s">
        <v>337</v>
      </c>
      <c r="AA1" s="47" t="s">
        <v>338</v>
      </c>
      <c r="AB1" s="47" t="s">
        <v>339</v>
      </c>
      <c r="AC1" s="47" t="s">
        <v>340</v>
      </c>
      <c r="AD1" s="47" t="s">
        <v>341</v>
      </c>
      <c r="AE1" s="47" t="s">
        <v>342</v>
      </c>
      <c r="AF1" s="47" t="s">
        <v>343</v>
      </c>
      <c r="AG1" s="47" t="s">
        <v>344</v>
      </c>
      <c r="AH1" s="47" t="s">
        <v>345</v>
      </c>
      <c r="AI1" s="47" t="s">
        <v>724</v>
      </c>
      <c r="AJ1" t="s">
        <v>330</v>
      </c>
      <c r="AK1" t="s">
        <v>331</v>
      </c>
    </row>
    <row r="2" spans="1:37" x14ac:dyDescent="0.2">
      <c r="A2" t="s">
        <v>725</v>
      </c>
      <c r="B2" t="s">
        <v>361</v>
      </c>
      <c r="C2">
        <v>2016</v>
      </c>
      <c r="D2">
        <v>1</v>
      </c>
      <c r="E2" t="s">
        <v>726</v>
      </c>
      <c r="F2" t="s">
        <v>362</v>
      </c>
      <c r="G2">
        <v>6.6742039999999996</v>
      </c>
      <c r="H2" s="20">
        <f>IF(AND(A2=A1,F2=F1,F2="Winter wheat"),G2*0.9*'BAU Management details'!$F$46,
IF(AND(OR(A2&lt;&gt;A1,F2&lt;&gt;F1),F2="Winter wheat"),G2*'BAU Management details'!$F$46,
IF(F2="Oilseed Rape",G2*'BAU Management details'!$F$47)))</f>
        <v>57.398154399999996</v>
      </c>
      <c r="I2" t="s">
        <v>348</v>
      </c>
      <c r="J2">
        <v>10</v>
      </c>
      <c r="K2" t="s">
        <v>362</v>
      </c>
      <c r="L2" t="s">
        <v>727</v>
      </c>
      <c r="M2">
        <v>3.1</v>
      </c>
      <c r="N2" t="s">
        <v>349</v>
      </c>
      <c r="O2" t="s">
        <v>350</v>
      </c>
      <c r="P2">
        <v>7.5</v>
      </c>
      <c r="Q2" t="s">
        <v>728</v>
      </c>
      <c r="R2" t="s">
        <v>351</v>
      </c>
      <c r="S2">
        <v>220</v>
      </c>
      <c r="T2" s="47" t="s">
        <v>729</v>
      </c>
      <c r="U2" t="s">
        <v>366</v>
      </c>
      <c r="V2" t="s">
        <v>364</v>
      </c>
      <c r="W2" s="47">
        <v>0</v>
      </c>
      <c r="X2" s="47">
        <v>0</v>
      </c>
      <c r="Y2" s="47" t="s">
        <v>730</v>
      </c>
      <c r="Z2" s="47">
        <v>0</v>
      </c>
      <c r="AA2" s="47" t="s">
        <v>731</v>
      </c>
      <c r="AB2" s="47">
        <v>0</v>
      </c>
      <c r="AC2" s="47" t="s">
        <v>731</v>
      </c>
      <c r="AD2" s="47" t="s">
        <v>731</v>
      </c>
      <c r="AE2" s="47" t="s">
        <v>731</v>
      </c>
      <c r="AF2" s="47">
        <v>0</v>
      </c>
      <c r="AG2" s="47">
        <v>0</v>
      </c>
      <c r="AH2" s="47">
        <v>0</v>
      </c>
      <c r="AI2" s="47" t="s">
        <v>729</v>
      </c>
      <c r="AJ2">
        <v>1</v>
      </c>
      <c r="AK2">
        <v>100</v>
      </c>
    </row>
    <row r="3" spans="1:37" x14ac:dyDescent="0.2">
      <c r="A3" t="s">
        <v>725</v>
      </c>
      <c r="B3" t="s">
        <v>361</v>
      </c>
      <c r="C3">
        <v>2017</v>
      </c>
      <c r="D3">
        <v>2</v>
      </c>
      <c r="E3" t="s">
        <v>732</v>
      </c>
      <c r="F3" t="s">
        <v>362</v>
      </c>
      <c r="G3">
        <v>6.6742039999999996</v>
      </c>
      <c r="H3" s="20">
        <f>IF(AND(A3=A2,F3=F2,F3="Winter wheat"),G3*0.9*'BAU Management details'!$F$46,
IF(AND(OR(A3&lt;&gt;A2,F3&lt;&gt;F2),F3="Winter wheat"),G3*'BAU Management details'!$F$46,
IF(F3="Oilseed Rape",G3*'BAU Management details'!$F$47)))</f>
        <v>51.658338959999995</v>
      </c>
      <c r="I3" t="s">
        <v>348</v>
      </c>
      <c r="J3">
        <v>10</v>
      </c>
      <c r="K3" t="s">
        <v>362</v>
      </c>
      <c r="L3" t="s">
        <v>727</v>
      </c>
      <c r="M3">
        <v>3.1</v>
      </c>
      <c r="N3" t="s">
        <v>349</v>
      </c>
      <c r="O3" t="s">
        <v>350</v>
      </c>
      <c r="P3">
        <v>7.5</v>
      </c>
      <c r="Q3" t="s">
        <v>728</v>
      </c>
      <c r="R3" t="s">
        <v>351</v>
      </c>
      <c r="S3">
        <v>220</v>
      </c>
      <c r="T3" s="47" t="s">
        <v>729</v>
      </c>
      <c r="U3" t="s">
        <v>733</v>
      </c>
      <c r="V3" t="s">
        <v>364</v>
      </c>
      <c r="W3" s="47">
        <v>0</v>
      </c>
      <c r="X3" s="47">
        <v>0</v>
      </c>
      <c r="Y3" s="47" t="s">
        <v>730</v>
      </c>
      <c r="Z3" s="47">
        <v>0</v>
      </c>
      <c r="AA3" s="47" t="s">
        <v>731</v>
      </c>
      <c r="AB3" s="47">
        <v>0</v>
      </c>
      <c r="AC3" s="47">
        <v>0</v>
      </c>
      <c r="AD3" s="47">
        <v>0</v>
      </c>
      <c r="AE3" s="47" t="s">
        <v>731</v>
      </c>
      <c r="AF3" s="47">
        <v>0</v>
      </c>
      <c r="AG3" s="47">
        <v>0</v>
      </c>
      <c r="AH3" s="47">
        <v>0</v>
      </c>
      <c r="AI3" s="47" t="s">
        <v>729</v>
      </c>
      <c r="AJ3">
        <v>1</v>
      </c>
      <c r="AK3">
        <v>100</v>
      </c>
    </row>
    <row r="4" spans="1:37" x14ac:dyDescent="0.2">
      <c r="A4" t="s">
        <v>725</v>
      </c>
      <c r="B4" t="s">
        <v>361</v>
      </c>
      <c r="C4">
        <v>2018</v>
      </c>
      <c r="D4">
        <v>3</v>
      </c>
      <c r="E4" t="s">
        <v>734</v>
      </c>
      <c r="F4" t="s">
        <v>365</v>
      </c>
      <c r="G4">
        <v>6.6742039999999996</v>
      </c>
      <c r="H4" s="20">
        <f>IF(AND(A4=A3,F4=F3,F4="Winter wheat"),G4*0.9*'BAU Management details'!$F$46,
IF(AND(OR(A4&lt;&gt;A3,F4&lt;&gt;F3),F4="Winter wheat"),G4*'BAU Management details'!$F$46,
IF(F4="Oilseed Rape",G4*'BAU Management details'!$F$47)))</f>
        <v>23.359713999999997</v>
      </c>
      <c r="I4" t="s">
        <v>348</v>
      </c>
      <c r="J4">
        <v>10</v>
      </c>
      <c r="K4" t="s">
        <v>532</v>
      </c>
      <c r="L4" t="s">
        <v>727</v>
      </c>
      <c r="M4">
        <v>3.1</v>
      </c>
      <c r="N4" t="s">
        <v>349</v>
      </c>
      <c r="O4" t="s">
        <v>350</v>
      </c>
      <c r="P4">
        <v>7.5</v>
      </c>
      <c r="Q4" t="s">
        <v>728</v>
      </c>
      <c r="R4" t="s">
        <v>351</v>
      </c>
      <c r="S4">
        <v>220</v>
      </c>
      <c r="T4" s="47" t="s">
        <v>735</v>
      </c>
      <c r="U4" t="s">
        <v>368</v>
      </c>
      <c r="V4" t="s">
        <v>364</v>
      </c>
      <c r="W4" s="47">
        <v>0</v>
      </c>
      <c r="X4" s="47">
        <v>0</v>
      </c>
      <c r="Y4" s="47" t="s">
        <v>736</v>
      </c>
      <c r="Z4" s="47">
        <v>0</v>
      </c>
      <c r="AA4" s="47" t="s">
        <v>736</v>
      </c>
      <c r="AB4" s="47">
        <v>0</v>
      </c>
      <c r="AC4" s="47">
        <v>0</v>
      </c>
      <c r="AD4" s="47">
        <v>0</v>
      </c>
      <c r="AE4" s="47" t="s">
        <v>731</v>
      </c>
      <c r="AF4" s="47">
        <v>0</v>
      </c>
      <c r="AG4" s="47" t="s">
        <v>731</v>
      </c>
      <c r="AH4" s="47">
        <v>0</v>
      </c>
      <c r="AI4" s="47" t="s">
        <v>735</v>
      </c>
      <c r="AJ4">
        <v>1</v>
      </c>
      <c r="AK4">
        <v>100</v>
      </c>
    </row>
    <row r="5" spans="1:37" x14ac:dyDescent="0.2">
      <c r="A5" t="s">
        <v>725</v>
      </c>
      <c r="B5" t="s">
        <v>361</v>
      </c>
      <c r="C5">
        <v>2019</v>
      </c>
      <c r="D5">
        <v>4</v>
      </c>
      <c r="E5" t="s">
        <v>737</v>
      </c>
      <c r="F5" t="s">
        <v>362</v>
      </c>
      <c r="G5">
        <v>6.6742039999999996</v>
      </c>
      <c r="H5" s="20">
        <f>IF(AND(A5=A4,F5=F4,F5="Winter wheat"),G5*0.9*'BAU Management details'!$F$46,
IF(AND(OR(A5&lt;&gt;A4,F5&lt;&gt;F4),F5="Winter wheat"),G5*'BAU Management details'!$F$46,
IF(F5="Oilseed Rape",G5*'BAU Management details'!$F$47)))</f>
        <v>57.398154399999996</v>
      </c>
      <c r="I5" t="s">
        <v>348</v>
      </c>
      <c r="J5">
        <v>10</v>
      </c>
      <c r="K5" t="s">
        <v>362</v>
      </c>
      <c r="L5" t="s">
        <v>727</v>
      </c>
      <c r="M5">
        <v>3.1</v>
      </c>
      <c r="N5" t="s">
        <v>349</v>
      </c>
      <c r="O5" t="s">
        <v>350</v>
      </c>
      <c r="P5">
        <v>7.5</v>
      </c>
      <c r="Q5" t="s">
        <v>728</v>
      </c>
      <c r="R5" t="s">
        <v>351</v>
      </c>
      <c r="S5">
        <v>220</v>
      </c>
      <c r="T5" s="47" t="s">
        <v>729</v>
      </c>
      <c r="U5" t="s">
        <v>366</v>
      </c>
      <c r="V5" t="s">
        <v>364</v>
      </c>
      <c r="W5" s="47" t="s">
        <v>736</v>
      </c>
      <c r="X5" s="47">
        <v>0</v>
      </c>
      <c r="Y5" s="47" t="s">
        <v>730</v>
      </c>
      <c r="Z5" s="47">
        <v>0</v>
      </c>
      <c r="AA5" s="47" t="s">
        <v>731</v>
      </c>
      <c r="AB5" s="47">
        <v>0</v>
      </c>
      <c r="AC5" s="47" t="s">
        <v>731</v>
      </c>
      <c r="AD5" s="47" t="s">
        <v>731</v>
      </c>
      <c r="AE5" s="47" t="s">
        <v>731</v>
      </c>
      <c r="AF5" s="47">
        <v>0</v>
      </c>
      <c r="AG5" s="47">
        <v>0</v>
      </c>
      <c r="AH5" s="47">
        <v>0</v>
      </c>
      <c r="AI5" s="47" t="s">
        <v>729</v>
      </c>
      <c r="AJ5">
        <v>1</v>
      </c>
      <c r="AK5">
        <v>100</v>
      </c>
    </row>
    <row r="6" spans="1:37" x14ac:dyDescent="0.2">
      <c r="A6" t="s">
        <v>725</v>
      </c>
      <c r="B6" t="s">
        <v>361</v>
      </c>
      <c r="C6">
        <v>2020</v>
      </c>
      <c r="D6">
        <v>5</v>
      </c>
      <c r="E6" t="s">
        <v>738</v>
      </c>
      <c r="F6" t="s">
        <v>362</v>
      </c>
      <c r="G6">
        <v>6.6742039999999996</v>
      </c>
      <c r="H6" s="20">
        <f>IF(AND(A6=A5,F6=F5,F6="Winter wheat"),G6*0.9*'BAU Management details'!$F$46,
IF(AND(OR(A6&lt;&gt;A5,F6&lt;&gt;F5),F6="Winter wheat"),G6*'BAU Management details'!$F$46,
IF(F6="Oilseed Rape",G6*'BAU Management details'!$F$47)))</f>
        <v>51.658338959999995</v>
      </c>
      <c r="I6" t="s">
        <v>348</v>
      </c>
      <c r="J6">
        <v>10</v>
      </c>
      <c r="K6" t="s">
        <v>362</v>
      </c>
      <c r="L6" t="s">
        <v>727</v>
      </c>
      <c r="M6">
        <v>3.1</v>
      </c>
      <c r="N6" t="s">
        <v>349</v>
      </c>
      <c r="O6" t="s">
        <v>350</v>
      </c>
      <c r="P6">
        <v>7.5</v>
      </c>
      <c r="Q6" t="s">
        <v>728</v>
      </c>
      <c r="R6" t="s">
        <v>351</v>
      </c>
      <c r="S6">
        <v>220</v>
      </c>
      <c r="T6" s="47" t="s">
        <v>729</v>
      </c>
      <c r="U6" t="s">
        <v>733</v>
      </c>
      <c r="V6" t="s">
        <v>364</v>
      </c>
      <c r="W6" s="47" t="s">
        <v>736</v>
      </c>
      <c r="X6" s="47">
        <v>0</v>
      </c>
      <c r="Y6" s="47" t="s">
        <v>730</v>
      </c>
      <c r="Z6" s="47">
        <v>0</v>
      </c>
      <c r="AA6" s="47" t="s">
        <v>731</v>
      </c>
      <c r="AB6" s="47">
        <v>0</v>
      </c>
      <c r="AC6" s="47">
        <v>0</v>
      </c>
      <c r="AD6" s="47">
        <v>0</v>
      </c>
      <c r="AE6" s="47" t="s">
        <v>731</v>
      </c>
      <c r="AF6" s="47">
        <v>0</v>
      </c>
      <c r="AG6" s="47">
        <v>0</v>
      </c>
      <c r="AH6" s="47">
        <v>0</v>
      </c>
      <c r="AI6" s="47" t="s">
        <v>729</v>
      </c>
      <c r="AJ6">
        <v>1</v>
      </c>
      <c r="AK6">
        <v>100</v>
      </c>
    </row>
    <row r="7" spans="1:37" x14ac:dyDescent="0.2">
      <c r="A7" t="s">
        <v>725</v>
      </c>
      <c r="B7" t="s">
        <v>361</v>
      </c>
      <c r="C7">
        <v>2021</v>
      </c>
      <c r="D7">
        <v>6</v>
      </c>
      <c r="E7" t="s">
        <v>739</v>
      </c>
      <c r="F7" t="s">
        <v>365</v>
      </c>
      <c r="G7">
        <v>6.6742039999999996</v>
      </c>
      <c r="H7" s="20">
        <f>IF(AND(A7=A6,F7=F6,F7="Winter wheat"),G7*0.9*'BAU Management details'!$F$46,
IF(AND(OR(A7&lt;&gt;A6,F7&lt;&gt;F6),F7="Winter wheat"),G7*'BAU Management details'!$F$46,
IF(F7="Oilseed Rape",G7*'BAU Management details'!$F$47)))</f>
        <v>23.359713999999997</v>
      </c>
      <c r="I7" t="s">
        <v>348</v>
      </c>
      <c r="J7">
        <v>10</v>
      </c>
      <c r="K7" t="s">
        <v>532</v>
      </c>
      <c r="L7" t="s">
        <v>727</v>
      </c>
      <c r="M7">
        <v>3.1</v>
      </c>
      <c r="N7" t="s">
        <v>349</v>
      </c>
      <c r="O7" t="s">
        <v>350</v>
      </c>
      <c r="P7">
        <v>7.5</v>
      </c>
      <c r="Q7" t="s">
        <v>728</v>
      </c>
      <c r="R7" t="s">
        <v>351</v>
      </c>
      <c r="S7">
        <v>220</v>
      </c>
      <c r="T7" s="47" t="s">
        <v>735</v>
      </c>
      <c r="U7" t="s">
        <v>368</v>
      </c>
      <c r="V7" t="s">
        <v>364</v>
      </c>
      <c r="W7" s="47" t="s">
        <v>736</v>
      </c>
      <c r="X7" s="47">
        <v>0</v>
      </c>
      <c r="Y7" s="47" t="s">
        <v>736</v>
      </c>
      <c r="Z7" s="47">
        <v>0</v>
      </c>
      <c r="AA7" s="47" t="s">
        <v>736</v>
      </c>
      <c r="AB7" s="47">
        <v>0</v>
      </c>
      <c r="AC7" s="47">
        <v>0</v>
      </c>
      <c r="AD7" s="47">
        <v>0</v>
      </c>
      <c r="AE7" s="47" t="s">
        <v>731</v>
      </c>
      <c r="AF7" s="47">
        <v>0</v>
      </c>
      <c r="AG7" s="47" t="s">
        <v>731</v>
      </c>
      <c r="AH7" s="47">
        <v>0</v>
      </c>
      <c r="AI7" s="47" t="s">
        <v>735</v>
      </c>
      <c r="AJ7">
        <v>1</v>
      </c>
      <c r="AK7">
        <v>100</v>
      </c>
    </row>
    <row r="8" spans="1:37" x14ac:dyDescent="0.2">
      <c r="A8" t="s">
        <v>740</v>
      </c>
      <c r="B8" t="s">
        <v>361</v>
      </c>
      <c r="C8">
        <v>2016</v>
      </c>
      <c r="D8">
        <v>1</v>
      </c>
      <c r="E8" t="s">
        <v>741</v>
      </c>
      <c r="F8" t="s">
        <v>362</v>
      </c>
      <c r="G8">
        <v>10.217492</v>
      </c>
      <c r="H8" s="20">
        <f>IF(AND(A8=A7,F8=F7,F8="Winter wheat"),G8*0.9*'BAU Management details'!$F$46,
IF(AND(OR(A8&lt;&gt;A7,F8&lt;&gt;F7),F8="Winter wheat"),G8*'BAU Management details'!$F$46,
IF(F8="Oilseed Rape",G8*'BAU Management details'!$F$47)))</f>
        <v>87.870431199999999</v>
      </c>
      <c r="I8" t="s">
        <v>348</v>
      </c>
      <c r="J8">
        <v>10</v>
      </c>
      <c r="K8" t="s">
        <v>362</v>
      </c>
      <c r="L8" t="s">
        <v>727</v>
      </c>
      <c r="M8">
        <v>2.9</v>
      </c>
      <c r="N8" t="s">
        <v>349</v>
      </c>
      <c r="O8" t="s">
        <v>742</v>
      </c>
      <c r="P8">
        <v>6.3</v>
      </c>
      <c r="Q8" t="s">
        <v>743</v>
      </c>
      <c r="R8" t="s">
        <v>351</v>
      </c>
      <c r="S8">
        <v>220</v>
      </c>
      <c r="T8" s="47" t="s">
        <v>729</v>
      </c>
      <c r="U8" t="s">
        <v>366</v>
      </c>
      <c r="V8" t="s">
        <v>364</v>
      </c>
      <c r="W8" s="47" t="s">
        <v>736</v>
      </c>
      <c r="X8" s="47">
        <v>0</v>
      </c>
      <c r="Y8" s="47" t="s">
        <v>730</v>
      </c>
      <c r="Z8" s="47">
        <v>0</v>
      </c>
      <c r="AA8" s="47" t="s">
        <v>731</v>
      </c>
      <c r="AB8" s="47">
        <v>0</v>
      </c>
      <c r="AC8" s="47" t="s">
        <v>731</v>
      </c>
      <c r="AD8" s="47" t="s">
        <v>731</v>
      </c>
      <c r="AE8" s="47" t="s">
        <v>731</v>
      </c>
      <c r="AF8" s="47">
        <v>0</v>
      </c>
      <c r="AG8" s="47">
        <v>0</v>
      </c>
      <c r="AH8" s="47">
        <v>0</v>
      </c>
      <c r="AI8" s="47" t="s">
        <v>729</v>
      </c>
      <c r="AJ8">
        <v>1</v>
      </c>
      <c r="AK8">
        <v>100</v>
      </c>
    </row>
    <row r="9" spans="1:37" x14ac:dyDescent="0.2">
      <c r="A9" t="s">
        <v>740</v>
      </c>
      <c r="B9" t="s">
        <v>361</v>
      </c>
      <c r="C9">
        <v>2017</v>
      </c>
      <c r="D9">
        <v>2</v>
      </c>
      <c r="E9" t="s">
        <v>744</v>
      </c>
      <c r="F9" t="s">
        <v>362</v>
      </c>
      <c r="G9">
        <v>10.217492</v>
      </c>
      <c r="H9" s="20">
        <f>IF(AND(A9=A8,F9=F8,F9="Winter wheat"),G9*0.9*'BAU Management details'!$F$46,
IF(AND(OR(A9&lt;&gt;A8,F9&lt;&gt;F8),F9="Winter wheat"),G9*'BAU Management details'!$F$46,
IF(F9="Oilseed Rape",G9*'BAU Management details'!$F$47)))</f>
        <v>79.083388079999992</v>
      </c>
      <c r="I9" t="s">
        <v>348</v>
      </c>
      <c r="J9">
        <v>10</v>
      </c>
      <c r="K9" t="s">
        <v>362</v>
      </c>
      <c r="L9" t="s">
        <v>727</v>
      </c>
      <c r="M9">
        <v>2.9</v>
      </c>
      <c r="N9" t="s">
        <v>349</v>
      </c>
      <c r="O9" t="s">
        <v>742</v>
      </c>
      <c r="P9">
        <v>6.3</v>
      </c>
      <c r="Q9" t="s">
        <v>743</v>
      </c>
      <c r="R9" t="s">
        <v>351</v>
      </c>
      <c r="S9">
        <v>220</v>
      </c>
      <c r="T9" s="47" t="s">
        <v>729</v>
      </c>
      <c r="U9" t="s">
        <v>733</v>
      </c>
      <c r="V9" t="s">
        <v>364</v>
      </c>
      <c r="W9" s="47" t="s">
        <v>736</v>
      </c>
      <c r="X9" s="47">
        <v>0</v>
      </c>
      <c r="Y9" s="47" t="s">
        <v>730</v>
      </c>
      <c r="Z9" s="47">
        <v>0</v>
      </c>
      <c r="AA9" s="47" t="s">
        <v>731</v>
      </c>
      <c r="AB9" s="47">
        <v>0</v>
      </c>
      <c r="AC9" s="47">
        <v>0</v>
      </c>
      <c r="AD9" s="47">
        <v>0</v>
      </c>
      <c r="AE9" s="47" t="s">
        <v>731</v>
      </c>
      <c r="AF9" s="47">
        <v>0</v>
      </c>
      <c r="AG9" s="47">
        <v>0</v>
      </c>
      <c r="AH9" s="47">
        <v>0</v>
      </c>
      <c r="AI9" s="47" t="s">
        <v>729</v>
      </c>
      <c r="AJ9">
        <v>1</v>
      </c>
      <c r="AK9">
        <v>100</v>
      </c>
    </row>
    <row r="10" spans="1:37" x14ac:dyDescent="0.2">
      <c r="A10" t="s">
        <v>740</v>
      </c>
      <c r="B10" t="s">
        <v>361</v>
      </c>
      <c r="C10">
        <v>2018</v>
      </c>
      <c r="D10">
        <v>3</v>
      </c>
      <c r="E10" t="s">
        <v>745</v>
      </c>
      <c r="F10" t="s">
        <v>365</v>
      </c>
      <c r="G10">
        <v>10.217492</v>
      </c>
      <c r="H10" s="20">
        <f>IF(AND(A10=A9,F10=F9,F10="Winter wheat"),G10*0.9*'BAU Management details'!$F$46,
IF(AND(OR(A10&lt;&gt;A9,F10&lt;&gt;F9),F10="Winter wheat"),G10*'BAU Management details'!$F$46,
IF(F10="Oilseed Rape",G10*'BAU Management details'!$F$47)))</f>
        <v>35.761222000000004</v>
      </c>
      <c r="I10" t="s">
        <v>348</v>
      </c>
      <c r="J10">
        <v>10</v>
      </c>
      <c r="K10" t="s">
        <v>532</v>
      </c>
      <c r="L10" t="s">
        <v>727</v>
      </c>
      <c r="M10">
        <v>2.9</v>
      </c>
      <c r="N10" t="s">
        <v>349</v>
      </c>
      <c r="O10" t="s">
        <v>742</v>
      </c>
      <c r="P10">
        <v>6.3</v>
      </c>
      <c r="Q10" t="s">
        <v>743</v>
      </c>
      <c r="R10" t="s">
        <v>351</v>
      </c>
      <c r="S10">
        <v>220</v>
      </c>
      <c r="T10" s="47" t="s">
        <v>735</v>
      </c>
      <c r="U10" t="s">
        <v>368</v>
      </c>
      <c r="V10" t="s">
        <v>364</v>
      </c>
      <c r="W10" s="47" t="s">
        <v>736</v>
      </c>
      <c r="X10" s="47">
        <v>0</v>
      </c>
      <c r="Y10" s="47" t="s">
        <v>736</v>
      </c>
      <c r="Z10" s="47">
        <v>0</v>
      </c>
      <c r="AA10" s="47" t="s">
        <v>736</v>
      </c>
      <c r="AB10" s="47">
        <v>0</v>
      </c>
      <c r="AC10" s="47">
        <v>0</v>
      </c>
      <c r="AD10" s="47">
        <v>0</v>
      </c>
      <c r="AE10" s="47" t="s">
        <v>731</v>
      </c>
      <c r="AF10" s="47">
        <v>0</v>
      </c>
      <c r="AG10" s="47" t="s">
        <v>731</v>
      </c>
      <c r="AH10" s="47">
        <v>0</v>
      </c>
      <c r="AI10" s="47" t="s">
        <v>735</v>
      </c>
      <c r="AJ10">
        <v>1</v>
      </c>
      <c r="AK10">
        <v>100</v>
      </c>
    </row>
    <row r="11" spans="1:37" x14ac:dyDescent="0.2">
      <c r="A11" t="s">
        <v>740</v>
      </c>
      <c r="B11" t="s">
        <v>361</v>
      </c>
      <c r="C11">
        <v>2019</v>
      </c>
      <c r="D11">
        <v>4</v>
      </c>
      <c r="E11" t="s">
        <v>746</v>
      </c>
      <c r="F11" t="s">
        <v>362</v>
      </c>
      <c r="G11">
        <v>10.217492</v>
      </c>
      <c r="H11" s="20">
        <f>IF(AND(A11=A10,F11=F10,F11="Winter wheat"),G11*0.9*'BAU Management details'!$F$46,
IF(AND(OR(A11&lt;&gt;A10,F11&lt;&gt;F10),F11="Winter wheat"),G11*'BAU Management details'!$F$46,
IF(F11="Oilseed Rape",G11*'BAU Management details'!$F$47)))</f>
        <v>87.870431199999999</v>
      </c>
      <c r="I11" t="s">
        <v>348</v>
      </c>
      <c r="J11">
        <v>10</v>
      </c>
      <c r="K11" t="s">
        <v>362</v>
      </c>
      <c r="L11" t="s">
        <v>727</v>
      </c>
      <c r="M11">
        <v>2.9</v>
      </c>
      <c r="N11" t="s">
        <v>349</v>
      </c>
      <c r="O11" t="s">
        <v>742</v>
      </c>
      <c r="P11">
        <v>6.3</v>
      </c>
      <c r="Q11" t="s">
        <v>743</v>
      </c>
      <c r="R11" t="s">
        <v>351</v>
      </c>
      <c r="S11">
        <v>220</v>
      </c>
      <c r="T11" s="47" t="s">
        <v>729</v>
      </c>
      <c r="U11" t="s">
        <v>366</v>
      </c>
      <c r="V11" t="s">
        <v>364</v>
      </c>
      <c r="W11" s="47" t="s">
        <v>736</v>
      </c>
      <c r="X11" s="47">
        <v>0</v>
      </c>
      <c r="Y11" s="47" t="s">
        <v>730</v>
      </c>
      <c r="Z11" s="47">
        <v>0</v>
      </c>
      <c r="AA11" s="47" t="s">
        <v>731</v>
      </c>
      <c r="AB11" s="47">
        <v>0</v>
      </c>
      <c r="AC11" s="47" t="s">
        <v>731</v>
      </c>
      <c r="AD11" s="47" t="s">
        <v>731</v>
      </c>
      <c r="AE11" s="47" t="s">
        <v>731</v>
      </c>
      <c r="AF11" s="47">
        <v>0</v>
      </c>
      <c r="AG11" s="47">
        <v>0</v>
      </c>
      <c r="AH11" s="47">
        <v>0</v>
      </c>
      <c r="AI11" s="47" t="s">
        <v>729</v>
      </c>
      <c r="AJ11">
        <v>1</v>
      </c>
      <c r="AK11">
        <v>100</v>
      </c>
    </row>
    <row r="12" spans="1:37" x14ac:dyDescent="0.2">
      <c r="A12" t="s">
        <v>740</v>
      </c>
      <c r="B12" t="s">
        <v>361</v>
      </c>
      <c r="C12">
        <v>2020</v>
      </c>
      <c r="D12">
        <v>5</v>
      </c>
      <c r="E12" t="s">
        <v>747</v>
      </c>
      <c r="F12" t="s">
        <v>362</v>
      </c>
      <c r="G12">
        <v>10.217492</v>
      </c>
      <c r="H12" s="20">
        <f>IF(AND(A12=A11,F12=F11,F12="Winter wheat"),G12*0.9*'BAU Management details'!$F$46,
IF(AND(OR(A12&lt;&gt;A11,F12&lt;&gt;F11),F12="Winter wheat"),G12*'BAU Management details'!$F$46,
IF(F12="Oilseed Rape",G12*'BAU Management details'!$F$47)))</f>
        <v>79.083388079999992</v>
      </c>
      <c r="I12" t="s">
        <v>348</v>
      </c>
      <c r="J12">
        <v>10</v>
      </c>
      <c r="K12" t="s">
        <v>362</v>
      </c>
      <c r="L12" t="s">
        <v>727</v>
      </c>
      <c r="M12">
        <v>2.9</v>
      </c>
      <c r="N12" t="s">
        <v>349</v>
      </c>
      <c r="O12" t="s">
        <v>742</v>
      </c>
      <c r="P12">
        <v>6.3</v>
      </c>
      <c r="Q12" t="s">
        <v>743</v>
      </c>
      <c r="R12" t="s">
        <v>351</v>
      </c>
      <c r="S12">
        <v>220</v>
      </c>
      <c r="T12" s="47" t="s">
        <v>729</v>
      </c>
      <c r="U12" t="s">
        <v>733</v>
      </c>
      <c r="V12" t="s">
        <v>364</v>
      </c>
      <c r="W12" s="47" t="s">
        <v>736</v>
      </c>
      <c r="X12" s="47">
        <v>0</v>
      </c>
      <c r="Y12" s="47" t="s">
        <v>730</v>
      </c>
      <c r="Z12" s="47">
        <v>0</v>
      </c>
      <c r="AA12" s="47" t="s">
        <v>731</v>
      </c>
      <c r="AB12" s="47">
        <v>0</v>
      </c>
      <c r="AC12" s="47">
        <v>0</v>
      </c>
      <c r="AD12" s="47">
        <v>0</v>
      </c>
      <c r="AE12" s="47" t="s">
        <v>731</v>
      </c>
      <c r="AF12" s="47">
        <v>0</v>
      </c>
      <c r="AG12" s="47">
        <v>0</v>
      </c>
      <c r="AH12" s="47">
        <v>0</v>
      </c>
      <c r="AI12" s="47" t="s">
        <v>729</v>
      </c>
      <c r="AJ12">
        <v>1</v>
      </c>
      <c r="AK12">
        <v>100</v>
      </c>
    </row>
    <row r="13" spans="1:37" x14ac:dyDescent="0.2">
      <c r="A13" t="s">
        <v>740</v>
      </c>
      <c r="B13" t="s">
        <v>361</v>
      </c>
      <c r="C13">
        <v>2021</v>
      </c>
      <c r="D13">
        <v>6</v>
      </c>
      <c r="E13" t="s">
        <v>748</v>
      </c>
      <c r="F13" t="s">
        <v>365</v>
      </c>
      <c r="G13">
        <v>10.217492</v>
      </c>
      <c r="H13" s="20">
        <f>IF(AND(A13=A12,F13=F12,F13="Winter wheat"),G13*0.9*'BAU Management details'!$F$46,
IF(AND(OR(A13&lt;&gt;A12,F13&lt;&gt;F12),F13="Winter wheat"),G13*'BAU Management details'!$F$46,
IF(F13="Oilseed Rape",G13*'BAU Management details'!$F$47)))</f>
        <v>35.761222000000004</v>
      </c>
      <c r="I13" t="s">
        <v>348</v>
      </c>
      <c r="J13">
        <v>10</v>
      </c>
      <c r="K13" t="s">
        <v>532</v>
      </c>
      <c r="L13" t="s">
        <v>727</v>
      </c>
      <c r="M13">
        <v>2.9</v>
      </c>
      <c r="N13" t="s">
        <v>349</v>
      </c>
      <c r="O13" t="s">
        <v>742</v>
      </c>
      <c r="P13">
        <v>6.3</v>
      </c>
      <c r="Q13" t="s">
        <v>743</v>
      </c>
      <c r="R13" t="s">
        <v>351</v>
      </c>
      <c r="S13">
        <v>220</v>
      </c>
      <c r="T13" s="47" t="s">
        <v>735</v>
      </c>
      <c r="U13" t="s">
        <v>368</v>
      </c>
      <c r="V13" t="s">
        <v>364</v>
      </c>
      <c r="W13" s="47" t="s">
        <v>736</v>
      </c>
      <c r="X13" s="47">
        <v>0</v>
      </c>
      <c r="Y13" s="47" t="s">
        <v>736</v>
      </c>
      <c r="Z13" s="47">
        <v>0</v>
      </c>
      <c r="AA13" s="47" t="s">
        <v>736</v>
      </c>
      <c r="AB13" s="47">
        <v>0</v>
      </c>
      <c r="AC13" s="47">
        <v>0</v>
      </c>
      <c r="AD13" s="47">
        <v>0</v>
      </c>
      <c r="AE13" s="47" t="s">
        <v>731</v>
      </c>
      <c r="AF13" s="47">
        <v>0</v>
      </c>
      <c r="AG13" s="47" t="s">
        <v>731</v>
      </c>
      <c r="AH13" s="47">
        <v>0</v>
      </c>
      <c r="AI13" s="47" t="s">
        <v>735</v>
      </c>
      <c r="AJ13">
        <v>1</v>
      </c>
      <c r="AK13">
        <v>100</v>
      </c>
    </row>
    <row r="14" spans="1:37" x14ac:dyDescent="0.2">
      <c r="A14" t="s">
        <v>749</v>
      </c>
      <c r="B14" t="s">
        <v>361</v>
      </c>
      <c r="C14">
        <v>2016</v>
      </c>
      <c r="D14">
        <v>1</v>
      </c>
      <c r="E14" t="s">
        <v>750</v>
      </c>
      <c r="F14" t="s">
        <v>362</v>
      </c>
      <c r="G14">
        <v>7.8269960000000003</v>
      </c>
      <c r="H14" s="20">
        <f>IF(AND(A14=A13,F14=F13,F14="Winter wheat"),G14*0.9*'BAU Management details'!$F$46,
IF(AND(OR(A14&lt;&gt;A13,F14&lt;&gt;F13),F14="Winter wheat"),G14*'BAU Management details'!$F$46,
IF(F14="Oilseed Rape",G14*'BAU Management details'!$F$47)))</f>
        <v>67.3121656</v>
      </c>
      <c r="I14" t="s">
        <v>348</v>
      </c>
      <c r="J14">
        <v>10</v>
      </c>
      <c r="K14" t="s">
        <v>362</v>
      </c>
      <c r="L14" t="s">
        <v>751</v>
      </c>
      <c r="M14">
        <v>2.9</v>
      </c>
      <c r="N14" t="s">
        <v>349</v>
      </c>
      <c r="O14" t="s">
        <v>350</v>
      </c>
      <c r="P14">
        <v>7.7</v>
      </c>
      <c r="Q14" t="s">
        <v>728</v>
      </c>
      <c r="R14" t="s">
        <v>351</v>
      </c>
      <c r="S14">
        <v>220</v>
      </c>
      <c r="T14" s="47" t="s">
        <v>729</v>
      </c>
      <c r="U14" t="s">
        <v>366</v>
      </c>
      <c r="V14" t="s">
        <v>364</v>
      </c>
      <c r="W14" s="47" t="s">
        <v>736</v>
      </c>
      <c r="X14" s="47">
        <v>0</v>
      </c>
      <c r="Y14" s="47" t="s">
        <v>730</v>
      </c>
      <c r="Z14" s="47">
        <v>0</v>
      </c>
      <c r="AA14" s="47" t="s">
        <v>731</v>
      </c>
      <c r="AB14" s="47">
        <v>0</v>
      </c>
      <c r="AC14" s="47" t="s">
        <v>731</v>
      </c>
      <c r="AD14" s="47" t="s">
        <v>731</v>
      </c>
      <c r="AE14" s="47" t="s">
        <v>731</v>
      </c>
      <c r="AF14" s="47">
        <v>0</v>
      </c>
      <c r="AG14" s="47">
        <v>0</v>
      </c>
      <c r="AH14" s="47">
        <v>0</v>
      </c>
      <c r="AI14" s="47" t="s">
        <v>729</v>
      </c>
      <c r="AJ14">
        <v>1</v>
      </c>
      <c r="AK14">
        <v>100</v>
      </c>
    </row>
    <row r="15" spans="1:37" x14ac:dyDescent="0.2">
      <c r="A15" t="s">
        <v>749</v>
      </c>
      <c r="B15" t="s">
        <v>361</v>
      </c>
      <c r="C15">
        <v>2017</v>
      </c>
      <c r="D15">
        <v>2</v>
      </c>
      <c r="E15" t="s">
        <v>752</v>
      </c>
      <c r="F15" t="s">
        <v>362</v>
      </c>
      <c r="G15">
        <v>7.8269960000000003</v>
      </c>
      <c r="H15" s="20">
        <f>IF(AND(A15=A14,F15=F14,F15="Winter wheat"),G15*0.9*'BAU Management details'!$F$46,
IF(AND(OR(A15&lt;&gt;A14,F15&lt;&gt;F14),F15="Winter wheat"),G15*'BAU Management details'!$F$46,
IF(F15="Oilseed Rape",G15*'BAU Management details'!$F$47)))</f>
        <v>60.58094904</v>
      </c>
      <c r="I15" t="s">
        <v>348</v>
      </c>
      <c r="J15">
        <v>10</v>
      </c>
      <c r="K15" t="s">
        <v>362</v>
      </c>
      <c r="L15" t="s">
        <v>751</v>
      </c>
      <c r="M15">
        <v>2.9</v>
      </c>
      <c r="N15" t="s">
        <v>349</v>
      </c>
      <c r="O15" t="s">
        <v>350</v>
      </c>
      <c r="P15">
        <v>7.7</v>
      </c>
      <c r="Q15" t="s">
        <v>728</v>
      </c>
      <c r="R15" t="s">
        <v>351</v>
      </c>
      <c r="S15">
        <v>220</v>
      </c>
      <c r="T15" s="47" t="s">
        <v>729</v>
      </c>
      <c r="U15" t="s">
        <v>733</v>
      </c>
      <c r="V15" t="s">
        <v>364</v>
      </c>
      <c r="W15" s="47" t="s">
        <v>736</v>
      </c>
      <c r="X15" s="47">
        <v>0</v>
      </c>
      <c r="Y15" s="47" t="s">
        <v>730</v>
      </c>
      <c r="Z15" s="47">
        <v>0</v>
      </c>
      <c r="AA15" s="47" t="s">
        <v>731</v>
      </c>
      <c r="AB15" s="47">
        <v>0</v>
      </c>
      <c r="AC15" s="47">
        <v>0</v>
      </c>
      <c r="AD15" s="47">
        <v>0</v>
      </c>
      <c r="AE15" s="47" t="s">
        <v>731</v>
      </c>
      <c r="AF15" s="47">
        <v>0</v>
      </c>
      <c r="AG15" s="47">
        <v>0</v>
      </c>
      <c r="AH15" s="47">
        <v>0</v>
      </c>
      <c r="AI15" s="47" t="s">
        <v>729</v>
      </c>
      <c r="AJ15">
        <v>1</v>
      </c>
      <c r="AK15">
        <v>100</v>
      </c>
    </row>
    <row r="16" spans="1:37" x14ac:dyDescent="0.2">
      <c r="A16" t="s">
        <v>749</v>
      </c>
      <c r="B16" t="s">
        <v>361</v>
      </c>
      <c r="C16">
        <v>2018</v>
      </c>
      <c r="D16">
        <v>3</v>
      </c>
      <c r="E16" t="s">
        <v>753</v>
      </c>
      <c r="F16" t="s">
        <v>365</v>
      </c>
      <c r="G16">
        <v>7.8269960000000003</v>
      </c>
      <c r="H16" s="20">
        <f>IF(AND(A16=A15,F16=F15,F16="Winter wheat"),G16*0.9*'BAU Management details'!$F$46,
IF(AND(OR(A16&lt;&gt;A15,F16&lt;&gt;F15),F16="Winter wheat"),G16*'BAU Management details'!$F$46,
IF(F16="Oilseed Rape",G16*'BAU Management details'!$F$47)))</f>
        <v>27.394486000000001</v>
      </c>
      <c r="I16" t="s">
        <v>348</v>
      </c>
      <c r="J16">
        <v>10</v>
      </c>
      <c r="K16" t="s">
        <v>532</v>
      </c>
      <c r="L16" t="s">
        <v>751</v>
      </c>
      <c r="M16">
        <v>2.9</v>
      </c>
      <c r="N16" t="s">
        <v>349</v>
      </c>
      <c r="O16" t="s">
        <v>350</v>
      </c>
      <c r="P16">
        <v>7.7</v>
      </c>
      <c r="Q16" t="s">
        <v>728</v>
      </c>
      <c r="R16" t="s">
        <v>351</v>
      </c>
      <c r="S16">
        <v>220</v>
      </c>
      <c r="T16" s="47" t="s">
        <v>735</v>
      </c>
      <c r="U16" t="s">
        <v>368</v>
      </c>
      <c r="V16" t="s">
        <v>364</v>
      </c>
      <c r="W16" s="47" t="s">
        <v>736</v>
      </c>
      <c r="X16" s="47">
        <v>0</v>
      </c>
      <c r="Y16" s="47" t="s">
        <v>736</v>
      </c>
      <c r="Z16" s="47">
        <v>0</v>
      </c>
      <c r="AA16" s="47" t="s">
        <v>736</v>
      </c>
      <c r="AB16" s="47">
        <v>0</v>
      </c>
      <c r="AC16" s="47">
        <v>0</v>
      </c>
      <c r="AD16" s="47">
        <v>0</v>
      </c>
      <c r="AE16" s="47" t="s">
        <v>731</v>
      </c>
      <c r="AF16" s="47">
        <v>0</v>
      </c>
      <c r="AG16" s="47" t="s">
        <v>731</v>
      </c>
      <c r="AH16" s="47">
        <v>0</v>
      </c>
      <c r="AI16" s="47" t="s">
        <v>735</v>
      </c>
      <c r="AJ16">
        <v>1</v>
      </c>
      <c r="AK16">
        <v>100</v>
      </c>
    </row>
    <row r="17" spans="1:37" x14ac:dyDescent="0.2">
      <c r="A17" t="s">
        <v>749</v>
      </c>
      <c r="B17" t="s">
        <v>361</v>
      </c>
      <c r="C17">
        <v>2019</v>
      </c>
      <c r="D17">
        <v>4</v>
      </c>
      <c r="E17" t="s">
        <v>754</v>
      </c>
      <c r="F17" t="s">
        <v>362</v>
      </c>
      <c r="G17">
        <v>7.8269960000000003</v>
      </c>
      <c r="H17" s="20">
        <f>IF(AND(A17=A16,F17=F16,F17="Winter wheat"),G17*0.9*'BAU Management details'!$F$46,
IF(AND(OR(A17&lt;&gt;A16,F17&lt;&gt;F16),F17="Winter wheat"),G17*'BAU Management details'!$F$46,
IF(F17="Oilseed Rape",G17*'BAU Management details'!$F$47)))</f>
        <v>67.3121656</v>
      </c>
      <c r="I17" t="s">
        <v>348</v>
      </c>
      <c r="J17">
        <v>10</v>
      </c>
      <c r="K17" t="s">
        <v>362</v>
      </c>
      <c r="L17" t="s">
        <v>751</v>
      </c>
      <c r="M17">
        <v>2.9</v>
      </c>
      <c r="N17" t="s">
        <v>349</v>
      </c>
      <c r="O17" t="s">
        <v>350</v>
      </c>
      <c r="P17">
        <v>7.7</v>
      </c>
      <c r="Q17" t="s">
        <v>728</v>
      </c>
      <c r="R17" t="s">
        <v>351</v>
      </c>
      <c r="S17">
        <v>220</v>
      </c>
      <c r="T17" s="47" t="s">
        <v>729</v>
      </c>
      <c r="U17" t="s">
        <v>366</v>
      </c>
      <c r="V17" t="s">
        <v>364</v>
      </c>
      <c r="W17" s="47" t="s">
        <v>736</v>
      </c>
      <c r="X17" s="47">
        <v>0</v>
      </c>
      <c r="Y17" s="47" t="s">
        <v>730</v>
      </c>
      <c r="Z17" s="47">
        <v>0</v>
      </c>
      <c r="AA17" s="47" t="s">
        <v>731</v>
      </c>
      <c r="AB17" s="47">
        <v>0</v>
      </c>
      <c r="AC17" s="47" t="s">
        <v>731</v>
      </c>
      <c r="AD17" s="47" t="s">
        <v>731</v>
      </c>
      <c r="AE17" s="47" t="s">
        <v>731</v>
      </c>
      <c r="AF17" s="47">
        <v>0</v>
      </c>
      <c r="AG17" s="47">
        <v>0</v>
      </c>
      <c r="AH17" s="47">
        <v>0</v>
      </c>
      <c r="AI17" s="47" t="s">
        <v>729</v>
      </c>
      <c r="AJ17">
        <v>1</v>
      </c>
      <c r="AK17">
        <v>100</v>
      </c>
    </row>
    <row r="18" spans="1:37" x14ac:dyDescent="0.2">
      <c r="A18" t="s">
        <v>749</v>
      </c>
      <c r="B18" t="s">
        <v>361</v>
      </c>
      <c r="C18">
        <v>2020</v>
      </c>
      <c r="D18">
        <v>5</v>
      </c>
      <c r="E18" t="s">
        <v>755</v>
      </c>
      <c r="F18" t="s">
        <v>362</v>
      </c>
      <c r="G18">
        <v>7.8269960000000003</v>
      </c>
      <c r="H18" s="20">
        <f>IF(AND(A18=A17,F18=F17,F18="Winter wheat"),G18*0.9*'BAU Management details'!$F$46,
IF(AND(OR(A18&lt;&gt;A17,F18&lt;&gt;F17),F18="Winter wheat"),G18*'BAU Management details'!$F$46,
IF(F18="Oilseed Rape",G18*'BAU Management details'!$F$47)))</f>
        <v>60.58094904</v>
      </c>
      <c r="I18" t="s">
        <v>348</v>
      </c>
      <c r="J18">
        <v>10</v>
      </c>
      <c r="K18" t="s">
        <v>362</v>
      </c>
      <c r="L18" t="s">
        <v>751</v>
      </c>
      <c r="M18">
        <v>2.9</v>
      </c>
      <c r="N18" t="s">
        <v>349</v>
      </c>
      <c r="O18" t="s">
        <v>350</v>
      </c>
      <c r="P18">
        <v>7.7</v>
      </c>
      <c r="Q18" t="s">
        <v>728</v>
      </c>
      <c r="R18" t="s">
        <v>351</v>
      </c>
      <c r="S18">
        <v>220</v>
      </c>
      <c r="T18" s="47" t="s">
        <v>729</v>
      </c>
      <c r="U18" t="s">
        <v>733</v>
      </c>
      <c r="V18" t="s">
        <v>364</v>
      </c>
      <c r="W18" s="47" t="s">
        <v>736</v>
      </c>
      <c r="X18" s="47">
        <v>0</v>
      </c>
      <c r="Y18" s="47" t="s">
        <v>730</v>
      </c>
      <c r="Z18" s="47">
        <v>0</v>
      </c>
      <c r="AA18" s="47" t="s">
        <v>731</v>
      </c>
      <c r="AB18" s="47">
        <v>0</v>
      </c>
      <c r="AC18" s="47">
        <v>0</v>
      </c>
      <c r="AD18" s="47">
        <v>0</v>
      </c>
      <c r="AE18" s="47" t="s">
        <v>731</v>
      </c>
      <c r="AF18" s="47">
        <v>0</v>
      </c>
      <c r="AG18" s="47">
        <v>0</v>
      </c>
      <c r="AH18" s="47">
        <v>0</v>
      </c>
      <c r="AI18" s="47" t="s">
        <v>729</v>
      </c>
      <c r="AJ18">
        <v>1</v>
      </c>
      <c r="AK18">
        <v>100</v>
      </c>
    </row>
    <row r="19" spans="1:37" x14ac:dyDescent="0.2">
      <c r="A19" t="s">
        <v>749</v>
      </c>
      <c r="B19" t="s">
        <v>361</v>
      </c>
      <c r="C19">
        <v>2021</v>
      </c>
      <c r="D19">
        <v>6</v>
      </c>
      <c r="E19" t="s">
        <v>756</v>
      </c>
      <c r="F19" t="s">
        <v>365</v>
      </c>
      <c r="G19">
        <v>7.8269960000000003</v>
      </c>
      <c r="H19" s="20">
        <f>IF(AND(A19=A18,F19=F18,F19="Winter wheat"),G19*0.9*'BAU Management details'!$F$46,
IF(AND(OR(A19&lt;&gt;A18,F19&lt;&gt;F18),F19="Winter wheat"),G19*'BAU Management details'!$F$46,
IF(F19="Oilseed Rape",G19*'BAU Management details'!$F$47)))</f>
        <v>27.394486000000001</v>
      </c>
      <c r="I19" t="s">
        <v>348</v>
      </c>
      <c r="J19">
        <v>10</v>
      </c>
      <c r="K19" t="s">
        <v>532</v>
      </c>
      <c r="L19" t="s">
        <v>751</v>
      </c>
      <c r="M19">
        <v>2.9</v>
      </c>
      <c r="N19" t="s">
        <v>349</v>
      </c>
      <c r="O19" t="s">
        <v>350</v>
      </c>
      <c r="P19">
        <v>7.7</v>
      </c>
      <c r="Q19" t="s">
        <v>728</v>
      </c>
      <c r="R19" t="s">
        <v>351</v>
      </c>
      <c r="S19">
        <v>220</v>
      </c>
      <c r="T19" s="47" t="s">
        <v>735</v>
      </c>
      <c r="U19" t="s">
        <v>368</v>
      </c>
      <c r="V19" t="s">
        <v>364</v>
      </c>
      <c r="W19" s="47" t="s">
        <v>736</v>
      </c>
      <c r="X19" s="47">
        <v>0</v>
      </c>
      <c r="Y19" s="47" t="s">
        <v>736</v>
      </c>
      <c r="Z19" s="47">
        <v>0</v>
      </c>
      <c r="AA19" s="47" t="s">
        <v>736</v>
      </c>
      <c r="AB19" s="47">
        <v>0</v>
      </c>
      <c r="AC19" s="47">
        <v>0</v>
      </c>
      <c r="AD19" s="47">
        <v>0</v>
      </c>
      <c r="AE19" s="47" t="s">
        <v>731</v>
      </c>
      <c r="AF19" s="47">
        <v>0</v>
      </c>
      <c r="AG19" s="47" t="s">
        <v>731</v>
      </c>
      <c r="AH19" s="47">
        <v>0</v>
      </c>
      <c r="AI19" s="47" t="s">
        <v>735</v>
      </c>
      <c r="AJ19">
        <v>1</v>
      </c>
      <c r="AK19">
        <v>100</v>
      </c>
    </row>
    <row r="20" spans="1:37" x14ac:dyDescent="0.2">
      <c r="A20" t="s">
        <v>757</v>
      </c>
      <c r="B20" t="s">
        <v>361</v>
      </c>
      <c r="C20">
        <v>2016</v>
      </c>
      <c r="D20">
        <v>1</v>
      </c>
      <c r="E20" t="s">
        <v>758</v>
      </c>
      <c r="F20" t="s">
        <v>362</v>
      </c>
      <c r="G20">
        <v>3.7726440000000001</v>
      </c>
      <c r="H20" s="20">
        <f>IF(AND(A20=A19,F20=F19,F20="Winter wheat"),G20*0.9*'BAU Management details'!$F$46,
IF(AND(OR(A20&lt;&gt;A19,F20&lt;&gt;F19),F20="Winter wheat"),G20*'BAU Management details'!$F$46,
IF(F20="Oilseed Rape",G20*'BAU Management details'!$F$47)))</f>
        <v>32.444738399999999</v>
      </c>
      <c r="I20" t="s">
        <v>348</v>
      </c>
      <c r="J20">
        <v>10</v>
      </c>
      <c r="K20" t="s">
        <v>362</v>
      </c>
      <c r="L20" t="s">
        <v>751</v>
      </c>
      <c r="M20">
        <v>1.4</v>
      </c>
      <c r="N20" t="s">
        <v>349</v>
      </c>
      <c r="O20" t="s">
        <v>742</v>
      </c>
      <c r="P20">
        <v>7.5</v>
      </c>
      <c r="Q20" t="s">
        <v>728</v>
      </c>
      <c r="R20" t="s">
        <v>351</v>
      </c>
      <c r="S20">
        <v>220</v>
      </c>
      <c r="T20" s="47" t="s">
        <v>729</v>
      </c>
      <c r="U20" t="s">
        <v>366</v>
      </c>
      <c r="V20" t="s">
        <v>364</v>
      </c>
      <c r="W20" s="47" t="s">
        <v>736</v>
      </c>
      <c r="X20" s="47">
        <v>0</v>
      </c>
      <c r="Y20" s="47" t="s">
        <v>730</v>
      </c>
      <c r="Z20" s="47">
        <v>0</v>
      </c>
      <c r="AA20" s="47" t="s">
        <v>731</v>
      </c>
      <c r="AB20" s="47">
        <v>0</v>
      </c>
      <c r="AC20" s="47" t="s">
        <v>731</v>
      </c>
      <c r="AD20" s="47" t="s">
        <v>731</v>
      </c>
      <c r="AE20" s="47" t="s">
        <v>731</v>
      </c>
      <c r="AF20" s="47">
        <v>0</v>
      </c>
      <c r="AG20" s="47">
        <v>0</v>
      </c>
      <c r="AH20" s="47">
        <v>0</v>
      </c>
      <c r="AI20" s="47" t="s">
        <v>729</v>
      </c>
      <c r="AJ20">
        <v>1</v>
      </c>
      <c r="AK20">
        <v>100</v>
      </c>
    </row>
    <row r="21" spans="1:37" x14ac:dyDescent="0.2">
      <c r="A21" t="s">
        <v>757</v>
      </c>
      <c r="B21" t="s">
        <v>361</v>
      </c>
      <c r="C21">
        <v>2017</v>
      </c>
      <c r="D21">
        <v>2</v>
      </c>
      <c r="E21" t="s">
        <v>759</v>
      </c>
      <c r="F21" t="s">
        <v>362</v>
      </c>
      <c r="G21">
        <v>3.7726440000000001</v>
      </c>
      <c r="H21" s="20">
        <f>IF(AND(A21=A20,F21=F20,F21="Winter wheat"),G21*0.9*'BAU Management details'!$F$46,
IF(AND(OR(A21&lt;&gt;A20,F21&lt;&gt;F20),F21="Winter wheat"),G21*'BAU Management details'!$F$46,
IF(F21="Oilseed Rape",G21*'BAU Management details'!$F$47)))</f>
        <v>29.200264560000001</v>
      </c>
      <c r="I21" t="s">
        <v>348</v>
      </c>
      <c r="J21">
        <v>10</v>
      </c>
      <c r="K21" t="s">
        <v>362</v>
      </c>
      <c r="L21" t="s">
        <v>751</v>
      </c>
      <c r="M21">
        <v>1.4</v>
      </c>
      <c r="N21" t="s">
        <v>349</v>
      </c>
      <c r="O21" t="s">
        <v>742</v>
      </c>
      <c r="P21">
        <v>7.5</v>
      </c>
      <c r="Q21" t="s">
        <v>728</v>
      </c>
      <c r="R21" t="s">
        <v>351</v>
      </c>
      <c r="S21">
        <v>220</v>
      </c>
      <c r="T21" s="47" t="s">
        <v>729</v>
      </c>
      <c r="U21" t="s">
        <v>733</v>
      </c>
      <c r="V21" t="s">
        <v>364</v>
      </c>
      <c r="W21" s="47" t="s">
        <v>736</v>
      </c>
      <c r="X21" s="47">
        <v>0</v>
      </c>
      <c r="Y21" s="47" t="s">
        <v>730</v>
      </c>
      <c r="Z21" s="47">
        <v>0</v>
      </c>
      <c r="AA21" s="47" t="s">
        <v>731</v>
      </c>
      <c r="AB21" s="47">
        <v>0</v>
      </c>
      <c r="AC21" s="47">
        <v>0</v>
      </c>
      <c r="AD21" s="47">
        <v>0</v>
      </c>
      <c r="AE21" s="47" t="s">
        <v>731</v>
      </c>
      <c r="AF21" s="47">
        <v>0</v>
      </c>
      <c r="AG21" s="47">
        <v>0</v>
      </c>
      <c r="AH21" s="47">
        <v>0</v>
      </c>
      <c r="AI21" s="47" t="s">
        <v>729</v>
      </c>
      <c r="AJ21">
        <v>1</v>
      </c>
      <c r="AK21">
        <v>100</v>
      </c>
    </row>
    <row r="22" spans="1:37" x14ac:dyDescent="0.2">
      <c r="A22" t="s">
        <v>757</v>
      </c>
      <c r="B22" t="s">
        <v>361</v>
      </c>
      <c r="C22">
        <v>2018</v>
      </c>
      <c r="D22">
        <v>3</v>
      </c>
      <c r="E22" t="s">
        <v>760</v>
      </c>
      <c r="F22" t="s">
        <v>365</v>
      </c>
      <c r="G22">
        <v>3.7726440000000001</v>
      </c>
      <c r="H22" s="20">
        <f>IF(AND(A22=A21,F22=F21,F22="Winter wheat"),G22*0.9*'BAU Management details'!$F$46,
IF(AND(OR(A22&lt;&gt;A21,F22&lt;&gt;F21),F22="Winter wheat"),G22*'BAU Management details'!$F$46,
IF(F22="Oilseed Rape",G22*'BAU Management details'!$F$47)))</f>
        <v>13.204254000000001</v>
      </c>
      <c r="I22" t="s">
        <v>348</v>
      </c>
      <c r="J22">
        <v>10</v>
      </c>
      <c r="K22" t="s">
        <v>532</v>
      </c>
      <c r="L22" t="s">
        <v>751</v>
      </c>
      <c r="M22">
        <v>1.4</v>
      </c>
      <c r="N22" t="s">
        <v>349</v>
      </c>
      <c r="O22" t="s">
        <v>742</v>
      </c>
      <c r="P22">
        <v>7.5</v>
      </c>
      <c r="Q22" t="s">
        <v>728</v>
      </c>
      <c r="R22" t="s">
        <v>351</v>
      </c>
      <c r="S22">
        <v>220</v>
      </c>
      <c r="T22" s="47" t="s">
        <v>735</v>
      </c>
      <c r="U22" t="s">
        <v>368</v>
      </c>
      <c r="V22" t="s">
        <v>364</v>
      </c>
      <c r="W22" s="47" t="s">
        <v>736</v>
      </c>
      <c r="X22" s="47">
        <v>0</v>
      </c>
      <c r="Y22" s="47" t="s">
        <v>736</v>
      </c>
      <c r="Z22" s="47">
        <v>0</v>
      </c>
      <c r="AA22" s="47" t="s">
        <v>736</v>
      </c>
      <c r="AB22" s="47">
        <v>0</v>
      </c>
      <c r="AC22" s="47">
        <v>0</v>
      </c>
      <c r="AD22" s="47">
        <v>0</v>
      </c>
      <c r="AE22" s="47" t="s">
        <v>731</v>
      </c>
      <c r="AF22" s="47">
        <v>0</v>
      </c>
      <c r="AG22" s="47" t="s">
        <v>731</v>
      </c>
      <c r="AH22" s="47">
        <v>0</v>
      </c>
      <c r="AI22" s="47" t="s">
        <v>735</v>
      </c>
      <c r="AJ22">
        <v>1</v>
      </c>
      <c r="AK22">
        <v>100</v>
      </c>
    </row>
    <row r="23" spans="1:37" x14ac:dyDescent="0.2">
      <c r="A23" t="s">
        <v>757</v>
      </c>
      <c r="B23" t="s">
        <v>361</v>
      </c>
      <c r="C23">
        <v>2019</v>
      </c>
      <c r="D23">
        <v>4</v>
      </c>
      <c r="E23" t="s">
        <v>761</v>
      </c>
      <c r="F23" t="s">
        <v>362</v>
      </c>
      <c r="G23">
        <v>3.7726440000000001</v>
      </c>
      <c r="H23" s="20">
        <f>IF(AND(A23=A22,F23=F22,F23="Winter wheat"),G23*0.9*'BAU Management details'!$F$46,
IF(AND(OR(A23&lt;&gt;A22,F23&lt;&gt;F22),F23="Winter wheat"),G23*'BAU Management details'!$F$46,
IF(F23="Oilseed Rape",G23*'BAU Management details'!$F$47)))</f>
        <v>32.444738399999999</v>
      </c>
      <c r="I23" t="s">
        <v>348</v>
      </c>
      <c r="J23">
        <v>10</v>
      </c>
      <c r="K23" t="s">
        <v>362</v>
      </c>
      <c r="L23" t="s">
        <v>751</v>
      </c>
      <c r="M23">
        <v>1.4</v>
      </c>
      <c r="N23" t="s">
        <v>349</v>
      </c>
      <c r="O23" t="s">
        <v>742</v>
      </c>
      <c r="P23">
        <v>7.5</v>
      </c>
      <c r="Q23" t="s">
        <v>728</v>
      </c>
      <c r="R23" t="s">
        <v>351</v>
      </c>
      <c r="S23">
        <v>220</v>
      </c>
      <c r="T23" s="47" t="s">
        <v>729</v>
      </c>
      <c r="U23" t="s">
        <v>366</v>
      </c>
      <c r="V23" t="s">
        <v>364</v>
      </c>
      <c r="W23" s="47" t="s">
        <v>736</v>
      </c>
      <c r="X23" s="47">
        <v>0</v>
      </c>
      <c r="Y23" s="47" t="s">
        <v>730</v>
      </c>
      <c r="Z23" s="47">
        <v>0</v>
      </c>
      <c r="AA23" s="47" t="s">
        <v>731</v>
      </c>
      <c r="AB23" s="47">
        <v>0</v>
      </c>
      <c r="AC23" s="47" t="s">
        <v>731</v>
      </c>
      <c r="AD23" s="47" t="s">
        <v>731</v>
      </c>
      <c r="AE23" s="47" t="s">
        <v>731</v>
      </c>
      <c r="AF23" s="47">
        <v>0</v>
      </c>
      <c r="AG23" s="47">
        <v>0</v>
      </c>
      <c r="AH23" s="47">
        <v>0</v>
      </c>
      <c r="AI23" s="47" t="s">
        <v>729</v>
      </c>
      <c r="AJ23">
        <v>1</v>
      </c>
      <c r="AK23">
        <v>100</v>
      </c>
    </row>
    <row r="24" spans="1:37" x14ac:dyDescent="0.2">
      <c r="A24" t="s">
        <v>757</v>
      </c>
      <c r="B24" t="s">
        <v>361</v>
      </c>
      <c r="C24">
        <v>2020</v>
      </c>
      <c r="D24">
        <v>5</v>
      </c>
      <c r="E24" t="s">
        <v>762</v>
      </c>
      <c r="F24" t="s">
        <v>362</v>
      </c>
      <c r="G24">
        <v>3.7726440000000001</v>
      </c>
      <c r="H24" s="20">
        <f>IF(AND(A24=A23,F24=F23,F24="Winter wheat"),G24*0.9*'BAU Management details'!$F$46,
IF(AND(OR(A24&lt;&gt;A23,F24&lt;&gt;F23),F24="Winter wheat"),G24*'BAU Management details'!$F$46,
IF(F24="Oilseed Rape",G24*'BAU Management details'!$F$47)))</f>
        <v>29.200264560000001</v>
      </c>
      <c r="I24" t="s">
        <v>348</v>
      </c>
      <c r="J24">
        <v>10</v>
      </c>
      <c r="K24" t="s">
        <v>362</v>
      </c>
      <c r="L24" t="s">
        <v>751</v>
      </c>
      <c r="M24">
        <v>1.4</v>
      </c>
      <c r="N24" t="s">
        <v>349</v>
      </c>
      <c r="O24" t="s">
        <v>742</v>
      </c>
      <c r="P24">
        <v>7.5</v>
      </c>
      <c r="Q24" t="s">
        <v>728</v>
      </c>
      <c r="R24" t="s">
        <v>351</v>
      </c>
      <c r="S24">
        <v>220</v>
      </c>
      <c r="T24" s="47" t="s">
        <v>729</v>
      </c>
      <c r="U24" t="s">
        <v>733</v>
      </c>
      <c r="V24" t="s">
        <v>364</v>
      </c>
      <c r="W24" s="47" t="s">
        <v>736</v>
      </c>
      <c r="X24" s="47">
        <v>0</v>
      </c>
      <c r="Y24" s="47" t="s">
        <v>730</v>
      </c>
      <c r="Z24" s="47">
        <v>0</v>
      </c>
      <c r="AA24" s="47" t="s">
        <v>731</v>
      </c>
      <c r="AB24" s="47">
        <v>0</v>
      </c>
      <c r="AC24" s="47">
        <v>0</v>
      </c>
      <c r="AD24" s="47">
        <v>0</v>
      </c>
      <c r="AE24" s="47" t="s">
        <v>731</v>
      </c>
      <c r="AF24" s="47">
        <v>0</v>
      </c>
      <c r="AG24" s="47">
        <v>0</v>
      </c>
      <c r="AH24" s="47">
        <v>0</v>
      </c>
      <c r="AI24" s="47" t="s">
        <v>729</v>
      </c>
      <c r="AJ24">
        <v>1</v>
      </c>
      <c r="AK24">
        <v>100</v>
      </c>
    </row>
    <row r="25" spans="1:37" x14ac:dyDescent="0.2">
      <c r="A25" t="s">
        <v>757</v>
      </c>
      <c r="B25" t="s">
        <v>361</v>
      </c>
      <c r="C25">
        <v>2021</v>
      </c>
      <c r="D25">
        <v>6</v>
      </c>
      <c r="E25" t="s">
        <v>763</v>
      </c>
      <c r="F25" t="s">
        <v>365</v>
      </c>
      <c r="G25">
        <v>3.7726440000000001</v>
      </c>
      <c r="H25" s="20">
        <f>IF(AND(A25=A24,F25=F24,F25="Winter wheat"),G25*0.9*'BAU Management details'!$F$46,
IF(AND(OR(A25&lt;&gt;A24,F25&lt;&gt;F24),F25="Winter wheat"),G25*'BAU Management details'!$F$46,
IF(F25="Oilseed Rape",G25*'BAU Management details'!$F$47)))</f>
        <v>13.204254000000001</v>
      </c>
      <c r="I25" t="s">
        <v>348</v>
      </c>
      <c r="J25">
        <v>10</v>
      </c>
      <c r="K25" t="s">
        <v>532</v>
      </c>
      <c r="L25" t="s">
        <v>751</v>
      </c>
      <c r="M25">
        <v>1.4</v>
      </c>
      <c r="N25" t="s">
        <v>349</v>
      </c>
      <c r="O25" t="s">
        <v>742</v>
      </c>
      <c r="P25">
        <v>7.5</v>
      </c>
      <c r="Q25" t="s">
        <v>728</v>
      </c>
      <c r="R25" t="s">
        <v>351</v>
      </c>
      <c r="S25">
        <v>220</v>
      </c>
      <c r="T25" s="47" t="s">
        <v>735</v>
      </c>
      <c r="U25" t="s">
        <v>368</v>
      </c>
      <c r="V25" t="s">
        <v>364</v>
      </c>
      <c r="W25" s="47" t="s">
        <v>736</v>
      </c>
      <c r="X25" s="47">
        <v>0</v>
      </c>
      <c r="Y25" s="47" t="s">
        <v>736</v>
      </c>
      <c r="Z25" s="47">
        <v>0</v>
      </c>
      <c r="AA25" s="47" t="s">
        <v>736</v>
      </c>
      <c r="AB25" s="47">
        <v>0</v>
      </c>
      <c r="AC25" s="47">
        <v>0</v>
      </c>
      <c r="AD25" s="47">
        <v>0</v>
      </c>
      <c r="AE25" s="47" t="s">
        <v>731</v>
      </c>
      <c r="AF25" s="47">
        <v>0</v>
      </c>
      <c r="AG25" s="47" t="s">
        <v>731</v>
      </c>
      <c r="AH25" s="47">
        <v>0</v>
      </c>
      <c r="AI25" s="47" t="s">
        <v>735</v>
      </c>
      <c r="AJ25">
        <v>1</v>
      </c>
      <c r="AK25">
        <v>100</v>
      </c>
    </row>
    <row r="26" spans="1:37" x14ac:dyDescent="0.2">
      <c r="A26" t="s">
        <v>764</v>
      </c>
      <c r="B26" t="s">
        <v>361</v>
      </c>
      <c r="C26">
        <v>2016</v>
      </c>
      <c r="D26">
        <v>1</v>
      </c>
      <c r="E26" t="s">
        <v>765</v>
      </c>
      <c r="F26" t="s">
        <v>362</v>
      </c>
      <c r="G26">
        <v>4.2723880000000003</v>
      </c>
      <c r="H26" s="20">
        <f>IF(AND(A26=A25,F26=F25,F26="Winter wheat"),G26*0.9*'BAU Management details'!$F$46,
IF(AND(OR(A26&lt;&gt;A25,F26&lt;&gt;F25),F26="Winter wheat"),G26*'BAU Management details'!$F$46,
IF(F26="Oilseed Rape",G26*'BAU Management details'!$F$47)))</f>
        <v>36.742536800000003</v>
      </c>
      <c r="I26" t="s">
        <v>348</v>
      </c>
      <c r="J26">
        <v>10</v>
      </c>
      <c r="K26" t="s">
        <v>362</v>
      </c>
      <c r="L26" t="s">
        <v>751</v>
      </c>
      <c r="M26">
        <v>1.4</v>
      </c>
      <c r="N26" t="s">
        <v>349</v>
      </c>
      <c r="O26" t="s">
        <v>742</v>
      </c>
      <c r="P26">
        <v>7.5</v>
      </c>
      <c r="Q26" t="s">
        <v>728</v>
      </c>
      <c r="R26" t="s">
        <v>351</v>
      </c>
      <c r="S26">
        <v>220</v>
      </c>
      <c r="T26" s="47" t="s">
        <v>729</v>
      </c>
      <c r="U26" t="s">
        <v>366</v>
      </c>
      <c r="V26" t="s">
        <v>364</v>
      </c>
      <c r="W26" s="47" t="s">
        <v>736</v>
      </c>
      <c r="X26" s="47">
        <v>0</v>
      </c>
      <c r="Y26" s="47" t="s">
        <v>730</v>
      </c>
      <c r="Z26" s="47">
        <v>0</v>
      </c>
      <c r="AA26" s="47" t="s">
        <v>731</v>
      </c>
      <c r="AB26" s="47">
        <v>0</v>
      </c>
      <c r="AC26" s="47" t="s">
        <v>731</v>
      </c>
      <c r="AD26" s="47" t="s">
        <v>731</v>
      </c>
      <c r="AE26" s="47" t="s">
        <v>731</v>
      </c>
      <c r="AF26" s="47">
        <v>0</v>
      </c>
      <c r="AG26" s="47">
        <v>0</v>
      </c>
      <c r="AH26" s="47">
        <v>0</v>
      </c>
      <c r="AI26" s="47" t="s">
        <v>729</v>
      </c>
      <c r="AJ26">
        <v>1</v>
      </c>
      <c r="AK26">
        <v>100</v>
      </c>
    </row>
    <row r="27" spans="1:37" x14ac:dyDescent="0.2">
      <c r="A27" t="s">
        <v>764</v>
      </c>
      <c r="B27" t="s">
        <v>361</v>
      </c>
      <c r="C27">
        <v>2017</v>
      </c>
      <c r="D27">
        <v>2</v>
      </c>
      <c r="E27" t="s">
        <v>766</v>
      </c>
      <c r="F27" t="s">
        <v>362</v>
      </c>
      <c r="G27">
        <v>4.2723880000000003</v>
      </c>
      <c r="H27" s="20">
        <f>IF(AND(A27=A26,F27=F26,F27="Winter wheat"),G27*0.9*'BAU Management details'!$F$46,
IF(AND(OR(A27&lt;&gt;A26,F27&lt;&gt;F26),F27="Winter wheat"),G27*'BAU Management details'!$F$46,
IF(F27="Oilseed Rape",G27*'BAU Management details'!$F$47)))</f>
        <v>33.068283120000004</v>
      </c>
      <c r="I27" t="s">
        <v>348</v>
      </c>
      <c r="J27">
        <v>10</v>
      </c>
      <c r="K27" t="s">
        <v>362</v>
      </c>
      <c r="L27" t="s">
        <v>751</v>
      </c>
      <c r="M27">
        <v>1.4</v>
      </c>
      <c r="N27" t="s">
        <v>349</v>
      </c>
      <c r="O27" t="s">
        <v>742</v>
      </c>
      <c r="P27">
        <v>7.5</v>
      </c>
      <c r="Q27" t="s">
        <v>728</v>
      </c>
      <c r="R27" t="s">
        <v>351</v>
      </c>
      <c r="S27">
        <v>220</v>
      </c>
      <c r="T27" s="47" t="s">
        <v>729</v>
      </c>
      <c r="U27" t="s">
        <v>733</v>
      </c>
      <c r="V27" t="s">
        <v>364</v>
      </c>
      <c r="W27" s="47" t="s">
        <v>736</v>
      </c>
      <c r="X27" s="47">
        <v>0</v>
      </c>
      <c r="Y27" s="47" t="s">
        <v>730</v>
      </c>
      <c r="Z27" s="47">
        <v>0</v>
      </c>
      <c r="AA27" s="47" t="s">
        <v>731</v>
      </c>
      <c r="AB27" s="47">
        <v>0</v>
      </c>
      <c r="AC27" s="47">
        <v>0</v>
      </c>
      <c r="AD27" s="47">
        <v>0</v>
      </c>
      <c r="AE27" s="47" t="s">
        <v>731</v>
      </c>
      <c r="AF27" s="47">
        <v>0</v>
      </c>
      <c r="AG27" s="47">
        <v>0</v>
      </c>
      <c r="AH27" s="47">
        <v>0</v>
      </c>
      <c r="AI27" s="47" t="s">
        <v>729</v>
      </c>
      <c r="AJ27">
        <v>1</v>
      </c>
      <c r="AK27">
        <v>100</v>
      </c>
    </row>
    <row r="28" spans="1:37" x14ac:dyDescent="0.2">
      <c r="A28" t="s">
        <v>764</v>
      </c>
      <c r="B28" t="s">
        <v>361</v>
      </c>
      <c r="C28">
        <v>2018</v>
      </c>
      <c r="D28">
        <v>3</v>
      </c>
      <c r="E28" t="s">
        <v>767</v>
      </c>
      <c r="F28" t="s">
        <v>365</v>
      </c>
      <c r="G28">
        <v>4.2723880000000003</v>
      </c>
      <c r="H28" s="20">
        <f>IF(AND(A28=A27,F28=F27,F28="Winter wheat"),G28*0.9*'BAU Management details'!$F$46,
IF(AND(OR(A28&lt;&gt;A27,F28&lt;&gt;F27),F28="Winter wheat"),G28*'BAU Management details'!$F$46,
IF(F28="Oilseed Rape",G28*'BAU Management details'!$F$47)))</f>
        <v>14.953358000000001</v>
      </c>
      <c r="I28" t="s">
        <v>348</v>
      </c>
      <c r="J28">
        <v>10</v>
      </c>
      <c r="K28" t="s">
        <v>532</v>
      </c>
      <c r="L28" t="s">
        <v>751</v>
      </c>
      <c r="M28">
        <v>1.4</v>
      </c>
      <c r="N28" t="s">
        <v>349</v>
      </c>
      <c r="O28" t="s">
        <v>742</v>
      </c>
      <c r="P28">
        <v>7.5</v>
      </c>
      <c r="Q28" t="s">
        <v>728</v>
      </c>
      <c r="R28" t="s">
        <v>351</v>
      </c>
      <c r="S28">
        <v>220</v>
      </c>
      <c r="T28" s="47" t="s">
        <v>735</v>
      </c>
      <c r="U28" t="s">
        <v>368</v>
      </c>
      <c r="V28" t="s">
        <v>364</v>
      </c>
      <c r="W28" s="47" t="s">
        <v>736</v>
      </c>
      <c r="X28" s="47">
        <v>0</v>
      </c>
      <c r="Y28" s="47" t="s">
        <v>736</v>
      </c>
      <c r="Z28" s="47">
        <v>0</v>
      </c>
      <c r="AA28" s="47" t="s">
        <v>736</v>
      </c>
      <c r="AB28" s="47">
        <v>0</v>
      </c>
      <c r="AC28" s="47">
        <v>0</v>
      </c>
      <c r="AD28" s="47">
        <v>0</v>
      </c>
      <c r="AE28" s="47" t="s">
        <v>731</v>
      </c>
      <c r="AF28" s="47">
        <v>0</v>
      </c>
      <c r="AG28" s="47" t="s">
        <v>731</v>
      </c>
      <c r="AH28" s="47">
        <v>0</v>
      </c>
      <c r="AI28" s="47" t="s">
        <v>735</v>
      </c>
      <c r="AJ28">
        <v>1</v>
      </c>
      <c r="AK28">
        <v>100</v>
      </c>
    </row>
    <row r="29" spans="1:37" x14ac:dyDescent="0.2">
      <c r="A29" t="s">
        <v>764</v>
      </c>
      <c r="B29" t="s">
        <v>361</v>
      </c>
      <c r="C29">
        <v>2019</v>
      </c>
      <c r="D29">
        <v>4</v>
      </c>
      <c r="E29" t="s">
        <v>768</v>
      </c>
      <c r="F29" t="s">
        <v>362</v>
      </c>
      <c r="G29">
        <v>4.2723880000000003</v>
      </c>
      <c r="H29" s="20">
        <f>IF(AND(A29=A28,F29=F28,F29="Winter wheat"),G29*0.9*'BAU Management details'!$F$46,
IF(AND(OR(A29&lt;&gt;A28,F29&lt;&gt;F28),F29="Winter wheat"),G29*'BAU Management details'!$F$46,
IF(F29="Oilseed Rape",G29*'BAU Management details'!$F$47)))</f>
        <v>36.742536800000003</v>
      </c>
      <c r="I29" t="s">
        <v>348</v>
      </c>
      <c r="J29">
        <v>10</v>
      </c>
      <c r="K29" t="s">
        <v>362</v>
      </c>
      <c r="L29" t="s">
        <v>751</v>
      </c>
      <c r="M29">
        <v>1.4</v>
      </c>
      <c r="N29" t="s">
        <v>349</v>
      </c>
      <c r="O29" t="s">
        <v>742</v>
      </c>
      <c r="P29">
        <v>7.5</v>
      </c>
      <c r="Q29" t="s">
        <v>728</v>
      </c>
      <c r="R29" t="s">
        <v>351</v>
      </c>
      <c r="S29">
        <v>220</v>
      </c>
      <c r="T29" s="47" t="s">
        <v>729</v>
      </c>
      <c r="U29" t="s">
        <v>366</v>
      </c>
      <c r="V29" t="s">
        <v>364</v>
      </c>
      <c r="W29" s="47" t="s">
        <v>736</v>
      </c>
      <c r="X29" s="47">
        <v>0</v>
      </c>
      <c r="Y29" s="47" t="s">
        <v>730</v>
      </c>
      <c r="Z29" s="47">
        <v>0</v>
      </c>
      <c r="AA29" s="47" t="s">
        <v>731</v>
      </c>
      <c r="AB29" s="47">
        <v>0</v>
      </c>
      <c r="AC29" s="47" t="s">
        <v>731</v>
      </c>
      <c r="AD29" s="47" t="s">
        <v>731</v>
      </c>
      <c r="AE29" s="47" t="s">
        <v>731</v>
      </c>
      <c r="AF29" s="47">
        <v>0</v>
      </c>
      <c r="AG29" s="47">
        <v>0</v>
      </c>
      <c r="AH29" s="47">
        <v>0</v>
      </c>
      <c r="AI29" s="47" t="s">
        <v>729</v>
      </c>
      <c r="AJ29">
        <v>1</v>
      </c>
      <c r="AK29">
        <v>100</v>
      </c>
    </row>
    <row r="30" spans="1:37" x14ac:dyDescent="0.2">
      <c r="A30" t="s">
        <v>764</v>
      </c>
      <c r="B30" t="s">
        <v>361</v>
      </c>
      <c r="C30">
        <v>2020</v>
      </c>
      <c r="D30">
        <v>5</v>
      </c>
      <c r="E30" t="s">
        <v>769</v>
      </c>
      <c r="F30" t="s">
        <v>362</v>
      </c>
      <c r="G30">
        <v>4.2723880000000003</v>
      </c>
      <c r="H30" s="20">
        <f>IF(AND(A30=A29,F30=F29,F30="Winter wheat"),G30*0.9*'BAU Management details'!$F$46,
IF(AND(OR(A30&lt;&gt;A29,F30&lt;&gt;F29),F30="Winter wheat"),G30*'BAU Management details'!$F$46,
IF(F30="Oilseed Rape",G30*'BAU Management details'!$F$47)))</f>
        <v>33.068283120000004</v>
      </c>
      <c r="I30" t="s">
        <v>348</v>
      </c>
      <c r="J30">
        <v>10</v>
      </c>
      <c r="K30" t="s">
        <v>362</v>
      </c>
      <c r="L30" t="s">
        <v>751</v>
      </c>
      <c r="M30">
        <v>1.4</v>
      </c>
      <c r="N30" t="s">
        <v>349</v>
      </c>
      <c r="O30" t="s">
        <v>742</v>
      </c>
      <c r="P30">
        <v>7.5</v>
      </c>
      <c r="Q30" t="s">
        <v>728</v>
      </c>
      <c r="R30" t="s">
        <v>351</v>
      </c>
      <c r="S30">
        <v>220</v>
      </c>
      <c r="T30" s="47" t="s">
        <v>729</v>
      </c>
      <c r="U30" t="s">
        <v>733</v>
      </c>
      <c r="V30" t="s">
        <v>364</v>
      </c>
      <c r="W30" s="47" t="s">
        <v>736</v>
      </c>
      <c r="X30" s="47">
        <v>0</v>
      </c>
      <c r="Y30" s="47" t="s">
        <v>730</v>
      </c>
      <c r="Z30" s="47">
        <v>0</v>
      </c>
      <c r="AA30" s="47" t="s">
        <v>731</v>
      </c>
      <c r="AB30" s="47">
        <v>0</v>
      </c>
      <c r="AC30" s="47">
        <v>0</v>
      </c>
      <c r="AD30" s="47">
        <v>0</v>
      </c>
      <c r="AE30" s="47" t="s">
        <v>731</v>
      </c>
      <c r="AF30" s="47">
        <v>0</v>
      </c>
      <c r="AG30" s="47">
        <v>0</v>
      </c>
      <c r="AH30" s="47">
        <v>0</v>
      </c>
      <c r="AI30" s="47" t="s">
        <v>729</v>
      </c>
      <c r="AJ30">
        <v>1</v>
      </c>
      <c r="AK30">
        <v>100</v>
      </c>
    </row>
    <row r="31" spans="1:37" x14ac:dyDescent="0.2">
      <c r="A31" t="s">
        <v>764</v>
      </c>
      <c r="B31" t="s">
        <v>361</v>
      </c>
      <c r="C31">
        <v>2021</v>
      </c>
      <c r="D31">
        <v>6</v>
      </c>
      <c r="E31" t="s">
        <v>770</v>
      </c>
      <c r="F31" t="s">
        <v>365</v>
      </c>
      <c r="G31">
        <v>4.2723880000000003</v>
      </c>
      <c r="H31" s="20">
        <f>IF(AND(A31=A30,F31=F30,F31="Winter wheat"),G31*0.9*'BAU Management details'!$F$46,
IF(AND(OR(A31&lt;&gt;A30,F31&lt;&gt;F30),F31="Winter wheat"),G31*'BAU Management details'!$F$46,
IF(F31="Oilseed Rape",G31*'BAU Management details'!$F$47)))</f>
        <v>14.953358000000001</v>
      </c>
      <c r="I31" t="s">
        <v>348</v>
      </c>
      <c r="J31">
        <v>10</v>
      </c>
      <c r="K31" t="s">
        <v>532</v>
      </c>
      <c r="L31" t="s">
        <v>751</v>
      </c>
      <c r="M31">
        <v>1.4</v>
      </c>
      <c r="N31" t="s">
        <v>349</v>
      </c>
      <c r="O31" t="s">
        <v>742</v>
      </c>
      <c r="P31">
        <v>7.5</v>
      </c>
      <c r="Q31" t="s">
        <v>728</v>
      </c>
      <c r="R31" t="s">
        <v>351</v>
      </c>
      <c r="S31">
        <v>220</v>
      </c>
      <c r="T31" s="47" t="s">
        <v>735</v>
      </c>
      <c r="U31" t="s">
        <v>368</v>
      </c>
      <c r="V31" t="s">
        <v>364</v>
      </c>
      <c r="W31" s="47" t="s">
        <v>736</v>
      </c>
      <c r="X31" s="47">
        <v>0</v>
      </c>
      <c r="Y31" s="47" t="s">
        <v>736</v>
      </c>
      <c r="Z31" s="47">
        <v>0</v>
      </c>
      <c r="AA31" s="47" t="s">
        <v>736</v>
      </c>
      <c r="AB31" s="47">
        <v>0</v>
      </c>
      <c r="AC31" s="47">
        <v>0</v>
      </c>
      <c r="AD31" s="47">
        <v>0</v>
      </c>
      <c r="AE31" s="47" t="s">
        <v>731</v>
      </c>
      <c r="AF31" s="47">
        <v>0</v>
      </c>
      <c r="AG31" s="47" t="s">
        <v>731</v>
      </c>
      <c r="AH31" s="47">
        <v>0</v>
      </c>
      <c r="AI31" s="47" t="s">
        <v>735</v>
      </c>
      <c r="AJ31">
        <v>1</v>
      </c>
      <c r="AK31">
        <v>100</v>
      </c>
    </row>
    <row r="32" spans="1:37" x14ac:dyDescent="0.2">
      <c r="A32" t="s">
        <v>771</v>
      </c>
      <c r="B32" t="s">
        <v>361</v>
      </c>
      <c r="C32">
        <v>2016</v>
      </c>
      <c r="D32">
        <v>1</v>
      </c>
      <c r="E32" t="s">
        <v>772</v>
      </c>
      <c r="F32" t="s">
        <v>362</v>
      </c>
      <c r="G32">
        <v>3.5865550000000002</v>
      </c>
      <c r="H32" s="20">
        <f>IF(AND(A32=A31,F32=F31,F32="Winter wheat"),G32*0.9*'BAU Management details'!$F$46,
IF(AND(OR(A32&lt;&gt;A31,F32&lt;&gt;F31),F32="Winter wheat"),G32*'BAU Management details'!$F$46,
IF(F32="Oilseed Rape",G32*'BAU Management details'!$F$47)))</f>
        <v>30.844373000000001</v>
      </c>
      <c r="I32" t="s">
        <v>348</v>
      </c>
      <c r="J32">
        <v>10</v>
      </c>
      <c r="K32" t="s">
        <v>362</v>
      </c>
      <c r="L32" t="s">
        <v>751</v>
      </c>
      <c r="M32">
        <v>2.6</v>
      </c>
      <c r="N32" t="s">
        <v>349</v>
      </c>
      <c r="O32" t="s">
        <v>742</v>
      </c>
      <c r="P32">
        <v>7.1</v>
      </c>
      <c r="Q32" t="s">
        <v>743</v>
      </c>
      <c r="R32" t="s">
        <v>351</v>
      </c>
      <c r="S32">
        <v>220</v>
      </c>
      <c r="T32" s="47" t="s">
        <v>729</v>
      </c>
      <c r="U32" t="s">
        <v>366</v>
      </c>
      <c r="V32" t="s">
        <v>364</v>
      </c>
      <c r="W32" s="47" t="s">
        <v>736</v>
      </c>
      <c r="X32" s="47">
        <v>0</v>
      </c>
      <c r="Y32" s="47" t="s">
        <v>730</v>
      </c>
      <c r="Z32" s="47">
        <v>0</v>
      </c>
      <c r="AA32" s="47" t="s">
        <v>731</v>
      </c>
      <c r="AB32" s="47">
        <v>0</v>
      </c>
      <c r="AC32" s="47" t="s">
        <v>731</v>
      </c>
      <c r="AD32" s="47" t="s">
        <v>731</v>
      </c>
      <c r="AE32" s="47" t="s">
        <v>731</v>
      </c>
      <c r="AF32" s="47">
        <v>0</v>
      </c>
      <c r="AG32" s="47">
        <v>0</v>
      </c>
      <c r="AH32" s="47">
        <v>0</v>
      </c>
      <c r="AI32" s="47" t="s">
        <v>729</v>
      </c>
      <c r="AJ32">
        <v>1</v>
      </c>
      <c r="AK32">
        <v>100</v>
      </c>
    </row>
    <row r="33" spans="1:37" x14ac:dyDescent="0.2">
      <c r="A33" t="s">
        <v>771</v>
      </c>
      <c r="B33" t="s">
        <v>361</v>
      </c>
      <c r="C33">
        <v>2017</v>
      </c>
      <c r="D33">
        <v>2</v>
      </c>
      <c r="E33" t="s">
        <v>773</v>
      </c>
      <c r="F33" t="s">
        <v>362</v>
      </c>
      <c r="G33">
        <v>3.5865550000000002</v>
      </c>
      <c r="H33" s="20">
        <f>IF(AND(A33=A32,F33=F32,F33="Winter wheat"),G33*0.9*'BAU Management details'!$F$46,
IF(AND(OR(A33&lt;&gt;A32,F33&lt;&gt;F32),F33="Winter wheat"),G33*'BAU Management details'!$F$46,
IF(F33="Oilseed Rape",G33*'BAU Management details'!$F$47)))</f>
        <v>27.759935700000003</v>
      </c>
      <c r="I33" t="s">
        <v>348</v>
      </c>
      <c r="J33">
        <v>10</v>
      </c>
      <c r="K33" t="s">
        <v>362</v>
      </c>
      <c r="L33" t="s">
        <v>751</v>
      </c>
      <c r="M33">
        <v>2.6</v>
      </c>
      <c r="N33" t="s">
        <v>349</v>
      </c>
      <c r="O33" t="s">
        <v>742</v>
      </c>
      <c r="P33">
        <v>7.1</v>
      </c>
      <c r="Q33" t="s">
        <v>743</v>
      </c>
      <c r="R33" t="s">
        <v>351</v>
      </c>
      <c r="S33">
        <v>220</v>
      </c>
      <c r="T33" s="47" t="s">
        <v>729</v>
      </c>
      <c r="U33" t="s">
        <v>733</v>
      </c>
      <c r="V33" t="s">
        <v>364</v>
      </c>
      <c r="W33" s="47" t="s">
        <v>736</v>
      </c>
      <c r="X33" s="47">
        <v>0</v>
      </c>
      <c r="Y33" s="47" t="s">
        <v>730</v>
      </c>
      <c r="Z33" s="47">
        <v>0</v>
      </c>
      <c r="AA33" s="47" t="s">
        <v>731</v>
      </c>
      <c r="AB33" s="47">
        <v>0</v>
      </c>
      <c r="AC33" s="47">
        <v>0</v>
      </c>
      <c r="AD33" s="47">
        <v>0</v>
      </c>
      <c r="AE33" s="47" t="s">
        <v>731</v>
      </c>
      <c r="AF33" s="47">
        <v>0</v>
      </c>
      <c r="AG33" s="47">
        <v>0</v>
      </c>
      <c r="AH33" s="47">
        <v>0</v>
      </c>
      <c r="AI33" s="47" t="s">
        <v>729</v>
      </c>
      <c r="AJ33">
        <v>1</v>
      </c>
      <c r="AK33">
        <v>100</v>
      </c>
    </row>
    <row r="34" spans="1:37" x14ac:dyDescent="0.2">
      <c r="A34" t="s">
        <v>771</v>
      </c>
      <c r="B34" t="s">
        <v>361</v>
      </c>
      <c r="C34">
        <v>2018</v>
      </c>
      <c r="D34">
        <v>3</v>
      </c>
      <c r="E34" t="s">
        <v>774</v>
      </c>
      <c r="F34" t="s">
        <v>365</v>
      </c>
      <c r="G34">
        <v>3.5865550000000002</v>
      </c>
      <c r="H34" s="20">
        <f>IF(AND(A34=A33,F34=F33,F34="Winter wheat"),G34*0.9*'BAU Management details'!$F$46,
IF(AND(OR(A34&lt;&gt;A33,F34&lt;&gt;F33),F34="Winter wheat"),G34*'BAU Management details'!$F$46,
IF(F34="Oilseed Rape",G34*'BAU Management details'!$F$47)))</f>
        <v>12.5529425</v>
      </c>
      <c r="I34" t="s">
        <v>348</v>
      </c>
      <c r="J34">
        <v>10</v>
      </c>
      <c r="K34" t="s">
        <v>532</v>
      </c>
      <c r="L34" t="s">
        <v>751</v>
      </c>
      <c r="M34">
        <v>2.6</v>
      </c>
      <c r="N34" t="s">
        <v>349</v>
      </c>
      <c r="O34" t="s">
        <v>742</v>
      </c>
      <c r="P34">
        <v>7.1</v>
      </c>
      <c r="Q34" t="s">
        <v>743</v>
      </c>
      <c r="R34" t="s">
        <v>351</v>
      </c>
      <c r="S34">
        <v>220</v>
      </c>
      <c r="T34" s="47" t="s">
        <v>735</v>
      </c>
      <c r="U34" t="s">
        <v>368</v>
      </c>
      <c r="V34" t="s">
        <v>364</v>
      </c>
      <c r="W34" s="47" t="s">
        <v>736</v>
      </c>
      <c r="X34" s="47">
        <v>0</v>
      </c>
      <c r="Y34" s="47" t="s">
        <v>736</v>
      </c>
      <c r="Z34" s="47">
        <v>0</v>
      </c>
      <c r="AA34" s="47" t="s">
        <v>736</v>
      </c>
      <c r="AB34" s="47">
        <v>0</v>
      </c>
      <c r="AC34" s="47">
        <v>0</v>
      </c>
      <c r="AD34" s="47">
        <v>0</v>
      </c>
      <c r="AE34" s="47" t="s">
        <v>731</v>
      </c>
      <c r="AF34" s="47">
        <v>0</v>
      </c>
      <c r="AG34" s="47" t="s">
        <v>731</v>
      </c>
      <c r="AH34" s="47">
        <v>0</v>
      </c>
      <c r="AI34" s="47" t="s">
        <v>735</v>
      </c>
      <c r="AJ34">
        <v>1</v>
      </c>
      <c r="AK34">
        <v>100</v>
      </c>
    </row>
    <row r="35" spans="1:37" x14ac:dyDescent="0.2">
      <c r="A35" t="s">
        <v>771</v>
      </c>
      <c r="B35" t="s">
        <v>361</v>
      </c>
      <c r="C35">
        <v>2019</v>
      </c>
      <c r="D35">
        <v>4</v>
      </c>
      <c r="E35" t="s">
        <v>775</v>
      </c>
      <c r="F35" t="s">
        <v>362</v>
      </c>
      <c r="G35">
        <v>3.5865550000000002</v>
      </c>
      <c r="H35" s="20">
        <f>IF(AND(A35=A34,F35=F34,F35="Winter wheat"),G35*0.9*'BAU Management details'!$F$46,
IF(AND(OR(A35&lt;&gt;A34,F35&lt;&gt;F34),F35="Winter wheat"),G35*'BAU Management details'!$F$46,
IF(F35="Oilseed Rape",G35*'BAU Management details'!$F$47)))</f>
        <v>30.844373000000001</v>
      </c>
      <c r="I35" t="s">
        <v>348</v>
      </c>
      <c r="J35">
        <v>10</v>
      </c>
      <c r="K35" t="s">
        <v>362</v>
      </c>
      <c r="L35" t="s">
        <v>751</v>
      </c>
      <c r="M35">
        <v>2.6</v>
      </c>
      <c r="N35" t="s">
        <v>349</v>
      </c>
      <c r="O35" t="s">
        <v>742</v>
      </c>
      <c r="P35">
        <v>7.1</v>
      </c>
      <c r="Q35" t="s">
        <v>743</v>
      </c>
      <c r="R35" t="s">
        <v>351</v>
      </c>
      <c r="S35">
        <v>220</v>
      </c>
      <c r="T35" s="47" t="s">
        <v>729</v>
      </c>
      <c r="U35" t="s">
        <v>366</v>
      </c>
      <c r="V35" t="s">
        <v>364</v>
      </c>
      <c r="W35" s="47" t="s">
        <v>736</v>
      </c>
      <c r="X35" s="47">
        <v>0</v>
      </c>
      <c r="Y35" s="47" t="s">
        <v>730</v>
      </c>
      <c r="Z35" s="47">
        <v>0</v>
      </c>
      <c r="AA35" s="47" t="s">
        <v>731</v>
      </c>
      <c r="AB35" s="47">
        <v>0</v>
      </c>
      <c r="AC35" s="47" t="s">
        <v>731</v>
      </c>
      <c r="AD35" s="47" t="s">
        <v>731</v>
      </c>
      <c r="AE35" s="47" t="s">
        <v>731</v>
      </c>
      <c r="AF35" s="47">
        <v>0</v>
      </c>
      <c r="AG35" s="47">
        <v>0</v>
      </c>
      <c r="AH35" s="47">
        <v>0</v>
      </c>
      <c r="AI35" s="47" t="s">
        <v>729</v>
      </c>
      <c r="AJ35">
        <v>1</v>
      </c>
      <c r="AK35">
        <v>100</v>
      </c>
    </row>
    <row r="36" spans="1:37" x14ac:dyDescent="0.2">
      <c r="A36" t="s">
        <v>771</v>
      </c>
      <c r="B36" t="s">
        <v>361</v>
      </c>
      <c r="C36">
        <v>2020</v>
      </c>
      <c r="D36">
        <v>5</v>
      </c>
      <c r="E36" t="s">
        <v>776</v>
      </c>
      <c r="F36" t="s">
        <v>362</v>
      </c>
      <c r="G36">
        <v>3.5865550000000002</v>
      </c>
      <c r="H36" s="20">
        <f>IF(AND(A36=A35,F36=F35,F36="Winter wheat"),G36*0.9*'BAU Management details'!$F$46,
IF(AND(OR(A36&lt;&gt;A35,F36&lt;&gt;F35),F36="Winter wheat"),G36*'BAU Management details'!$F$46,
IF(F36="Oilseed Rape",G36*'BAU Management details'!$F$47)))</f>
        <v>27.759935700000003</v>
      </c>
      <c r="I36" t="s">
        <v>348</v>
      </c>
      <c r="J36">
        <v>10</v>
      </c>
      <c r="K36" t="s">
        <v>362</v>
      </c>
      <c r="L36" t="s">
        <v>751</v>
      </c>
      <c r="M36">
        <v>2.6</v>
      </c>
      <c r="N36" t="s">
        <v>349</v>
      </c>
      <c r="O36" t="s">
        <v>742</v>
      </c>
      <c r="P36">
        <v>7.1</v>
      </c>
      <c r="Q36" t="s">
        <v>743</v>
      </c>
      <c r="R36" t="s">
        <v>351</v>
      </c>
      <c r="S36">
        <v>220</v>
      </c>
      <c r="T36" s="47" t="s">
        <v>729</v>
      </c>
      <c r="U36" t="s">
        <v>733</v>
      </c>
      <c r="V36" t="s">
        <v>364</v>
      </c>
      <c r="W36" s="47" t="s">
        <v>736</v>
      </c>
      <c r="X36" s="47">
        <v>0</v>
      </c>
      <c r="Y36" s="47" t="s">
        <v>730</v>
      </c>
      <c r="Z36" s="47">
        <v>0</v>
      </c>
      <c r="AA36" s="47" t="s">
        <v>731</v>
      </c>
      <c r="AB36" s="47">
        <v>0</v>
      </c>
      <c r="AC36" s="47">
        <v>0</v>
      </c>
      <c r="AD36" s="47">
        <v>0</v>
      </c>
      <c r="AE36" s="47" t="s">
        <v>731</v>
      </c>
      <c r="AF36" s="47">
        <v>0</v>
      </c>
      <c r="AG36" s="47">
        <v>0</v>
      </c>
      <c r="AH36" s="47">
        <v>0</v>
      </c>
      <c r="AI36" s="47" t="s">
        <v>729</v>
      </c>
      <c r="AJ36">
        <v>1</v>
      </c>
      <c r="AK36">
        <v>100</v>
      </c>
    </row>
    <row r="37" spans="1:37" x14ac:dyDescent="0.2">
      <c r="A37" t="s">
        <v>771</v>
      </c>
      <c r="B37" t="s">
        <v>361</v>
      </c>
      <c r="C37">
        <v>2021</v>
      </c>
      <c r="D37">
        <v>6</v>
      </c>
      <c r="E37" t="s">
        <v>777</v>
      </c>
      <c r="F37" t="s">
        <v>365</v>
      </c>
      <c r="G37">
        <v>3.5865550000000002</v>
      </c>
      <c r="H37" s="20">
        <f>IF(AND(A37=A36,F37=F36,F37="Winter wheat"),G37*0.9*'BAU Management details'!$F$46,
IF(AND(OR(A37&lt;&gt;A36,F37&lt;&gt;F36),F37="Winter wheat"),G37*'BAU Management details'!$F$46,
IF(F37="Oilseed Rape",G37*'BAU Management details'!$F$47)))</f>
        <v>12.5529425</v>
      </c>
      <c r="I37" t="s">
        <v>348</v>
      </c>
      <c r="J37">
        <v>10</v>
      </c>
      <c r="K37" t="s">
        <v>532</v>
      </c>
      <c r="L37" t="s">
        <v>751</v>
      </c>
      <c r="M37">
        <v>2.6</v>
      </c>
      <c r="N37" t="s">
        <v>349</v>
      </c>
      <c r="O37" t="s">
        <v>742</v>
      </c>
      <c r="P37">
        <v>7.1</v>
      </c>
      <c r="Q37" t="s">
        <v>743</v>
      </c>
      <c r="R37" t="s">
        <v>351</v>
      </c>
      <c r="S37">
        <v>220</v>
      </c>
      <c r="T37" s="47" t="s">
        <v>735</v>
      </c>
      <c r="U37" t="s">
        <v>368</v>
      </c>
      <c r="V37" t="s">
        <v>364</v>
      </c>
      <c r="W37" s="47" t="s">
        <v>736</v>
      </c>
      <c r="X37" s="47">
        <v>0</v>
      </c>
      <c r="Y37" s="47" t="s">
        <v>736</v>
      </c>
      <c r="Z37" s="47">
        <v>0</v>
      </c>
      <c r="AA37" s="47" t="s">
        <v>736</v>
      </c>
      <c r="AB37" s="47">
        <v>0</v>
      </c>
      <c r="AC37" s="47">
        <v>0</v>
      </c>
      <c r="AD37" s="47">
        <v>0</v>
      </c>
      <c r="AE37" s="47" t="s">
        <v>731</v>
      </c>
      <c r="AF37" s="47">
        <v>0</v>
      </c>
      <c r="AG37" s="47" t="s">
        <v>731</v>
      </c>
      <c r="AH37" s="47">
        <v>0</v>
      </c>
      <c r="AI37" s="47" t="s">
        <v>735</v>
      </c>
      <c r="AJ37">
        <v>1</v>
      </c>
      <c r="AK37">
        <v>100</v>
      </c>
    </row>
    <row r="38" spans="1:37" x14ac:dyDescent="0.2">
      <c r="A38" t="s">
        <v>778</v>
      </c>
      <c r="B38" t="s">
        <v>361</v>
      </c>
      <c r="C38">
        <v>2016</v>
      </c>
      <c r="D38">
        <v>1</v>
      </c>
      <c r="E38" t="s">
        <v>779</v>
      </c>
      <c r="F38" t="s">
        <v>362</v>
      </c>
      <c r="G38">
        <v>6.9425670000000004</v>
      </c>
      <c r="H38" s="20">
        <f>IF(AND(A38=A37,F38=F37,F38="Winter wheat"),G38*0.9*'BAU Management details'!$F$46,
IF(AND(OR(A38&lt;&gt;A37,F38&lt;&gt;F37),F38="Winter wheat"),G38*'BAU Management details'!$F$46,
IF(F38="Oilseed Rape",G38*'BAU Management details'!$F$47)))</f>
        <v>59.706076199999998</v>
      </c>
      <c r="I38" t="s">
        <v>348</v>
      </c>
      <c r="J38">
        <v>10</v>
      </c>
      <c r="K38" t="s">
        <v>362</v>
      </c>
      <c r="L38" t="s">
        <v>751</v>
      </c>
      <c r="M38">
        <v>2.6</v>
      </c>
      <c r="N38" t="s">
        <v>349</v>
      </c>
      <c r="O38" t="s">
        <v>742</v>
      </c>
      <c r="P38">
        <v>7.1</v>
      </c>
      <c r="Q38" t="s">
        <v>743</v>
      </c>
      <c r="R38" t="s">
        <v>351</v>
      </c>
      <c r="S38">
        <v>220</v>
      </c>
      <c r="T38" s="47" t="s">
        <v>729</v>
      </c>
      <c r="U38" t="s">
        <v>366</v>
      </c>
      <c r="V38" t="s">
        <v>364</v>
      </c>
      <c r="W38" s="47" t="s">
        <v>736</v>
      </c>
      <c r="X38" s="47">
        <v>0</v>
      </c>
      <c r="Y38" s="47" t="s">
        <v>730</v>
      </c>
      <c r="Z38" s="47">
        <v>0</v>
      </c>
      <c r="AA38" s="47" t="s">
        <v>731</v>
      </c>
      <c r="AB38" s="47">
        <v>0</v>
      </c>
      <c r="AC38" s="47" t="s">
        <v>731</v>
      </c>
      <c r="AD38" s="47" t="s">
        <v>731</v>
      </c>
      <c r="AE38" s="47" t="s">
        <v>731</v>
      </c>
      <c r="AF38" s="47">
        <v>0</v>
      </c>
      <c r="AG38" s="47">
        <v>0</v>
      </c>
      <c r="AH38" s="47">
        <v>0</v>
      </c>
      <c r="AI38" s="47" t="s">
        <v>729</v>
      </c>
      <c r="AJ38">
        <v>1</v>
      </c>
      <c r="AK38">
        <v>100</v>
      </c>
    </row>
    <row r="39" spans="1:37" x14ac:dyDescent="0.2">
      <c r="A39" t="s">
        <v>778</v>
      </c>
      <c r="B39" t="s">
        <v>361</v>
      </c>
      <c r="C39">
        <v>2017</v>
      </c>
      <c r="D39">
        <v>2</v>
      </c>
      <c r="E39" t="s">
        <v>780</v>
      </c>
      <c r="F39" t="s">
        <v>362</v>
      </c>
      <c r="G39">
        <v>6.9425670000000004</v>
      </c>
      <c r="H39" s="20">
        <f>IF(AND(A39=A38,F39=F38,F39="Winter wheat"),G39*0.9*'BAU Management details'!$F$46,
IF(AND(OR(A39&lt;&gt;A38,F39&lt;&gt;F38),F39="Winter wheat"),G39*'BAU Management details'!$F$46,
IF(F39="Oilseed Rape",G39*'BAU Management details'!$F$47)))</f>
        <v>53.735468580000003</v>
      </c>
      <c r="I39" t="s">
        <v>348</v>
      </c>
      <c r="J39">
        <v>10</v>
      </c>
      <c r="K39" t="s">
        <v>362</v>
      </c>
      <c r="L39" t="s">
        <v>751</v>
      </c>
      <c r="M39">
        <v>2.6</v>
      </c>
      <c r="N39" t="s">
        <v>349</v>
      </c>
      <c r="O39" t="s">
        <v>742</v>
      </c>
      <c r="P39">
        <v>7.1</v>
      </c>
      <c r="Q39" t="s">
        <v>743</v>
      </c>
      <c r="R39" t="s">
        <v>351</v>
      </c>
      <c r="S39">
        <v>220</v>
      </c>
      <c r="T39" s="47" t="s">
        <v>729</v>
      </c>
      <c r="U39" t="s">
        <v>733</v>
      </c>
      <c r="V39" t="s">
        <v>364</v>
      </c>
      <c r="W39" s="47" t="s">
        <v>736</v>
      </c>
      <c r="X39" s="47">
        <v>0</v>
      </c>
      <c r="Y39" s="47" t="s">
        <v>730</v>
      </c>
      <c r="Z39" s="47">
        <v>0</v>
      </c>
      <c r="AA39" s="47" t="s">
        <v>731</v>
      </c>
      <c r="AB39" s="47">
        <v>0</v>
      </c>
      <c r="AC39" s="47">
        <v>0</v>
      </c>
      <c r="AD39" s="47">
        <v>0</v>
      </c>
      <c r="AE39" s="47" t="s">
        <v>731</v>
      </c>
      <c r="AF39" s="47">
        <v>0</v>
      </c>
      <c r="AG39" s="47">
        <v>0</v>
      </c>
      <c r="AH39" s="47">
        <v>0</v>
      </c>
      <c r="AI39" s="47" t="s">
        <v>729</v>
      </c>
      <c r="AJ39">
        <v>1</v>
      </c>
      <c r="AK39">
        <v>100</v>
      </c>
    </row>
    <row r="40" spans="1:37" x14ac:dyDescent="0.2">
      <c r="A40" t="s">
        <v>778</v>
      </c>
      <c r="B40" t="s">
        <v>361</v>
      </c>
      <c r="C40">
        <v>2018</v>
      </c>
      <c r="D40">
        <v>3</v>
      </c>
      <c r="E40" t="s">
        <v>781</v>
      </c>
      <c r="F40" t="s">
        <v>365</v>
      </c>
      <c r="G40">
        <v>6.9425670000000004</v>
      </c>
      <c r="H40" s="20">
        <f>IF(AND(A40=A39,F40=F39,F40="Winter wheat"),G40*0.9*'BAU Management details'!$F$46,
IF(AND(OR(A40&lt;&gt;A39,F40&lt;&gt;F39),F40="Winter wheat"),G40*'BAU Management details'!$F$46,
IF(F40="Oilseed Rape",G40*'BAU Management details'!$F$47)))</f>
        <v>24.298984500000003</v>
      </c>
      <c r="I40" t="s">
        <v>348</v>
      </c>
      <c r="J40">
        <v>10</v>
      </c>
      <c r="K40" t="s">
        <v>532</v>
      </c>
      <c r="L40" t="s">
        <v>751</v>
      </c>
      <c r="M40">
        <v>2.6</v>
      </c>
      <c r="N40" t="s">
        <v>349</v>
      </c>
      <c r="O40" t="s">
        <v>742</v>
      </c>
      <c r="P40">
        <v>7.1</v>
      </c>
      <c r="Q40" t="s">
        <v>743</v>
      </c>
      <c r="R40" t="s">
        <v>351</v>
      </c>
      <c r="S40">
        <v>220</v>
      </c>
      <c r="T40" s="47" t="s">
        <v>735</v>
      </c>
      <c r="U40" t="s">
        <v>368</v>
      </c>
      <c r="V40" t="s">
        <v>364</v>
      </c>
      <c r="W40" s="47" t="s">
        <v>736</v>
      </c>
      <c r="X40" s="47">
        <v>0</v>
      </c>
      <c r="Y40" s="47" t="s">
        <v>736</v>
      </c>
      <c r="Z40" s="47">
        <v>0</v>
      </c>
      <c r="AA40" s="47" t="s">
        <v>736</v>
      </c>
      <c r="AB40" s="47">
        <v>0</v>
      </c>
      <c r="AC40" s="47">
        <v>0</v>
      </c>
      <c r="AD40" s="47">
        <v>0</v>
      </c>
      <c r="AE40" s="47" t="s">
        <v>731</v>
      </c>
      <c r="AF40" s="47">
        <v>0</v>
      </c>
      <c r="AG40" s="47" t="s">
        <v>731</v>
      </c>
      <c r="AH40" s="47">
        <v>0</v>
      </c>
      <c r="AI40" s="47" t="s">
        <v>735</v>
      </c>
      <c r="AJ40">
        <v>1</v>
      </c>
      <c r="AK40">
        <v>100</v>
      </c>
    </row>
    <row r="41" spans="1:37" x14ac:dyDescent="0.2">
      <c r="A41" t="s">
        <v>778</v>
      </c>
      <c r="B41" t="s">
        <v>361</v>
      </c>
      <c r="C41">
        <v>2019</v>
      </c>
      <c r="D41">
        <v>4</v>
      </c>
      <c r="E41" t="s">
        <v>782</v>
      </c>
      <c r="F41" t="s">
        <v>362</v>
      </c>
      <c r="G41">
        <v>6.9425670000000004</v>
      </c>
      <c r="H41" s="20">
        <f>IF(AND(A41=A40,F41=F40,F41="Winter wheat"),G41*0.9*'BAU Management details'!$F$46,
IF(AND(OR(A41&lt;&gt;A40,F41&lt;&gt;F40),F41="Winter wheat"),G41*'BAU Management details'!$F$46,
IF(F41="Oilseed Rape",G41*'BAU Management details'!$F$47)))</f>
        <v>59.706076199999998</v>
      </c>
      <c r="I41" t="s">
        <v>348</v>
      </c>
      <c r="J41">
        <v>10</v>
      </c>
      <c r="K41" t="s">
        <v>362</v>
      </c>
      <c r="L41" t="s">
        <v>751</v>
      </c>
      <c r="M41">
        <v>2.6</v>
      </c>
      <c r="N41" t="s">
        <v>349</v>
      </c>
      <c r="O41" t="s">
        <v>742</v>
      </c>
      <c r="P41">
        <v>7.1</v>
      </c>
      <c r="Q41" t="s">
        <v>743</v>
      </c>
      <c r="R41" t="s">
        <v>351</v>
      </c>
      <c r="S41">
        <v>220</v>
      </c>
      <c r="T41" s="47" t="s">
        <v>729</v>
      </c>
      <c r="U41" t="s">
        <v>366</v>
      </c>
      <c r="V41" t="s">
        <v>364</v>
      </c>
      <c r="W41" s="47" t="s">
        <v>736</v>
      </c>
      <c r="X41" s="47">
        <v>0</v>
      </c>
      <c r="Y41" s="47" t="s">
        <v>730</v>
      </c>
      <c r="Z41" s="47">
        <v>0</v>
      </c>
      <c r="AA41" s="47" t="s">
        <v>731</v>
      </c>
      <c r="AB41" s="47">
        <v>0</v>
      </c>
      <c r="AC41" s="47" t="s">
        <v>731</v>
      </c>
      <c r="AD41" s="47" t="s">
        <v>731</v>
      </c>
      <c r="AE41" s="47" t="s">
        <v>731</v>
      </c>
      <c r="AF41" s="47">
        <v>0</v>
      </c>
      <c r="AG41" s="47">
        <v>0</v>
      </c>
      <c r="AH41" s="47">
        <v>0</v>
      </c>
      <c r="AI41" s="47" t="s">
        <v>729</v>
      </c>
      <c r="AJ41">
        <v>1</v>
      </c>
      <c r="AK41">
        <v>100</v>
      </c>
    </row>
    <row r="42" spans="1:37" x14ac:dyDescent="0.2">
      <c r="A42" t="s">
        <v>778</v>
      </c>
      <c r="B42" t="s">
        <v>361</v>
      </c>
      <c r="C42">
        <v>2020</v>
      </c>
      <c r="D42">
        <v>5</v>
      </c>
      <c r="E42" t="s">
        <v>783</v>
      </c>
      <c r="F42" t="s">
        <v>362</v>
      </c>
      <c r="G42">
        <v>6.9425670000000004</v>
      </c>
      <c r="H42" s="20">
        <f>IF(AND(A42=A41,F42=F41,F42="Winter wheat"),G42*0.9*'BAU Management details'!$F$46,
IF(AND(OR(A42&lt;&gt;A41,F42&lt;&gt;F41),F42="Winter wheat"),G42*'BAU Management details'!$F$46,
IF(F42="Oilseed Rape",G42*'BAU Management details'!$F$47)))</f>
        <v>53.735468580000003</v>
      </c>
      <c r="I42" t="s">
        <v>348</v>
      </c>
      <c r="J42">
        <v>10</v>
      </c>
      <c r="K42" t="s">
        <v>362</v>
      </c>
      <c r="L42" t="s">
        <v>751</v>
      </c>
      <c r="M42">
        <v>2.6</v>
      </c>
      <c r="N42" t="s">
        <v>349</v>
      </c>
      <c r="O42" t="s">
        <v>742</v>
      </c>
      <c r="P42">
        <v>7.1</v>
      </c>
      <c r="Q42" t="s">
        <v>743</v>
      </c>
      <c r="R42" t="s">
        <v>351</v>
      </c>
      <c r="S42">
        <v>220</v>
      </c>
      <c r="T42" s="47" t="s">
        <v>729</v>
      </c>
      <c r="U42" t="s">
        <v>733</v>
      </c>
      <c r="V42" t="s">
        <v>364</v>
      </c>
      <c r="W42" s="47" t="s">
        <v>736</v>
      </c>
      <c r="X42" s="47">
        <v>0</v>
      </c>
      <c r="Y42" s="47" t="s">
        <v>730</v>
      </c>
      <c r="Z42" s="47">
        <v>0</v>
      </c>
      <c r="AA42" s="47" t="s">
        <v>731</v>
      </c>
      <c r="AB42" s="47">
        <v>0</v>
      </c>
      <c r="AC42" s="47">
        <v>0</v>
      </c>
      <c r="AD42" s="47">
        <v>0</v>
      </c>
      <c r="AE42" s="47" t="s">
        <v>731</v>
      </c>
      <c r="AF42" s="47">
        <v>0</v>
      </c>
      <c r="AG42" s="47">
        <v>0</v>
      </c>
      <c r="AH42" s="47">
        <v>0</v>
      </c>
      <c r="AI42" s="47" t="s">
        <v>729</v>
      </c>
      <c r="AJ42">
        <v>1</v>
      </c>
      <c r="AK42">
        <v>100</v>
      </c>
    </row>
    <row r="43" spans="1:37" x14ac:dyDescent="0.2">
      <c r="A43" t="s">
        <v>778</v>
      </c>
      <c r="B43" t="s">
        <v>361</v>
      </c>
      <c r="C43">
        <v>2021</v>
      </c>
      <c r="D43">
        <v>6</v>
      </c>
      <c r="E43" t="s">
        <v>784</v>
      </c>
      <c r="F43" t="s">
        <v>365</v>
      </c>
      <c r="G43">
        <v>6.9425670000000004</v>
      </c>
      <c r="H43" s="20">
        <f>IF(AND(A43=A42,F43=F42,F43="Winter wheat"),G43*0.9*'BAU Management details'!$F$46,
IF(AND(OR(A43&lt;&gt;A42,F43&lt;&gt;F42),F43="Winter wheat"),G43*'BAU Management details'!$F$46,
IF(F43="Oilseed Rape",G43*'BAU Management details'!$F$47)))</f>
        <v>24.298984500000003</v>
      </c>
      <c r="I43" t="s">
        <v>348</v>
      </c>
      <c r="J43">
        <v>10</v>
      </c>
      <c r="K43" t="s">
        <v>532</v>
      </c>
      <c r="L43" t="s">
        <v>751</v>
      </c>
      <c r="M43">
        <v>2.6</v>
      </c>
      <c r="N43" t="s">
        <v>349</v>
      </c>
      <c r="O43" t="s">
        <v>742</v>
      </c>
      <c r="P43">
        <v>7.1</v>
      </c>
      <c r="Q43" t="s">
        <v>743</v>
      </c>
      <c r="R43" t="s">
        <v>351</v>
      </c>
      <c r="S43">
        <v>220</v>
      </c>
      <c r="T43" s="47" t="s">
        <v>735</v>
      </c>
      <c r="U43" t="s">
        <v>368</v>
      </c>
      <c r="V43" t="s">
        <v>364</v>
      </c>
      <c r="W43" s="47" t="s">
        <v>736</v>
      </c>
      <c r="X43" s="47">
        <v>0</v>
      </c>
      <c r="Y43" s="47" t="s">
        <v>736</v>
      </c>
      <c r="Z43" s="47">
        <v>0</v>
      </c>
      <c r="AA43" s="47" t="s">
        <v>736</v>
      </c>
      <c r="AB43" s="47">
        <v>0</v>
      </c>
      <c r="AC43" s="47">
        <v>0</v>
      </c>
      <c r="AD43" s="47">
        <v>0</v>
      </c>
      <c r="AE43" s="47" t="s">
        <v>731</v>
      </c>
      <c r="AF43" s="47">
        <v>0</v>
      </c>
      <c r="AG43" s="47" t="s">
        <v>731</v>
      </c>
      <c r="AH43" s="47">
        <v>0</v>
      </c>
      <c r="AI43" s="47" t="s">
        <v>735</v>
      </c>
      <c r="AJ43">
        <v>1</v>
      </c>
      <c r="AK43">
        <v>100</v>
      </c>
    </row>
    <row r="44" spans="1:37" x14ac:dyDescent="0.2">
      <c r="A44" t="s">
        <v>785</v>
      </c>
      <c r="B44" t="s">
        <v>361</v>
      </c>
      <c r="C44">
        <v>2016</v>
      </c>
      <c r="D44">
        <v>1</v>
      </c>
      <c r="E44" t="s">
        <v>786</v>
      </c>
      <c r="F44" t="s">
        <v>362</v>
      </c>
      <c r="G44">
        <v>8.2909620000000004</v>
      </c>
      <c r="H44" s="20">
        <f>IF(AND(A44=A43,F44=F43,F44="Winter wheat"),G44*0.9*'BAU Management details'!$F$46,
IF(AND(OR(A44&lt;&gt;A43,F44&lt;&gt;F43),F44="Winter wheat"),G44*'BAU Management details'!$F$46,
IF(F44="Oilseed Rape",G44*'BAU Management details'!$F$47)))</f>
        <v>71.302273200000002</v>
      </c>
      <c r="I44" t="s">
        <v>348</v>
      </c>
      <c r="J44">
        <v>10</v>
      </c>
      <c r="K44" t="s">
        <v>362</v>
      </c>
      <c r="L44" t="s">
        <v>787</v>
      </c>
      <c r="M44">
        <v>1.8</v>
      </c>
      <c r="N44" t="s">
        <v>349</v>
      </c>
      <c r="O44" t="s">
        <v>350</v>
      </c>
      <c r="P44">
        <v>7.8</v>
      </c>
      <c r="Q44" t="s">
        <v>728</v>
      </c>
      <c r="R44" t="s">
        <v>351</v>
      </c>
      <c r="S44">
        <v>220</v>
      </c>
      <c r="T44" s="47" t="s">
        <v>729</v>
      </c>
      <c r="U44" t="s">
        <v>366</v>
      </c>
      <c r="V44" t="s">
        <v>364</v>
      </c>
      <c r="W44" s="47" t="s">
        <v>736</v>
      </c>
      <c r="X44" s="47">
        <v>0</v>
      </c>
      <c r="Y44" s="47" t="s">
        <v>730</v>
      </c>
      <c r="Z44" s="47">
        <v>0</v>
      </c>
      <c r="AA44" s="47" t="s">
        <v>731</v>
      </c>
      <c r="AB44" s="47">
        <v>0</v>
      </c>
      <c r="AC44" s="47" t="s">
        <v>731</v>
      </c>
      <c r="AD44" s="47" t="s">
        <v>731</v>
      </c>
      <c r="AE44" s="47" t="s">
        <v>731</v>
      </c>
      <c r="AF44" s="47">
        <v>0</v>
      </c>
      <c r="AG44" s="47">
        <v>0</v>
      </c>
      <c r="AH44" s="47">
        <v>0</v>
      </c>
      <c r="AI44" s="47" t="s">
        <v>729</v>
      </c>
      <c r="AJ44">
        <v>1</v>
      </c>
      <c r="AK44">
        <v>100</v>
      </c>
    </row>
    <row r="45" spans="1:37" x14ac:dyDescent="0.2">
      <c r="A45" t="s">
        <v>785</v>
      </c>
      <c r="B45" t="s">
        <v>361</v>
      </c>
      <c r="C45">
        <v>2017</v>
      </c>
      <c r="D45">
        <v>2</v>
      </c>
      <c r="E45" t="s">
        <v>788</v>
      </c>
      <c r="F45" t="s">
        <v>362</v>
      </c>
      <c r="G45">
        <v>8.2909620000000004</v>
      </c>
      <c r="H45" s="20">
        <f>IF(AND(A45=A44,F45=F44,F45="Winter wheat"),G45*0.9*'BAU Management details'!$F$46,
IF(AND(OR(A45&lt;&gt;A44,F45&lt;&gt;F44),F45="Winter wheat"),G45*'BAU Management details'!$F$46,
IF(F45="Oilseed Rape",G45*'BAU Management details'!$F$47)))</f>
        <v>64.172045879999999</v>
      </c>
      <c r="I45" t="s">
        <v>348</v>
      </c>
      <c r="J45">
        <v>10</v>
      </c>
      <c r="K45" t="s">
        <v>362</v>
      </c>
      <c r="L45" t="s">
        <v>787</v>
      </c>
      <c r="M45">
        <v>1.8</v>
      </c>
      <c r="N45" t="s">
        <v>349</v>
      </c>
      <c r="O45" t="s">
        <v>350</v>
      </c>
      <c r="P45">
        <v>7.8</v>
      </c>
      <c r="Q45" t="s">
        <v>728</v>
      </c>
      <c r="R45" t="s">
        <v>351</v>
      </c>
      <c r="S45">
        <v>220</v>
      </c>
      <c r="T45" s="47" t="s">
        <v>729</v>
      </c>
      <c r="U45" t="s">
        <v>733</v>
      </c>
      <c r="V45" t="s">
        <v>364</v>
      </c>
      <c r="W45" s="47" t="s">
        <v>736</v>
      </c>
      <c r="X45" s="47">
        <v>0</v>
      </c>
      <c r="Y45" s="47" t="s">
        <v>730</v>
      </c>
      <c r="Z45" s="47">
        <v>0</v>
      </c>
      <c r="AA45" s="47" t="s">
        <v>731</v>
      </c>
      <c r="AB45" s="47">
        <v>0</v>
      </c>
      <c r="AC45" s="47">
        <v>0</v>
      </c>
      <c r="AD45" s="47">
        <v>0</v>
      </c>
      <c r="AE45" s="47" t="s">
        <v>731</v>
      </c>
      <c r="AF45" s="47">
        <v>0</v>
      </c>
      <c r="AG45" s="47">
        <v>0</v>
      </c>
      <c r="AH45" s="47">
        <v>0</v>
      </c>
      <c r="AI45" s="47" t="s">
        <v>729</v>
      </c>
      <c r="AJ45">
        <v>1</v>
      </c>
      <c r="AK45">
        <v>100</v>
      </c>
    </row>
    <row r="46" spans="1:37" x14ac:dyDescent="0.2">
      <c r="A46" t="s">
        <v>785</v>
      </c>
      <c r="B46" t="s">
        <v>361</v>
      </c>
      <c r="C46">
        <v>2018</v>
      </c>
      <c r="D46">
        <v>3</v>
      </c>
      <c r="E46" t="s">
        <v>789</v>
      </c>
      <c r="F46" t="s">
        <v>365</v>
      </c>
      <c r="G46">
        <v>8.2909620000000004</v>
      </c>
      <c r="H46" s="20">
        <f>IF(AND(A46=A45,F46=F45,F46="Winter wheat"),G46*0.9*'BAU Management details'!$F$46,
IF(AND(OR(A46&lt;&gt;A45,F46&lt;&gt;F45),F46="Winter wheat"),G46*'BAU Management details'!$F$46,
IF(F46="Oilseed Rape",G46*'BAU Management details'!$F$47)))</f>
        <v>29.018367000000001</v>
      </c>
      <c r="I46" t="s">
        <v>348</v>
      </c>
      <c r="J46">
        <v>10</v>
      </c>
      <c r="K46" t="s">
        <v>532</v>
      </c>
      <c r="L46" t="s">
        <v>787</v>
      </c>
      <c r="M46">
        <v>1.8</v>
      </c>
      <c r="N46" t="s">
        <v>349</v>
      </c>
      <c r="O46" t="s">
        <v>350</v>
      </c>
      <c r="P46">
        <v>7.8</v>
      </c>
      <c r="Q46" t="s">
        <v>728</v>
      </c>
      <c r="R46" t="s">
        <v>351</v>
      </c>
      <c r="S46">
        <v>220</v>
      </c>
      <c r="T46" s="47" t="s">
        <v>735</v>
      </c>
      <c r="U46" t="s">
        <v>368</v>
      </c>
      <c r="V46" t="s">
        <v>364</v>
      </c>
      <c r="W46" s="47" t="s">
        <v>736</v>
      </c>
      <c r="X46" s="47">
        <v>0</v>
      </c>
      <c r="Y46" s="47" t="s">
        <v>736</v>
      </c>
      <c r="Z46" s="47">
        <v>0</v>
      </c>
      <c r="AA46" s="47" t="s">
        <v>736</v>
      </c>
      <c r="AB46" s="47">
        <v>0</v>
      </c>
      <c r="AC46" s="47">
        <v>0</v>
      </c>
      <c r="AD46" s="47">
        <v>0</v>
      </c>
      <c r="AE46" s="47" t="s">
        <v>731</v>
      </c>
      <c r="AF46" s="47">
        <v>0</v>
      </c>
      <c r="AG46" s="47" t="s">
        <v>731</v>
      </c>
      <c r="AH46" s="47">
        <v>0</v>
      </c>
      <c r="AI46" s="47" t="s">
        <v>735</v>
      </c>
      <c r="AJ46">
        <v>1</v>
      </c>
      <c r="AK46">
        <v>100</v>
      </c>
    </row>
    <row r="47" spans="1:37" x14ac:dyDescent="0.2">
      <c r="A47" t="s">
        <v>785</v>
      </c>
      <c r="B47" t="s">
        <v>361</v>
      </c>
      <c r="C47">
        <v>2019</v>
      </c>
      <c r="D47">
        <v>4</v>
      </c>
      <c r="E47" t="s">
        <v>790</v>
      </c>
      <c r="F47" t="s">
        <v>362</v>
      </c>
      <c r="G47">
        <v>8.2909620000000004</v>
      </c>
      <c r="H47" s="20">
        <f>IF(AND(A47=A46,F47=F46,F47="Winter wheat"),G47*0.9*'BAU Management details'!$F$46,
IF(AND(OR(A47&lt;&gt;A46,F47&lt;&gt;F46),F47="Winter wheat"),G47*'BAU Management details'!$F$46,
IF(F47="Oilseed Rape",G47*'BAU Management details'!$F$47)))</f>
        <v>71.302273200000002</v>
      </c>
      <c r="I47" t="s">
        <v>348</v>
      </c>
      <c r="J47">
        <v>10</v>
      </c>
      <c r="K47" t="s">
        <v>362</v>
      </c>
      <c r="L47" t="s">
        <v>787</v>
      </c>
      <c r="M47">
        <v>1.8</v>
      </c>
      <c r="N47" t="s">
        <v>349</v>
      </c>
      <c r="O47" t="s">
        <v>350</v>
      </c>
      <c r="P47">
        <v>7.8</v>
      </c>
      <c r="Q47" t="s">
        <v>728</v>
      </c>
      <c r="R47" t="s">
        <v>351</v>
      </c>
      <c r="S47">
        <v>220</v>
      </c>
      <c r="T47" s="47" t="s">
        <v>729</v>
      </c>
      <c r="U47" t="s">
        <v>366</v>
      </c>
      <c r="V47" t="s">
        <v>364</v>
      </c>
      <c r="W47" s="47" t="s">
        <v>736</v>
      </c>
      <c r="X47" s="47">
        <v>0</v>
      </c>
      <c r="Y47" s="47" t="s">
        <v>730</v>
      </c>
      <c r="Z47" s="47">
        <v>0</v>
      </c>
      <c r="AA47" s="47" t="s">
        <v>731</v>
      </c>
      <c r="AB47" s="47">
        <v>0</v>
      </c>
      <c r="AC47" s="47" t="s">
        <v>731</v>
      </c>
      <c r="AD47" s="47" t="s">
        <v>731</v>
      </c>
      <c r="AE47" s="47" t="s">
        <v>731</v>
      </c>
      <c r="AF47" s="47">
        <v>0</v>
      </c>
      <c r="AG47" s="47">
        <v>0</v>
      </c>
      <c r="AH47" s="47">
        <v>0</v>
      </c>
      <c r="AI47" s="47" t="s">
        <v>729</v>
      </c>
      <c r="AJ47">
        <v>1</v>
      </c>
      <c r="AK47">
        <v>100</v>
      </c>
    </row>
    <row r="48" spans="1:37" x14ac:dyDescent="0.2">
      <c r="A48" t="s">
        <v>785</v>
      </c>
      <c r="B48" t="s">
        <v>361</v>
      </c>
      <c r="C48">
        <v>2020</v>
      </c>
      <c r="D48">
        <v>5</v>
      </c>
      <c r="E48" t="s">
        <v>791</v>
      </c>
      <c r="F48" t="s">
        <v>362</v>
      </c>
      <c r="G48">
        <v>8.2909620000000004</v>
      </c>
      <c r="H48" s="20">
        <f>IF(AND(A48=A47,F48=F47,F48="Winter wheat"),G48*0.9*'BAU Management details'!$F$46,
IF(AND(OR(A48&lt;&gt;A47,F48&lt;&gt;F47),F48="Winter wheat"),G48*'BAU Management details'!$F$46,
IF(F48="Oilseed Rape",G48*'BAU Management details'!$F$47)))</f>
        <v>64.172045879999999</v>
      </c>
      <c r="I48" t="s">
        <v>348</v>
      </c>
      <c r="J48">
        <v>10</v>
      </c>
      <c r="K48" t="s">
        <v>362</v>
      </c>
      <c r="L48" t="s">
        <v>787</v>
      </c>
      <c r="M48">
        <v>1.8</v>
      </c>
      <c r="N48" t="s">
        <v>349</v>
      </c>
      <c r="O48" t="s">
        <v>350</v>
      </c>
      <c r="P48">
        <v>7.8</v>
      </c>
      <c r="Q48" t="s">
        <v>728</v>
      </c>
      <c r="R48" t="s">
        <v>351</v>
      </c>
      <c r="S48">
        <v>220</v>
      </c>
      <c r="T48" s="47" t="s">
        <v>729</v>
      </c>
      <c r="U48" t="s">
        <v>733</v>
      </c>
      <c r="V48" t="s">
        <v>364</v>
      </c>
      <c r="W48" s="47" t="s">
        <v>736</v>
      </c>
      <c r="X48" s="47">
        <v>0</v>
      </c>
      <c r="Y48" s="47" t="s">
        <v>730</v>
      </c>
      <c r="Z48" s="47">
        <v>0</v>
      </c>
      <c r="AA48" s="47" t="s">
        <v>731</v>
      </c>
      <c r="AB48" s="47">
        <v>0</v>
      </c>
      <c r="AC48" s="47">
        <v>0</v>
      </c>
      <c r="AD48" s="47">
        <v>0</v>
      </c>
      <c r="AE48" s="47" t="s">
        <v>731</v>
      </c>
      <c r="AF48" s="47">
        <v>0</v>
      </c>
      <c r="AG48" s="47">
        <v>0</v>
      </c>
      <c r="AH48" s="47">
        <v>0</v>
      </c>
      <c r="AI48" s="47" t="s">
        <v>729</v>
      </c>
      <c r="AJ48">
        <v>1</v>
      </c>
      <c r="AK48">
        <v>100</v>
      </c>
    </row>
    <row r="49" spans="1:37" x14ac:dyDescent="0.2">
      <c r="A49" t="s">
        <v>785</v>
      </c>
      <c r="B49" t="s">
        <v>361</v>
      </c>
      <c r="C49">
        <v>2021</v>
      </c>
      <c r="D49">
        <v>6</v>
      </c>
      <c r="E49" t="s">
        <v>792</v>
      </c>
      <c r="F49" t="s">
        <v>365</v>
      </c>
      <c r="G49">
        <v>8.2909620000000004</v>
      </c>
      <c r="H49" s="20">
        <f>IF(AND(A49=A48,F49=F48,F49="Winter wheat"),G49*0.9*'BAU Management details'!$F$46,
IF(AND(OR(A49&lt;&gt;A48,F49&lt;&gt;F48),F49="Winter wheat"),G49*'BAU Management details'!$F$46,
IF(F49="Oilseed Rape",G49*'BAU Management details'!$F$47)))</f>
        <v>29.018367000000001</v>
      </c>
      <c r="I49" t="s">
        <v>348</v>
      </c>
      <c r="J49">
        <v>10</v>
      </c>
      <c r="K49" t="s">
        <v>532</v>
      </c>
      <c r="L49" t="s">
        <v>787</v>
      </c>
      <c r="M49">
        <v>1.8</v>
      </c>
      <c r="N49" t="s">
        <v>349</v>
      </c>
      <c r="O49" t="s">
        <v>350</v>
      </c>
      <c r="P49">
        <v>7.8</v>
      </c>
      <c r="Q49" t="s">
        <v>728</v>
      </c>
      <c r="R49" t="s">
        <v>351</v>
      </c>
      <c r="S49">
        <v>220</v>
      </c>
      <c r="T49" s="47" t="s">
        <v>735</v>
      </c>
      <c r="U49" t="s">
        <v>368</v>
      </c>
      <c r="V49" t="s">
        <v>364</v>
      </c>
      <c r="W49" s="47" t="s">
        <v>736</v>
      </c>
      <c r="X49" s="47">
        <v>0</v>
      </c>
      <c r="Y49" s="47" t="s">
        <v>736</v>
      </c>
      <c r="Z49" s="47">
        <v>0</v>
      </c>
      <c r="AA49" s="47" t="s">
        <v>736</v>
      </c>
      <c r="AB49" s="47">
        <v>0</v>
      </c>
      <c r="AC49" s="47">
        <v>0</v>
      </c>
      <c r="AD49" s="47">
        <v>0</v>
      </c>
      <c r="AE49" s="47" t="s">
        <v>731</v>
      </c>
      <c r="AF49" s="47">
        <v>0</v>
      </c>
      <c r="AG49" s="47" t="s">
        <v>731</v>
      </c>
      <c r="AH49" s="47">
        <v>0</v>
      </c>
      <c r="AI49" s="47" t="s">
        <v>735</v>
      </c>
      <c r="AJ49">
        <v>1</v>
      </c>
      <c r="AK49">
        <v>100</v>
      </c>
    </row>
    <row r="50" spans="1:37" x14ac:dyDescent="0.2">
      <c r="A50" t="s">
        <v>793</v>
      </c>
      <c r="B50" t="s">
        <v>361</v>
      </c>
      <c r="C50">
        <v>2016</v>
      </c>
      <c r="D50">
        <v>1</v>
      </c>
      <c r="E50" t="s">
        <v>794</v>
      </c>
      <c r="F50" t="s">
        <v>362</v>
      </c>
      <c r="G50">
        <v>3.6521089999999998</v>
      </c>
      <c r="H50" s="20">
        <f>IF(AND(A50=A49,F50=F49,F50="Winter wheat"),G50*0.9*'BAU Management details'!$F$46,
IF(AND(OR(A50&lt;&gt;A49,F50&lt;&gt;F49),F50="Winter wheat"),G50*'BAU Management details'!$F$46,
IF(F50="Oilseed Rape",G50*'BAU Management details'!$F$47)))</f>
        <v>31.408137399999998</v>
      </c>
      <c r="I50" t="s">
        <v>348</v>
      </c>
      <c r="J50">
        <v>10</v>
      </c>
      <c r="K50" t="s">
        <v>362</v>
      </c>
      <c r="L50" t="s">
        <v>751</v>
      </c>
      <c r="M50">
        <v>2.8</v>
      </c>
      <c r="N50" t="s">
        <v>349</v>
      </c>
      <c r="O50" t="s">
        <v>350</v>
      </c>
      <c r="P50">
        <v>6.5</v>
      </c>
      <c r="Q50" t="s">
        <v>743</v>
      </c>
      <c r="R50" t="s">
        <v>351</v>
      </c>
      <c r="S50">
        <v>220</v>
      </c>
      <c r="T50" s="47" t="s">
        <v>729</v>
      </c>
      <c r="U50" t="s">
        <v>366</v>
      </c>
      <c r="V50" t="s">
        <v>364</v>
      </c>
      <c r="W50" s="47" t="s">
        <v>736</v>
      </c>
      <c r="X50" s="47">
        <v>0</v>
      </c>
      <c r="Y50" s="47" t="s">
        <v>730</v>
      </c>
      <c r="Z50" s="47">
        <v>0</v>
      </c>
      <c r="AA50" s="47" t="s">
        <v>731</v>
      </c>
      <c r="AB50" s="47">
        <v>0</v>
      </c>
      <c r="AC50" s="47" t="s">
        <v>731</v>
      </c>
      <c r="AD50" s="47" t="s">
        <v>731</v>
      </c>
      <c r="AE50" s="47" t="s">
        <v>731</v>
      </c>
      <c r="AF50" s="47">
        <v>0</v>
      </c>
      <c r="AG50" s="47">
        <v>0</v>
      </c>
      <c r="AH50" s="47">
        <v>0</v>
      </c>
      <c r="AI50" s="47" t="s">
        <v>729</v>
      </c>
      <c r="AJ50">
        <v>1</v>
      </c>
      <c r="AK50">
        <v>100</v>
      </c>
    </row>
    <row r="51" spans="1:37" x14ac:dyDescent="0.2">
      <c r="A51" t="s">
        <v>793</v>
      </c>
      <c r="B51" t="s">
        <v>361</v>
      </c>
      <c r="C51">
        <v>2017</v>
      </c>
      <c r="D51">
        <v>2</v>
      </c>
      <c r="E51" t="s">
        <v>795</v>
      </c>
      <c r="F51" t="s">
        <v>362</v>
      </c>
      <c r="G51">
        <v>3.6521089999999998</v>
      </c>
      <c r="H51" s="20">
        <f>IF(AND(A51=A50,F51=F50,F51="Winter wheat"),G51*0.9*'BAU Management details'!$F$46,
IF(AND(OR(A51&lt;&gt;A50,F51&lt;&gt;F50),F51="Winter wheat"),G51*'BAU Management details'!$F$46,
IF(F51="Oilseed Rape",G51*'BAU Management details'!$F$47)))</f>
        <v>28.267323659999995</v>
      </c>
      <c r="I51" t="s">
        <v>348</v>
      </c>
      <c r="J51">
        <v>10</v>
      </c>
      <c r="K51" t="s">
        <v>362</v>
      </c>
      <c r="L51" t="s">
        <v>751</v>
      </c>
      <c r="M51">
        <v>2.8</v>
      </c>
      <c r="N51" t="s">
        <v>349</v>
      </c>
      <c r="O51" t="s">
        <v>350</v>
      </c>
      <c r="P51">
        <v>6.5</v>
      </c>
      <c r="Q51" t="s">
        <v>743</v>
      </c>
      <c r="R51" t="s">
        <v>351</v>
      </c>
      <c r="S51">
        <v>220</v>
      </c>
      <c r="T51" s="47" t="s">
        <v>729</v>
      </c>
      <c r="U51" t="s">
        <v>733</v>
      </c>
      <c r="V51" t="s">
        <v>364</v>
      </c>
      <c r="W51" s="47" t="s">
        <v>736</v>
      </c>
      <c r="X51" s="47">
        <v>0</v>
      </c>
      <c r="Y51" s="47" t="s">
        <v>730</v>
      </c>
      <c r="Z51" s="47">
        <v>0</v>
      </c>
      <c r="AA51" s="47" t="s">
        <v>731</v>
      </c>
      <c r="AB51" s="47">
        <v>0</v>
      </c>
      <c r="AC51" s="47">
        <v>0</v>
      </c>
      <c r="AD51" s="47">
        <v>0</v>
      </c>
      <c r="AE51" s="47" t="s">
        <v>731</v>
      </c>
      <c r="AF51" s="47">
        <v>0</v>
      </c>
      <c r="AG51" s="47">
        <v>0</v>
      </c>
      <c r="AH51" s="47">
        <v>0</v>
      </c>
      <c r="AI51" s="47" t="s">
        <v>729</v>
      </c>
      <c r="AJ51">
        <v>1</v>
      </c>
      <c r="AK51">
        <v>100</v>
      </c>
    </row>
    <row r="52" spans="1:37" x14ac:dyDescent="0.2">
      <c r="A52" t="s">
        <v>793</v>
      </c>
      <c r="B52" t="s">
        <v>361</v>
      </c>
      <c r="C52">
        <v>2018</v>
      </c>
      <c r="D52">
        <v>3</v>
      </c>
      <c r="E52" t="s">
        <v>796</v>
      </c>
      <c r="F52" t="s">
        <v>365</v>
      </c>
      <c r="G52">
        <v>3.6521089999999998</v>
      </c>
      <c r="H52" s="20">
        <f>IF(AND(A52=A51,F52=F51,F52="Winter wheat"),G52*0.9*'BAU Management details'!$F$46,
IF(AND(OR(A52&lt;&gt;A51,F52&lt;&gt;F51),F52="Winter wheat"),G52*'BAU Management details'!$F$46,
IF(F52="Oilseed Rape",G52*'BAU Management details'!$F$47)))</f>
        <v>12.7823815</v>
      </c>
      <c r="I52" t="s">
        <v>348</v>
      </c>
      <c r="J52">
        <v>10</v>
      </c>
      <c r="K52" t="s">
        <v>532</v>
      </c>
      <c r="L52" t="s">
        <v>751</v>
      </c>
      <c r="M52">
        <v>2.8</v>
      </c>
      <c r="N52" t="s">
        <v>349</v>
      </c>
      <c r="O52" t="s">
        <v>350</v>
      </c>
      <c r="P52">
        <v>6.5</v>
      </c>
      <c r="Q52" t="s">
        <v>743</v>
      </c>
      <c r="R52" t="s">
        <v>351</v>
      </c>
      <c r="S52">
        <v>220</v>
      </c>
      <c r="T52" s="47" t="s">
        <v>735</v>
      </c>
      <c r="U52" t="s">
        <v>368</v>
      </c>
      <c r="V52" t="s">
        <v>364</v>
      </c>
      <c r="W52" s="47" t="s">
        <v>736</v>
      </c>
      <c r="X52" s="47">
        <v>0</v>
      </c>
      <c r="Y52" s="47" t="s">
        <v>736</v>
      </c>
      <c r="Z52" s="47">
        <v>0</v>
      </c>
      <c r="AA52" s="47" t="s">
        <v>736</v>
      </c>
      <c r="AB52" s="47">
        <v>0</v>
      </c>
      <c r="AC52" s="47">
        <v>0</v>
      </c>
      <c r="AD52" s="47">
        <v>0</v>
      </c>
      <c r="AE52" s="47" t="s">
        <v>731</v>
      </c>
      <c r="AF52" s="47">
        <v>0</v>
      </c>
      <c r="AG52" s="47" t="s">
        <v>731</v>
      </c>
      <c r="AH52" s="47">
        <v>0</v>
      </c>
      <c r="AI52" s="47" t="s">
        <v>735</v>
      </c>
      <c r="AJ52">
        <v>1</v>
      </c>
      <c r="AK52">
        <v>100</v>
      </c>
    </row>
    <row r="53" spans="1:37" x14ac:dyDescent="0.2">
      <c r="A53" t="s">
        <v>793</v>
      </c>
      <c r="B53" t="s">
        <v>361</v>
      </c>
      <c r="C53">
        <v>2019</v>
      </c>
      <c r="D53">
        <v>4</v>
      </c>
      <c r="E53" t="s">
        <v>797</v>
      </c>
      <c r="F53" t="s">
        <v>362</v>
      </c>
      <c r="G53">
        <v>3.6521089999999998</v>
      </c>
      <c r="H53" s="20">
        <f>IF(AND(A53=A52,F53=F52,F53="Winter wheat"),G53*0.9*'BAU Management details'!$F$46,
IF(AND(OR(A53&lt;&gt;A52,F53&lt;&gt;F52),F53="Winter wheat"),G53*'BAU Management details'!$F$46,
IF(F53="Oilseed Rape",G53*'BAU Management details'!$F$47)))</f>
        <v>31.408137399999998</v>
      </c>
      <c r="I53" t="s">
        <v>348</v>
      </c>
      <c r="J53">
        <v>10</v>
      </c>
      <c r="K53" t="s">
        <v>362</v>
      </c>
      <c r="L53" t="s">
        <v>751</v>
      </c>
      <c r="M53">
        <v>2.8</v>
      </c>
      <c r="N53" t="s">
        <v>349</v>
      </c>
      <c r="O53" t="s">
        <v>350</v>
      </c>
      <c r="P53">
        <v>6.5</v>
      </c>
      <c r="Q53" t="s">
        <v>743</v>
      </c>
      <c r="R53" t="s">
        <v>351</v>
      </c>
      <c r="S53">
        <v>220</v>
      </c>
      <c r="T53" s="47" t="s">
        <v>729</v>
      </c>
      <c r="U53" t="s">
        <v>366</v>
      </c>
      <c r="V53" t="s">
        <v>364</v>
      </c>
      <c r="W53" s="47" t="s">
        <v>736</v>
      </c>
      <c r="X53" s="47">
        <v>0</v>
      </c>
      <c r="Y53" s="47" t="s">
        <v>730</v>
      </c>
      <c r="Z53" s="47">
        <v>0</v>
      </c>
      <c r="AA53" s="47" t="s">
        <v>731</v>
      </c>
      <c r="AB53" s="47">
        <v>0</v>
      </c>
      <c r="AC53" s="47" t="s">
        <v>731</v>
      </c>
      <c r="AD53" s="47" t="s">
        <v>731</v>
      </c>
      <c r="AE53" s="47" t="s">
        <v>731</v>
      </c>
      <c r="AF53" s="47">
        <v>0</v>
      </c>
      <c r="AG53" s="47">
        <v>0</v>
      </c>
      <c r="AH53" s="47">
        <v>0</v>
      </c>
      <c r="AI53" s="47" t="s">
        <v>729</v>
      </c>
      <c r="AJ53">
        <v>1</v>
      </c>
      <c r="AK53">
        <v>100</v>
      </c>
    </row>
    <row r="54" spans="1:37" x14ac:dyDescent="0.2">
      <c r="A54" t="s">
        <v>793</v>
      </c>
      <c r="B54" t="s">
        <v>361</v>
      </c>
      <c r="C54">
        <v>2020</v>
      </c>
      <c r="D54">
        <v>5</v>
      </c>
      <c r="E54" t="s">
        <v>798</v>
      </c>
      <c r="F54" t="s">
        <v>362</v>
      </c>
      <c r="G54">
        <v>3.6521089999999998</v>
      </c>
      <c r="H54" s="20">
        <f>IF(AND(A54=A53,F54=F53,F54="Winter wheat"),G54*0.9*'BAU Management details'!$F$46,
IF(AND(OR(A54&lt;&gt;A53,F54&lt;&gt;F53),F54="Winter wheat"),G54*'BAU Management details'!$F$46,
IF(F54="Oilseed Rape",G54*'BAU Management details'!$F$47)))</f>
        <v>28.267323659999995</v>
      </c>
      <c r="I54" t="s">
        <v>348</v>
      </c>
      <c r="J54">
        <v>10</v>
      </c>
      <c r="K54" t="s">
        <v>362</v>
      </c>
      <c r="L54" t="s">
        <v>751</v>
      </c>
      <c r="M54">
        <v>2.8</v>
      </c>
      <c r="N54" t="s">
        <v>349</v>
      </c>
      <c r="O54" t="s">
        <v>350</v>
      </c>
      <c r="P54">
        <v>6.5</v>
      </c>
      <c r="Q54" t="s">
        <v>743</v>
      </c>
      <c r="R54" t="s">
        <v>351</v>
      </c>
      <c r="S54">
        <v>220</v>
      </c>
      <c r="T54" s="47" t="s">
        <v>729</v>
      </c>
      <c r="U54" t="s">
        <v>733</v>
      </c>
      <c r="V54" t="s">
        <v>364</v>
      </c>
      <c r="W54" s="47" t="s">
        <v>736</v>
      </c>
      <c r="X54" s="47">
        <v>0</v>
      </c>
      <c r="Y54" s="47" t="s">
        <v>730</v>
      </c>
      <c r="Z54" s="47">
        <v>0</v>
      </c>
      <c r="AA54" s="47" t="s">
        <v>731</v>
      </c>
      <c r="AB54" s="47">
        <v>0</v>
      </c>
      <c r="AC54" s="47">
        <v>0</v>
      </c>
      <c r="AD54" s="47">
        <v>0</v>
      </c>
      <c r="AE54" s="47" t="s">
        <v>731</v>
      </c>
      <c r="AF54" s="47">
        <v>0</v>
      </c>
      <c r="AG54" s="47">
        <v>0</v>
      </c>
      <c r="AH54" s="47">
        <v>0</v>
      </c>
      <c r="AI54" s="47" t="s">
        <v>729</v>
      </c>
      <c r="AJ54">
        <v>1</v>
      </c>
      <c r="AK54">
        <v>100</v>
      </c>
    </row>
    <row r="55" spans="1:37" x14ac:dyDescent="0.2">
      <c r="A55" t="s">
        <v>793</v>
      </c>
      <c r="B55" t="s">
        <v>361</v>
      </c>
      <c r="C55">
        <v>2021</v>
      </c>
      <c r="D55">
        <v>6</v>
      </c>
      <c r="E55" t="s">
        <v>799</v>
      </c>
      <c r="F55" t="s">
        <v>365</v>
      </c>
      <c r="G55">
        <v>3.6521089999999998</v>
      </c>
      <c r="H55" s="20">
        <f>IF(AND(A55=A54,F55=F54,F55="Winter wheat"),G55*0.9*'BAU Management details'!$F$46,
IF(AND(OR(A55&lt;&gt;A54,F55&lt;&gt;F54),F55="Winter wheat"),G55*'BAU Management details'!$F$46,
IF(F55="Oilseed Rape",G55*'BAU Management details'!$F$47)))</f>
        <v>12.7823815</v>
      </c>
      <c r="I55" t="s">
        <v>348</v>
      </c>
      <c r="J55">
        <v>10</v>
      </c>
      <c r="K55" t="s">
        <v>532</v>
      </c>
      <c r="L55" t="s">
        <v>751</v>
      </c>
      <c r="M55">
        <v>2.8</v>
      </c>
      <c r="N55" t="s">
        <v>349</v>
      </c>
      <c r="O55" t="s">
        <v>350</v>
      </c>
      <c r="P55">
        <v>6.5</v>
      </c>
      <c r="Q55" t="s">
        <v>743</v>
      </c>
      <c r="R55" t="s">
        <v>351</v>
      </c>
      <c r="S55">
        <v>220</v>
      </c>
      <c r="T55" s="47" t="s">
        <v>735</v>
      </c>
      <c r="U55" t="s">
        <v>368</v>
      </c>
      <c r="V55" t="s">
        <v>364</v>
      </c>
      <c r="W55" s="47" t="s">
        <v>736</v>
      </c>
      <c r="X55" s="47">
        <v>0</v>
      </c>
      <c r="Y55" s="47" t="s">
        <v>736</v>
      </c>
      <c r="Z55" s="47">
        <v>0</v>
      </c>
      <c r="AA55" s="47" t="s">
        <v>736</v>
      </c>
      <c r="AB55" s="47">
        <v>0</v>
      </c>
      <c r="AC55" s="47">
        <v>0</v>
      </c>
      <c r="AD55" s="47">
        <v>0</v>
      </c>
      <c r="AE55" s="47" t="s">
        <v>731</v>
      </c>
      <c r="AF55" s="47">
        <v>0</v>
      </c>
      <c r="AG55" s="47" t="s">
        <v>731</v>
      </c>
      <c r="AH55" s="47">
        <v>0</v>
      </c>
      <c r="AI55" s="47" t="s">
        <v>735</v>
      </c>
      <c r="AJ55">
        <v>1</v>
      </c>
      <c r="AK55">
        <v>100</v>
      </c>
    </row>
    <row r="56" spans="1:37" x14ac:dyDescent="0.2">
      <c r="A56" t="s">
        <v>800</v>
      </c>
      <c r="B56" t="s">
        <v>361</v>
      </c>
      <c r="C56">
        <v>2016</v>
      </c>
      <c r="D56">
        <v>1</v>
      </c>
      <c r="E56" t="s">
        <v>801</v>
      </c>
      <c r="F56" t="s">
        <v>362</v>
      </c>
      <c r="G56">
        <v>7.8614050000000004</v>
      </c>
      <c r="H56" s="20">
        <f>IF(AND(A56=A55,F56=F55,F56="Winter wheat"),G56*0.9*'BAU Management details'!$F$46,
IF(AND(OR(A56&lt;&gt;A55,F56&lt;&gt;F55),F56="Winter wheat"),G56*'BAU Management details'!$F$46,
IF(F56="Oilseed Rape",G56*'BAU Management details'!$F$47)))</f>
        <v>67.608083000000008</v>
      </c>
      <c r="I56" t="s">
        <v>348</v>
      </c>
      <c r="J56">
        <v>10</v>
      </c>
      <c r="K56" t="s">
        <v>362</v>
      </c>
      <c r="L56" t="s">
        <v>751</v>
      </c>
      <c r="M56">
        <v>2.9</v>
      </c>
      <c r="N56" t="s">
        <v>349</v>
      </c>
      <c r="O56" t="s">
        <v>350</v>
      </c>
      <c r="P56">
        <v>7.7</v>
      </c>
      <c r="Q56" t="s">
        <v>728</v>
      </c>
      <c r="R56" t="s">
        <v>351</v>
      </c>
      <c r="S56">
        <v>220</v>
      </c>
      <c r="T56" s="47" t="s">
        <v>729</v>
      </c>
      <c r="U56" t="s">
        <v>366</v>
      </c>
      <c r="V56" t="s">
        <v>364</v>
      </c>
      <c r="W56" s="47" t="s">
        <v>736</v>
      </c>
      <c r="X56" s="47">
        <v>0</v>
      </c>
      <c r="Y56" s="47" t="s">
        <v>730</v>
      </c>
      <c r="Z56" s="47">
        <v>0</v>
      </c>
      <c r="AA56" s="47" t="s">
        <v>731</v>
      </c>
      <c r="AB56" s="47">
        <v>0</v>
      </c>
      <c r="AC56" s="47" t="s">
        <v>731</v>
      </c>
      <c r="AD56" s="47" t="s">
        <v>731</v>
      </c>
      <c r="AE56" s="47" t="s">
        <v>731</v>
      </c>
      <c r="AF56" s="47">
        <v>0</v>
      </c>
      <c r="AG56" s="47">
        <v>0</v>
      </c>
      <c r="AH56" s="47">
        <v>0</v>
      </c>
      <c r="AI56" s="47" t="s">
        <v>729</v>
      </c>
      <c r="AJ56">
        <v>1</v>
      </c>
      <c r="AK56">
        <v>100</v>
      </c>
    </row>
    <row r="57" spans="1:37" x14ac:dyDescent="0.2">
      <c r="A57" t="s">
        <v>800</v>
      </c>
      <c r="B57" t="s">
        <v>361</v>
      </c>
      <c r="C57">
        <v>2017</v>
      </c>
      <c r="D57">
        <v>2</v>
      </c>
      <c r="E57" t="s">
        <v>802</v>
      </c>
      <c r="F57" t="s">
        <v>362</v>
      </c>
      <c r="G57">
        <v>7.8614050000000004</v>
      </c>
      <c r="H57" s="20">
        <f>IF(AND(A57=A56,F57=F56,F57="Winter wheat"),G57*0.9*'BAU Management details'!$F$46,
IF(AND(OR(A57&lt;&gt;A56,F57&lt;&gt;F56),F57="Winter wheat"),G57*'BAU Management details'!$F$46,
IF(F57="Oilseed Rape",G57*'BAU Management details'!$F$47)))</f>
        <v>60.8472747</v>
      </c>
      <c r="I57" t="s">
        <v>348</v>
      </c>
      <c r="J57">
        <v>10</v>
      </c>
      <c r="K57" t="s">
        <v>362</v>
      </c>
      <c r="L57" t="s">
        <v>751</v>
      </c>
      <c r="M57">
        <v>2.9</v>
      </c>
      <c r="N57" t="s">
        <v>349</v>
      </c>
      <c r="O57" t="s">
        <v>350</v>
      </c>
      <c r="P57">
        <v>7.7</v>
      </c>
      <c r="Q57" t="s">
        <v>728</v>
      </c>
      <c r="R57" t="s">
        <v>351</v>
      </c>
      <c r="S57">
        <v>220</v>
      </c>
      <c r="T57" s="47" t="s">
        <v>729</v>
      </c>
      <c r="U57" t="s">
        <v>733</v>
      </c>
      <c r="V57" t="s">
        <v>364</v>
      </c>
      <c r="W57" s="47" t="s">
        <v>736</v>
      </c>
      <c r="X57" s="47">
        <v>0</v>
      </c>
      <c r="Y57" s="47" t="s">
        <v>730</v>
      </c>
      <c r="Z57" s="47">
        <v>0</v>
      </c>
      <c r="AA57" s="47" t="s">
        <v>731</v>
      </c>
      <c r="AB57" s="47">
        <v>0</v>
      </c>
      <c r="AC57" s="47">
        <v>0</v>
      </c>
      <c r="AD57" s="47">
        <v>0</v>
      </c>
      <c r="AE57" s="47" t="s">
        <v>731</v>
      </c>
      <c r="AF57" s="47">
        <v>0</v>
      </c>
      <c r="AG57" s="47">
        <v>0</v>
      </c>
      <c r="AH57" s="47">
        <v>0</v>
      </c>
      <c r="AI57" s="47" t="s">
        <v>729</v>
      </c>
      <c r="AJ57">
        <v>1</v>
      </c>
      <c r="AK57">
        <v>100</v>
      </c>
    </row>
    <row r="58" spans="1:37" x14ac:dyDescent="0.2">
      <c r="A58" t="s">
        <v>800</v>
      </c>
      <c r="B58" t="s">
        <v>361</v>
      </c>
      <c r="C58">
        <v>2018</v>
      </c>
      <c r="D58">
        <v>3</v>
      </c>
      <c r="E58" t="s">
        <v>803</v>
      </c>
      <c r="F58" t="s">
        <v>365</v>
      </c>
      <c r="G58">
        <v>7.8614050000000004</v>
      </c>
      <c r="H58" s="20">
        <f>IF(AND(A58=A57,F58=F57,F58="Winter wheat"),G58*0.9*'BAU Management details'!$F$46,
IF(AND(OR(A58&lt;&gt;A57,F58&lt;&gt;F57),F58="Winter wheat"),G58*'BAU Management details'!$F$46,
IF(F58="Oilseed Rape",G58*'BAU Management details'!$F$47)))</f>
        <v>27.514917500000003</v>
      </c>
      <c r="I58" t="s">
        <v>348</v>
      </c>
      <c r="J58">
        <v>10</v>
      </c>
      <c r="K58" t="s">
        <v>532</v>
      </c>
      <c r="L58" t="s">
        <v>751</v>
      </c>
      <c r="M58">
        <v>2.9</v>
      </c>
      <c r="N58" t="s">
        <v>349</v>
      </c>
      <c r="O58" t="s">
        <v>350</v>
      </c>
      <c r="P58">
        <v>7.7</v>
      </c>
      <c r="Q58" t="s">
        <v>728</v>
      </c>
      <c r="R58" t="s">
        <v>351</v>
      </c>
      <c r="S58">
        <v>220</v>
      </c>
      <c r="T58" s="47" t="s">
        <v>735</v>
      </c>
      <c r="U58" t="s">
        <v>368</v>
      </c>
      <c r="V58" t="s">
        <v>364</v>
      </c>
      <c r="W58" s="47" t="s">
        <v>736</v>
      </c>
      <c r="X58" s="47">
        <v>0</v>
      </c>
      <c r="Y58" s="47" t="s">
        <v>736</v>
      </c>
      <c r="Z58" s="47">
        <v>0</v>
      </c>
      <c r="AA58" s="47" t="s">
        <v>736</v>
      </c>
      <c r="AB58" s="47">
        <v>0</v>
      </c>
      <c r="AC58" s="47">
        <v>0</v>
      </c>
      <c r="AD58" s="47">
        <v>0</v>
      </c>
      <c r="AE58" s="47" t="s">
        <v>731</v>
      </c>
      <c r="AF58" s="47">
        <v>0</v>
      </c>
      <c r="AG58" s="47" t="s">
        <v>731</v>
      </c>
      <c r="AH58" s="47">
        <v>0</v>
      </c>
      <c r="AI58" s="47" t="s">
        <v>735</v>
      </c>
      <c r="AJ58">
        <v>1</v>
      </c>
      <c r="AK58">
        <v>100</v>
      </c>
    </row>
    <row r="59" spans="1:37" x14ac:dyDescent="0.2">
      <c r="A59" t="s">
        <v>800</v>
      </c>
      <c r="B59" t="s">
        <v>361</v>
      </c>
      <c r="C59">
        <v>2019</v>
      </c>
      <c r="D59">
        <v>4</v>
      </c>
      <c r="E59" t="s">
        <v>804</v>
      </c>
      <c r="F59" t="s">
        <v>362</v>
      </c>
      <c r="G59">
        <v>7.8614050000000004</v>
      </c>
      <c r="H59" s="20">
        <f>IF(AND(A59=A58,F59=F58,F59="Winter wheat"),G59*0.9*'BAU Management details'!$F$46,
IF(AND(OR(A59&lt;&gt;A58,F59&lt;&gt;F58),F59="Winter wheat"),G59*'BAU Management details'!$F$46,
IF(F59="Oilseed Rape",G59*'BAU Management details'!$F$47)))</f>
        <v>67.608083000000008</v>
      </c>
      <c r="I59" t="s">
        <v>348</v>
      </c>
      <c r="J59">
        <v>10</v>
      </c>
      <c r="K59" t="s">
        <v>362</v>
      </c>
      <c r="L59" t="s">
        <v>751</v>
      </c>
      <c r="M59">
        <v>2.9</v>
      </c>
      <c r="N59" t="s">
        <v>349</v>
      </c>
      <c r="O59" t="s">
        <v>350</v>
      </c>
      <c r="P59">
        <v>7.7</v>
      </c>
      <c r="Q59" t="s">
        <v>728</v>
      </c>
      <c r="R59" t="s">
        <v>351</v>
      </c>
      <c r="S59">
        <v>220</v>
      </c>
      <c r="T59" s="47" t="s">
        <v>729</v>
      </c>
      <c r="U59" t="s">
        <v>366</v>
      </c>
      <c r="V59" t="s">
        <v>364</v>
      </c>
      <c r="W59" s="47" t="s">
        <v>736</v>
      </c>
      <c r="X59" s="47">
        <v>0</v>
      </c>
      <c r="Y59" s="47" t="s">
        <v>730</v>
      </c>
      <c r="Z59" s="47">
        <v>0</v>
      </c>
      <c r="AA59" s="47" t="s">
        <v>731</v>
      </c>
      <c r="AB59" s="47">
        <v>0</v>
      </c>
      <c r="AC59" s="47" t="s">
        <v>731</v>
      </c>
      <c r="AD59" s="47" t="s">
        <v>731</v>
      </c>
      <c r="AE59" s="47" t="s">
        <v>731</v>
      </c>
      <c r="AF59" s="47">
        <v>0</v>
      </c>
      <c r="AG59" s="47">
        <v>0</v>
      </c>
      <c r="AH59" s="47">
        <v>0</v>
      </c>
      <c r="AI59" s="47" t="s">
        <v>729</v>
      </c>
      <c r="AJ59">
        <v>1</v>
      </c>
      <c r="AK59">
        <v>100</v>
      </c>
    </row>
    <row r="60" spans="1:37" x14ac:dyDescent="0.2">
      <c r="A60" t="s">
        <v>800</v>
      </c>
      <c r="B60" t="s">
        <v>361</v>
      </c>
      <c r="C60">
        <v>2020</v>
      </c>
      <c r="D60">
        <v>5</v>
      </c>
      <c r="E60" t="s">
        <v>805</v>
      </c>
      <c r="F60" t="s">
        <v>362</v>
      </c>
      <c r="G60">
        <v>7.8614050000000004</v>
      </c>
      <c r="H60" s="20">
        <f>IF(AND(A60=A59,F60=F59,F60="Winter wheat"),G60*0.9*'BAU Management details'!$F$46,
IF(AND(OR(A60&lt;&gt;A59,F60&lt;&gt;F59),F60="Winter wheat"),G60*'BAU Management details'!$F$46,
IF(F60="Oilseed Rape",G60*'BAU Management details'!$F$47)))</f>
        <v>60.8472747</v>
      </c>
      <c r="I60" t="s">
        <v>348</v>
      </c>
      <c r="J60">
        <v>10</v>
      </c>
      <c r="K60" t="s">
        <v>362</v>
      </c>
      <c r="L60" t="s">
        <v>751</v>
      </c>
      <c r="M60">
        <v>2.9</v>
      </c>
      <c r="N60" t="s">
        <v>349</v>
      </c>
      <c r="O60" t="s">
        <v>350</v>
      </c>
      <c r="P60">
        <v>7.7</v>
      </c>
      <c r="Q60" t="s">
        <v>728</v>
      </c>
      <c r="R60" t="s">
        <v>351</v>
      </c>
      <c r="S60">
        <v>220</v>
      </c>
      <c r="T60" s="47" t="s">
        <v>729</v>
      </c>
      <c r="U60" t="s">
        <v>733</v>
      </c>
      <c r="V60" t="s">
        <v>364</v>
      </c>
      <c r="W60" s="47" t="s">
        <v>736</v>
      </c>
      <c r="X60" s="47">
        <v>0</v>
      </c>
      <c r="Y60" s="47" t="s">
        <v>730</v>
      </c>
      <c r="Z60" s="47">
        <v>0</v>
      </c>
      <c r="AA60" s="47" t="s">
        <v>731</v>
      </c>
      <c r="AB60" s="47">
        <v>0</v>
      </c>
      <c r="AC60" s="47">
        <v>0</v>
      </c>
      <c r="AD60" s="47">
        <v>0</v>
      </c>
      <c r="AE60" s="47" t="s">
        <v>731</v>
      </c>
      <c r="AF60" s="47">
        <v>0</v>
      </c>
      <c r="AG60" s="47">
        <v>0</v>
      </c>
      <c r="AH60" s="47">
        <v>0</v>
      </c>
      <c r="AI60" s="47" t="s">
        <v>729</v>
      </c>
      <c r="AJ60">
        <v>1</v>
      </c>
      <c r="AK60">
        <v>100</v>
      </c>
    </row>
    <row r="61" spans="1:37" x14ac:dyDescent="0.2">
      <c r="A61" t="s">
        <v>800</v>
      </c>
      <c r="B61" t="s">
        <v>361</v>
      </c>
      <c r="C61">
        <v>2021</v>
      </c>
      <c r="D61">
        <v>6</v>
      </c>
      <c r="E61" t="s">
        <v>806</v>
      </c>
      <c r="F61" t="s">
        <v>365</v>
      </c>
      <c r="G61">
        <v>7.8614050000000004</v>
      </c>
      <c r="H61" s="20">
        <f>IF(AND(A61=A60,F61=F60,F61="Winter wheat"),G61*0.9*'BAU Management details'!$F$46,
IF(AND(OR(A61&lt;&gt;A60,F61&lt;&gt;F60),F61="Winter wheat"),G61*'BAU Management details'!$F$46,
IF(F61="Oilseed Rape",G61*'BAU Management details'!$F$47)))</f>
        <v>27.514917500000003</v>
      </c>
      <c r="I61" t="s">
        <v>348</v>
      </c>
      <c r="J61">
        <v>10</v>
      </c>
      <c r="K61" t="s">
        <v>532</v>
      </c>
      <c r="L61" t="s">
        <v>751</v>
      </c>
      <c r="M61">
        <v>2.9</v>
      </c>
      <c r="N61" t="s">
        <v>349</v>
      </c>
      <c r="O61" t="s">
        <v>350</v>
      </c>
      <c r="P61">
        <v>7.7</v>
      </c>
      <c r="Q61" t="s">
        <v>728</v>
      </c>
      <c r="R61" t="s">
        <v>351</v>
      </c>
      <c r="S61">
        <v>220</v>
      </c>
      <c r="T61" s="47" t="s">
        <v>735</v>
      </c>
      <c r="U61" t="s">
        <v>368</v>
      </c>
      <c r="V61" t="s">
        <v>364</v>
      </c>
      <c r="W61" s="47" t="s">
        <v>736</v>
      </c>
      <c r="X61" s="47">
        <v>0</v>
      </c>
      <c r="Y61" s="47" t="s">
        <v>736</v>
      </c>
      <c r="Z61" s="47">
        <v>0</v>
      </c>
      <c r="AA61" s="47" t="s">
        <v>736</v>
      </c>
      <c r="AB61" s="47">
        <v>0</v>
      </c>
      <c r="AC61" s="47">
        <v>0</v>
      </c>
      <c r="AD61" s="47">
        <v>0</v>
      </c>
      <c r="AE61" s="47" t="s">
        <v>731</v>
      </c>
      <c r="AF61" s="47">
        <v>0</v>
      </c>
      <c r="AG61" s="47" t="s">
        <v>731</v>
      </c>
      <c r="AH61" s="47">
        <v>0</v>
      </c>
      <c r="AI61" s="47" t="s">
        <v>735</v>
      </c>
      <c r="AJ61">
        <v>1</v>
      </c>
      <c r="AK61">
        <v>100</v>
      </c>
    </row>
    <row r="62" spans="1:37" x14ac:dyDescent="0.2">
      <c r="A62" t="s">
        <v>807</v>
      </c>
      <c r="B62" t="s">
        <v>361</v>
      </c>
      <c r="C62">
        <v>2016</v>
      </c>
      <c r="D62">
        <v>1</v>
      </c>
      <c r="E62" t="s">
        <v>808</v>
      </c>
      <c r="F62" t="s">
        <v>362</v>
      </c>
      <c r="G62">
        <v>8.1726729999999996</v>
      </c>
      <c r="H62" s="20">
        <f>IF(AND(A62=A61,F62=F61,F62="Winter wheat"),G62*0.9*'BAU Management details'!$F$46,
IF(AND(OR(A62&lt;&gt;A61,F62&lt;&gt;F61),F62="Winter wheat"),G62*'BAU Management details'!$F$46,
IF(F62="Oilseed Rape",G62*'BAU Management details'!$F$47)))</f>
        <v>70.284987799999996</v>
      </c>
      <c r="I62" t="s">
        <v>348</v>
      </c>
      <c r="J62">
        <v>10</v>
      </c>
      <c r="K62" t="s">
        <v>362</v>
      </c>
      <c r="L62" t="s">
        <v>751</v>
      </c>
      <c r="M62">
        <v>2.6</v>
      </c>
      <c r="N62" t="s">
        <v>349</v>
      </c>
      <c r="O62" t="s">
        <v>350</v>
      </c>
      <c r="P62">
        <v>7.8</v>
      </c>
      <c r="Q62" t="s">
        <v>728</v>
      </c>
      <c r="R62" t="s">
        <v>351</v>
      </c>
      <c r="S62">
        <v>220</v>
      </c>
      <c r="T62" s="47" t="s">
        <v>729</v>
      </c>
      <c r="U62" t="s">
        <v>366</v>
      </c>
      <c r="V62" t="s">
        <v>364</v>
      </c>
      <c r="W62" s="47" t="s">
        <v>736</v>
      </c>
      <c r="X62" s="47">
        <v>0</v>
      </c>
      <c r="Y62" s="47" t="s">
        <v>730</v>
      </c>
      <c r="Z62" s="47">
        <v>0</v>
      </c>
      <c r="AA62" s="47" t="s">
        <v>731</v>
      </c>
      <c r="AB62" s="47">
        <v>0</v>
      </c>
      <c r="AC62" s="47" t="s">
        <v>731</v>
      </c>
      <c r="AD62" s="47" t="s">
        <v>731</v>
      </c>
      <c r="AE62" s="47" t="s">
        <v>731</v>
      </c>
      <c r="AF62" s="47">
        <v>0</v>
      </c>
      <c r="AG62" s="47">
        <v>0</v>
      </c>
      <c r="AH62" s="47">
        <v>0</v>
      </c>
      <c r="AI62" s="47" t="s">
        <v>729</v>
      </c>
      <c r="AJ62">
        <v>1</v>
      </c>
      <c r="AK62">
        <v>100</v>
      </c>
    </row>
    <row r="63" spans="1:37" x14ac:dyDescent="0.2">
      <c r="A63" t="s">
        <v>807</v>
      </c>
      <c r="B63" t="s">
        <v>361</v>
      </c>
      <c r="C63">
        <v>2017</v>
      </c>
      <c r="D63">
        <v>2</v>
      </c>
      <c r="E63" t="s">
        <v>809</v>
      </c>
      <c r="F63" t="s">
        <v>362</v>
      </c>
      <c r="G63">
        <v>8.1726729999999996</v>
      </c>
      <c r="H63" s="20">
        <f>IF(AND(A63=A62,F63=F62,F63="Winter wheat"),G63*0.9*'BAU Management details'!$F$46,
IF(AND(OR(A63&lt;&gt;A62,F63&lt;&gt;F62),F63="Winter wheat"),G63*'BAU Management details'!$F$46,
IF(F63="Oilseed Rape",G63*'BAU Management details'!$F$47)))</f>
        <v>63.256489019999997</v>
      </c>
      <c r="I63" t="s">
        <v>348</v>
      </c>
      <c r="J63">
        <v>10</v>
      </c>
      <c r="K63" t="s">
        <v>362</v>
      </c>
      <c r="L63" t="s">
        <v>751</v>
      </c>
      <c r="M63">
        <v>2.6</v>
      </c>
      <c r="N63" t="s">
        <v>349</v>
      </c>
      <c r="O63" t="s">
        <v>350</v>
      </c>
      <c r="P63">
        <v>7.8</v>
      </c>
      <c r="Q63" t="s">
        <v>728</v>
      </c>
      <c r="R63" t="s">
        <v>351</v>
      </c>
      <c r="S63">
        <v>220</v>
      </c>
      <c r="T63" s="47" t="s">
        <v>729</v>
      </c>
      <c r="U63" t="s">
        <v>733</v>
      </c>
      <c r="V63" t="s">
        <v>364</v>
      </c>
      <c r="W63" s="47" t="s">
        <v>736</v>
      </c>
      <c r="X63" s="47">
        <v>0</v>
      </c>
      <c r="Y63" s="47" t="s">
        <v>730</v>
      </c>
      <c r="Z63" s="47">
        <v>0</v>
      </c>
      <c r="AA63" s="47" t="s">
        <v>731</v>
      </c>
      <c r="AB63" s="47">
        <v>0</v>
      </c>
      <c r="AC63" s="47">
        <v>0</v>
      </c>
      <c r="AD63" s="47">
        <v>0</v>
      </c>
      <c r="AE63" s="47" t="s">
        <v>731</v>
      </c>
      <c r="AF63" s="47">
        <v>0</v>
      </c>
      <c r="AG63" s="47">
        <v>0</v>
      </c>
      <c r="AH63" s="47">
        <v>0</v>
      </c>
      <c r="AI63" s="47" t="s">
        <v>729</v>
      </c>
      <c r="AJ63">
        <v>1</v>
      </c>
      <c r="AK63">
        <v>100</v>
      </c>
    </row>
    <row r="64" spans="1:37" x14ac:dyDescent="0.2">
      <c r="A64" t="s">
        <v>807</v>
      </c>
      <c r="B64" t="s">
        <v>361</v>
      </c>
      <c r="C64">
        <v>2018</v>
      </c>
      <c r="D64">
        <v>3</v>
      </c>
      <c r="E64" t="s">
        <v>810</v>
      </c>
      <c r="F64" t="s">
        <v>365</v>
      </c>
      <c r="G64">
        <v>8.1726729999999996</v>
      </c>
      <c r="H64" s="20">
        <f>IF(AND(A64=A63,F64=F63,F64="Winter wheat"),G64*0.9*'BAU Management details'!$F$46,
IF(AND(OR(A64&lt;&gt;A63,F64&lt;&gt;F63),F64="Winter wheat"),G64*'BAU Management details'!$F$46,
IF(F64="Oilseed Rape",G64*'BAU Management details'!$F$47)))</f>
        <v>28.604355499999997</v>
      </c>
      <c r="I64" t="s">
        <v>348</v>
      </c>
      <c r="J64">
        <v>10</v>
      </c>
      <c r="K64" t="s">
        <v>532</v>
      </c>
      <c r="L64" t="s">
        <v>751</v>
      </c>
      <c r="M64">
        <v>2.6</v>
      </c>
      <c r="N64" t="s">
        <v>349</v>
      </c>
      <c r="O64" t="s">
        <v>350</v>
      </c>
      <c r="P64">
        <v>7.8</v>
      </c>
      <c r="Q64" t="s">
        <v>728</v>
      </c>
      <c r="R64" t="s">
        <v>351</v>
      </c>
      <c r="S64">
        <v>220</v>
      </c>
      <c r="T64" s="47" t="s">
        <v>735</v>
      </c>
      <c r="U64" t="s">
        <v>368</v>
      </c>
      <c r="V64" t="s">
        <v>364</v>
      </c>
      <c r="W64" s="47" t="s">
        <v>736</v>
      </c>
      <c r="X64" s="47">
        <v>0</v>
      </c>
      <c r="Y64" s="47" t="s">
        <v>736</v>
      </c>
      <c r="Z64" s="47">
        <v>0</v>
      </c>
      <c r="AA64" s="47" t="s">
        <v>736</v>
      </c>
      <c r="AB64" s="47">
        <v>0</v>
      </c>
      <c r="AC64" s="47">
        <v>0</v>
      </c>
      <c r="AD64" s="47">
        <v>0</v>
      </c>
      <c r="AE64" s="47" t="s">
        <v>731</v>
      </c>
      <c r="AF64" s="47">
        <v>0</v>
      </c>
      <c r="AG64" s="47" t="s">
        <v>731</v>
      </c>
      <c r="AH64" s="47">
        <v>0</v>
      </c>
      <c r="AI64" s="47" t="s">
        <v>735</v>
      </c>
      <c r="AJ64">
        <v>1</v>
      </c>
      <c r="AK64">
        <v>100</v>
      </c>
    </row>
    <row r="65" spans="1:37" x14ac:dyDescent="0.2">
      <c r="A65" t="s">
        <v>807</v>
      </c>
      <c r="B65" t="s">
        <v>361</v>
      </c>
      <c r="C65">
        <v>2019</v>
      </c>
      <c r="D65">
        <v>4</v>
      </c>
      <c r="E65" t="s">
        <v>811</v>
      </c>
      <c r="F65" t="s">
        <v>362</v>
      </c>
      <c r="G65">
        <v>8.1726729999999996</v>
      </c>
      <c r="H65" s="20">
        <f>IF(AND(A65=A64,F65=F64,F65="Winter wheat"),G65*0.9*'BAU Management details'!$F$46,
IF(AND(OR(A65&lt;&gt;A64,F65&lt;&gt;F64),F65="Winter wheat"),G65*'BAU Management details'!$F$46,
IF(F65="Oilseed Rape",G65*'BAU Management details'!$F$47)))</f>
        <v>70.284987799999996</v>
      </c>
      <c r="I65" t="s">
        <v>348</v>
      </c>
      <c r="J65">
        <v>10</v>
      </c>
      <c r="K65" t="s">
        <v>362</v>
      </c>
      <c r="L65" t="s">
        <v>751</v>
      </c>
      <c r="M65">
        <v>2.6</v>
      </c>
      <c r="N65" t="s">
        <v>349</v>
      </c>
      <c r="O65" t="s">
        <v>350</v>
      </c>
      <c r="P65">
        <v>7.8</v>
      </c>
      <c r="Q65" t="s">
        <v>728</v>
      </c>
      <c r="R65" t="s">
        <v>351</v>
      </c>
      <c r="S65">
        <v>220</v>
      </c>
      <c r="T65" s="47" t="s">
        <v>729</v>
      </c>
      <c r="U65" t="s">
        <v>366</v>
      </c>
      <c r="V65" t="s">
        <v>364</v>
      </c>
      <c r="W65" s="47" t="s">
        <v>736</v>
      </c>
      <c r="X65" s="47">
        <v>0</v>
      </c>
      <c r="Y65" s="47" t="s">
        <v>730</v>
      </c>
      <c r="Z65" s="47">
        <v>0</v>
      </c>
      <c r="AA65" s="47" t="s">
        <v>731</v>
      </c>
      <c r="AB65" s="47">
        <v>0</v>
      </c>
      <c r="AC65" s="47" t="s">
        <v>731</v>
      </c>
      <c r="AD65" s="47" t="s">
        <v>731</v>
      </c>
      <c r="AE65" s="47" t="s">
        <v>731</v>
      </c>
      <c r="AF65" s="47">
        <v>0</v>
      </c>
      <c r="AG65" s="47">
        <v>0</v>
      </c>
      <c r="AH65" s="47">
        <v>0</v>
      </c>
      <c r="AI65" s="47" t="s">
        <v>729</v>
      </c>
      <c r="AJ65">
        <v>1</v>
      </c>
      <c r="AK65">
        <v>100</v>
      </c>
    </row>
    <row r="66" spans="1:37" x14ac:dyDescent="0.2">
      <c r="A66" t="s">
        <v>807</v>
      </c>
      <c r="B66" t="s">
        <v>361</v>
      </c>
      <c r="C66">
        <v>2020</v>
      </c>
      <c r="D66">
        <v>5</v>
      </c>
      <c r="E66" t="s">
        <v>812</v>
      </c>
      <c r="F66" t="s">
        <v>362</v>
      </c>
      <c r="G66">
        <v>8.1726729999999996</v>
      </c>
      <c r="H66" s="20">
        <f>IF(AND(A66=A65,F66=F65,F66="Winter wheat"),G66*0.9*'BAU Management details'!$F$46,
IF(AND(OR(A66&lt;&gt;A65,F66&lt;&gt;F65),F66="Winter wheat"),G66*'BAU Management details'!$F$46,
IF(F66="Oilseed Rape",G66*'BAU Management details'!$F$47)))</f>
        <v>63.256489019999997</v>
      </c>
      <c r="I66" t="s">
        <v>348</v>
      </c>
      <c r="J66">
        <v>10</v>
      </c>
      <c r="K66" t="s">
        <v>362</v>
      </c>
      <c r="L66" t="s">
        <v>751</v>
      </c>
      <c r="M66">
        <v>2.6</v>
      </c>
      <c r="N66" t="s">
        <v>349</v>
      </c>
      <c r="O66" t="s">
        <v>350</v>
      </c>
      <c r="P66">
        <v>7.8</v>
      </c>
      <c r="Q66" t="s">
        <v>728</v>
      </c>
      <c r="R66" t="s">
        <v>351</v>
      </c>
      <c r="S66">
        <v>220</v>
      </c>
      <c r="T66" s="47" t="s">
        <v>729</v>
      </c>
      <c r="U66" t="s">
        <v>733</v>
      </c>
      <c r="V66" t="s">
        <v>364</v>
      </c>
      <c r="W66" s="47" t="s">
        <v>736</v>
      </c>
      <c r="X66" s="47">
        <v>0</v>
      </c>
      <c r="Y66" s="47" t="s">
        <v>730</v>
      </c>
      <c r="Z66" s="47">
        <v>0</v>
      </c>
      <c r="AA66" s="47" t="s">
        <v>731</v>
      </c>
      <c r="AB66" s="47">
        <v>0</v>
      </c>
      <c r="AC66" s="47">
        <v>0</v>
      </c>
      <c r="AD66" s="47">
        <v>0</v>
      </c>
      <c r="AE66" s="47" t="s">
        <v>731</v>
      </c>
      <c r="AF66" s="47">
        <v>0</v>
      </c>
      <c r="AG66" s="47">
        <v>0</v>
      </c>
      <c r="AH66" s="47">
        <v>0</v>
      </c>
      <c r="AI66" s="47" t="s">
        <v>729</v>
      </c>
      <c r="AJ66">
        <v>1</v>
      </c>
      <c r="AK66">
        <v>100</v>
      </c>
    </row>
    <row r="67" spans="1:37" x14ac:dyDescent="0.2">
      <c r="A67" t="s">
        <v>807</v>
      </c>
      <c r="B67" t="s">
        <v>361</v>
      </c>
      <c r="C67">
        <v>2021</v>
      </c>
      <c r="D67">
        <v>6</v>
      </c>
      <c r="E67" t="s">
        <v>813</v>
      </c>
      <c r="F67" t="s">
        <v>365</v>
      </c>
      <c r="G67">
        <v>8.1726729999999996</v>
      </c>
      <c r="H67" s="20">
        <f>IF(AND(A67=A66,F67=F66,F67="Winter wheat"),G67*0.9*'BAU Management details'!$F$46,
IF(AND(OR(A67&lt;&gt;A66,F67&lt;&gt;F66),F67="Winter wheat"),G67*'BAU Management details'!$F$46,
IF(F67="Oilseed Rape",G67*'BAU Management details'!$F$47)))</f>
        <v>28.604355499999997</v>
      </c>
      <c r="I67" t="s">
        <v>348</v>
      </c>
      <c r="J67">
        <v>10</v>
      </c>
      <c r="K67" t="s">
        <v>532</v>
      </c>
      <c r="L67" t="s">
        <v>751</v>
      </c>
      <c r="M67">
        <v>2.6</v>
      </c>
      <c r="N67" t="s">
        <v>349</v>
      </c>
      <c r="O67" t="s">
        <v>350</v>
      </c>
      <c r="P67">
        <v>7.8</v>
      </c>
      <c r="Q67" t="s">
        <v>728</v>
      </c>
      <c r="R67" t="s">
        <v>351</v>
      </c>
      <c r="S67">
        <v>220</v>
      </c>
      <c r="T67" s="47" t="s">
        <v>735</v>
      </c>
      <c r="U67" t="s">
        <v>368</v>
      </c>
      <c r="V67" t="s">
        <v>364</v>
      </c>
      <c r="W67" s="47" t="s">
        <v>736</v>
      </c>
      <c r="X67" s="47">
        <v>0</v>
      </c>
      <c r="Y67" s="47" t="s">
        <v>736</v>
      </c>
      <c r="Z67" s="47">
        <v>0</v>
      </c>
      <c r="AA67" s="47" t="s">
        <v>736</v>
      </c>
      <c r="AB67" s="47">
        <v>0</v>
      </c>
      <c r="AC67" s="47">
        <v>0</v>
      </c>
      <c r="AD67" s="47">
        <v>0</v>
      </c>
      <c r="AE67" s="47" t="s">
        <v>731</v>
      </c>
      <c r="AF67" s="47">
        <v>0</v>
      </c>
      <c r="AG67" s="47" t="s">
        <v>731</v>
      </c>
      <c r="AH67" s="47">
        <v>0</v>
      </c>
      <c r="AI67" s="47" t="s">
        <v>735</v>
      </c>
      <c r="AJ67">
        <v>1</v>
      </c>
      <c r="AK67">
        <v>100</v>
      </c>
    </row>
    <row r="68" spans="1:37" x14ac:dyDescent="0.2">
      <c r="A68" t="s">
        <v>814</v>
      </c>
      <c r="B68" t="s">
        <v>361</v>
      </c>
      <c r="C68">
        <v>2016</v>
      </c>
      <c r="D68">
        <v>1</v>
      </c>
      <c r="E68" t="s">
        <v>815</v>
      </c>
      <c r="F68" t="s">
        <v>362</v>
      </c>
      <c r="G68">
        <v>6.8017539999999999</v>
      </c>
      <c r="H68" s="20">
        <f>IF(AND(A68=A67,F68=F67,F68="Winter wheat"),G68*0.9*'BAU Management details'!$F$46,
IF(AND(OR(A68&lt;&gt;A67,F68&lt;&gt;F67),F68="Winter wheat"),G68*'BAU Management details'!$F$46,
IF(F68="Oilseed Rape",G68*'BAU Management details'!$F$47)))</f>
        <v>58.495084399999996</v>
      </c>
      <c r="I68" t="s">
        <v>348</v>
      </c>
      <c r="J68">
        <v>10</v>
      </c>
      <c r="K68" t="s">
        <v>362</v>
      </c>
      <c r="L68" t="s">
        <v>751</v>
      </c>
      <c r="M68">
        <v>2.9</v>
      </c>
      <c r="N68" t="s">
        <v>349</v>
      </c>
      <c r="O68" t="s">
        <v>350</v>
      </c>
      <c r="P68">
        <v>7.7</v>
      </c>
      <c r="Q68" t="s">
        <v>728</v>
      </c>
      <c r="R68" t="s">
        <v>351</v>
      </c>
      <c r="S68">
        <v>220</v>
      </c>
      <c r="T68" s="47" t="s">
        <v>729</v>
      </c>
      <c r="U68" t="s">
        <v>366</v>
      </c>
      <c r="V68" t="s">
        <v>367</v>
      </c>
      <c r="W68" s="47" t="s">
        <v>736</v>
      </c>
      <c r="X68" s="47">
        <v>0</v>
      </c>
      <c r="Y68" s="47" t="s">
        <v>730</v>
      </c>
      <c r="Z68" s="47">
        <v>0</v>
      </c>
      <c r="AA68" s="47" t="s">
        <v>731</v>
      </c>
      <c r="AB68" s="47">
        <v>0</v>
      </c>
      <c r="AC68" s="47" t="s">
        <v>731</v>
      </c>
      <c r="AD68" s="47" t="s">
        <v>731</v>
      </c>
      <c r="AE68" s="47" t="s">
        <v>731</v>
      </c>
      <c r="AF68" s="47">
        <v>0</v>
      </c>
      <c r="AG68" s="47">
        <v>0</v>
      </c>
      <c r="AH68" s="47">
        <v>0</v>
      </c>
      <c r="AI68" s="47" t="s">
        <v>729</v>
      </c>
      <c r="AJ68">
        <v>1</v>
      </c>
      <c r="AK68">
        <v>100</v>
      </c>
    </row>
    <row r="69" spans="1:37" x14ac:dyDescent="0.2">
      <c r="A69" t="s">
        <v>814</v>
      </c>
      <c r="B69" t="s">
        <v>361</v>
      </c>
      <c r="C69">
        <v>2017</v>
      </c>
      <c r="D69">
        <v>2</v>
      </c>
      <c r="E69" t="s">
        <v>816</v>
      </c>
      <c r="F69" t="s">
        <v>362</v>
      </c>
      <c r="G69">
        <v>6.8017539999999999</v>
      </c>
      <c r="H69" s="20">
        <f>IF(AND(A69=A68,F69=F68,F69="Winter wheat"),G69*0.9*'BAU Management details'!$F$46,
IF(AND(OR(A69&lt;&gt;A68,F69&lt;&gt;F68),F69="Winter wheat"),G69*'BAU Management details'!$F$46,
IF(F69="Oilseed Rape",G69*'BAU Management details'!$F$47)))</f>
        <v>52.645575960000002</v>
      </c>
      <c r="I69" t="s">
        <v>348</v>
      </c>
      <c r="J69">
        <v>10</v>
      </c>
      <c r="K69" t="s">
        <v>362</v>
      </c>
      <c r="L69" t="s">
        <v>751</v>
      </c>
      <c r="M69">
        <v>2.9</v>
      </c>
      <c r="N69" t="s">
        <v>349</v>
      </c>
      <c r="O69" t="s">
        <v>350</v>
      </c>
      <c r="P69">
        <v>7.7</v>
      </c>
      <c r="Q69" t="s">
        <v>728</v>
      </c>
      <c r="R69" t="s">
        <v>351</v>
      </c>
      <c r="S69">
        <v>220</v>
      </c>
      <c r="T69" s="47" t="s">
        <v>729</v>
      </c>
      <c r="U69" t="s">
        <v>733</v>
      </c>
      <c r="V69" t="s">
        <v>369</v>
      </c>
      <c r="W69" s="47" t="s">
        <v>736</v>
      </c>
      <c r="X69" s="47">
        <v>0</v>
      </c>
      <c r="Y69" s="47" t="s">
        <v>730</v>
      </c>
      <c r="Z69" s="47">
        <v>0</v>
      </c>
      <c r="AA69" s="47" t="s">
        <v>731</v>
      </c>
      <c r="AB69" s="47">
        <v>0</v>
      </c>
      <c r="AC69" s="47">
        <v>0</v>
      </c>
      <c r="AD69" s="47">
        <v>0</v>
      </c>
      <c r="AE69" s="47" t="s">
        <v>731</v>
      </c>
      <c r="AF69" s="47">
        <v>0</v>
      </c>
      <c r="AG69" s="47">
        <v>0</v>
      </c>
      <c r="AH69" s="47">
        <v>0</v>
      </c>
      <c r="AI69" s="47" t="s">
        <v>729</v>
      </c>
      <c r="AJ69">
        <v>1</v>
      </c>
      <c r="AK69">
        <v>100</v>
      </c>
    </row>
    <row r="70" spans="1:37" x14ac:dyDescent="0.2">
      <c r="A70" t="s">
        <v>814</v>
      </c>
      <c r="B70" t="s">
        <v>361</v>
      </c>
      <c r="C70">
        <v>2018</v>
      </c>
      <c r="D70">
        <v>3</v>
      </c>
      <c r="E70" t="s">
        <v>817</v>
      </c>
      <c r="F70" t="s">
        <v>365</v>
      </c>
      <c r="G70">
        <v>6.8017539999999999</v>
      </c>
      <c r="H70" s="20">
        <f>IF(AND(A70=A69,F70=F69,F70="Winter wheat"),G70*0.9*'BAU Management details'!$F$46,
IF(AND(OR(A70&lt;&gt;A69,F70&lt;&gt;F69),F70="Winter wheat"),G70*'BAU Management details'!$F$46,
IF(F70="Oilseed Rape",G70*'BAU Management details'!$F$47)))</f>
        <v>23.806138999999998</v>
      </c>
      <c r="I70" t="s">
        <v>348</v>
      </c>
      <c r="J70">
        <v>10</v>
      </c>
      <c r="K70" t="s">
        <v>532</v>
      </c>
      <c r="L70" t="s">
        <v>751</v>
      </c>
      <c r="M70">
        <v>2.9</v>
      </c>
      <c r="N70" t="s">
        <v>349</v>
      </c>
      <c r="O70" t="s">
        <v>350</v>
      </c>
      <c r="P70">
        <v>7.7</v>
      </c>
      <c r="Q70" t="s">
        <v>728</v>
      </c>
      <c r="R70" t="s">
        <v>351</v>
      </c>
      <c r="S70">
        <v>220</v>
      </c>
      <c r="T70" s="47" t="s">
        <v>735</v>
      </c>
      <c r="U70" t="s">
        <v>368</v>
      </c>
      <c r="V70" t="s">
        <v>364</v>
      </c>
      <c r="W70" s="47" t="s">
        <v>736</v>
      </c>
      <c r="X70" s="47">
        <v>0</v>
      </c>
      <c r="Y70" s="47" t="s">
        <v>736</v>
      </c>
      <c r="Z70" s="47">
        <v>0</v>
      </c>
      <c r="AA70" s="47" t="s">
        <v>736</v>
      </c>
      <c r="AB70" s="47">
        <v>0</v>
      </c>
      <c r="AC70" s="47">
        <v>0</v>
      </c>
      <c r="AD70" s="47">
        <v>0</v>
      </c>
      <c r="AE70" s="47" t="s">
        <v>731</v>
      </c>
      <c r="AF70" s="47">
        <v>0</v>
      </c>
      <c r="AG70" s="47" t="s">
        <v>731</v>
      </c>
      <c r="AH70" s="47">
        <v>0</v>
      </c>
      <c r="AI70" s="47" t="s">
        <v>735</v>
      </c>
      <c r="AJ70">
        <v>1</v>
      </c>
      <c r="AK70">
        <v>100</v>
      </c>
    </row>
    <row r="71" spans="1:37" x14ac:dyDescent="0.2">
      <c r="A71" t="s">
        <v>814</v>
      </c>
      <c r="B71" t="s">
        <v>361</v>
      </c>
      <c r="C71">
        <v>2019</v>
      </c>
      <c r="D71">
        <v>4</v>
      </c>
      <c r="E71" t="s">
        <v>818</v>
      </c>
      <c r="F71" t="s">
        <v>362</v>
      </c>
      <c r="G71">
        <v>6.8017539999999999</v>
      </c>
      <c r="H71" s="20">
        <f>IF(AND(A71=A70,F71=F70,F71="Winter wheat"),G71*0.9*'BAU Management details'!$F$46,
IF(AND(OR(A71&lt;&gt;A70,F71&lt;&gt;F70),F71="Winter wheat"),G71*'BAU Management details'!$F$46,
IF(F71="Oilseed Rape",G71*'BAU Management details'!$F$47)))</f>
        <v>58.495084399999996</v>
      </c>
      <c r="I71" t="s">
        <v>348</v>
      </c>
      <c r="J71">
        <v>10</v>
      </c>
      <c r="K71" t="s">
        <v>362</v>
      </c>
      <c r="L71" t="s">
        <v>751</v>
      </c>
      <c r="M71">
        <v>2.9</v>
      </c>
      <c r="N71" t="s">
        <v>349</v>
      </c>
      <c r="O71" t="s">
        <v>350</v>
      </c>
      <c r="P71">
        <v>7.7</v>
      </c>
      <c r="Q71" t="s">
        <v>728</v>
      </c>
      <c r="R71" t="s">
        <v>351</v>
      </c>
      <c r="S71">
        <v>220</v>
      </c>
      <c r="T71" s="47" t="s">
        <v>729</v>
      </c>
      <c r="U71" t="s">
        <v>366</v>
      </c>
      <c r="V71" t="s">
        <v>367</v>
      </c>
      <c r="W71" s="47" t="s">
        <v>736</v>
      </c>
      <c r="X71" s="47">
        <v>0</v>
      </c>
      <c r="Y71" s="47" t="s">
        <v>730</v>
      </c>
      <c r="Z71" s="47">
        <v>0</v>
      </c>
      <c r="AA71" s="47" t="s">
        <v>731</v>
      </c>
      <c r="AB71" s="47">
        <v>0</v>
      </c>
      <c r="AC71" s="47" t="s">
        <v>731</v>
      </c>
      <c r="AD71" s="47" t="s">
        <v>731</v>
      </c>
      <c r="AE71" s="47" t="s">
        <v>731</v>
      </c>
      <c r="AF71" s="47">
        <v>0</v>
      </c>
      <c r="AG71" s="47">
        <v>0</v>
      </c>
      <c r="AH71" s="47">
        <v>0</v>
      </c>
      <c r="AI71" s="47" t="s">
        <v>729</v>
      </c>
      <c r="AJ71">
        <v>1</v>
      </c>
      <c r="AK71">
        <v>100</v>
      </c>
    </row>
    <row r="72" spans="1:37" x14ac:dyDescent="0.2">
      <c r="A72" t="s">
        <v>814</v>
      </c>
      <c r="B72" t="s">
        <v>361</v>
      </c>
      <c r="C72">
        <v>2020</v>
      </c>
      <c r="D72">
        <v>5</v>
      </c>
      <c r="E72" t="s">
        <v>819</v>
      </c>
      <c r="F72" t="s">
        <v>362</v>
      </c>
      <c r="G72">
        <v>6.8017539999999999</v>
      </c>
      <c r="H72" s="20">
        <f>IF(AND(A72=A71,F72=F71,F72="Winter wheat"),G72*0.9*'BAU Management details'!$F$46,
IF(AND(OR(A72&lt;&gt;A71,F72&lt;&gt;F71),F72="Winter wheat"),G72*'BAU Management details'!$F$46,
IF(F72="Oilseed Rape",G72*'BAU Management details'!$F$47)))</f>
        <v>52.645575960000002</v>
      </c>
      <c r="I72" t="s">
        <v>348</v>
      </c>
      <c r="J72">
        <v>10</v>
      </c>
      <c r="K72" t="s">
        <v>362</v>
      </c>
      <c r="L72" t="s">
        <v>751</v>
      </c>
      <c r="M72">
        <v>2.9</v>
      </c>
      <c r="N72" t="s">
        <v>349</v>
      </c>
      <c r="O72" t="s">
        <v>350</v>
      </c>
      <c r="P72">
        <v>7.7</v>
      </c>
      <c r="Q72" t="s">
        <v>728</v>
      </c>
      <c r="R72" t="s">
        <v>351</v>
      </c>
      <c r="S72">
        <v>220</v>
      </c>
      <c r="T72" s="47" t="s">
        <v>729</v>
      </c>
      <c r="U72" t="s">
        <v>733</v>
      </c>
      <c r="V72" t="s">
        <v>369</v>
      </c>
      <c r="W72" s="47" t="s">
        <v>736</v>
      </c>
      <c r="X72" s="47">
        <v>0</v>
      </c>
      <c r="Y72" s="47" t="s">
        <v>730</v>
      </c>
      <c r="Z72" s="47">
        <v>0</v>
      </c>
      <c r="AA72" s="47" t="s">
        <v>731</v>
      </c>
      <c r="AB72" s="47">
        <v>0</v>
      </c>
      <c r="AC72" s="47">
        <v>0</v>
      </c>
      <c r="AD72" s="47">
        <v>0</v>
      </c>
      <c r="AE72" s="47" t="s">
        <v>731</v>
      </c>
      <c r="AF72" s="47">
        <v>0</v>
      </c>
      <c r="AG72" s="47">
        <v>0</v>
      </c>
      <c r="AH72" s="47">
        <v>0</v>
      </c>
      <c r="AI72" s="47" t="s">
        <v>729</v>
      </c>
      <c r="AJ72">
        <v>1</v>
      </c>
      <c r="AK72">
        <v>100</v>
      </c>
    </row>
    <row r="73" spans="1:37" x14ac:dyDescent="0.2">
      <c r="A73" t="s">
        <v>814</v>
      </c>
      <c r="B73" t="s">
        <v>361</v>
      </c>
      <c r="C73">
        <v>2021</v>
      </c>
      <c r="D73">
        <v>6</v>
      </c>
      <c r="E73" t="s">
        <v>820</v>
      </c>
      <c r="F73" t="s">
        <v>365</v>
      </c>
      <c r="G73">
        <v>6.8017539999999999</v>
      </c>
      <c r="H73" s="20">
        <f>IF(AND(A73=A72,F73=F72,F73="Winter wheat"),G73*0.9*'BAU Management details'!$F$46,
IF(AND(OR(A73&lt;&gt;A72,F73&lt;&gt;F72),F73="Winter wheat"),G73*'BAU Management details'!$F$46,
IF(F73="Oilseed Rape",G73*'BAU Management details'!$F$47)))</f>
        <v>23.806138999999998</v>
      </c>
      <c r="I73" t="s">
        <v>348</v>
      </c>
      <c r="J73">
        <v>10</v>
      </c>
      <c r="K73" t="s">
        <v>532</v>
      </c>
      <c r="L73" t="s">
        <v>751</v>
      </c>
      <c r="M73">
        <v>2.9</v>
      </c>
      <c r="N73" t="s">
        <v>349</v>
      </c>
      <c r="O73" t="s">
        <v>350</v>
      </c>
      <c r="P73">
        <v>7.7</v>
      </c>
      <c r="Q73" t="s">
        <v>728</v>
      </c>
      <c r="R73" t="s">
        <v>351</v>
      </c>
      <c r="S73">
        <v>220</v>
      </c>
      <c r="T73" s="47" t="s">
        <v>735</v>
      </c>
      <c r="U73" t="s">
        <v>368</v>
      </c>
      <c r="V73" t="s">
        <v>364</v>
      </c>
      <c r="W73" s="47" t="s">
        <v>736</v>
      </c>
      <c r="X73" s="47">
        <v>0</v>
      </c>
      <c r="Y73" s="47" t="s">
        <v>736</v>
      </c>
      <c r="Z73" s="47">
        <v>0</v>
      </c>
      <c r="AA73" s="47" t="s">
        <v>736</v>
      </c>
      <c r="AB73" s="47">
        <v>0</v>
      </c>
      <c r="AC73" s="47">
        <v>0</v>
      </c>
      <c r="AD73" s="47">
        <v>0</v>
      </c>
      <c r="AE73" s="47" t="s">
        <v>731</v>
      </c>
      <c r="AF73" s="47">
        <v>0</v>
      </c>
      <c r="AG73" s="47" t="s">
        <v>731</v>
      </c>
      <c r="AH73" s="47">
        <v>0</v>
      </c>
      <c r="AI73" s="47" t="s">
        <v>735</v>
      </c>
      <c r="AJ73">
        <v>1</v>
      </c>
      <c r="AK73">
        <v>100</v>
      </c>
    </row>
    <row r="74" spans="1:37" x14ac:dyDescent="0.2">
      <c r="A74" t="s">
        <v>821</v>
      </c>
      <c r="B74" t="s">
        <v>361</v>
      </c>
      <c r="C74">
        <v>2016</v>
      </c>
      <c r="D74">
        <v>1</v>
      </c>
      <c r="E74" t="s">
        <v>822</v>
      </c>
      <c r="F74" t="s">
        <v>362</v>
      </c>
      <c r="G74">
        <v>7.1114379999999997</v>
      </c>
      <c r="H74" s="20">
        <f>IF(AND(A74=A73,F74=F73,F74="Winter wheat"),G74*0.9*'BAU Management details'!$F$46,
IF(AND(OR(A74&lt;&gt;A73,F74&lt;&gt;F73),F74="Winter wheat"),G74*'BAU Management details'!$F$46,
IF(F74="Oilseed Rape",G74*'BAU Management details'!$F$47)))</f>
        <v>61.158366799999996</v>
      </c>
      <c r="I74" t="s">
        <v>348</v>
      </c>
      <c r="J74">
        <v>10</v>
      </c>
      <c r="K74" t="s">
        <v>362</v>
      </c>
      <c r="L74" t="s">
        <v>751</v>
      </c>
      <c r="M74">
        <v>2.9</v>
      </c>
      <c r="N74" t="s">
        <v>349</v>
      </c>
      <c r="O74" t="s">
        <v>350</v>
      </c>
      <c r="P74">
        <v>7.7</v>
      </c>
      <c r="Q74" t="s">
        <v>728</v>
      </c>
      <c r="R74" t="s">
        <v>351</v>
      </c>
      <c r="S74">
        <v>220</v>
      </c>
      <c r="T74" s="47" t="s">
        <v>729</v>
      </c>
      <c r="U74" t="s">
        <v>366</v>
      </c>
      <c r="V74" t="s">
        <v>364</v>
      </c>
      <c r="W74" s="47" t="s">
        <v>736</v>
      </c>
      <c r="X74" s="47">
        <v>0</v>
      </c>
      <c r="Y74" s="47" t="s">
        <v>730</v>
      </c>
      <c r="Z74" s="47">
        <v>0</v>
      </c>
      <c r="AA74" s="47" t="s">
        <v>731</v>
      </c>
      <c r="AB74" s="47">
        <v>0</v>
      </c>
      <c r="AC74" s="47" t="s">
        <v>731</v>
      </c>
      <c r="AD74" s="47" t="s">
        <v>731</v>
      </c>
      <c r="AE74" s="47" t="s">
        <v>731</v>
      </c>
      <c r="AF74" s="47">
        <v>0</v>
      </c>
      <c r="AG74" s="47">
        <v>0</v>
      </c>
      <c r="AH74" s="47">
        <v>0</v>
      </c>
      <c r="AI74" s="47" t="s">
        <v>729</v>
      </c>
      <c r="AJ74">
        <v>1</v>
      </c>
      <c r="AK74">
        <v>100</v>
      </c>
    </row>
    <row r="75" spans="1:37" x14ac:dyDescent="0.2">
      <c r="A75" t="s">
        <v>821</v>
      </c>
      <c r="B75" t="s">
        <v>361</v>
      </c>
      <c r="C75">
        <v>2017</v>
      </c>
      <c r="D75">
        <v>2</v>
      </c>
      <c r="E75" t="s">
        <v>823</v>
      </c>
      <c r="F75" t="s">
        <v>362</v>
      </c>
      <c r="G75">
        <v>7.1114379999999997</v>
      </c>
      <c r="H75" s="20">
        <f>IF(AND(A75=A74,F75=F74,F75="Winter wheat"),G75*0.9*'BAU Management details'!$F$46,
IF(AND(OR(A75&lt;&gt;A74,F75&lt;&gt;F74),F75="Winter wheat"),G75*'BAU Management details'!$F$46,
IF(F75="Oilseed Rape",G75*'BAU Management details'!$F$47)))</f>
        <v>55.042530120000002</v>
      </c>
      <c r="I75" t="s">
        <v>348</v>
      </c>
      <c r="J75">
        <v>10</v>
      </c>
      <c r="K75" t="s">
        <v>362</v>
      </c>
      <c r="L75" t="s">
        <v>751</v>
      </c>
      <c r="M75">
        <v>2.9</v>
      </c>
      <c r="N75" t="s">
        <v>349</v>
      </c>
      <c r="O75" t="s">
        <v>350</v>
      </c>
      <c r="P75">
        <v>7.7</v>
      </c>
      <c r="Q75" t="s">
        <v>728</v>
      </c>
      <c r="R75" t="s">
        <v>351</v>
      </c>
      <c r="S75">
        <v>220</v>
      </c>
      <c r="T75" s="47" t="s">
        <v>729</v>
      </c>
      <c r="U75" t="s">
        <v>733</v>
      </c>
      <c r="V75" t="s">
        <v>364</v>
      </c>
      <c r="W75" s="47" t="s">
        <v>736</v>
      </c>
      <c r="X75" s="47">
        <v>0</v>
      </c>
      <c r="Y75" s="47" t="s">
        <v>730</v>
      </c>
      <c r="Z75" s="47">
        <v>0</v>
      </c>
      <c r="AA75" s="47" t="s">
        <v>731</v>
      </c>
      <c r="AB75" s="47">
        <v>0</v>
      </c>
      <c r="AC75" s="47">
        <v>0</v>
      </c>
      <c r="AD75" s="47">
        <v>0</v>
      </c>
      <c r="AE75" s="47" t="s">
        <v>731</v>
      </c>
      <c r="AF75" s="47">
        <v>0</v>
      </c>
      <c r="AG75" s="47">
        <v>0</v>
      </c>
      <c r="AH75" s="47">
        <v>0</v>
      </c>
      <c r="AI75" s="47" t="s">
        <v>729</v>
      </c>
      <c r="AJ75">
        <v>1</v>
      </c>
      <c r="AK75">
        <v>100</v>
      </c>
    </row>
    <row r="76" spans="1:37" x14ac:dyDescent="0.2">
      <c r="A76" t="s">
        <v>821</v>
      </c>
      <c r="B76" t="s">
        <v>361</v>
      </c>
      <c r="C76">
        <v>2018</v>
      </c>
      <c r="D76">
        <v>3</v>
      </c>
      <c r="E76" t="s">
        <v>824</v>
      </c>
      <c r="F76" t="s">
        <v>365</v>
      </c>
      <c r="G76">
        <v>7.1114379999999997</v>
      </c>
      <c r="H76" s="20">
        <f>IF(AND(A76=A75,F76=F75,F76="Winter wheat"),G76*0.9*'BAU Management details'!$F$46,
IF(AND(OR(A76&lt;&gt;A75,F76&lt;&gt;F75),F76="Winter wheat"),G76*'BAU Management details'!$F$46,
IF(F76="Oilseed Rape",G76*'BAU Management details'!$F$47)))</f>
        <v>24.890032999999999</v>
      </c>
      <c r="I76" t="s">
        <v>348</v>
      </c>
      <c r="J76">
        <v>10</v>
      </c>
      <c r="K76" t="s">
        <v>532</v>
      </c>
      <c r="L76" t="s">
        <v>751</v>
      </c>
      <c r="M76">
        <v>2.9</v>
      </c>
      <c r="N76" t="s">
        <v>349</v>
      </c>
      <c r="O76" t="s">
        <v>350</v>
      </c>
      <c r="P76">
        <v>7.7</v>
      </c>
      <c r="Q76" t="s">
        <v>728</v>
      </c>
      <c r="R76" t="s">
        <v>351</v>
      </c>
      <c r="S76">
        <v>220</v>
      </c>
      <c r="T76" s="47" t="s">
        <v>735</v>
      </c>
      <c r="U76" t="s">
        <v>368</v>
      </c>
      <c r="V76" t="s">
        <v>364</v>
      </c>
      <c r="W76" s="47" t="s">
        <v>736</v>
      </c>
      <c r="X76" s="47">
        <v>0</v>
      </c>
      <c r="Y76" s="47" t="s">
        <v>736</v>
      </c>
      <c r="Z76" s="47">
        <v>0</v>
      </c>
      <c r="AA76" s="47" t="s">
        <v>736</v>
      </c>
      <c r="AB76" s="47">
        <v>0</v>
      </c>
      <c r="AC76" s="47">
        <v>0</v>
      </c>
      <c r="AD76" s="47">
        <v>0</v>
      </c>
      <c r="AE76" s="47" t="s">
        <v>731</v>
      </c>
      <c r="AF76" s="47">
        <v>0</v>
      </c>
      <c r="AG76" s="47" t="s">
        <v>731</v>
      </c>
      <c r="AH76" s="47">
        <v>0</v>
      </c>
      <c r="AI76" s="47" t="s">
        <v>735</v>
      </c>
      <c r="AJ76">
        <v>1</v>
      </c>
      <c r="AK76">
        <v>100</v>
      </c>
    </row>
    <row r="77" spans="1:37" x14ac:dyDescent="0.2">
      <c r="A77" t="s">
        <v>821</v>
      </c>
      <c r="B77" t="s">
        <v>361</v>
      </c>
      <c r="C77">
        <v>2019</v>
      </c>
      <c r="D77">
        <v>4</v>
      </c>
      <c r="E77" t="s">
        <v>825</v>
      </c>
      <c r="F77" t="s">
        <v>362</v>
      </c>
      <c r="G77">
        <v>7.1114379999999997</v>
      </c>
      <c r="H77" s="20">
        <f>IF(AND(A77=A76,F77=F76,F77="Winter wheat"),G77*0.9*'BAU Management details'!$F$46,
IF(AND(OR(A77&lt;&gt;A76,F77&lt;&gt;F76),F77="Winter wheat"),G77*'BAU Management details'!$F$46,
IF(F77="Oilseed Rape",G77*'BAU Management details'!$F$47)))</f>
        <v>61.158366799999996</v>
      </c>
      <c r="I77" t="s">
        <v>348</v>
      </c>
      <c r="J77">
        <v>10</v>
      </c>
      <c r="K77" t="s">
        <v>362</v>
      </c>
      <c r="L77" t="s">
        <v>751</v>
      </c>
      <c r="M77">
        <v>2.9</v>
      </c>
      <c r="N77" t="s">
        <v>349</v>
      </c>
      <c r="O77" t="s">
        <v>350</v>
      </c>
      <c r="P77">
        <v>7.7</v>
      </c>
      <c r="Q77" t="s">
        <v>728</v>
      </c>
      <c r="R77" t="s">
        <v>351</v>
      </c>
      <c r="S77">
        <v>220</v>
      </c>
      <c r="T77" s="47" t="s">
        <v>729</v>
      </c>
      <c r="U77" t="s">
        <v>366</v>
      </c>
      <c r="V77" t="s">
        <v>364</v>
      </c>
      <c r="W77" s="47" t="s">
        <v>736</v>
      </c>
      <c r="X77" s="47">
        <v>0</v>
      </c>
      <c r="Y77" s="47" t="s">
        <v>730</v>
      </c>
      <c r="Z77" s="47">
        <v>0</v>
      </c>
      <c r="AA77" s="47" t="s">
        <v>731</v>
      </c>
      <c r="AB77" s="47">
        <v>0</v>
      </c>
      <c r="AC77" s="47" t="s">
        <v>731</v>
      </c>
      <c r="AD77" s="47" t="s">
        <v>731</v>
      </c>
      <c r="AE77" s="47" t="s">
        <v>731</v>
      </c>
      <c r="AF77" s="47">
        <v>0</v>
      </c>
      <c r="AG77" s="47">
        <v>0</v>
      </c>
      <c r="AH77" s="47">
        <v>0</v>
      </c>
      <c r="AI77" s="47" t="s">
        <v>729</v>
      </c>
      <c r="AJ77">
        <v>1</v>
      </c>
      <c r="AK77">
        <v>100</v>
      </c>
    </row>
    <row r="78" spans="1:37" x14ac:dyDescent="0.2">
      <c r="A78" t="s">
        <v>821</v>
      </c>
      <c r="B78" t="s">
        <v>361</v>
      </c>
      <c r="C78">
        <v>2020</v>
      </c>
      <c r="D78">
        <v>5</v>
      </c>
      <c r="E78" t="s">
        <v>826</v>
      </c>
      <c r="F78" t="s">
        <v>362</v>
      </c>
      <c r="G78">
        <v>7.1114379999999997</v>
      </c>
      <c r="H78" s="20">
        <f>IF(AND(A78=A77,F78=F77,F78="Winter wheat"),G78*0.9*'BAU Management details'!$F$46,
IF(AND(OR(A78&lt;&gt;A77,F78&lt;&gt;F77),F78="Winter wheat"),G78*'BAU Management details'!$F$46,
IF(F78="Oilseed Rape",G78*'BAU Management details'!$F$47)))</f>
        <v>55.042530120000002</v>
      </c>
      <c r="I78" t="s">
        <v>348</v>
      </c>
      <c r="J78">
        <v>10</v>
      </c>
      <c r="K78" t="s">
        <v>362</v>
      </c>
      <c r="L78" t="s">
        <v>751</v>
      </c>
      <c r="M78">
        <v>2.9</v>
      </c>
      <c r="N78" t="s">
        <v>349</v>
      </c>
      <c r="O78" t="s">
        <v>350</v>
      </c>
      <c r="P78">
        <v>7.7</v>
      </c>
      <c r="Q78" t="s">
        <v>728</v>
      </c>
      <c r="R78" t="s">
        <v>351</v>
      </c>
      <c r="S78">
        <v>220</v>
      </c>
      <c r="T78" s="47" t="s">
        <v>729</v>
      </c>
      <c r="U78" t="s">
        <v>733</v>
      </c>
      <c r="V78" t="s">
        <v>364</v>
      </c>
      <c r="W78" s="47" t="s">
        <v>736</v>
      </c>
      <c r="X78" s="47">
        <v>0</v>
      </c>
      <c r="Y78" s="47" t="s">
        <v>730</v>
      </c>
      <c r="Z78" s="47">
        <v>0</v>
      </c>
      <c r="AA78" s="47" t="s">
        <v>731</v>
      </c>
      <c r="AB78" s="47">
        <v>0</v>
      </c>
      <c r="AC78" s="47">
        <v>0</v>
      </c>
      <c r="AD78" s="47">
        <v>0</v>
      </c>
      <c r="AE78" s="47" t="s">
        <v>731</v>
      </c>
      <c r="AF78" s="47">
        <v>0</v>
      </c>
      <c r="AG78" s="47">
        <v>0</v>
      </c>
      <c r="AH78" s="47">
        <v>0</v>
      </c>
      <c r="AI78" s="47" t="s">
        <v>729</v>
      </c>
      <c r="AJ78">
        <v>1</v>
      </c>
      <c r="AK78">
        <v>100</v>
      </c>
    </row>
    <row r="79" spans="1:37" x14ac:dyDescent="0.2">
      <c r="A79" t="s">
        <v>821</v>
      </c>
      <c r="B79" t="s">
        <v>361</v>
      </c>
      <c r="C79">
        <v>2021</v>
      </c>
      <c r="D79">
        <v>6</v>
      </c>
      <c r="E79" t="s">
        <v>827</v>
      </c>
      <c r="F79" t="s">
        <v>365</v>
      </c>
      <c r="G79">
        <v>7.1114379999999997</v>
      </c>
      <c r="H79" s="20">
        <f>IF(AND(A79=A78,F79=F78,F79="Winter wheat"),G79*0.9*'BAU Management details'!$F$46,
IF(AND(OR(A79&lt;&gt;A78,F79&lt;&gt;F78),F79="Winter wheat"),G79*'BAU Management details'!$F$46,
IF(F79="Oilseed Rape",G79*'BAU Management details'!$F$47)))</f>
        <v>24.890032999999999</v>
      </c>
      <c r="I79" t="s">
        <v>348</v>
      </c>
      <c r="J79">
        <v>10</v>
      </c>
      <c r="K79" t="s">
        <v>532</v>
      </c>
      <c r="L79" t="s">
        <v>751</v>
      </c>
      <c r="M79">
        <v>2.9</v>
      </c>
      <c r="N79" t="s">
        <v>349</v>
      </c>
      <c r="O79" t="s">
        <v>350</v>
      </c>
      <c r="P79">
        <v>7.7</v>
      </c>
      <c r="Q79" t="s">
        <v>728</v>
      </c>
      <c r="R79" t="s">
        <v>351</v>
      </c>
      <c r="S79">
        <v>220</v>
      </c>
      <c r="T79" s="47" t="s">
        <v>735</v>
      </c>
      <c r="U79" t="s">
        <v>368</v>
      </c>
      <c r="V79" t="s">
        <v>364</v>
      </c>
      <c r="W79" s="47" t="s">
        <v>736</v>
      </c>
      <c r="X79" s="47">
        <v>0</v>
      </c>
      <c r="Y79" s="47" t="s">
        <v>736</v>
      </c>
      <c r="Z79" s="47">
        <v>0</v>
      </c>
      <c r="AA79" s="47" t="s">
        <v>736</v>
      </c>
      <c r="AB79" s="47">
        <v>0</v>
      </c>
      <c r="AC79" s="47">
        <v>0</v>
      </c>
      <c r="AD79" s="47">
        <v>0</v>
      </c>
      <c r="AE79" s="47" t="s">
        <v>731</v>
      </c>
      <c r="AF79" s="47">
        <v>0</v>
      </c>
      <c r="AG79" s="47" t="s">
        <v>731</v>
      </c>
      <c r="AH79" s="47">
        <v>0</v>
      </c>
      <c r="AI79" s="47" t="s">
        <v>735</v>
      </c>
      <c r="AJ79">
        <v>1</v>
      </c>
      <c r="AK79">
        <v>100</v>
      </c>
    </row>
    <row r="80" spans="1:37" x14ac:dyDescent="0.2">
      <c r="A80" t="s">
        <v>828</v>
      </c>
      <c r="B80" t="s">
        <v>361</v>
      </c>
      <c r="C80">
        <v>2016</v>
      </c>
      <c r="D80">
        <v>1</v>
      </c>
      <c r="E80" t="s">
        <v>829</v>
      </c>
      <c r="F80" t="s">
        <v>362</v>
      </c>
      <c r="G80">
        <v>9.6341859999999997</v>
      </c>
      <c r="H80" s="20">
        <f>IF(AND(A80=A79,F80=F79,F80="Winter wheat"),G80*0.9*'BAU Management details'!$F$46,
IF(AND(OR(A80&lt;&gt;A79,F80&lt;&gt;F79),F80="Winter wheat"),G80*'BAU Management details'!$F$46,
IF(F80="Oilseed Rape",G80*'BAU Management details'!$F$47)))</f>
        <v>82.853999599999995</v>
      </c>
      <c r="I80" t="s">
        <v>348</v>
      </c>
      <c r="J80">
        <v>10</v>
      </c>
      <c r="K80" t="s">
        <v>362</v>
      </c>
      <c r="L80" t="s">
        <v>727</v>
      </c>
      <c r="M80">
        <v>2.9</v>
      </c>
      <c r="N80" t="s">
        <v>349</v>
      </c>
      <c r="O80" t="s">
        <v>742</v>
      </c>
      <c r="P80">
        <v>6.3</v>
      </c>
      <c r="Q80" t="s">
        <v>743</v>
      </c>
      <c r="R80" t="s">
        <v>351</v>
      </c>
      <c r="S80">
        <v>220</v>
      </c>
      <c r="T80" s="47" t="s">
        <v>729</v>
      </c>
      <c r="U80" t="s">
        <v>366</v>
      </c>
      <c r="V80" t="s">
        <v>364</v>
      </c>
      <c r="W80" s="47" t="s">
        <v>736</v>
      </c>
      <c r="X80" s="47">
        <v>0</v>
      </c>
      <c r="Y80" s="47" t="s">
        <v>730</v>
      </c>
      <c r="Z80" s="47">
        <v>0</v>
      </c>
      <c r="AA80" s="47" t="s">
        <v>731</v>
      </c>
      <c r="AB80" s="47">
        <v>0</v>
      </c>
      <c r="AC80" s="47" t="s">
        <v>731</v>
      </c>
      <c r="AD80" s="47" t="s">
        <v>731</v>
      </c>
      <c r="AE80" s="47" t="s">
        <v>731</v>
      </c>
      <c r="AF80" s="47">
        <v>0</v>
      </c>
      <c r="AG80" s="47">
        <v>0</v>
      </c>
      <c r="AH80" s="47">
        <v>0</v>
      </c>
      <c r="AI80" s="47" t="s">
        <v>729</v>
      </c>
      <c r="AJ80">
        <v>1</v>
      </c>
      <c r="AK80">
        <v>100</v>
      </c>
    </row>
    <row r="81" spans="1:37" x14ac:dyDescent="0.2">
      <c r="A81" t="s">
        <v>828</v>
      </c>
      <c r="B81" t="s">
        <v>361</v>
      </c>
      <c r="C81">
        <v>2017</v>
      </c>
      <c r="D81">
        <v>2</v>
      </c>
      <c r="E81" t="s">
        <v>830</v>
      </c>
      <c r="F81" t="s">
        <v>362</v>
      </c>
      <c r="G81">
        <v>9.6341859999999997</v>
      </c>
      <c r="H81" s="20">
        <f>IF(AND(A81=A80,F81=F80,F81="Winter wheat"),G81*0.9*'BAU Management details'!$F$46,
IF(AND(OR(A81&lt;&gt;A80,F81&lt;&gt;F80),F81="Winter wheat"),G81*'BAU Management details'!$F$46,
IF(F81="Oilseed Rape",G81*'BAU Management details'!$F$47)))</f>
        <v>74.568599640000002</v>
      </c>
      <c r="I81" t="s">
        <v>348</v>
      </c>
      <c r="J81">
        <v>10</v>
      </c>
      <c r="K81" t="s">
        <v>362</v>
      </c>
      <c r="L81" t="s">
        <v>727</v>
      </c>
      <c r="M81">
        <v>2.9</v>
      </c>
      <c r="N81" t="s">
        <v>349</v>
      </c>
      <c r="O81" t="s">
        <v>742</v>
      </c>
      <c r="P81">
        <v>6.3</v>
      </c>
      <c r="Q81" t="s">
        <v>743</v>
      </c>
      <c r="R81" t="s">
        <v>351</v>
      </c>
      <c r="S81">
        <v>220</v>
      </c>
      <c r="T81" s="47" t="s">
        <v>729</v>
      </c>
      <c r="U81" t="s">
        <v>733</v>
      </c>
      <c r="V81" t="s">
        <v>364</v>
      </c>
      <c r="W81" s="47" t="s">
        <v>736</v>
      </c>
      <c r="X81" s="47">
        <v>0</v>
      </c>
      <c r="Y81" s="47" t="s">
        <v>730</v>
      </c>
      <c r="Z81" s="47">
        <v>0</v>
      </c>
      <c r="AA81" s="47" t="s">
        <v>731</v>
      </c>
      <c r="AB81" s="47">
        <v>0</v>
      </c>
      <c r="AC81" s="47">
        <v>0</v>
      </c>
      <c r="AD81" s="47">
        <v>0</v>
      </c>
      <c r="AE81" s="47" t="s">
        <v>731</v>
      </c>
      <c r="AF81" s="47">
        <v>0</v>
      </c>
      <c r="AG81" s="47">
        <v>0</v>
      </c>
      <c r="AH81" s="47">
        <v>0</v>
      </c>
      <c r="AI81" s="47" t="s">
        <v>729</v>
      </c>
      <c r="AJ81">
        <v>1</v>
      </c>
      <c r="AK81">
        <v>100</v>
      </c>
    </row>
    <row r="82" spans="1:37" x14ac:dyDescent="0.2">
      <c r="A82" t="s">
        <v>828</v>
      </c>
      <c r="B82" t="s">
        <v>361</v>
      </c>
      <c r="C82">
        <v>2018</v>
      </c>
      <c r="D82">
        <v>3</v>
      </c>
      <c r="E82" t="s">
        <v>831</v>
      </c>
      <c r="F82" t="s">
        <v>365</v>
      </c>
      <c r="G82">
        <v>9.6341859999999997</v>
      </c>
      <c r="H82" s="20">
        <f>IF(AND(A82=A81,F82=F81,F82="Winter wheat"),G82*0.9*'BAU Management details'!$F$46,
IF(AND(OR(A82&lt;&gt;A81,F82&lt;&gt;F81),F82="Winter wheat"),G82*'BAU Management details'!$F$46,
IF(F82="Oilseed Rape",G82*'BAU Management details'!$F$47)))</f>
        <v>33.719650999999999</v>
      </c>
      <c r="I82" t="s">
        <v>348</v>
      </c>
      <c r="J82">
        <v>10</v>
      </c>
      <c r="K82" t="s">
        <v>532</v>
      </c>
      <c r="L82" t="s">
        <v>727</v>
      </c>
      <c r="M82">
        <v>2.9</v>
      </c>
      <c r="N82" t="s">
        <v>349</v>
      </c>
      <c r="O82" t="s">
        <v>742</v>
      </c>
      <c r="P82">
        <v>6.3</v>
      </c>
      <c r="Q82" t="s">
        <v>743</v>
      </c>
      <c r="R82" t="s">
        <v>351</v>
      </c>
      <c r="S82">
        <v>220</v>
      </c>
      <c r="T82" s="47" t="s">
        <v>735</v>
      </c>
      <c r="U82" t="s">
        <v>368</v>
      </c>
      <c r="V82" t="s">
        <v>364</v>
      </c>
      <c r="W82" s="47" t="s">
        <v>736</v>
      </c>
      <c r="X82" s="47">
        <v>0</v>
      </c>
      <c r="Y82" s="47" t="s">
        <v>736</v>
      </c>
      <c r="Z82" s="47">
        <v>0</v>
      </c>
      <c r="AA82" s="47" t="s">
        <v>736</v>
      </c>
      <c r="AB82" s="47">
        <v>0</v>
      </c>
      <c r="AC82" s="47">
        <v>0</v>
      </c>
      <c r="AD82" s="47">
        <v>0</v>
      </c>
      <c r="AE82" s="47" t="s">
        <v>731</v>
      </c>
      <c r="AF82" s="47">
        <v>0</v>
      </c>
      <c r="AG82" s="47" t="s">
        <v>731</v>
      </c>
      <c r="AH82" s="47">
        <v>0</v>
      </c>
      <c r="AI82" s="47" t="s">
        <v>735</v>
      </c>
      <c r="AJ82">
        <v>1</v>
      </c>
      <c r="AK82">
        <v>100</v>
      </c>
    </row>
    <row r="83" spans="1:37" x14ac:dyDescent="0.2">
      <c r="A83" t="s">
        <v>828</v>
      </c>
      <c r="B83" t="s">
        <v>361</v>
      </c>
      <c r="C83">
        <v>2019</v>
      </c>
      <c r="D83">
        <v>4</v>
      </c>
      <c r="E83" t="s">
        <v>832</v>
      </c>
      <c r="F83" t="s">
        <v>362</v>
      </c>
      <c r="G83">
        <v>9.6341859999999997</v>
      </c>
      <c r="H83" s="20">
        <f>IF(AND(A83=A82,F83=F82,F83="Winter wheat"),G83*0.9*'BAU Management details'!$F$46,
IF(AND(OR(A83&lt;&gt;A82,F83&lt;&gt;F82),F83="Winter wheat"),G83*'BAU Management details'!$F$46,
IF(F83="Oilseed Rape",G83*'BAU Management details'!$F$47)))</f>
        <v>82.853999599999995</v>
      </c>
      <c r="I83" t="s">
        <v>348</v>
      </c>
      <c r="J83">
        <v>10</v>
      </c>
      <c r="K83" t="s">
        <v>362</v>
      </c>
      <c r="L83" t="s">
        <v>727</v>
      </c>
      <c r="M83">
        <v>2.9</v>
      </c>
      <c r="N83" t="s">
        <v>349</v>
      </c>
      <c r="O83" t="s">
        <v>742</v>
      </c>
      <c r="P83">
        <v>6.3</v>
      </c>
      <c r="Q83" t="s">
        <v>743</v>
      </c>
      <c r="R83" t="s">
        <v>351</v>
      </c>
      <c r="S83">
        <v>220</v>
      </c>
      <c r="T83" s="47" t="s">
        <v>729</v>
      </c>
      <c r="U83" t="s">
        <v>366</v>
      </c>
      <c r="V83" t="s">
        <v>364</v>
      </c>
      <c r="W83" s="47" t="s">
        <v>736</v>
      </c>
      <c r="X83" s="47">
        <v>0</v>
      </c>
      <c r="Y83" s="47" t="s">
        <v>730</v>
      </c>
      <c r="Z83" s="47">
        <v>0</v>
      </c>
      <c r="AA83" s="47" t="s">
        <v>731</v>
      </c>
      <c r="AB83" s="47">
        <v>0</v>
      </c>
      <c r="AC83" s="47" t="s">
        <v>731</v>
      </c>
      <c r="AD83" s="47" t="s">
        <v>731</v>
      </c>
      <c r="AE83" s="47" t="s">
        <v>731</v>
      </c>
      <c r="AF83" s="47">
        <v>0</v>
      </c>
      <c r="AG83" s="47">
        <v>0</v>
      </c>
      <c r="AH83" s="47">
        <v>0</v>
      </c>
      <c r="AI83" s="47" t="s">
        <v>729</v>
      </c>
      <c r="AJ83">
        <v>1</v>
      </c>
      <c r="AK83">
        <v>100</v>
      </c>
    </row>
    <row r="84" spans="1:37" x14ac:dyDescent="0.2">
      <c r="A84" t="s">
        <v>828</v>
      </c>
      <c r="B84" t="s">
        <v>361</v>
      </c>
      <c r="C84">
        <v>2020</v>
      </c>
      <c r="D84">
        <v>5</v>
      </c>
      <c r="E84" t="s">
        <v>833</v>
      </c>
      <c r="F84" t="s">
        <v>362</v>
      </c>
      <c r="G84">
        <v>9.6341859999999997</v>
      </c>
      <c r="H84" s="20">
        <f>IF(AND(A84=A83,F84=F83,F84="Winter wheat"),G84*0.9*'BAU Management details'!$F$46,
IF(AND(OR(A84&lt;&gt;A83,F84&lt;&gt;F83),F84="Winter wheat"),G84*'BAU Management details'!$F$46,
IF(F84="Oilseed Rape",G84*'BAU Management details'!$F$47)))</f>
        <v>74.568599640000002</v>
      </c>
      <c r="I84" t="s">
        <v>348</v>
      </c>
      <c r="J84">
        <v>10</v>
      </c>
      <c r="K84" t="s">
        <v>362</v>
      </c>
      <c r="L84" t="s">
        <v>727</v>
      </c>
      <c r="M84">
        <v>2.9</v>
      </c>
      <c r="N84" t="s">
        <v>349</v>
      </c>
      <c r="O84" t="s">
        <v>742</v>
      </c>
      <c r="P84">
        <v>6.3</v>
      </c>
      <c r="Q84" t="s">
        <v>743</v>
      </c>
      <c r="R84" t="s">
        <v>351</v>
      </c>
      <c r="S84">
        <v>220</v>
      </c>
      <c r="T84" s="47" t="s">
        <v>729</v>
      </c>
      <c r="U84" t="s">
        <v>733</v>
      </c>
      <c r="V84" t="s">
        <v>364</v>
      </c>
      <c r="W84" s="47" t="s">
        <v>736</v>
      </c>
      <c r="X84" s="47">
        <v>0</v>
      </c>
      <c r="Y84" s="47" t="s">
        <v>730</v>
      </c>
      <c r="Z84" s="47">
        <v>0</v>
      </c>
      <c r="AA84" s="47" t="s">
        <v>731</v>
      </c>
      <c r="AB84" s="47">
        <v>0</v>
      </c>
      <c r="AC84" s="47">
        <v>0</v>
      </c>
      <c r="AD84" s="47">
        <v>0</v>
      </c>
      <c r="AE84" s="47" t="s">
        <v>731</v>
      </c>
      <c r="AF84" s="47">
        <v>0</v>
      </c>
      <c r="AG84" s="47">
        <v>0</v>
      </c>
      <c r="AH84" s="47">
        <v>0</v>
      </c>
      <c r="AI84" s="47" t="s">
        <v>729</v>
      </c>
      <c r="AJ84">
        <v>1</v>
      </c>
      <c r="AK84">
        <v>100</v>
      </c>
    </row>
    <row r="85" spans="1:37" x14ac:dyDescent="0.2">
      <c r="A85" t="s">
        <v>828</v>
      </c>
      <c r="B85" t="s">
        <v>361</v>
      </c>
      <c r="C85">
        <v>2021</v>
      </c>
      <c r="D85">
        <v>6</v>
      </c>
      <c r="E85" t="s">
        <v>834</v>
      </c>
      <c r="F85" t="s">
        <v>365</v>
      </c>
      <c r="G85">
        <v>9.6341859999999997</v>
      </c>
      <c r="H85" s="20">
        <f>IF(AND(A85=A84,F85=F84,F85="Winter wheat"),G85*0.9*'BAU Management details'!$F$46,
IF(AND(OR(A85&lt;&gt;A84,F85&lt;&gt;F84),F85="Winter wheat"),G85*'BAU Management details'!$F$46,
IF(F85="Oilseed Rape",G85*'BAU Management details'!$F$47)))</f>
        <v>33.719650999999999</v>
      </c>
      <c r="I85" t="s">
        <v>348</v>
      </c>
      <c r="J85">
        <v>10</v>
      </c>
      <c r="K85" t="s">
        <v>532</v>
      </c>
      <c r="L85" t="s">
        <v>727</v>
      </c>
      <c r="M85">
        <v>2.9</v>
      </c>
      <c r="N85" t="s">
        <v>349</v>
      </c>
      <c r="O85" t="s">
        <v>742</v>
      </c>
      <c r="P85">
        <v>6.3</v>
      </c>
      <c r="Q85" t="s">
        <v>743</v>
      </c>
      <c r="R85" t="s">
        <v>351</v>
      </c>
      <c r="S85">
        <v>220</v>
      </c>
      <c r="T85" s="47" t="s">
        <v>735</v>
      </c>
      <c r="U85" t="s">
        <v>368</v>
      </c>
      <c r="V85" t="s">
        <v>364</v>
      </c>
      <c r="W85" s="47" t="s">
        <v>736</v>
      </c>
      <c r="X85" s="47">
        <v>0</v>
      </c>
      <c r="Y85" s="47" t="s">
        <v>736</v>
      </c>
      <c r="Z85" s="47">
        <v>0</v>
      </c>
      <c r="AA85" s="47" t="s">
        <v>736</v>
      </c>
      <c r="AB85" s="47">
        <v>0</v>
      </c>
      <c r="AC85" s="47">
        <v>0</v>
      </c>
      <c r="AD85" s="47">
        <v>0</v>
      </c>
      <c r="AE85" s="47" t="s">
        <v>731</v>
      </c>
      <c r="AF85" s="47">
        <v>0</v>
      </c>
      <c r="AG85" s="47" t="s">
        <v>731</v>
      </c>
      <c r="AH85" s="47">
        <v>0</v>
      </c>
      <c r="AI85" s="47" t="s">
        <v>735</v>
      </c>
      <c r="AJ85">
        <v>1</v>
      </c>
      <c r="AK85">
        <v>100</v>
      </c>
    </row>
    <row r="86" spans="1:37" x14ac:dyDescent="0.2">
      <c r="A86" t="s">
        <v>835</v>
      </c>
      <c r="B86" t="s">
        <v>361</v>
      </c>
      <c r="C86">
        <v>2016</v>
      </c>
      <c r="D86">
        <v>1</v>
      </c>
      <c r="E86" t="s">
        <v>836</v>
      </c>
      <c r="F86" t="s">
        <v>362</v>
      </c>
      <c r="G86">
        <v>4.985894</v>
      </c>
      <c r="H86" s="20">
        <f>IF(AND(A86=A85,F86=F85,F86="Winter wheat"),G86*0.9*'BAU Management details'!$F$46,
IF(AND(OR(A86&lt;&gt;A85,F86&lt;&gt;F85),F86="Winter wheat"),G86*'BAU Management details'!$F$46,
IF(F86="Oilseed Rape",G86*'BAU Management details'!$F$47)))</f>
        <v>42.878688400000001</v>
      </c>
      <c r="I86" t="s">
        <v>348</v>
      </c>
      <c r="J86">
        <v>10</v>
      </c>
      <c r="K86" t="s">
        <v>362</v>
      </c>
      <c r="L86" t="s">
        <v>727</v>
      </c>
      <c r="M86">
        <v>4.2</v>
      </c>
      <c r="N86" t="s">
        <v>349</v>
      </c>
      <c r="O86" t="s">
        <v>742</v>
      </c>
      <c r="P86">
        <v>7.3</v>
      </c>
      <c r="Q86" t="s">
        <v>743</v>
      </c>
      <c r="R86" t="s">
        <v>351</v>
      </c>
      <c r="S86">
        <v>220</v>
      </c>
      <c r="T86" s="47" t="s">
        <v>729</v>
      </c>
      <c r="U86" t="s">
        <v>366</v>
      </c>
      <c r="V86" t="s">
        <v>364</v>
      </c>
      <c r="W86" s="47" t="s">
        <v>736</v>
      </c>
      <c r="X86" s="47">
        <v>0</v>
      </c>
      <c r="Y86" s="47" t="s">
        <v>730</v>
      </c>
      <c r="Z86" s="47">
        <v>0</v>
      </c>
      <c r="AA86" s="47" t="s">
        <v>731</v>
      </c>
      <c r="AB86" s="47">
        <v>0</v>
      </c>
      <c r="AC86" s="47" t="s">
        <v>731</v>
      </c>
      <c r="AD86" s="47" t="s">
        <v>731</v>
      </c>
      <c r="AE86" s="47" t="s">
        <v>731</v>
      </c>
      <c r="AF86" s="47">
        <v>0</v>
      </c>
      <c r="AG86" s="47">
        <v>0</v>
      </c>
      <c r="AH86" s="47">
        <v>0</v>
      </c>
      <c r="AI86" s="47" t="s">
        <v>729</v>
      </c>
      <c r="AJ86">
        <v>1</v>
      </c>
      <c r="AK86">
        <v>100</v>
      </c>
    </row>
    <row r="87" spans="1:37" x14ac:dyDescent="0.2">
      <c r="A87" t="s">
        <v>835</v>
      </c>
      <c r="B87" t="s">
        <v>361</v>
      </c>
      <c r="C87">
        <v>2017</v>
      </c>
      <c r="D87">
        <v>2</v>
      </c>
      <c r="E87" t="s">
        <v>837</v>
      </c>
      <c r="F87" t="s">
        <v>362</v>
      </c>
      <c r="G87">
        <v>4.985894</v>
      </c>
      <c r="H87" s="20">
        <f>IF(AND(A87=A86,F87=F86,F87="Winter wheat"),G87*0.9*'BAU Management details'!$F$46,
IF(AND(OR(A87&lt;&gt;A86,F87&lt;&gt;F86),F87="Winter wheat"),G87*'BAU Management details'!$F$46,
IF(F87="Oilseed Rape",G87*'BAU Management details'!$F$47)))</f>
        <v>38.59081956</v>
      </c>
      <c r="I87" t="s">
        <v>348</v>
      </c>
      <c r="J87">
        <v>10</v>
      </c>
      <c r="K87" t="s">
        <v>362</v>
      </c>
      <c r="L87" t="s">
        <v>727</v>
      </c>
      <c r="M87">
        <v>4.2</v>
      </c>
      <c r="N87" t="s">
        <v>349</v>
      </c>
      <c r="O87" t="s">
        <v>742</v>
      </c>
      <c r="P87">
        <v>7.3</v>
      </c>
      <c r="Q87" t="s">
        <v>743</v>
      </c>
      <c r="R87" t="s">
        <v>351</v>
      </c>
      <c r="S87">
        <v>220</v>
      </c>
      <c r="T87" s="47" t="s">
        <v>729</v>
      </c>
      <c r="U87" t="s">
        <v>733</v>
      </c>
      <c r="V87" t="s">
        <v>364</v>
      </c>
      <c r="W87" s="47" t="s">
        <v>736</v>
      </c>
      <c r="X87" s="47">
        <v>0</v>
      </c>
      <c r="Y87" s="47" t="s">
        <v>730</v>
      </c>
      <c r="Z87" s="47">
        <v>0</v>
      </c>
      <c r="AA87" s="47" t="s">
        <v>731</v>
      </c>
      <c r="AB87" s="47">
        <v>0</v>
      </c>
      <c r="AC87" s="47">
        <v>0</v>
      </c>
      <c r="AD87" s="47">
        <v>0</v>
      </c>
      <c r="AE87" s="47" t="s">
        <v>731</v>
      </c>
      <c r="AF87" s="47">
        <v>0</v>
      </c>
      <c r="AG87" s="47">
        <v>0</v>
      </c>
      <c r="AH87" s="47">
        <v>0</v>
      </c>
      <c r="AI87" s="47" t="s">
        <v>729</v>
      </c>
      <c r="AJ87">
        <v>1</v>
      </c>
      <c r="AK87">
        <v>100</v>
      </c>
    </row>
    <row r="88" spans="1:37" x14ac:dyDescent="0.2">
      <c r="A88" t="s">
        <v>835</v>
      </c>
      <c r="B88" t="s">
        <v>361</v>
      </c>
      <c r="C88">
        <v>2018</v>
      </c>
      <c r="D88">
        <v>3</v>
      </c>
      <c r="E88" t="s">
        <v>838</v>
      </c>
      <c r="F88" t="s">
        <v>365</v>
      </c>
      <c r="G88">
        <v>4.985894</v>
      </c>
      <c r="H88" s="20">
        <f>IF(AND(A88=A87,F88=F87,F88="Winter wheat"),G88*0.9*'BAU Management details'!$F$46,
IF(AND(OR(A88&lt;&gt;A87,F88&lt;&gt;F87),F88="Winter wheat"),G88*'BAU Management details'!$F$46,
IF(F88="Oilseed Rape",G88*'BAU Management details'!$F$47)))</f>
        <v>17.450628999999999</v>
      </c>
      <c r="I88" t="s">
        <v>348</v>
      </c>
      <c r="J88">
        <v>10</v>
      </c>
      <c r="K88" t="s">
        <v>532</v>
      </c>
      <c r="L88" t="s">
        <v>727</v>
      </c>
      <c r="M88">
        <v>4.2</v>
      </c>
      <c r="N88" t="s">
        <v>349</v>
      </c>
      <c r="O88" t="s">
        <v>742</v>
      </c>
      <c r="P88">
        <v>7.3</v>
      </c>
      <c r="Q88" t="s">
        <v>743</v>
      </c>
      <c r="R88" t="s">
        <v>351</v>
      </c>
      <c r="S88">
        <v>220</v>
      </c>
      <c r="T88" s="47" t="s">
        <v>735</v>
      </c>
      <c r="U88" t="s">
        <v>368</v>
      </c>
      <c r="V88" t="s">
        <v>364</v>
      </c>
      <c r="W88" s="47" t="s">
        <v>736</v>
      </c>
      <c r="X88" s="47">
        <v>0</v>
      </c>
      <c r="Y88" s="47" t="s">
        <v>736</v>
      </c>
      <c r="Z88" s="47">
        <v>0</v>
      </c>
      <c r="AA88" s="47" t="s">
        <v>736</v>
      </c>
      <c r="AB88" s="47">
        <v>0</v>
      </c>
      <c r="AC88" s="47">
        <v>0</v>
      </c>
      <c r="AD88" s="47">
        <v>0</v>
      </c>
      <c r="AE88" s="47" t="s">
        <v>731</v>
      </c>
      <c r="AF88" s="47">
        <v>0</v>
      </c>
      <c r="AG88" s="47" t="s">
        <v>731</v>
      </c>
      <c r="AH88" s="47">
        <v>0</v>
      </c>
      <c r="AI88" s="47" t="s">
        <v>735</v>
      </c>
      <c r="AJ88">
        <v>1</v>
      </c>
      <c r="AK88">
        <v>100</v>
      </c>
    </row>
    <row r="89" spans="1:37" x14ac:dyDescent="0.2">
      <c r="A89" t="s">
        <v>835</v>
      </c>
      <c r="B89" t="s">
        <v>361</v>
      </c>
      <c r="C89">
        <v>2019</v>
      </c>
      <c r="D89">
        <v>4</v>
      </c>
      <c r="E89" t="s">
        <v>839</v>
      </c>
      <c r="F89" t="s">
        <v>362</v>
      </c>
      <c r="G89">
        <v>4.985894</v>
      </c>
      <c r="H89" s="20">
        <f>IF(AND(A89=A88,F89=F88,F89="Winter wheat"),G89*0.9*'BAU Management details'!$F$46,
IF(AND(OR(A89&lt;&gt;A88,F89&lt;&gt;F88),F89="Winter wheat"),G89*'BAU Management details'!$F$46,
IF(F89="Oilseed Rape",G89*'BAU Management details'!$F$47)))</f>
        <v>42.878688400000001</v>
      </c>
      <c r="I89" t="s">
        <v>348</v>
      </c>
      <c r="J89">
        <v>10</v>
      </c>
      <c r="K89" t="s">
        <v>362</v>
      </c>
      <c r="L89" t="s">
        <v>727</v>
      </c>
      <c r="M89">
        <v>4.2</v>
      </c>
      <c r="N89" t="s">
        <v>349</v>
      </c>
      <c r="O89" t="s">
        <v>742</v>
      </c>
      <c r="P89">
        <v>7.3</v>
      </c>
      <c r="Q89" t="s">
        <v>743</v>
      </c>
      <c r="R89" t="s">
        <v>351</v>
      </c>
      <c r="S89">
        <v>220</v>
      </c>
      <c r="T89" s="47" t="s">
        <v>729</v>
      </c>
      <c r="U89" t="s">
        <v>366</v>
      </c>
      <c r="V89" t="s">
        <v>364</v>
      </c>
      <c r="W89" s="47" t="s">
        <v>736</v>
      </c>
      <c r="X89" s="47">
        <v>0</v>
      </c>
      <c r="Y89" s="47" t="s">
        <v>730</v>
      </c>
      <c r="Z89" s="47">
        <v>0</v>
      </c>
      <c r="AA89" s="47" t="s">
        <v>731</v>
      </c>
      <c r="AB89" s="47">
        <v>0</v>
      </c>
      <c r="AC89" s="47" t="s">
        <v>731</v>
      </c>
      <c r="AD89" s="47" t="s">
        <v>731</v>
      </c>
      <c r="AE89" s="47" t="s">
        <v>731</v>
      </c>
      <c r="AF89" s="47">
        <v>0</v>
      </c>
      <c r="AG89" s="47">
        <v>0</v>
      </c>
      <c r="AH89" s="47">
        <v>0</v>
      </c>
      <c r="AI89" s="47" t="s">
        <v>729</v>
      </c>
      <c r="AJ89">
        <v>1</v>
      </c>
      <c r="AK89">
        <v>100</v>
      </c>
    </row>
    <row r="90" spans="1:37" x14ac:dyDescent="0.2">
      <c r="A90" t="s">
        <v>835</v>
      </c>
      <c r="B90" t="s">
        <v>361</v>
      </c>
      <c r="C90">
        <v>2020</v>
      </c>
      <c r="D90">
        <v>5</v>
      </c>
      <c r="E90" t="s">
        <v>840</v>
      </c>
      <c r="F90" t="s">
        <v>362</v>
      </c>
      <c r="G90">
        <v>4.985894</v>
      </c>
      <c r="H90" s="20">
        <f>IF(AND(A90=A89,F90=F89,F90="Winter wheat"),G90*0.9*'BAU Management details'!$F$46,
IF(AND(OR(A90&lt;&gt;A89,F90&lt;&gt;F89),F90="Winter wheat"),G90*'BAU Management details'!$F$46,
IF(F90="Oilseed Rape",G90*'BAU Management details'!$F$47)))</f>
        <v>38.59081956</v>
      </c>
      <c r="I90" t="s">
        <v>348</v>
      </c>
      <c r="J90">
        <v>10</v>
      </c>
      <c r="K90" t="s">
        <v>362</v>
      </c>
      <c r="L90" t="s">
        <v>727</v>
      </c>
      <c r="M90">
        <v>4.2</v>
      </c>
      <c r="N90" t="s">
        <v>349</v>
      </c>
      <c r="O90" t="s">
        <v>742</v>
      </c>
      <c r="P90">
        <v>7.3</v>
      </c>
      <c r="Q90" t="s">
        <v>743</v>
      </c>
      <c r="R90" t="s">
        <v>351</v>
      </c>
      <c r="S90">
        <v>220</v>
      </c>
      <c r="T90" s="47" t="s">
        <v>729</v>
      </c>
      <c r="U90" t="s">
        <v>733</v>
      </c>
      <c r="V90" t="s">
        <v>364</v>
      </c>
      <c r="W90" s="47" t="s">
        <v>736</v>
      </c>
      <c r="X90" s="47">
        <v>0</v>
      </c>
      <c r="Y90" s="47" t="s">
        <v>730</v>
      </c>
      <c r="Z90" s="47">
        <v>0</v>
      </c>
      <c r="AA90" s="47" t="s">
        <v>731</v>
      </c>
      <c r="AB90" s="47">
        <v>0</v>
      </c>
      <c r="AC90" s="47">
        <v>0</v>
      </c>
      <c r="AD90" s="47">
        <v>0</v>
      </c>
      <c r="AE90" s="47" t="s">
        <v>731</v>
      </c>
      <c r="AF90" s="47">
        <v>0</v>
      </c>
      <c r="AG90" s="47">
        <v>0</v>
      </c>
      <c r="AH90" s="47">
        <v>0</v>
      </c>
      <c r="AI90" s="47" t="s">
        <v>729</v>
      </c>
      <c r="AJ90">
        <v>1</v>
      </c>
      <c r="AK90">
        <v>100</v>
      </c>
    </row>
    <row r="91" spans="1:37" x14ac:dyDescent="0.2">
      <c r="A91" t="s">
        <v>835</v>
      </c>
      <c r="B91" t="s">
        <v>361</v>
      </c>
      <c r="C91">
        <v>2021</v>
      </c>
      <c r="D91">
        <v>6</v>
      </c>
      <c r="E91" t="s">
        <v>841</v>
      </c>
      <c r="F91" t="s">
        <v>365</v>
      </c>
      <c r="G91">
        <v>4.985894</v>
      </c>
      <c r="H91" s="20">
        <f>IF(AND(A91=A90,F91=F90,F91="Winter wheat"),G91*0.9*'BAU Management details'!$F$46,
IF(AND(OR(A91&lt;&gt;A90,F91&lt;&gt;F90),F91="Winter wheat"),G91*'BAU Management details'!$F$46,
IF(F91="Oilseed Rape",G91*'BAU Management details'!$F$47)))</f>
        <v>17.450628999999999</v>
      </c>
      <c r="I91" t="s">
        <v>348</v>
      </c>
      <c r="J91">
        <v>10</v>
      </c>
      <c r="K91" t="s">
        <v>532</v>
      </c>
      <c r="L91" t="s">
        <v>727</v>
      </c>
      <c r="M91">
        <v>4.2</v>
      </c>
      <c r="N91" t="s">
        <v>349</v>
      </c>
      <c r="O91" t="s">
        <v>742</v>
      </c>
      <c r="P91">
        <v>7.3</v>
      </c>
      <c r="Q91" t="s">
        <v>743</v>
      </c>
      <c r="R91" t="s">
        <v>351</v>
      </c>
      <c r="S91">
        <v>220</v>
      </c>
      <c r="T91" s="47" t="s">
        <v>735</v>
      </c>
      <c r="U91" t="s">
        <v>368</v>
      </c>
      <c r="V91" t="s">
        <v>364</v>
      </c>
      <c r="W91" s="47" t="s">
        <v>736</v>
      </c>
      <c r="X91" s="47">
        <v>0</v>
      </c>
      <c r="Y91" s="47" t="s">
        <v>736</v>
      </c>
      <c r="Z91" s="47">
        <v>0</v>
      </c>
      <c r="AA91" s="47" t="s">
        <v>736</v>
      </c>
      <c r="AB91" s="47">
        <v>0</v>
      </c>
      <c r="AC91" s="47">
        <v>0</v>
      </c>
      <c r="AD91" s="47">
        <v>0</v>
      </c>
      <c r="AE91" s="47" t="s">
        <v>731</v>
      </c>
      <c r="AF91" s="47">
        <v>0</v>
      </c>
      <c r="AG91" s="47" t="s">
        <v>731</v>
      </c>
      <c r="AH91" s="47">
        <v>0</v>
      </c>
      <c r="AI91" s="47" t="s">
        <v>735</v>
      </c>
      <c r="AJ91">
        <v>1</v>
      </c>
      <c r="AK91">
        <v>100</v>
      </c>
    </row>
    <row r="92" spans="1:37" x14ac:dyDescent="0.2">
      <c r="A92" t="s">
        <v>842</v>
      </c>
      <c r="B92" t="s">
        <v>361</v>
      </c>
      <c r="C92">
        <v>2016</v>
      </c>
      <c r="D92">
        <v>1</v>
      </c>
      <c r="E92" t="s">
        <v>843</v>
      </c>
      <c r="F92" t="s">
        <v>362</v>
      </c>
      <c r="G92">
        <v>9.5376709999999996</v>
      </c>
      <c r="H92" s="20">
        <f>IF(AND(A92=A91,F92=F91,F92="Winter wheat"),G92*0.9*'BAU Management details'!$F$46,
IF(AND(OR(A92&lt;&gt;A91,F92&lt;&gt;F91),F92="Winter wheat"),G92*'BAU Management details'!$F$46,
IF(F92="Oilseed Rape",G92*'BAU Management details'!$F$47)))</f>
        <v>82.023970599999998</v>
      </c>
      <c r="I92" t="s">
        <v>348</v>
      </c>
      <c r="J92">
        <v>10</v>
      </c>
      <c r="K92" t="s">
        <v>362</v>
      </c>
      <c r="L92" t="s">
        <v>751</v>
      </c>
      <c r="M92">
        <v>2.2000000000000002</v>
      </c>
      <c r="N92" t="s">
        <v>349</v>
      </c>
      <c r="O92" t="s">
        <v>742</v>
      </c>
      <c r="P92">
        <v>6.7</v>
      </c>
      <c r="Q92" t="s">
        <v>743</v>
      </c>
      <c r="R92" t="s">
        <v>351</v>
      </c>
      <c r="S92">
        <v>220</v>
      </c>
      <c r="T92" s="47" t="s">
        <v>729</v>
      </c>
      <c r="U92" t="s">
        <v>366</v>
      </c>
      <c r="V92" t="s">
        <v>364</v>
      </c>
      <c r="W92" s="47" t="s">
        <v>736</v>
      </c>
      <c r="X92" s="47">
        <v>0</v>
      </c>
      <c r="Y92" s="47" t="s">
        <v>730</v>
      </c>
      <c r="Z92" s="47">
        <v>0</v>
      </c>
      <c r="AA92" s="47" t="s">
        <v>731</v>
      </c>
      <c r="AB92" s="47">
        <v>0</v>
      </c>
      <c r="AC92" s="47" t="s">
        <v>731</v>
      </c>
      <c r="AD92" s="47" t="s">
        <v>731</v>
      </c>
      <c r="AE92" s="47" t="s">
        <v>731</v>
      </c>
      <c r="AF92" s="47">
        <v>0</v>
      </c>
      <c r="AG92" s="47">
        <v>0</v>
      </c>
      <c r="AH92" s="47">
        <v>0</v>
      </c>
      <c r="AI92" s="47" t="s">
        <v>729</v>
      </c>
      <c r="AJ92">
        <v>1</v>
      </c>
      <c r="AK92">
        <v>100</v>
      </c>
    </row>
    <row r="93" spans="1:37" x14ac:dyDescent="0.2">
      <c r="A93" t="s">
        <v>842</v>
      </c>
      <c r="B93" t="s">
        <v>361</v>
      </c>
      <c r="C93">
        <v>2017</v>
      </c>
      <c r="D93">
        <v>2</v>
      </c>
      <c r="E93" t="s">
        <v>844</v>
      </c>
      <c r="F93" t="s">
        <v>362</v>
      </c>
      <c r="G93">
        <v>9.5376709999999996</v>
      </c>
      <c r="H93" s="20">
        <f>IF(AND(A93=A92,F93=F92,F93="Winter wheat"),G93*0.9*'BAU Management details'!$F$46,
IF(AND(OR(A93&lt;&gt;A92,F93&lt;&gt;F92),F93="Winter wheat"),G93*'BAU Management details'!$F$46,
IF(F93="Oilseed Rape",G93*'BAU Management details'!$F$47)))</f>
        <v>73.821573539999989</v>
      </c>
      <c r="I93" t="s">
        <v>348</v>
      </c>
      <c r="J93">
        <v>10</v>
      </c>
      <c r="K93" t="s">
        <v>362</v>
      </c>
      <c r="L93" t="s">
        <v>751</v>
      </c>
      <c r="M93">
        <v>2.2000000000000002</v>
      </c>
      <c r="N93" t="s">
        <v>349</v>
      </c>
      <c r="O93" t="s">
        <v>742</v>
      </c>
      <c r="P93">
        <v>6.7</v>
      </c>
      <c r="Q93" t="s">
        <v>743</v>
      </c>
      <c r="R93" t="s">
        <v>351</v>
      </c>
      <c r="S93">
        <v>220</v>
      </c>
      <c r="T93" s="47" t="s">
        <v>729</v>
      </c>
      <c r="U93" t="s">
        <v>733</v>
      </c>
      <c r="V93" t="s">
        <v>364</v>
      </c>
      <c r="W93" s="47" t="s">
        <v>736</v>
      </c>
      <c r="X93" s="47">
        <v>0</v>
      </c>
      <c r="Y93" s="47" t="s">
        <v>730</v>
      </c>
      <c r="Z93" s="47">
        <v>0</v>
      </c>
      <c r="AA93" s="47" t="s">
        <v>731</v>
      </c>
      <c r="AB93" s="47">
        <v>0</v>
      </c>
      <c r="AC93" s="47">
        <v>0</v>
      </c>
      <c r="AD93" s="47">
        <v>0</v>
      </c>
      <c r="AE93" s="47" t="s">
        <v>731</v>
      </c>
      <c r="AF93" s="47">
        <v>0</v>
      </c>
      <c r="AG93" s="47">
        <v>0</v>
      </c>
      <c r="AH93" s="47">
        <v>0</v>
      </c>
      <c r="AI93" s="47" t="s">
        <v>729</v>
      </c>
      <c r="AJ93">
        <v>1</v>
      </c>
      <c r="AK93">
        <v>100</v>
      </c>
    </row>
    <row r="94" spans="1:37" x14ac:dyDescent="0.2">
      <c r="A94" t="s">
        <v>842</v>
      </c>
      <c r="B94" t="s">
        <v>361</v>
      </c>
      <c r="C94">
        <v>2018</v>
      </c>
      <c r="D94">
        <v>3</v>
      </c>
      <c r="E94" t="s">
        <v>845</v>
      </c>
      <c r="F94" t="s">
        <v>365</v>
      </c>
      <c r="G94">
        <v>9.5376709999999996</v>
      </c>
      <c r="H94" s="20">
        <f>IF(AND(A94=A93,F94=F93,F94="Winter wheat"),G94*0.9*'BAU Management details'!$F$46,
IF(AND(OR(A94&lt;&gt;A93,F94&lt;&gt;F93),F94="Winter wheat"),G94*'BAU Management details'!$F$46,
IF(F94="Oilseed Rape",G94*'BAU Management details'!$F$47)))</f>
        <v>33.381848499999997</v>
      </c>
      <c r="I94" t="s">
        <v>348</v>
      </c>
      <c r="J94">
        <v>10</v>
      </c>
      <c r="K94" t="s">
        <v>532</v>
      </c>
      <c r="L94" t="s">
        <v>751</v>
      </c>
      <c r="M94">
        <v>2.2000000000000002</v>
      </c>
      <c r="N94" t="s">
        <v>349</v>
      </c>
      <c r="O94" t="s">
        <v>742</v>
      </c>
      <c r="P94">
        <v>6.7</v>
      </c>
      <c r="Q94" t="s">
        <v>743</v>
      </c>
      <c r="R94" t="s">
        <v>351</v>
      </c>
      <c r="S94">
        <v>220</v>
      </c>
      <c r="T94" s="47" t="s">
        <v>735</v>
      </c>
      <c r="U94" t="s">
        <v>368</v>
      </c>
      <c r="V94" t="s">
        <v>364</v>
      </c>
      <c r="W94" s="47" t="s">
        <v>736</v>
      </c>
      <c r="X94" s="47">
        <v>0</v>
      </c>
      <c r="Y94" s="47" t="s">
        <v>736</v>
      </c>
      <c r="Z94" s="47">
        <v>0</v>
      </c>
      <c r="AA94" s="47" t="s">
        <v>736</v>
      </c>
      <c r="AB94" s="47">
        <v>0</v>
      </c>
      <c r="AC94" s="47">
        <v>0</v>
      </c>
      <c r="AD94" s="47">
        <v>0</v>
      </c>
      <c r="AE94" s="47" t="s">
        <v>731</v>
      </c>
      <c r="AF94" s="47">
        <v>0</v>
      </c>
      <c r="AG94" s="47" t="s">
        <v>731</v>
      </c>
      <c r="AH94" s="47">
        <v>0</v>
      </c>
      <c r="AI94" s="47" t="s">
        <v>735</v>
      </c>
      <c r="AJ94">
        <v>1</v>
      </c>
      <c r="AK94">
        <v>100</v>
      </c>
    </row>
    <row r="95" spans="1:37" x14ac:dyDescent="0.2">
      <c r="A95" t="s">
        <v>842</v>
      </c>
      <c r="B95" t="s">
        <v>361</v>
      </c>
      <c r="C95">
        <v>2019</v>
      </c>
      <c r="D95">
        <v>4</v>
      </c>
      <c r="E95" t="s">
        <v>846</v>
      </c>
      <c r="F95" t="s">
        <v>362</v>
      </c>
      <c r="G95">
        <v>9.5376709999999996</v>
      </c>
      <c r="H95" s="20">
        <f>IF(AND(A95=A94,F95=F94,F95="Winter wheat"),G95*0.9*'BAU Management details'!$F$46,
IF(AND(OR(A95&lt;&gt;A94,F95&lt;&gt;F94),F95="Winter wheat"),G95*'BAU Management details'!$F$46,
IF(F95="Oilseed Rape",G95*'BAU Management details'!$F$47)))</f>
        <v>82.023970599999998</v>
      </c>
      <c r="I95" t="s">
        <v>348</v>
      </c>
      <c r="J95">
        <v>10</v>
      </c>
      <c r="K95" t="s">
        <v>362</v>
      </c>
      <c r="L95" t="s">
        <v>751</v>
      </c>
      <c r="M95">
        <v>2.2000000000000002</v>
      </c>
      <c r="N95" t="s">
        <v>349</v>
      </c>
      <c r="O95" t="s">
        <v>742</v>
      </c>
      <c r="P95">
        <v>6.7</v>
      </c>
      <c r="Q95" t="s">
        <v>743</v>
      </c>
      <c r="R95" t="s">
        <v>351</v>
      </c>
      <c r="S95">
        <v>220</v>
      </c>
      <c r="T95" s="47" t="s">
        <v>729</v>
      </c>
      <c r="U95" t="s">
        <v>366</v>
      </c>
      <c r="V95" t="s">
        <v>364</v>
      </c>
      <c r="W95" s="47" t="s">
        <v>736</v>
      </c>
      <c r="X95" s="47">
        <v>0</v>
      </c>
      <c r="Y95" s="47" t="s">
        <v>730</v>
      </c>
      <c r="Z95" s="47">
        <v>0</v>
      </c>
      <c r="AA95" s="47" t="s">
        <v>731</v>
      </c>
      <c r="AB95" s="47">
        <v>0</v>
      </c>
      <c r="AC95" s="47" t="s">
        <v>731</v>
      </c>
      <c r="AD95" s="47" t="s">
        <v>731</v>
      </c>
      <c r="AE95" s="47" t="s">
        <v>731</v>
      </c>
      <c r="AF95" s="47">
        <v>0</v>
      </c>
      <c r="AG95" s="47">
        <v>0</v>
      </c>
      <c r="AH95" s="47">
        <v>0</v>
      </c>
      <c r="AI95" s="47" t="s">
        <v>729</v>
      </c>
      <c r="AJ95">
        <v>1</v>
      </c>
      <c r="AK95">
        <v>100</v>
      </c>
    </row>
    <row r="96" spans="1:37" x14ac:dyDescent="0.2">
      <c r="A96" t="s">
        <v>842</v>
      </c>
      <c r="B96" t="s">
        <v>361</v>
      </c>
      <c r="C96">
        <v>2020</v>
      </c>
      <c r="D96">
        <v>5</v>
      </c>
      <c r="E96" t="s">
        <v>847</v>
      </c>
      <c r="F96" t="s">
        <v>362</v>
      </c>
      <c r="G96">
        <v>9.5376709999999996</v>
      </c>
      <c r="H96" s="20">
        <f>IF(AND(A96=A95,F96=F95,F96="Winter wheat"),G96*0.9*'BAU Management details'!$F$46,
IF(AND(OR(A96&lt;&gt;A95,F96&lt;&gt;F95),F96="Winter wheat"),G96*'BAU Management details'!$F$46,
IF(F96="Oilseed Rape",G96*'BAU Management details'!$F$47)))</f>
        <v>73.821573539999989</v>
      </c>
      <c r="I96" t="s">
        <v>348</v>
      </c>
      <c r="J96">
        <v>10</v>
      </c>
      <c r="K96" t="s">
        <v>362</v>
      </c>
      <c r="L96" t="s">
        <v>751</v>
      </c>
      <c r="M96">
        <v>2.2000000000000002</v>
      </c>
      <c r="N96" t="s">
        <v>349</v>
      </c>
      <c r="O96" t="s">
        <v>742</v>
      </c>
      <c r="P96">
        <v>6.7</v>
      </c>
      <c r="Q96" t="s">
        <v>743</v>
      </c>
      <c r="R96" t="s">
        <v>351</v>
      </c>
      <c r="S96">
        <v>220</v>
      </c>
      <c r="T96" s="47" t="s">
        <v>729</v>
      </c>
      <c r="U96" t="s">
        <v>733</v>
      </c>
      <c r="V96" t="s">
        <v>364</v>
      </c>
      <c r="W96" s="47" t="s">
        <v>736</v>
      </c>
      <c r="X96" s="47">
        <v>0</v>
      </c>
      <c r="Y96" s="47" t="s">
        <v>730</v>
      </c>
      <c r="Z96" s="47">
        <v>0</v>
      </c>
      <c r="AA96" s="47" t="s">
        <v>731</v>
      </c>
      <c r="AB96" s="47">
        <v>0</v>
      </c>
      <c r="AC96" s="47">
        <v>0</v>
      </c>
      <c r="AD96" s="47">
        <v>0</v>
      </c>
      <c r="AE96" s="47" t="s">
        <v>731</v>
      </c>
      <c r="AF96" s="47">
        <v>0</v>
      </c>
      <c r="AG96" s="47">
        <v>0</v>
      </c>
      <c r="AH96" s="47">
        <v>0</v>
      </c>
      <c r="AI96" s="47" t="s">
        <v>729</v>
      </c>
      <c r="AJ96">
        <v>1</v>
      </c>
      <c r="AK96">
        <v>100</v>
      </c>
    </row>
    <row r="97" spans="1:37" x14ac:dyDescent="0.2">
      <c r="A97" t="s">
        <v>842</v>
      </c>
      <c r="B97" t="s">
        <v>361</v>
      </c>
      <c r="C97">
        <v>2021</v>
      </c>
      <c r="D97">
        <v>6</v>
      </c>
      <c r="E97" t="s">
        <v>848</v>
      </c>
      <c r="F97" t="s">
        <v>365</v>
      </c>
      <c r="G97">
        <v>9.5376709999999996</v>
      </c>
      <c r="H97" s="20">
        <f>IF(AND(A97=A96,F97=F96,F97="Winter wheat"),G97*0.9*'BAU Management details'!$F$46,
IF(AND(OR(A97&lt;&gt;A96,F97&lt;&gt;F96),F97="Winter wheat"),G97*'BAU Management details'!$F$46,
IF(F97="Oilseed Rape",G97*'BAU Management details'!$F$47)))</f>
        <v>33.381848499999997</v>
      </c>
      <c r="I97" t="s">
        <v>348</v>
      </c>
      <c r="J97">
        <v>10</v>
      </c>
      <c r="K97" t="s">
        <v>532</v>
      </c>
      <c r="L97" t="s">
        <v>751</v>
      </c>
      <c r="M97">
        <v>2.2000000000000002</v>
      </c>
      <c r="N97" t="s">
        <v>349</v>
      </c>
      <c r="O97" t="s">
        <v>742</v>
      </c>
      <c r="P97">
        <v>6.7</v>
      </c>
      <c r="Q97" t="s">
        <v>743</v>
      </c>
      <c r="R97" t="s">
        <v>351</v>
      </c>
      <c r="S97">
        <v>220</v>
      </c>
      <c r="T97" s="47" t="s">
        <v>735</v>
      </c>
      <c r="U97" t="s">
        <v>368</v>
      </c>
      <c r="V97" t="s">
        <v>364</v>
      </c>
      <c r="W97" s="47" t="s">
        <v>736</v>
      </c>
      <c r="X97" s="47">
        <v>0</v>
      </c>
      <c r="Y97" s="47" t="s">
        <v>736</v>
      </c>
      <c r="Z97" s="47">
        <v>0</v>
      </c>
      <c r="AA97" s="47" t="s">
        <v>736</v>
      </c>
      <c r="AB97" s="47">
        <v>0</v>
      </c>
      <c r="AC97" s="47">
        <v>0</v>
      </c>
      <c r="AD97" s="47">
        <v>0</v>
      </c>
      <c r="AE97" s="47" t="s">
        <v>731</v>
      </c>
      <c r="AF97" s="47">
        <v>0</v>
      </c>
      <c r="AG97" s="47" t="s">
        <v>731</v>
      </c>
      <c r="AH97" s="47">
        <v>0</v>
      </c>
      <c r="AI97" s="47" t="s">
        <v>735</v>
      </c>
      <c r="AJ97">
        <v>1</v>
      </c>
      <c r="AK97">
        <v>100</v>
      </c>
    </row>
    <row r="98" spans="1:37" x14ac:dyDescent="0.2">
      <c r="A98" t="s">
        <v>849</v>
      </c>
      <c r="B98" t="s">
        <v>361</v>
      </c>
      <c r="C98">
        <v>2016</v>
      </c>
      <c r="D98">
        <v>1</v>
      </c>
      <c r="E98" t="s">
        <v>850</v>
      </c>
      <c r="F98" t="s">
        <v>362</v>
      </c>
      <c r="G98">
        <v>7.0660100000000003</v>
      </c>
      <c r="H98" s="20">
        <f>IF(AND(A98=A97,F98=F97,F98="Winter wheat"),G98*0.9*'BAU Management details'!$F$46,
IF(AND(OR(A98&lt;&gt;A97,F98&lt;&gt;F97),F98="Winter wheat"),G98*'BAU Management details'!$F$46,
IF(F98="Oilseed Rape",G98*'BAU Management details'!$F$47)))</f>
        <v>60.767685999999998</v>
      </c>
      <c r="I98" t="s">
        <v>348</v>
      </c>
      <c r="J98">
        <v>10</v>
      </c>
      <c r="K98" t="s">
        <v>362</v>
      </c>
      <c r="L98" t="s">
        <v>751</v>
      </c>
      <c r="M98">
        <v>1.4</v>
      </c>
      <c r="N98" t="s">
        <v>349</v>
      </c>
      <c r="O98" t="s">
        <v>742</v>
      </c>
      <c r="P98">
        <v>7.5</v>
      </c>
      <c r="Q98" t="s">
        <v>728</v>
      </c>
      <c r="R98" t="s">
        <v>351</v>
      </c>
      <c r="S98">
        <v>220</v>
      </c>
      <c r="T98" s="47" t="s">
        <v>729</v>
      </c>
      <c r="U98" t="s">
        <v>366</v>
      </c>
      <c r="V98" t="s">
        <v>364</v>
      </c>
      <c r="W98" s="47" t="s">
        <v>736</v>
      </c>
      <c r="X98" s="47">
        <v>0</v>
      </c>
      <c r="Y98" s="47" t="s">
        <v>730</v>
      </c>
      <c r="Z98" s="47">
        <v>0</v>
      </c>
      <c r="AA98" s="47" t="s">
        <v>731</v>
      </c>
      <c r="AB98" s="47">
        <v>0</v>
      </c>
      <c r="AC98" s="47" t="s">
        <v>731</v>
      </c>
      <c r="AD98" s="47" t="s">
        <v>731</v>
      </c>
      <c r="AE98" s="47" t="s">
        <v>731</v>
      </c>
      <c r="AF98" s="47">
        <v>0</v>
      </c>
      <c r="AG98" s="47">
        <v>0</v>
      </c>
      <c r="AH98" s="47">
        <v>0</v>
      </c>
      <c r="AI98" s="47" t="s">
        <v>729</v>
      </c>
      <c r="AJ98">
        <v>1</v>
      </c>
      <c r="AK98">
        <v>100</v>
      </c>
    </row>
    <row r="99" spans="1:37" x14ac:dyDescent="0.2">
      <c r="A99" t="s">
        <v>849</v>
      </c>
      <c r="B99" t="s">
        <v>361</v>
      </c>
      <c r="C99">
        <v>2017</v>
      </c>
      <c r="D99">
        <v>2</v>
      </c>
      <c r="E99" t="s">
        <v>851</v>
      </c>
      <c r="F99" t="s">
        <v>362</v>
      </c>
      <c r="G99">
        <v>7.0660100000000003</v>
      </c>
      <c r="H99" s="20">
        <f>IF(AND(A99=A98,F99=F98,F99="Winter wheat"),G99*0.9*'BAU Management details'!$F$46,
IF(AND(OR(A99&lt;&gt;A98,F99&lt;&gt;F98),F99="Winter wheat"),G99*'BAU Management details'!$F$46,
IF(F99="Oilseed Rape",G99*'BAU Management details'!$F$47)))</f>
        <v>54.690917400000004</v>
      </c>
      <c r="I99" t="s">
        <v>348</v>
      </c>
      <c r="J99">
        <v>10</v>
      </c>
      <c r="K99" t="s">
        <v>362</v>
      </c>
      <c r="L99" t="s">
        <v>751</v>
      </c>
      <c r="M99">
        <v>1.4</v>
      </c>
      <c r="N99" t="s">
        <v>349</v>
      </c>
      <c r="O99" t="s">
        <v>742</v>
      </c>
      <c r="P99">
        <v>7.5</v>
      </c>
      <c r="Q99" t="s">
        <v>728</v>
      </c>
      <c r="R99" t="s">
        <v>351</v>
      </c>
      <c r="S99">
        <v>220</v>
      </c>
      <c r="T99" s="47" t="s">
        <v>729</v>
      </c>
      <c r="U99" t="s">
        <v>733</v>
      </c>
      <c r="V99" t="s">
        <v>364</v>
      </c>
      <c r="W99" s="47" t="s">
        <v>736</v>
      </c>
      <c r="X99" s="47">
        <v>0</v>
      </c>
      <c r="Y99" s="47" t="s">
        <v>730</v>
      </c>
      <c r="Z99" s="47">
        <v>0</v>
      </c>
      <c r="AA99" s="47" t="s">
        <v>731</v>
      </c>
      <c r="AB99" s="47">
        <v>0</v>
      </c>
      <c r="AC99" s="47">
        <v>0</v>
      </c>
      <c r="AD99" s="47">
        <v>0</v>
      </c>
      <c r="AE99" s="47" t="s">
        <v>731</v>
      </c>
      <c r="AF99" s="47">
        <v>0</v>
      </c>
      <c r="AG99" s="47">
        <v>0</v>
      </c>
      <c r="AH99" s="47">
        <v>0</v>
      </c>
      <c r="AI99" s="47" t="s">
        <v>729</v>
      </c>
      <c r="AJ99">
        <v>1</v>
      </c>
      <c r="AK99">
        <v>100</v>
      </c>
    </row>
    <row r="100" spans="1:37" x14ac:dyDescent="0.2">
      <c r="A100" t="s">
        <v>849</v>
      </c>
      <c r="B100" t="s">
        <v>361</v>
      </c>
      <c r="C100">
        <v>2018</v>
      </c>
      <c r="D100">
        <v>3</v>
      </c>
      <c r="E100" t="s">
        <v>852</v>
      </c>
      <c r="F100" t="s">
        <v>365</v>
      </c>
      <c r="G100">
        <v>7.0660100000000003</v>
      </c>
      <c r="H100" s="20">
        <f>IF(AND(A100=A99,F100=F99,F100="Winter wheat"),G100*0.9*'BAU Management details'!$F$46,
IF(AND(OR(A100&lt;&gt;A99,F100&lt;&gt;F99),F100="Winter wheat"),G100*'BAU Management details'!$F$46,
IF(F100="Oilseed Rape",G100*'BAU Management details'!$F$47)))</f>
        <v>24.731035000000002</v>
      </c>
      <c r="I100" t="s">
        <v>348</v>
      </c>
      <c r="J100">
        <v>10</v>
      </c>
      <c r="K100" t="s">
        <v>532</v>
      </c>
      <c r="L100" t="s">
        <v>751</v>
      </c>
      <c r="M100">
        <v>1.4</v>
      </c>
      <c r="N100" t="s">
        <v>349</v>
      </c>
      <c r="O100" t="s">
        <v>742</v>
      </c>
      <c r="P100">
        <v>7.5</v>
      </c>
      <c r="Q100" t="s">
        <v>728</v>
      </c>
      <c r="R100" t="s">
        <v>351</v>
      </c>
      <c r="S100">
        <v>220</v>
      </c>
      <c r="T100" s="47" t="s">
        <v>735</v>
      </c>
      <c r="U100" t="s">
        <v>368</v>
      </c>
      <c r="V100" t="s">
        <v>364</v>
      </c>
      <c r="W100" s="47" t="s">
        <v>736</v>
      </c>
      <c r="X100" s="47">
        <v>0</v>
      </c>
      <c r="Y100" s="47" t="s">
        <v>736</v>
      </c>
      <c r="Z100" s="47">
        <v>0</v>
      </c>
      <c r="AA100" s="47" t="s">
        <v>736</v>
      </c>
      <c r="AB100" s="47">
        <v>0</v>
      </c>
      <c r="AC100" s="47">
        <v>0</v>
      </c>
      <c r="AD100" s="47">
        <v>0</v>
      </c>
      <c r="AE100" s="47" t="s">
        <v>731</v>
      </c>
      <c r="AF100" s="47">
        <v>0</v>
      </c>
      <c r="AG100" s="47" t="s">
        <v>731</v>
      </c>
      <c r="AH100" s="47">
        <v>0</v>
      </c>
      <c r="AI100" s="47" t="s">
        <v>735</v>
      </c>
      <c r="AJ100">
        <v>1</v>
      </c>
      <c r="AK100">
        <v>100</v>
      </c>
    </row>
    <row r="101" spans="1:37" x14ac:dyDescent="0.2">
      <c r="A101" t="s">
        <v>849</v>
      </c>
      <c r="B101" t="s">
        <v>361</v>
      </c>
      <c r="C101">
        <v>2019</v>
      </c>
      <c r="D101">
        <v>4</v>
      </c>
      <c r="E101" t="s">
        <v>853</v>
      </c>
      <c r="F101" t="s">
        <v>362</v>
      </c>
      <c r="G101">
        <v>7.0660100000000003</v>
      </c>
      <c r="H101" s="20">
        <f>IF(AND(A101=A100,F101=F100,F101="Winter wheat"),G101*0.9*'BAU Management details'!$F$46,
IF(AND(OR(A101&lt;&gt;A100,F101&lt;&gt;F100),F101="Winter wheat"),G101*'BAU Management details'!$F$46,
IF(F101="Oilseed Rape",G101*'BAU Management details'!$F$47)))</f>
        <v>60.767685999999998</v>
      </c>
      <c r="I101" t="s">
        <v>348</v>
      </c>
      <c r="J101">
        <v>10</v>
      </c>
      <c r="K101" t="s">
        <v>362</v>
      </c>
      <c r="L101" t="s">
        <v>751</v>
      </c>
      <c r="M101">
        <v>1.4</v>
      </c>
      <c r="N101" t="s">
        <v>349</v>
      </c>
      <c r="O101" t="s">
        <v>742</v>
      </c>
      <c r="P101">
        <v>7.5</v>
      </c>
      <c r="Q101" t="s">
        <v>728</v>
      </c>
      <c r="R101" t="s">
        <v>351</v>
      </c>
      <c r="S101">
        <v>220</v>
      </c>
      <c r="T101" s="47" t="s">
        <v>729</v>
      </c>
      <c r="U101" t="s">
        <v>366</v>
      </c>
      <c r="V101" t="s">
        <v>364</v>
      </c>
      <c r="W101" s="47" t="s">
        <v>736</v>
      </c>
      <c r="X101" s="47">
        <v>0</v>
      </c>
      <c r="Y101" s="47" t="s">
        <v>730</v>
      </c>
      <c r="Z101" s="47">
        <v>0</v>
      </c>
      <c r="AA101" s="47" t="s">
        <v>731</v>
      </c>
      <c r="AB101" s="47">
        <v>0</v>
      </c>
      <c r="AC101" s="47" t="s">
        <v>731</v>
      </c>
      <c r="AD101" s="47" t="s">
        <v>731</v>
      </c>
      <c r="AE101" s="47" t="s">
        <v>731</v>
      </c>
      <c r="AF101" s="47">
        <v>0</v>
      </c>
      <c r="AG101" s="47">
        <v>0</v>
      </c>
      <c r="AH101" s="47">
        <v>0</v>
      </c>
      <c r="AI101" s="47" t="s">
        <v>729</v>
      </c>
      <c r="AJ101">
        <v>1</v>
      </c>
      <c r="AK101">
        <v>100</v>
      </c>
    </row>
    <row r="102" spans="1:37" x14ac:dyDescent="0.2">
      <c r="A102" t="s">
        <v>849</v>
      </c>
      <c r="B102" t="s">
        <v>361</v>
      </c>
      <c r="C102">
        <v>2020</v>
      </c>
      <c r="D102">
        <v>5</v>
      </c>
      <c r="E102" t="s">
        <v>854</v>
      </c>
      <c r="F102" t="s">
        <v>362</v>
      </c>
      <c r="G102">
        <v>7.0660100000000003</v>
      </c>
      <c r="H102" s="20">
        <f>IF(AND(A102=A101,F102=F101,F102="Winter wheat"),G102*0.9*'BAU Management details'!$F$46,
IF(AND(OR(A102&lt;&gt;A101,F102&lt;&gt;F101),F102="Winter wheat"),G102*'BAU Management details'!$F$46,
IF(F102="Oilseed Rape",G102*'BAU Management details'!$F$47)))</f>
        <v>54.690917400000004</v>
      </c>
      <c r="I102" t="s">
        <v>348</v>
      </c>
      <c r="J102">
        <v>10</v>
      </c>
      <c r="K102" t="s">
        <v>362</v>
      </c>
      <c r="L102" t="s">
        <v>751</v>
      </c>
      <c r="M102">
        <v>1.4</v>
      </c>
      <c r="N102" t="s">
        <v>349</v>
      </c>
      <c r="O102" t="s">
        <v>742</v>
      </c>
      <c r="P102">
        <v>7.5</v>
      </c>
      <c r="Q102" t="s">
        <v>728</v>
      </c>
      <c r="R102" t="s">
        <v>351</v>
      </c>
      <c r="S102">
        <v>220</v>
      </c>
      <c r="T102" s="47" t="s">
        <v>729</v>
      </c>
      <c r="U102" t="s">
        <v>733</v>
      </c>
      <c r="V102" t="s">
        <v>364</v>
      </c>
      <c r="W102" s="47" t="s">
        <v>736</v>
      </c>
      <c r="X102" s="47">
        <v>0</v>
      </c>
      <c r="Y102" s="47" t="s">
        <v>730</v>
      </c>
      <c r="Z102" s="47">
        <v>0</v>
      </c>
      <c r="AA102" s="47" t="s">
        <v>731</v>
      </c>
      <c r="AB102" s="47">
        <v>0</v>
      </c>
      <c r="AC102" s="47">
        <v>0</v>
      </c>
      <c r="AD102" s="47">
        <v>0</v>
      </c>
      <c r="AE102" s="47" t="s">
        <v>731</v>
      </c>
      <c r="AF102" s="47">
        <v>0</v>
      </c>
      <c r="AG102" s="47">
        <v>0</v>
      </c>
      <c r="AH102" s="47">
        <v>0</v>
      </c>
      <c r="AI102" s="47" t="s">
        <v>729</v>
      </c>
      <c r="AJ102">
        <v>1</v>
      </c>
      <c r="AK102">
        <v>100</v>
      </c>
    </row>
    <row r="103" spans="1:37" x14ac:dyDescent="0.2">
      <c r="A103" t="s">
        <v>849</v>
      </c>
      <c r="B103" t="s">
        <v>361</v>
      </c>
      <c r="C103">
        <v>2021</v>
      </c>
      <c r="D103">
        <v>6</v>
      </c>
      <c r="E103" t="s">
        <v>855</v>
      </c>
      <c r="F103" t="s">
        <v>365</v>
      </c>
      <c r="G103">
        <v>7.0660100000000003</v>
      </c>
      <c r="H103" s="20">
        <f>IF(AND(A103=A102,F103=F102,F103="Winter wheat"),G103*0.9*'BAU Management details'!$F$46,
IF(AND(OR(A103&lt;&gt;A102,F103&lt;&gt;F102),F103="Winter wheat"),G103*'BAU Management details'!$F$46,
IF(F103="Oilseed Rape",G103*'BAU Management details'!$F$47)))</f>
        <v>24.731035000000002</v>
      </c>
      <c r="I103" t="s">
        <v>348</v>
      </c>
      <c r="J103">
        <v>10</v>
      </c>
      <c r="K103" t="s">
        <v>532</v>
      </c>
      <c r="L103" t="s">
        <v>751</v>
      </c>
      <c r="M103">
        <v>1.4</v>
      </c>
      <c r="N103" t="s">
        <v>349</v>
      </c>
      <c r="O103" t="s">
        <v>742</v>
      </c>
      <c r="P103">
        <v>7.5</v>
      </c>
      <c r="Q103" t="s">
        <v>728</v>
      </c>
      <c r="R103" t="s">
        <v>351</v>
      </c>
      <c r="S103">
        <v>220</v>
      </c>
      <c r="T103" s="47" t="s">
        <v>735</v>
      </c>
      <c r="U103" t="s">
        <v>368</v>
      </c>
      <c r="V103" t="s">
        <v>364</v>
      </c>
      <c r="W103" s="47" t="s">
        <v>736</v>
      </c>
      <c r="X103" s="47">
        <v>0</v>
      </c>
      <c r="Y103" s="47" t="s">
        <v>736</v>
      </c>
      <c r="Z103" s="47">
        <v>0</v>
      </c>
      <c r="AA103" s="47" t="s">
        <v>736</v>
      </c>
      <c r="AB103" s="47">
        <v>0</v>
      </c>
      <c r="AC103" s="47">
        <v>0</v>
      </c>
      <c r="AD103" s="47">
        <v>0</v>
      </c>
      <c r="AE103" s="47" t="s">
        <v>731</v>
      </c>
      <c r="AF103" s="47">
        <v>0</v>
      </c>
      <c r="AG103" s="47" t="s">
        <v>731</v>
      </c>
      <c r="AH103" s="47">
        <v>0</v>
      </c>
      <c r="AI103" s="47" t="s">
        <v>735</v>
      </c>
      <c r="AJ103">
        <v>1</v>
      </c>
      <c r="AK103">
        <v>100</v>
      </c>
    </row>
    <row r="104" spans="1:37" x14ac:dyDescent="0.2">
      <c r="A104" t="s">
        <v>856</v>
      </c>
      <c r="B104" t="s">
        <v>361</v>
      </c>
      <c r="C104">
        <v>2016</v>
      </c>
      <c r="D104">
        <v>1</v>
      </c>
      <c r="E104" t="s">
        <v>857</v>
      </c>
      <c r="F104" t="s">
        <v>362</v>
      </c>
      <c r="G104">
        <v>5.120584</v>
      </c>
      <c r="H104" s="20">
        <f>IF(AND(A104=A103,F104=F103,F104="Winter wheat"),G104*0.9*'BAU Management details'!$F$46,
IF(AND(OR(A104&lt;&gt;A103,F104&lt;&gt;F103),F104="Winter wheat"),G104*'BAU Management details'!$F$46,
IF(F104="Oilseed Rape",G104*'BAU Management details'!$F$47)))</f>
        <v>44.037022399999998</v>
      </c>
      <c r="I104" t="s">
        <v>348</v>
      </c>
      <c r="J104">
        <v>10</v>
      </c>
      <c r="K104" t="s">
        <v>362</v>
      </c>
      <c r="L104" t="s">
        <v>727</v>
      </c>
      <c r="M104">
        <v>4</v>
      </c>
      <c r="N104" t="s">
        <v>349</v>
      </c>
      <c r="O104" t="s">
        <v>350</v>
      </c>
      <c r="P104">
        <v>7.3</v>
      </c>
      <c r="Q104" t="s">
        <v>743</v>
      </c>
      <c r="R104" t="s">
        <v>351</v>
      </c>
      <c r="S104">
        <v>220</v>
      </c>
      <c r="T104" s="47" t="s">
        <v>729</v>
      </c>
      <c r="U104" t="s">
        <v>366</v>
      </c>
      <c r="V104" t="s">
        <v>364</v>
      </c>
      <c r="W104" s="47" t="s">
        <v>736</v>
      </c>
      <c r="X104" s="47">
        <v>0</v>
      </c>
      <c r="Y104" s="47" t="s">
        <v>730</v>
      </c>
      <c r="Z104" s="47">
        <v>0</v>
      </c>
      <c r="AA104" s="47" t="s">
        <v>731</v>
      </c>
      <c r="AB104" s="47">
        <v>0</v>
      </c>
      <c r="AC104" s="47" t="s">
        <v>731</v>
      </c>
      <c r="AD104" s="47" t="s">
        <v>731</v>
      </c>
      <c r="AE104" s="47" t="s">
        <v>731</v>
      </c>
      <c r="AF104" s="47">
        <v>0</v>
      </c>
      <c r="AG104" s="47">
        <v>0</v>
      </c>
      <c r="AH104" s="47">
        <v>0</v>
      </c>
      <c r="AI104" s="47" t="s">
        <v>729</v>
      </c>
      <c r="AJ104">
        <v>1</v>
      </c>
      <c r="AK104">
        <v>100</v>
      </c>
    </row>
    <row r="105" spans="1:37" x14ac:dyDescent="0.2">
      <c r="A105" t="s">
        <v>856</v>
      </c>
      <c r="B105" t="s">
        <v>361</v>
      </c>
      <c r="C105">
        <v>2017</v>
      </c>
      <c r="D105">
        <v>2</v>
      </c>
      <c r="E105" t="s">
        <v>858</v>
      </c>
      <c r="F105" t="s">
        <v>362</v>
      </c>
      <c r="G105">
        <v>5.120584</v>
      </c>
      <c r="H105" s="20">
        <f>IF(AND(A105=A104,F105=F104,F105="Winter wheat"),G105*0.9*'BAU Management details'!$F$46,
IF(AND(OR(A105&lt;&gt;A104,F105&lt;&gt;F104),F105="Winter wheat"),G105*'BAU Management details'!$F$46,
IF(F105="Oilseed Rape",G105*'BAU Management details'!$F$47)))</f>
        <v>39.633320159999997</v>
      </c>
      <c r="I105" t="s">
        <v>348</v>
      </c>
      <c r="J105">
        <v>10</v>
      </c>
      <c r="K105" t="s">
        <v>362</v>
      </c>
      <c r="L105" t="s">
        <v>727</v>
      </c>
      <c r="M105">
        <v>4</v>
      </c>
      <c r="N105" t="s">
        <v>349</v>
      </c>
      <c r="O105" t="s">
        <v>350</v>
      </c>
      <c r="P105">
        <v>7.3</v>
      </c>
      <c r="Q105" t="s">
        <v>743</v>
      </c>
      <c r="R105" t="s">
        <v>351</v>
      </c>
      <c r="S105">
        <v>220</v>
      </c>
      <c r="T105" s="47" t="s">
        <v>729</v>
      </c>
      <c r="U105" t="s">
        <v>733</v>
      </c>
      <c r="V105" t="s">
        <v>364</v>
      </c>
      <c r="W105" s="47" t="s">
        <v>736</v>
      </c>
      <c r="X105" s="47">
        <v>0</v>
      </c>
      <c r="Y105" s="47" t="s">
        <v>730</v>
      </c>
      <c r="Z105" s="47">
        <v>0</v>
      </c>
      <c r="AA105" s="47" t="s">
        <v>731</v>
      </c>
      <c r="AB105" s="47">
        <v>0</v>
      </c>
      <c r="AC105" s="47">
        <v>0</v>
      </c>
      <c r="AD105" s="47">
        <v>0</v>
      </c>
      <c r="AE105" s="47" t="s">
        <v>731</v>
      </c>
      <c r="AF105" s="47">
        <v>0</v>
      </c>
      <c r="AG105" s="47">
        <v>0</v>
      </c>
      <c r="AH105" s="47">
        <v>0</v>
      </c>
      <c r="AI105" s="47" t="s">
        <v>729</v>
      </c>
      <c r="AJ105">
        <v>1</v>
      </c>
      <c r="AK105">
        <v>100</v>
      </c>
    </row>
    <row r="106" spans="1:37" x14ac:dyDescent="0.2">
      <c r="A106" t="s">
        <v>856</v>
      </c>
      <c r="B106" t="s">
        <v>361</v>
      </c>
      <c r="C106">
        <v>2018</v>
      </c>
      <c r="D106">
        <v>3</v>
      </c>
      <c r="E106" t="s">
        <v>859</v>
      </c>
      <c r="F106" t="s">
        <v>365</v>
      </c>
      <c r="G106">
        <v>5.120584</v>
      </c>
      <c r="H106" s="20">
        <f>IF(AND(A106=A105,F106=F105,F106="Winter wheat"),G106*0.9*'BAU Management details'!$F$46,
IF(AND(OR(A106&lt;&gt;A105,F106&lt;&gt;F105),F106="Winter wheat"),G106*'BAU Management details'!$F$46,
IF(F106="Oilseed Rape",G106*'BAU Management details'!$F$47)))</f>
        <v>17.922044</v>
      </c>
      <c r="I106" t="s">
        <v>348</v>
      </c>
      <c r="J106">
        <v>10</v>
      </c>
      <c r="K106" t="s">
        <v>532</v>
      </c>
      <c r="L106" t="s">
        <v>727</v>
      </c>
      <c r="M106">
        <v>4</v>
      </c>
      <c r="N106" t="s">
        <v>349</v>
      </c>
      <c r="O106" t="s">
        <v>350</v>
      </c>
      <c r="P106">
        <v>7.3</v>
      </c>
      <c r="Q106" t="s">
        <v>743</v>
      </c>
      <c r="R106" t="s">
        <v>351</v>
      </c>
      <c r="S106">
        <v>220</v>
      </c>
      <c r="T106" s="47" t="s">
        <v>735</v>
      </c>
      <c r="U106" t="s">
        <v>368</v>
      </c>
      <c r="V106" t="s">
        <v>364</v>
      </c>
      <c r="W106" s="47" t="s">
        <v>736</v>
      </c>
      <c r="X106" s="47">
        <v>0</v>
      </c>
      <c r="Y106" s="47" t="s">
        <v>736</v>
      </c>
      <c r="Z106" s="47">
        <v>0</v>
      </c>
      <c r="AA106" s="47" t="s">
        <v>736</v>
      </c>
      <c r="AB106" s="47">
        <v>0</v>
      </c>
      <c r="AC106" s="47">
        <v>0</v>
      </c>
      <c r="AD106" s="47">
        <v>0</v>
      </c>
      <c r="AE106" s="47" t="s">
        <v>731</v>
      </c>
      <c r="AF106" s="47">
        <v>0</v>
      </c>
      <c r="AG106" s="47" t="s">
        <v>731</v>
      </c>
      <c r="AH106" s="47">
        <v>0</v>
      </c>
      <c r="AI106" s="47" t="s">
        <v>735</v>
      </c>
      <c r="AJ106">
        <v>1</v>
      </c>
      <c r="AK106">
        <v>100</v>
      </c>
    </row>
    <row r="107" spans="1:37" x14ac:dyDescent="0.2">
      <c r="A107" t="s">
        <v>856</v>
      </c>
      <c r="B107" t="s">
        <v>361</v>
      </c>
      <c r="C107">
        <v>2019</v>
      </c>
      <c r="D107">
        <v>4</v>
      </c>
      <c r="E107" t="s">
        <v>860</v>
      </c>
      <c r="F107" t="s">
        <v>362</v>
      </c>
      <c r="G107">
        <v>5.120584</v>
      </c>
      <c r="H107" s="20">
        <f>IF(AND(A107=A106,F107=F106,F107="Winter wheat"),G107*0.9*'BAU Management details'!$F$46,
IF(AND(OR(A107&lt;&gt;A106,F107&lt;&gt;F106),F107="Winter wheat"),G107*'BAU Management details'!$F$46,
IF(F107="Oilseed Rape",G107*'BAU Management details'!$F$47)))</f>
        <v>44.037022399999998</v>
      </c>
      <c r="I107" t="s">
        <v>348</v>
      </c>
      <c r="J107">
        <v>10</v>
      </c>
      <c r="K107" t="s">
        <v>362</v>
      </c>
      <c r="L107" t="s">
        <v>727</v>
      </c>
      <c r="M107">
        <v>4</v>
      </c>
      <c r="N107" t="s">
        <v>349</v>
      </c>
      <c r="O107" t="s">
        <v>350</v>
      </c>
      <c r="P107">
        <v>7.3</v>
      </c>
      <c r="Q107" t="s">
        <v>743</v>
      </c>
      <c r="R107" t="s">
        <v>351</v>
      </c>
      <c r="S107">
        <v>220</v>
      </c>
      <c r="T107" s="47" t="s">
        <v>729</v>
      </c>
      <c r="U107" t="s">
        <v>366</v>
      </c>
      <c r="V107" t="s">
        <v>364</v>
      </c>
      <c r="W107" s="47" t="s">
        <v>736</v>
      </c>
      <c r="X107" s="47">
        <v>0</v>
      </c>
      <c r="Y107" s="47" t="s">
        <v>730</v>
      </c>
      <c r="Z107" s="47">
        <v>0</v>
      </c>
      <c r="AA107" s="47" t="s">
        <v>731</v>
      </c>
      <c r="AB107" s="47">
        <v>0</v>
      </c>
      <c r="AC107" s="47" t="s">
        <v>731</v>
      </c>
      <c r="AD107" s="47" t="s">
        <v>731</v>
      </c>
      <c r="AE107" s="47" t="s">
        <v>731</v>
      </c>
      <c r="AF107" s="47">
        <v>0</v>
      </c>
      <c r="AG107" s="47">
        <v>0</v>
      </c>
      <c r="AH107" s="47">
        <v>0</v>
      </c>
      <c r="AI107" s="47" t="s">
        <v>729</v>
      </c>
      <c r="AJ107">
        <v>1</v>
      </c>
      <c r="AK107">
        <v>100</v>
      </c>
    </row>
    <row r="108" spans="1:37" x14ac:dyDescent="0.2">
      <c r="A108" t="s">
        <v>856</v>
      </c>
      <c r="B108" t="s">
        <v>361</v>
      </c>
      <c r="C108">
        <v>2020</v>
      </c>
      <c r="D108">
        <v>5</v>
      </c>
      <c r="E108" t="s">
        <v>861</v>
      </c>
      <c r="F108" t="s">
        <v>362</v>
      </c>
      <c r="G108">
        <v>5.120584</v>
      </c>
      <c r="H108" s="20">
        <f>IF(AND(A108=A107,F108=F107,F108="Winter wheat"),G108*0.9*'BAU Management details'!$F$46,
IF(AND(OR(A108&lt;&gt;A107,F108&lt;&gt;F107),F108="Winter wheat"),G108*'BAU Management details'!$F$46,
IF(F108="Oilseed Rape",G108*'BAU Management details'!$F$47)))</f>
        <v>39.633320159999997</v>
      </c>
      <c r="I108" t="s">
        <v>348</v>
      </c>
      <c r="J108">
        <v>10</v>
      </c>
      <c r="K108" t="s">
        <v>362</v>
      </c>
      <c r="L108" t="s">
        <v>727</v>
      </c>
      <c r="M108">
        <v>4</v>
      </c>
      <c r="N108" t="s">
        <v>349</v>
      </c>
      <c r="O108" t="s">
        <v>350</v>
      </c>
      <c r="P108">
        <v>7.3</v>
      </c>
      <c r="Q108" t="s">
        <v>743</v>
      </c>
      <c r="R108" t="s">
        <v>351</v>
      </c>
      <c r="S108">
        <v>220</v>
      </c>
      <c r="T108" s="47" t="s">
        <v>729</v>
      </c>
      <c r="U108" t="s">
        <v>733</v>
      </c>
      <c r="V108" t="s">
        <v>364</v>
      </c>
      <c r="W108" s="47" t="s">
        <v>736</v>
      </c>
      <c r="X108" s="47">
        <v>0</v>
      </c>
      <c r="Y108" s="47" t="s">
        <v>730</v>
      </c>
      <c r="Z108" s="47">
        <v>0</v>
      </c>
      <c r="AA108" s="47" t="s">
        <v>731</v>
      </c>
      <c r="AB108" s="47">
        <v>0</v>
      </c>
      <c r="AC108" s="47">
        <v>0</v>
      </c>
      <c r="AD108" s="47">
        <v>0</v>
      </c>
      <c r="AE108" s="47" t="s">
        <v>731</v>
      </c>
      <c r="AF108" s="47">
        <v>0</v>
      </c>
      <c r="AG108" s="47">
        <v>0</v>
      </c>
      <c r="AH108" s="47">
        <v>0</v>
      </c>
      <c r="AI108" s="47" t="s">
        <v>729</v>
      </c>
      <c r="AJ108">
        <v>1</v>
      </c>
      <c r="AK108">
        <v>100</v>
      </c>
    </row>
    <row r="109" spans="1:37" x14ac:dyDescent="0.2">
      <c r="A109" t="s">
        <v>856</v>
      </c>
      <c r="B109" t="s">
        <v>361</v>
      </c>
      <c r="C109">
        <v>2021</v>
      </c>
      <c r="D109">
        <v>6</v>
      </c>
      <c r="E109" t="s">
        <v>862</v>
      </c>
      <c r="F109" t="s">
        <v>365</v>
      </c>
      <c r="G109">
        <v>5.120584</v>
      </c>
      <c r="H109" s="20">
        <f>IF(AND(A109=A108,F109=F108,F109="Winter wheat"),G109*0.9*'BAU Management details'!$F$46,
IF(AND(OR(A109&lt;&gt;A108,F109&lt;&gt;F108),F109="Winter wheat"),G109*'BAU Management details'!$F$46,
IF(F109="Oilseed Rape",G109*'BAU Management details'!$F$47)))</f>
        <v>17.922044</v>
      </c>
      <c r="I109" t="s">
        <v>348</v>
      </c>
      <c r="J109">
        <v>10</v>
      </c>
      <c r="K109" t="s">
        <v>532</v>
      </c>
      <c r="L109" t="s">
        <v>727</v>
      </c>
      <c r="M109">
        <v>4</v>
      </c>
      <c r="N109" t="s">
        <v>349</v>
      </c>
      <c r="O109" t="s">
        <v>350</v>
      </c>
      <c r="P109">
        <v>7.3</v>
      </c>
      <c r="Q109" t="s">
        <v>743</v>
      </c>
      <c r="R109" t="s">
        <v>351</v>
      </c>
      <c r="S109">
        <v>220</v>
      </c>
      <c r="T109" s="47" t="s">
        <v>735</v>
      </c>
      <c r="U109" t="s">
        <v>368</v>
      </c>
      <c r="V109" t="s">
        <v>364</v>
      </c>
      <c r="W109" s="47" t="s">
        <v>736</v>
      </c>
      <c r="X109" s="47">
        <v>0</v>
      </c>
      <c r="Y109" s="47" t="s">
        <v>736</v>
      </c>
      <c r="Z109" s="47">
        <v>0</v>
      </c>
      <c r="AA109" s="47" t="s">
        <v>736</v>
      </c>
      <c r="AB109" s="47">
        <v>0</v>
      </c>
      <c r="AC109" s="47">
        <v>0</v>
      </c>
      <c r="AD109" s="47">
        <v>0</v>
      </c>
      <c r="AE109" s="47" t="s">
        <v>731</v>
      </c>
      <c r="AF109" s="47">
        <v>0</v>
      </c>
      <c r="AG109" s="47" t="s">
        <v>731</v>
      </c>
      <c r="AH109" s="47">
        <v>0</v>
      </c>
      <c r="AI109" s="47" t="s">
        <v>735</v>
      </c>
      <c r="AJ109">
        <v>1</v>
      </c>
      <c r="AK109">
        <v>100</v>
      </c>
    </row>
    <row r="110" spans="1:37" x14ac:dyDescent="0.2">
      <c r="A110" t="s">
        <v>863</v>
      </c>
      <c r="B110" t="s">
        <v>361</v>
      </c>
      <c r="C110">
        <v>2016</v>
      </c>
      <c r="D110">
        <v>1</v>
      </c>
      <c r="E110" t="s">
        <v>864</v>
      </c>
      <c r="F110" t="s">
        <v>362</v>
      </c>
      <c r="G110">
        <v>7.109693</v>
      </c>
      <c r="H110" s="20">
        <f>IF(AND(A110=A109,F110=F109,F110="Winter wheat"),G110*0.9*'BAU Management details'!$F$46,
IF(AND(OR(A110&lt;&gt;A109,F110&lt;&gt;F109),F110="Winter wheat"),G110*'BAU Management details'!$F$46,
IF(F110="Oilseed Rape",G110*'BAU Management details'!$F$47)))</f>
        <v>61.143359799999999</v>
      </c>
      <c r="I110" t="s">
        <v>348</v>
      </c>
      <c r="J110">
        <v>10</v>
      </c>
      <c r="K110" t="s">
        <v>362</v>
      </c>
      <c r="L110" t="s">
        <v>751</v>
      </c>
      <c r="M110">
        <v>3</v>
      </c>
      <c r="N110" t="s">
        <v>349</v>
      </c>
      <c r="O110" t="s">
        <v>742</v>
      </c>
      <c r="P110">
        <v>6.5</v>
      </c>
      <c r="Q110" t="s">
        <v>743</v>
      </c>
      <c r="R110" t="s">
        <v>351</v>
      </c>
      <c r="S110">
        <v>220</v>
      </c>
      <c r="T110" s="47" t="s">
        <v>729</v>
      </c>
      <c r="U110" t="s">
        <v>366</v>
      </c>
      <c r="V110" t="s">
        <v>364</v>
      </c>
      <c r="W110" s="47" t="s">
        <v>736</v>
      </c>
      <c r="X110" s="47">
        <v>0</v>
      </c>
      <c r="Y110" s="47" t="s">
        <v>730</v>
      </c>
      <c r="Z110" s="47">
        <v>0</v>
      </c>
      <c r="AA110" s="47" t="s">
        <v>731</v>
      </c>
      <c r="AB110" s="47">
        <v>0</v>
      </c>
      <c r="AC110" s="47" t="s">
        <v>731</v>
      </c>
      <c r="AD110" s="47" t="s">
        <v>731</v>
      </c>
      <c r="AE110" s="47" t="s">
        <v>731</v>
      </c>
      <c r="AF110" s="47">
        <v>0</v>
      </c>
      <c r="AG110" s="47">
        <v>0</v>
      </c>
      <c r="AH110" s="47">
        <v>0</v>
      </c>
      <c r="AI110" s="47" t="s">
        <v>729</v>
      </c>
      <c r="AJ110">
        <v>1</v>
      </c>
      <c r="AK110">
        <v>100</v>
      </c>
    </row>
    <row r="111" spans="1:37" x14ac:dyDescent="0.2">
      <c r="A111" t="s">
        <v>863</v>
      </c>
      <c r="B111" t="s">
        <v>361</v>
      </c>
      <c r="C111">
        <v>2017</v>
      </c>
      <c r="D111">
        <v>2</v>
      </c>
      <c r="E111" t="s">
        <v>865</v>
      </c>
      <c r="F111" t="s">
        <v>362</v>
      </c>
      <c r="G111">
        <v>7.109693</v>
      </c>
      <c r="H111" s="20">
        <f>IF(AND(A111=A110,F111=F110,F111="Winter wheat"),G111*0.9*'BAU Management details'!$F$46,
IF(AND(OR(A111&lt;&gt;A110,F111&lt;&gt;F110),F111="Winter wheat"),G111*'BAU Management details'!$F$46,
IF(F111="Oilseed Rape",G111*'BAU Management details'!$F$47)))</f>
        <v>55.029023820000006</v>
      </c>
      <c r="I111" t="s">
        <v>348</v>
      </c>
      <c r="J111">
        <v>10</v>
      </c>
      <c r="K111" t="s">
        <v>362</v>
      </c>
      <c r="L111" t="s">
        <v>751</v>
      </c>
      <c r="M111">
        <v>3</v>
      </c>
      <c r="N111" t="s">
        <v>349</v>
      </c>
      <c r="O111" t="s">
        <v>742</v>
      </c>
      <c r="P111">
        <v>6.5</v>
      </c>
      <c r="Q111" t="s">
        <v>743</v>
      </c>
      <c r="R111" t="s">
        <v>351</v>
      </c>
      <c r="S111">
        <v>220</v>
      </c>
      <c r="T111" s="47" t="s">
        <v>729</v>
      </c>
      <c r="U111" t="s">
        <v>733</v>
      </c>
      <c r="V111" t="s">
        <v>364</v>
      </c>
      <c r="W111" s="47" t="s">
        <v>736</v>
      </c>
      <c r="X111" s="47">
        <v>0</v>
      </c>
      <c r="Y111" s="47" t="s">
        <v>730</v>
      </c>
      <c r="Z111" s="47">
        <v>0</v>
      </c>
      <c r="AA111" s="47" t="s">
        <v>731</v>
      </c>
      <c r="AB111" s="47">
        <v>0</v>
      </c>
      <c r="AC111" s="47">
        <v>0</v>
      </c>
      <c r="AD111" s="47">
        <v>0</v>
      </c>
      <c r="AE111" s="47" t="s">
        <v>731</v>
      </c>
      <c r="AF111" s="47">
        <v>0</v>
      </c>
      <c r="AG111" s="47">
        <v>0</v>
      </c>
      <c r="AH111" s="47">
        <v>0</v>
      </c>
      <c r="AI111" s="47" t="s">
        <v>729</v>
      </c>
      <c r="AJ111">
        <v>1</v>
      </c>
      <c r="AK111">
        <v>100</v>
      </c>
    </row>
    <row r="112" spans="1:37" x14ac:dyDescent="0.2">
      <c r="A112" t="s">
        <v>863</v>
      </c>
      <c r="B112" t="s">
        <v>361</v>
      </c>
      <c r="C112">
        <v>2018</v>
      </c>
      <c r="D112">
        <v>3</v>
      </c>
      <c r="E112" t="s">
        <v>866</v>
      </c>
      <c r="F112" t="s">
        <v>365</v>
      </c>
      <c r="G112">
        <v>7.109693</v>
      </c>
      <c r="H112" s="20">
        <f>IF(AND(A112=A111,F112=F111,F112="Winter wheat"),G112*0.9*'BAU Management details'!$F$46,
IF(AND(OR(A112&lt;&gt;A111,F112&lt;&gt;F111),F112="Winter wheat"),G112*'BAU Management details'!$F$46,
IF(F112="Oilseed Rape",G112*'BAU Management details'!$F$47)))</f>
        <v>24.8839255</v>
      </c>
      <c r="I112" t="s">
        <v>348</v>
      </c>
      <c r="J112">
        <v>10</v>
      </c>
      <c r="K112" t="s">
        <v>532</v>
      </c>
      <c r="L112" t="s">
        <v>751</v>
      </c>
      <c r="M112">
        <v>3</v>
      </c>
      <c r="N112" t="s">
        <v>349</v>
      </c>
      <c r="O112" t="s">
        <v>742</v>
      </c>
      <c r="P112">
        <v>6.5</v>
      </c>
      <c r="Q112" t="s">
        <v>743</v>
      </c>
      <c r="R112" t="s">
        <v>351</v>
      </c>
      <c r="S112">
        <v>220</v>
      </c>
      <c r="T112" s="47" t="s">
        <v>735</v>
      </c>
      <c r="U112" t="s">
        <v>368</v>
      </c>
      <c r="V112" t="s">
        <v>364</v>
      </c>
      <c r="W112" s="47" t="s">
        <v>736</v>
      </c>
      <c r="X112" s="47">
        <v>0</v>
      </c>
      <c r="Y112" s="47" t="s">
        <v>736</v>
      </c>
      <c r="Z112" s="47">
        <v>0</v>
      </c>
      <c r="AA112" s="47" t="s">
        <v>736</v>
      </c>
      <c r="AB112" s="47">
        <v>0</v>
      </c>
      <c r="AC112" s="47">
        <v>0</v>
      </c>
      <c r="AD112" s="47">
        <v>0</v>
      </c>
      <c r="AE112" s="47" t="s">
        <v>731</v>
      </c>
      <c r="AF112" s="47">
        <v>0</v>
      </c>
      <c r="AG112" s="47" t="s">
        <v>731</v>
      </c>
      <c r="AH112" s="47">
        <v>0</v>
      </c>
      <c r="AI112" s="47" t="s">
        <v>735</v>
      </c>
      <c r="AJ112">
        <v>1</v>
      </c>
      <c r="AK112">
        <v>100</v>
      </c>
    </row>
    <row r="113" spans="1:37" x14ac:dyDescent="0.2">
      <c r="A113" t="s">
        <v>863</v>
      </c>
      <c r="B113" t="s">
        <v>361</v>
      </c>
      <c r="C113">
        <v>2019</v>
      </c>
      <c r="D113">
        <v>4</v>
      </c>
      <c r="E113" t="s">
        <v>867</v>
      </c>
      <c r="F113" t="s">
        <v>362</v>
      </c>
      <c r="G113">
        <v>7.109693</v>
      </c>
      <c r="H113" s="20">
        <f>IF(AND(A113=A112,F113=F112,F113="Winter wheat"),G113*0.9*'BAU Management details'!$F$46,
IF(AND(OR(A113&lt;&gt;A112,F113&lt;&gt;F112),F113="Winter wheat"),G113*'BAU Management details'!$F$46,
IF(F113="Oilseed Rape",G113*'BAU Management details'!$F$47)))</f>
        <v>61.143359799999999</v>
      </c>
      <c r="I113" t="s">
        <v>348</v>
      </c>
      <c r="J113">
        <v>10</v>
      </c>
      <c r="K113" t="s">
        <v>362</v>
      </c>
      <c r="L113" t="s">
        <v>751</v>
      </c>
      <c r="M113">
        <v>3</v>
      </c>
      <c r="N113" t="s">
        <v>349</v>
      </c>
      <c r="O113" t="s">
        <v>742</v>
      </c>
      <c r="P113">
        <v>6.5</v>
      </c>
      <c r="Q113" t="s">
        <v>743</v>
      </c>
      <c r="R113" t="s">
        <v>351</v>
      </c>
      <c r="S113">
        <v>220</v>
      </c>
      <c r="T113" s="47" t="s">
        <v>729</v>
      </c>
      <c r="U113" t="s">
        <v>366</v>
      </c>
      <c r="V113" t="s">
        <v>364</v>
      </c>
      <c r="W113" s="47" t="s">
        <v>736</v>
      </c>
      <c r="X113" s="47">
        <v>0</v>
      </c>
      <c r="Y113" s="47" t="s">
        <v>730</v>
      </c>
      <c r="Z113" s="47">
        <v>0</v>
      </c>
      <c r="AA113" s="47" t="s">
        <v>731</v>
      </c>
      <c r="AB113" s="47">
        <v>0</v>
      </c>
      <c r="AC113" s="47" t="s">
        <v>731</v>
      </c>
      <c r="AD113" s="47" t="s">
        <v>731</v>
      </c>
      <c r="AE113" s="47" t="s">
        <v>731</v>
      </c>
      <c r="AF113" s="47">
        <v>0</v>
      </c>
      <c r="AG113" s="47">
        <v>0</v>
      </c>
      <c r="AH113" s="47">
        <v>0</v>
      </c>
      <c r="AI113" s="47" t="s">
        <v>729</v>
      </c>
      <c r="AJ113">
        <v>1</v>
      </c>
      <c r="AK113">
        <v>100</v>
      </c>
    </row>
    <row r="114" spans="1:37" x14ac:dyDescent="0.2">
      <c r="A114" t="s">
        <v>863</v>
      </c>
      <c r="B114" t="s">
        <v>361</v>
      </c>
      <c r="C114">
        <v>2020</v>
      </c>
      <c r="D114">
        <v>5</v>
      </c>
      <c r="E114" t="s">
        <v>868</v>
      </c>
      <c r="F114" t="s">
        <v>362</v>
      </c>
      <c r="G114">
        <v>7.109693</v>
      </c>
      <c r="H114" s="20">
        <f>IF(AND(A114=A113,F114=F113,F114="Winter wheat"),G114*0.9*'BAU Management details'!$F$46,
IF(AND(OR(A114&lt;&gt;A113,F114&lt;&gt;F113),F114="Winter wheat"),G114*'BAU Management details'!$F$46,
IF(F114="Oilseed Rape",G114*'BAU Management details'!$F$47)))</f>
        <v>55.029023820000006</v>
      </c>
      <c r="I114" t="s">
        <v>348</v>
      </c>
      <c r="J114">
        <v>10</v>
      </c>
      <c r="K114" t="s">
        <v>362</v>
      </c>
      <c r="L114" t="s">
        <v>751</v>
      </c>
      <c r="M114">
        <v>3</v>
      </c>
      <c r="N114" t="s">
        <v>349</v>
      </c>
      <c r="O114" t="s">
        <v>742</v>
      </c>
      <c r="P114">
        <v>6.5</v>
      </c>
      <c r="Q114" t="s">
        <v>743</v>
      </c>
      <c r="R114" t="s">
        <v>351</v>
      </c>
      <c r="S114">
        <v>220</v>
      </c>
      <c r="T114" s="47" t="s">
        <v>729</v>
      </c>
      <c r="U114" t="s">
        <v>733</v>
      </c>
      <c r="V114" t="s">
        <v>364</v>
      </c>
      <c r="W114" s="47" t="s">
        <v>736</v>
      </c>
      <c r="X114" s="47">
        <v>0</v>
      </c>
      <c r="Y114" s="47" t="s">
        <v>730</v>
      </c>
      <c r="Z114" s="47">
        <v>0</v>
      </c>
      <c r="AA114" s="47" t="s">
        <v>731</v>
      </c>
      <c r="AB114" s="47">
        <v>0</v>
      </c>
      <c r="AC114" s="47">
        <v>0</v>
      </c>
      <c r="AD114" s="47">
        <v>0</v>
      </c>
      <c r="AE114" s="47" t="s">
        <v>731</v>
      </c>
      <c r="AF114" s="47">
        <v>0</v>
      </c>
      <c r="AG114" s="47">
        <v>0</v>
      </c>
      <c r="AH114" s="47">
        <v>0</v>
      </c>
      <c r="AI114" s="47" t="s">
        <v>729</v>
      </c>
      <c r="AJ114">
        <v>1</v>
      </c>
      <c r="AK114">
        <v>100</v>
      </c>
    </row>
    <row r="115" spans="1:37" x14ac:dyDescent="0.2">
      <c r="A115" t="s">
        <v>863</v>
      </c>
      <c r="B115" t="s">
        <v>361</v>
      </c>
      <c r="C115">
        <v>2021</v>
      </c>
      <c r="D115">
        <v>6</v>
      </c>
      <c r="E115" t="s">
        <v>869</v>
      </c>
      <c r="F115" t="s">
        <v>365</v>
      </c>
      <c r="G115">
        <v>7.109693</v>
      </c>
      <c r="H115" s="20">
        <f>IF(AND(A115=A114,F115=F114,F115="Winter wheat"),G115*0.9*'BAU Management details'!$F$46,
IF(AND(OR(A115&lt;&gt;A114,F115&lt;&gt;F114),F115="Winter wheat"),G115*'BAU Management details'!$F$46,
IF(F115="Oilseed Rape",G115*'BAU Management details'!$F$47)))</f>
        <v>24.8839255</v>
      </c>
      <c r="I115" t="s">
        <v>348</v>
      </c>
      <c r="J115">
        <v>10</v>
      </c>
      <c r="K115" t="s">
        <v>532</v>
      </c>
      <c r="L115" t="s">
        <v>751</v>
      </c>
      <c r="M115">
        <v>3</v>
      </c>
      <c r="N115" t="s">
        <v>349</v>
      </c>
      <c r="O115" t="s">
        <v>742</v>
      </c>
      <c r="P115">
        <v>6.5</v>
      </c>
      <c r="Q115" t="s">
        <v>743</v>
      </c>
      <c r="R115" t="s">
        <v>351</v>
      </c>
      <c r="S115">
        <v>220</v>
      </c>
      <c r="T115" s="47" t="s">
        <v>735</v>
      </c>
      <c r="U115" t="s">
        <v>368</v>
      </c>
      <c r="V115" t="s">
        <v>364</v>
      </c>
      <c r="W115" s="47" t="s">
        <v>736</v>
      </c>
      <c r="X115" s="47">
        <v>0</v>
      </c>
      <c r="Y115" s="47" t="s">
        <v>736</v>
      </c>
      <c r="Z115" s="47">
        <v>0</v>
      </c>
      <c r="AA115" s="47" t="s">
        <v>736</v>
      </c>
      <c r="AB115" s="47">
        <v>0</v>
      </c>
      <c r="AC115" s="47">
        <v>0</v>
      </c>
      <c r="AD115" s="47">
        <v>0</v>
      </c>
      <c r="AE115" s="47" t="s">
        <v>731</v>
      </c>
      <c r="AF115" s="47">
        <v>0</v>
      </c>
      <c r="AG115" s="47" t="s">
        <v>731</v>
      </c>
      <c r="AH115" s="47">
        <v>0</v>
      </c>
      <c r="AI115" s="47" t="s">
        <v>735</v>
      </c>
      <c r="AJ115">
        <v>1</v>
      </c>
      <c r="AK115">
        <v>100</v>
      </c>
    </row>
    <row r="116" spans="1:37" x14ac:dyDescent="0.2">
      <c r="A116" t="s">
        <v>870</v>
      </c>
      <c r="B116" t="s">
        <v>361</v>
      </c>
      <c r="C116">
        <v>2016</v>
      </c>
      <c r="D116">
        <v>1</v>
      </c>
      <c r="E116" t="s">
        <v>871</v>
      </c>
      <c r="F116" t="s">
        <v>362</v>
      </c>
      <c r="G116">
        <v>7.5759629999999998</v>
      </c>
      <c r="H116" s="20">
        <f>IF(AND(A116=A115,F116=F115,F116="Winter wheat"),G116*0.9*'BAU Management details'!$F$46,
IF(AND(OR(A116&lt;&gt;A115,F116&lt;&gt;F115),F116="Winter wheat"),G116*'BAU Management details'!$F$46,
IF(F116="Oilseed Rape",G116*'BAU Management details'!$F$47)))</f>
        <v>65.153281800000002</v>
      </c>
      <c r="I116" t="s">
        <v>348</v>
      </c>
      <c r="J116">
        <v>10</v>
      </c>
      <c r="K116" t="s">
        <v>362</v>
      </c>
      <c r="L116" t="s">
        <v>751</v>
      </c>
      <c r="M116">
        <v>2.9</v>
      </c>
      <c r="N116" t="s">
        <v>349</v>
      </c>
      <c r="O116" t="s">
        <v>350</v>
      </c>
      <c r="P116">
        <v>7.7</v>
      </c>
      <c r="Q116" t="s">
        <v>728</v>
      </c>
      <c r="R116" t="s">
        <v>351</v>
      </c>
      <c r="S116">
        <v>220</v>
      </c>
      <c r="T116" s="47" t="s">
        <v>729</v>
      </c>
      <c r="U116" t="s">
        <v>366</v>
      </c>
      <c r="V116" t="s">
        <v>364</v>
      </c>
      <c r="W116" s="47" t="s">
        <v>736</v>
      </c>
      <c r="X116" s="47">
        <v>0</v>
      </c>
      <c r="Y116" s="47" t="s">
        <v>730</v>
      </c>
      <c r="Z116" s="47">
        <v>0</v>
      </c>
      <c r="AA116" s="47" t="s">
        <v>731</v>
      </c>
      <c r="AB116" s="47">
        <v>0</v>
      </c>
      <c r="AC116" s="47" t="s">
        <v>731</v>
      </c>
      <c r="AD116" s="47" t="s">
        <v>731</v>
      </c>
      <c r="AE116" s="47" t="s">
        <v>731</v>
      </c>
      <c r="AF116" s="47">
        <v>0</v>
      </c>
      <c r="AG116" s="47">
        <v>0</v>
      </c>
      <c r="AH116" s="47">
        <v>0</v>
      </c>
      <c r="AI116" s="47" t="s">
        <v>729</v>
      </c>
      <c r="AJ116">
        <v>1</v>
      </c>
      <c r="AK116">
        <v>100</v>
      </c>
    </row>
    <row r="117" spans="1:37" x14ac:dyDescent="0.2">
      <c r="A117" t="s">
        <v>870</v>
      </c>
      <c r="B117" t="s">
        <v>361</v>
      </c>
      <c r="C117">
        <v>2017</v>
      </c>
      <c r="D117">
        <v>2</v>
      </c>
      <c r="E117" t="s">
        <v>872</v>
      </c>
      <c r="F117" t="s">
        <v>362</v>
      </c>
      <c r="G117">
        <v>7.5759629999999998</v>
      </c>
      <c r="H117" s="20">
        <f>IF(AND(A117=A116,F117=F116,F117="Winter wheat"),G117*0.9*'BAU Management details'!$F$46,
IF(AND(OR(A117&lt;&gt;A116,F117&lt;&gt;F116),F117="Winter wheat"),G117*'BAU Management details'!$F$46,
IF(F117="Oilseed Rape",G117*'BAU Management details'!$F$47)))</f>
        <v>58.637953619999998</v>
      </c>
      <c r="I117" t="s">
        <v>348</v>
      </c>
      <c r="J117">
        <v>10</v>
      </c>
      <c r="K117" t="s">
        <v>362</v>
      </c>
      <c r="L117" t="s">
        <v>751</v>
      </c>
      <c r="M117">
        <v>2.9</v>
      </c>
      <c r="N117" t="s">
        <v>349</v>
      </c>
      <c r="O117" t="s">
        <v>350</v>
      </c>
      <c r="P117">
        <v>7.7</v>
      </c>
      <c r="Q117" t="s">
        <v>728</v>
      </c>
      <c r="R117" t="s">
        <v>351</v>
      </c>
      <c r="S117">
        <v>220</v>
      </c>
      <c r="T117" s="47" t="s">
        <v>729</v>
      </c>
      <c r="U117" t="s">
        <v>733</v>
      </c>
      <c r="V117" t="s">
        <v>364</v>
      </c>
      <c r="W117" s="47" t="s">
        <v>736</v>
      </c>
      <c r="X117" s="47">
        <v>0</v>
      </c>
      <c r="Y117" s="47" t="s">
        <v>730</v>
      </c>
      <c r="Z117" s="47">
        <v>0</v>
      </c>
      <c r="AA117" s="47" t="s">
        <v>731</v>
      </c>
      <c r="AB117" s="47">
        <v>0</v>
      </c>
      <c r="AC117" s="47">
        <v>0</v>
      </c>
      <c r="AD117" s="47">
        <v>0</v>
      </c>
      <c r="AE117" s="47" t="s">
        <v>731</v>
      </c>
      <c r="AF117" s="47">
        <v>0</v>
      </c>
      <c r="AG117" s="47">
        <v>0</v>
      </c>
      <c r="AH117" s="47">
        <v>0</v>
      </c>
      <c r="AI117" s="47" t="s">
        <v>729</v>
      </c>
      <c r="AJ117">
        <v>1</v>
      </c>
      <c r="AK117">
        <v>100</v>
      </c>
    </row>
    <row r="118" spans="1:37" x14ac:dyDescent="0.2">
      <c r="A118" t="s">
        <v>870</v>
      </c>
      <c r="B118" t="s">
        <v>361</v>
      </c>
      <c r="C118">
        <v>2018</v>
      </c>
      <c r="D118">
        <v>3</v>
      </c>
      <c r="E118" t="s">
        <v>873</v>
      </c>
      <c r="F118" t="s">
        <v>365</v>
      </c>
      <c r="G118">
        <v>7.5759629999999998</v>
      </c>
      <c r="H118" s="20">
        <f>IF(AND(A118=A117,F118=F117,F118="Winter wheat"),G118*0.9*'BAU Management details'!$F$46,
IF(AND(OR(A118&lt;&gt;A117,F118&lt;&gt;F117),F118="Winter wheat"),G118*'BAU Management details'!$F$46,
IF(F118="Oilseed Rape",G118*'BAU Management details'!$F$47)))</f>
        <v>26.515870499999998</v>
      </c>
      <c r="I118" t="s">
        <v>348</v>
      </c>
      <c r="J118">
        <v>10</v>
      </c>
      <c r="K118" t="s">
        <v>532</v>
      </c>
      <c r="L118" t="s">
        <v>751</v>
      </c>
      <c r="M118">
        <v>2.9</v>
      </c>
      <c r="N118" t="s">
        <v>349</v>
      </c>
      <c r="O118" t="s">
        <v>350</v>
      </c>
      <c r="P118">
        <v>7.7</v>
      </c>
      <c r="Q118" t="s">
        <v>728</v>
      </c>
      <c r="R118" t="s">
        <v>351</v>
      </c>
      <c r="S118">
        <v>220</v>
      </c>
      <c r="T118" s="47" t="s">
        <v>735</v>
      </c>
      <c r="U118" t="s">
        <v>368</v>
      </c>
      <c r="V118" t="s">
        <v>364</v>
      </c>
      <c r="W118" s="47" t="s">
        <v>736</v>
      </c>
      <c r="X118" s="47">
        <v>0</v>
      </c>
      <c r="Y118" s="47" t="s">
        <v>736</v>
      </c>
      <c r="Z118" s="47">
        <v>0</v>
      </c>
      <c r="AA118" s="47" t="s">
        <v>736</v>
      </c>
      <c r="AB118" s="47">
        <v>0</v>
      </c>
      <c r="AC118" s="47">
        <v>0</v>
      </c>
      <c r="AD118" s="47">
        <v>0</v>
      </c>
      <c r="AE118" s="47" t="s">
        <v>731</v>
      </c>
      <c r="AF118" s="47">
        <v>0</v>
      </c>
      <c r="AG118" s="47" t="s">
        <v>731</v>
      </c>
      <c r="AH118" s="47">
        <v>0</v>
      </c>
      <c r="AI118" s="47" t="s">
        <v>735</v>
      </c>
      <c r="AJ118">
        <v>1</v>
      </c>
      <c r="AK118">
        <v>100</v>
      </c>
    </row>
    <row r="119" spans="1:37" x14ac:dyDescent="0.2">
      <c r="A119" t="s">
        <v>870</v>
      </c>
      <c r="B119" t="s">
        <v>361</v>
      </c>
      <c r="C119">
        <v>2019</v>
      </c>
      <c r="D119">
        <v>4</v>
      </c>
      <c r="E119" t="s">
        <v>874</v>
      </c>
      <c r="F119" t="s">
        <v>362</v>
      </c>
      <c r="G119">
        <v>7.5759629999999998</v>
      </c>
      <c r="H119" s="20">
        <f>IF(AND(A119=A118,F119=F118,F119="Winter wheat"),G119*0.9*'BAU Management details'!$F$46,
IF(AND(OR(A119&lt;&gt;A118,F119&lt;&gt;F118),F119="Winter wheat"),G119*'BAU Management details'!$F$46,
IF(F119="Oilseed Rape",G119*'BAU Management details'!$F$47)))</f>
        <v>65.153281800000002</v>
      </c>
      <c r="I119" t="s">
        <v>348</v>
      </c>
      <c r="J119">
        <v>10</v>
      </c>
      <c r="K119" t="s">
        <v>362</v>
      </c>
      <c r="L119" t="s">
        <v>751</v>
      </c>
      <c r="M119">
        <v>2.9</v>
      </c>
      <c r="N119" t="s">
        <v>349</v>
      </c>
      <c r="O119" t="s">
        <v>350</v>
      </c>
      <c r="P119">
        <v>7.7</v>
      </c>
      <c r="Q119" t="s">
        <v>728</v>
      </c>
      <c r="R119" t="s">
        <v>351</v>
      </c>
      <c r="S119">
        <v>220</v>
      </c>
      <c r="T119" s="47" t="s">
        <v>729</v>
      </c>
      <c r="U119" t="s">
        <v>366</v>
      </c>
      <c r="V119" t="s">
        <v>364</v>
      </c>
      <c r="W119" s="47" t="s">
        <v>736</v>
      </c>
      <c r="X119" s="47">
        <v>0</v>
      </c>
      <c r="Y119" s="47" t="s">
        <v>730</v>
      </c>
      <c r="Z119" s="47">
        <v>0</v>
      </c>
      <c r="AA119" s="47" t="s">
        <v>731</v>
      </c>
      <c r="AB119" s="47">
        <v>0</v>
      </c>
      <c r="AC119" s="47" t="s">
        <v>731</v>
      </c>
      <c r="AD119" s="47" t="s">
        <v>731</v>
      </c>
      <c r="AE119" s="47" t="s">
        <v>731</v>
      </c>
      <c r="AF119" s="47">
        <v>0</v>
      </c>
      <c r="AG119" s="47">
        <v>0</v>
      </c>
      <c r="AH119" s="47">
        <v>0</v>
      </c>
      <c r="AI119" s="47" t="s">
        <v>729</v>
      </c>
      <c r="AJ119">
        <v>1</v>
      </c>
      <c r="AK119">
        <v>100</v>
      </c>
    </row>
    <row r="120" spans="1:37" x14ac:dyDescent="0.2">
      <c r="A120" t="s">
        <v>870</v>
      </c>
      <c r="B120" t="s">
        <v>361</v>
      </c>
      <c r="C120">
        <v>2020</v>
      </c>
      <c r="D120">
        <v>5</v>
      </c>
      <c r="E120" t="s">
        <v>875</v>
      </c>
      <c r="F120" t="s">
        <v>362</v>
      </c>
      <c r="G120">
        <v>7.5759629999999998</v>
      </c>
      <c r="H120" s="20">
        <f>IF(AND(A120=A119,F120=F119,F120="Winter wheat"),G120*0.9*'BAU Management details'!$F$46,
IF(AND(OR(A120&lt;&gt;A119,F120&lt;&gt;F119),F120="Winter wheat"),G120*'BAU Management details'!$F$46,
IF(F120="Oilseed Rape",G120*'BAU Management details'!$F$47)))</f>
        <v>58.637953619999998</v>
      </c>
      <c r="I120" t="s">
        <v>348</v>
      </c>
      <c r="J120">
        <v>10</v>
      </c>
      <c r="K120" t="s">
        <v>362</v>
      </c>
      <c r="L120" t="s">
        <v>751</v>
      </c>
      <c r="M120">
        <v>2.9</v>
      </c>
      <c r="N120" t="s">
        <v>349</v>
      </c>
      <c r="O120" t="s">
        <v>350</v>
      </c>
      <c r="P120">
        <v>7.7</v>
      </c>
      <c r="Q120" t="s">
        <v>728</v>
      </c>
      <c r="R120" t="s">
        <v>351</v>
      </c>
      <c r="S120">
        <v>220</v>
      </c>
      <c r="T120" s="47" t="s">
        <v>729</v>
      </c>
      <c r="U120" t="s">
        <v>733</v>
      </c>
      <c r="V120" t="s">
        <v>364</v>
      </c>
      <c r="W120" s="47" t="s">
        <v>736</v>
      </c>
      <c r="X120" s="47">
        <v>0</v>
      </c>
      <c r="Y120" s="47" t="s">
        <v>730</v>
      </c>
      <c r="Z120" s="47">
        <v>0</v>
      </c>
      <c r="AA120" s="47" t="s">
        <v>731</v>
      </c>
      <c r="AB120" s="47">
        <v>0</v>
      </c>
      <c r="AC120" s="47">
        <v>0</v>
      </c>
      <c r="AD120" s="47">
        <v>0</v>
      </c>
      <c r="AE120" s="47" t="s">
        <v>731</v>
      </c>
      <c r="AF120" s="47">
        <v>0</v>
      </c>
      <c r="AG120" s="47">
        <v>0</v>
      </c>
      <c r="AH120" s="47">
        <v>0</v>
      </c>
      <c r="AI120" s="47" t="s">
        <v>729</v>
      </c>
      <c r="AJ120">
        <v>1</v>
      </c>
      <c r="AK120">
        <v>100</v>
      </c>
    </row>
    <row r="121" spans="1:37" x14ac:dyDescent="0.2">
      <c r="A121" t="s">
        <v>870</v>
      </c>
      <c r="B121" t="s">
        <v>361</v>
      </c>
      <c r="C121">
        <v>2021</v>
      </c>
      <c r="D121">
        <v>6</v>
      </c>
      <c r="E121" t="s">
        <v>876</v>
      </c>
      <c r="F121" t="s">
        <v>365</v>
      </c>
      <c r="G121">
        <v>7.5759629999999998</v>
      </c>
      <c r="H121" s="20">
        <f>IF(AND(A121=A120,F121=F120,F121="Winter wheat"),G121*0.9*'BAU Management details'!$F$46,
IF(AND(OR(A121&lt;&gt;A120,F121&lt;&gt;F120),F121="Winter wheat"),G121*'BAU Management details'!$F$46,
IF(F121="Oilseed Rape",G121*'BAU Management details'!$F$47)))</f>
        <v>26.515870499999998</v>
      </c>
      <c r="I121" t="s">
        <v>348</v>
      </c>
      <c r="J121">
        <v>10</v>
      </c>
      <c r="K121" t="s">
        <v>532</v>
      </c>
      <c r="L121" t="s">
        <v>751</v>
      </c>
      <c r="M121">
        <v>2.9</v>
      </c>
      <c r="N121" t="s">
        <v>349</v>
      </c>
      <c r="O121" t="s">
        <v>350</v>
      </c>
      <c r="P121">
        <v>7.7</v>
      </c>
      <c r="Q121" t="s">
        <v>728</v>
      </c>
      <c r="R121" t="s">
        <v>351</v>
      </c>
      <c r="S121">
        <v>220</v>
      </c>
      <c r="T121" s="47" t="s">
        <v>735</v>
      </c>
      <c r="U121" t="s">
        <v>368</v>
      </c>
      <c r="V121" t="s">
        <v>364</v>
      </c>
      <c r="W121" s="47" t="s">
        <v>736</v>
      </c>
      <c r="X121" s="47">
        <v>0</v>
      </c>
      <c r="Y121" s="47" t="s">
        <v>736</v>
      </c>
      <c r="Z121" s="47">
        <v>0</v>
      </c>
      <c r="AA121" s="47" t="s">
        <v>736</v>
      </c>
      <c r="AB121" s="47">
        <v>0</v>
      </c>
      <c r="AC121" s="47">
        <v>0</v>
      </c>
      <c r="AD121" s="47">
        <v>0</v>
      </c>
      <c r="AE121" s="47" t="s">
        <v>731</v>
      </c>
      <c r="AF121" s="47">
        <v>0</v>
      </c>
      <c r="AG121" s="47" t="s">
        <v>731</v>
      </c>
      <c r="AH121" s="47">
        <v>0</v>
      </c>
      <c r="AI121" s="47" t="s">
        <v>735</v>
      </c>
      <c r="AJ121">
        <v>1</v>
      </c>
      <c r="AK121">
        <v>100</v>
      </c>
    </row>
    <row r="122" spans="1:37" x14ac:dyDescent="0.2">
      <c r="A122" t="s">
        <v>877</v>
      </c>
      <c r="B122" t="s">
        <v>361</v>
      </c>
      <c r="C122">
        <v>2016</v>
      </c>
      <c r="D122">
        <v>1</v>
      </c>
      <c r="E122" t="s">
        <v>878</v>
      </c>
      <c r="F122" t="s">
        <v>362</v>
      </c>
      <c r="G122">
        <v>11.822901</v>
      </c>
      <c r="H122" s="20">
        <f>IF(AND(A122=A121,F122=F121,F122="Winter wheat"),G122*0.9*'BAU Management details'!$F$46,
IF(AND(OR(A122&lt;&gt;A121,F122&lt;&gt;F121),F122="Winter wheat"),G122*'BAU Management details'!$F$46,
IF(F122="Oilseed Rape",G122*'BAU Management details'!$F$47)))</f>
        <v>101.67694859999999</v>
      </c>
      <c r="I122" t="s">
        <v>348</v>
      </c>
      <c r="J122">
        <v>10</v>
      </c>
      <c r="K122" t="s">
        <v>362</v>
      </c>
      <c r="L122" t="s">
        <v>787</v>
      </c>
      <c r="M122">
        <v>1</v>
      </c>
      <c r="N122" t="s">
        <v>349</v>
      </c>
      <c r="O122" t="s">
        <v>350</v>
      </c>
      <c r="P122">
        <v>6.8</v>
      </c>
      <c r="Q122" t="s">
        <v>743</v>
      </c>
      <c r="R122" t="s">
        <v>351</v>
      </c>
      <c r="S122">
        <v>220</v>
      </c>
      <c r="T122" s="47" t="s">
        <v>729</v>
      </c>
      <c r="U122" t="s">
        <v>366</v>
      </c>
      <c r="V122" t="s">
        <v>364</v>
      </c>
      <c r="W122" s="47" t="s">
        <v>736</v>
      </c>
      <c r="X122" s="47">
        <v>0</v>
      </c>
      <c r="Y122" s="47" t="s">
        <v>730</v>
      </c>
      <c r="Z122" s="47">
        <v>0</v>
      </c>
      <c r="AA122" s="47" t="s">
        <v>731</v>
      </c>
      <c r="AB122" s="47">
        <v>0</v>
      </c>
      <c r="AC122" s="47" t="s">
        <v>731</v>
      </c>
      <c r="AD122" s="47" t="s">
        <v>731</v>
      </c>
      <c r="AE122" s="47" t="s">
        <v>731</v>
      </c>
      <c r="AF122" s="47">
        <v>0</v>
      </c>
      <c r="AG122" s="47">
        <v>0</v>
      </c>
      <c r="AH122" s="47">
        <v>0</v>
      </c>
      <c r="AI122" s="47" t="s">
        <v>729</v>
      </c>
      <c r="AJ122">
        <v>1</v>
      </c>
      <c r="AK122">
        <v>100</v>
      </c>
    </row>
    <row r="123" spans="1:37" x14ac:dyDescent="0.2">
      <c r="A123" t="s">
        <v>877</v>
      </c>
      <c r="B123" t="s">
        <v>361</v>
      </c>
      <c r="C123">
        <v>2017</v>
      </c>
      <c r="D123">
        <v>2</v>
      </c>
      <c r="E123" t="s">
        <v>879</v>
      </c>
      <c r="F123" t="s">
        <v>362</v>
      </c>
      <c r="G123">
        <v>11.822901</v>
      </c>
      <c r="H123" s="20">
        <f>IF(AND(A123=A122,F123=F122,F123="Winter wheat"),G123*0.9*'BAU Management details'!$F$46,
IF(AND(OR(A123&lt;&gt;A122,F123&lt;&gt;F122),F123="Winter wheat"),G123*'BAU Management details'!$F$46,
IF(F123="Oilseed Rape",G123*'BAU Management details'!$F$47)))</f>
        <v>91.509253740000005</v>
      </c>
      <c r="I123" t="s">
        <v>348</v>
      </c>
      <c r="J123">
        <v>10</v>
      </c>
      <c r="K123" t="s">
        <v>362</v>
      </c>
      <c r="L123" t="s">
        <v>787</v>
      </c>
      <c r="M123">
        <v>1</v>
      </c>
      <c r="N123" t="s">
        <v>349</v>
      </c>
      <c r="O123" t="s">
        <v>350</v>
      </c>
      <c r="P123">
        <v>6.8</v>
      </c>
      <c r="Q123" t="s">
        <v>743</v>
      </c>
      <c r="R123" t="s">
        <v>351</v>
      </c>
      <c r="S123">
        <v>220</v>
      </c>
      <c r="T123" s="47" t="s">
        <v>729</v>
      </c>
      <c r="U123" t="s">
        <v>733</v>
      </c>
      <c r="V123" t="s">
        <v>364</v>
      </c>
      <c r="W123" s="47" t="s">
        <v>736</v>
      </c>
      <c r="X123" s="47">
        <v>0</v>
      </c>
      <c r="Y123" s="47" t="s">
        <v>730</v>
      </c>
      <c r="Z123" s="47">
        <v>0</v>
      </c>
      <c r="AA123" s="47" t="s">
        <v>731</v>
      </c>
      <c r="AB123" s="47">
        <v>0</v>
      </c>
      <c r="AC123" s="47">
        <v>0</v>
      </c>
      <c r="AD123" s="47">
        <v>0</v>
      </c>
      <c r="AE123" s="47" t="s">
        <v>731</v>
      </c>
      <c r="AF123" s="47">
        <v>0</v>
      </c>
      <c r="AG123" s="47">
        <v>0</v>
      </c>
      <c r="AH123" s="47">
        <v>0</v>
      </c>
      <c r="AI123" s="47" t="s">
        <v>729</v>
      </c>
      <c r="AJ123">
        <v>1</v>
      </c>
      <c r="AK123">
        <v>100</v>
      </c>
    </row>
    <row r="124" spans="1:37" x14ac:dyDescent="0.2">
      <c r="A124" t="s">
        <v>877</v>
      </c>
      <c r="B124" t="s">
        <v>361</v>
      </c>
      <c r="C124">
        <v>2018</v>
      </c>
      <c r="D124">
        <v>3</v>
      </c>
      <c r="E124" t="s">
        <v>880</v>
      </c>
      <c r="F124" t="s">
        <v>365</v>
      </c>
      <c r="G124">
        <v>11.822901</v>
      </c>
      <c r="H124" s="20">
        <f>IF(AND(A124=A123,F124=F123,F124="Winter wheat"),G124*0.9*'BAU Management details'!$F$46,
IF(AND(OR(A124&lt;&gt;A123,F124&lt;&gt;F123),F124="Winter wheat"),G124*'BAU Management details'!$F$46,
IF(F124="Oilseed Rape",G124*'BAU Management details'!$F$47)))</f>
        <v>41.380153499999999</v>
      </c>
      <c r="I124" t="s">
        <v>348</v>
      </c>
      <c r="J124">
        <v>10</v>
      </c>
      <c r="K124" t="s">
        <v>532</v>
      </c>
      <c r="L124" t="s">
        <v>787</v>
      </c>
      <c r="M124">
        <v>1</v>
      </c>
      <c r="N124" t="s">
        <v>349</v>
      </c>
      <c r="O124" t="s">
        <v>350</v>
      </c>
      <c r="P124">
        <v>6.8</v>
      </c>
      <c r="Q124" t="s">
        <v>743</v>
      </c>
      <c r="R124" t="s">
        <v>351</v>
      </c>
      <c r="S124">
        <v>220</v>
      </c>
      <c r="T124" s="47" t="s">
        <v>735</v>
      </c>
      <c r="U124" t="s">
        <v>368</v>
      </c>
      <c r="V124" t="s">
        <v>364</v>
      </c>
      <c r="W124" s="47" t="s">
        <v>736</v>
      </c>
      <c r="X124" s="47">
        <v>0</v>
      </c>
      <c r="Y124" s="47" t="s">
        <v>736</v>
      </c>
      <c r="Z124" s="47">
        <v>0</v>
      </c>
      <c r="AA124" s="47" t="s">
        <v>736</v>
      </c>
      <c r="AB124" s="47">
        <v>0</v>
      </c>
      <c r="AC124" s="47">
        <v>0</v>
      </c>
      <c r="AD124" s="47">
        <v>0</v>
      </c>
      <c r="AE124" s="47" t="s">
        <v>731</v>
      </c>
      <c r="AF124" s="47">
        <v>0</v>
      </c>
      <c r="AG124" s="47" t="s">
        <v>731</v>
      </c>
      <c r="AH124" s="47">
        <v>0</v>
      </c>
      <c r="AI124" s="47" t="s">
        <v>735</v>
      </c>
      <c r="AJ124">
        <v>1</v>
      </c>
      <c r="AK124">
        <v>100</v>
      </c>
    </row>
    <row r="125" spans="1:37" x14ac:dyDescent="0.2">
      <c r="A125" t="s">
        <v>877</v>
      </c>
      <c r="B125" t="s">
        <v>361</v>
      </c>
      <c r="C125">
        <v>2019</v>
      </c>
      <c r="D125">
        <v>4</v>
      </c>
      <c r="E125" t="s">
        <v>881</v>
      </c>
      <c r="F125" t="s">
        <v>362</v>
      </c>
      <c r="G125">
        <v>11.822901</v>
      </c>
      <c r="H125" s="20">
        <f>IF(AND(A125=A124,F125=F124,F125="Winter wheat"),G125*0.9*'BAU Management details'!$F$46,
IF(AND(OR(A125&lt;&gt;A124,F125&lt;&gt;F124),F125="Winter wheat"),G125*'BAU Management details'!$F$46,
IF(F125="Oilseed Rape",G125*'BAU Management details'!$F$47)))</f>
        <v>101.67694859999999</v>
      </c>
      <c r="I125" t="s">
        <v>348</v>
      </c>
      <c r="J125">
        <v>10</v>
      </c>
      <c r="K125" t="s">
        <v>362</v>
      </c>
      <c r="L125" t="s">
        <v>787</v>
      </c>
      <c r="M125">
        <v>1</v>
      </c>
      <c r="N125" t="s">
        <v>349</v>
      </c>
      <c r="O125" t="s">
        <v>350</v>
      </c>
      <c r="P125">
        <v>6.8</v>
      </c>
      <c r="Q125" t="s">
        <v>743</v>
      </c>
      <c r="R125" t="s">
        <v>351</v>
      </c>
      <c r="S125">
        <v>220</v>
      </c>
      <c r="T125" s="47" t="s">
        <v>729</v>
      </c>
      <c r="U125" t="s">
        <v>366</v>
      </c>
      <c r="V125" t="s">
        <v>364</v>
      </c>
      <c r="W125" s="47" t="s">
        <v>736</v>
      </c>
      <c r="X125" s="47">
        <v>0</v>
      </c>
      <c r="Y125" s="47" t="s">
        <v>730</v>
      </c>
      <c r="Z125" s="47">
        <v>0</v>
      </c>
      <c r="AA125" s="47" t="s">
        <v>731</v>
      </c>
      <c r="AB125" s="47">
        <v>0</v>
      </c>
      <c r="AC125" s="47" t="s">
        <v>731</v>
      </c>
      <c r="AD125" s="47" t="s">
        <v>731</v>
      </c>
      <c r="AE125" s="47" t="s">
        <v>731</v>
      </c>
      <c r="AF125" s="47">
        <v>0</v>
      </c>
      <c r="AG125" s="47">
        <v>0</v>
      </c>
      <c r="AH125" s="47">
        <v>0</v>
      </c>
      <c r="AI125" s="47" t="s">
        <v>729</v>
      </c>
      <c r="AJ125">
        <v>1</v>
      </c>
      <c r="AK125">
        <v>100</v>
      </c>
    </row>
    <row r="126" spans="1:37" x14ac:dyDescent="0.2">
      <c r="A126" t="s">
        <v>877</v>
      </c>
      <c r="B126" t="s">
        <v>361</v>
      </c>
      <c r="C126">
        <v>2020</v>
      </c>
      <c r="D126">
        <v>5</v>
      </c>
      <c r="E126" t="s">
        <v>882</v>
      </c>
      <c r="F126" t="s">
        <v>362</v>
      </c>
      <c r="G126">
        <v>11.822901</v>
      </c>
      <c r="H126" s="20">
        <f>IF(AND(A126=A125,F126=F125,F126="Winter wheat"),G126*0.9*'BAU Management details'!$F$46,
IF(AND(OR(A126&lt;&gt;A125,F126&lt;&gt;F125),F126="Winter wheat"),G126*'BAU Management details'!$F$46,
IF(F126="Oilseed Rape",G126*'BAU Management details'!$F$47)))</f>
        <v>91.509253740000005</v>
      </c>
      <c r="I126" t="s">
        <v>348</v>
      </c>
      <c r="J126">
        <v>10</v>
      </c>
      <c r="K126" t="s">
        <v>362</v>
      </c>
      <c r="L126" t="s">
        <v>787</v>
      </c>
      <c r="M126">
        <v>1</v>
      </c>
      <c r="N126" t="s">
        <v>349</v>
      </c>
      <c r="O126" t="s">
        <v>350</v>
      </c>
      <c r="P126">
        <v>6.8</v>
      </c>
      <c r="Q126" t="s">
        <v>743</v>
      </c>
      <c r="R126" t="s">
        <v>351</v>
      </c>
      <c r="S126">
        <v>220</v>
      </c>
      <c r="T126" s="47" t="s">
        <v>729</v>
      </c>
      <c r="U126" t="s">
        <v>733</v>
      </c>
      <c r="V126" t="s">
        <v>364</v>
      </c>
      <c r="W126" s="47" t="s">
        <v>736</v>
      </c>
      <c r="X126" s="47">
        <v>0</v>
      </c>
      <c r="Y126" s="47" t="s">
        <v>730</v>
      </c>
      <c r="Z126" s="47">
        <v>0</v>
      </c>
      <c r="AA126" s="47" t="s">
        <v>731</v>
      </c>
      <c r="AB126" s="47">
        <v>0</v>
      </c>
      <c r="AC126" s="47">
        <v>0</v>
      </c>
      <c r="AD126" s="47">
        <v>0</v>
      </c>
      <c r="AE126" s="47" t="s">
        <v>731</v>
      </c>
      <c r="AF126" s="47">
        <v>0</v>
      </c>
      <c r="AG126" s="47">
        <v>0</v>
      </c>
      <c r="AH126" s="47">
        <v>0</v>
      </c>
      <c r="AI126" s="47" t="s">
        <v>729</v>
      </c>
      <c r="AJ126">
        <v>1</v>
      </c>
      <c r="AK126">
        <v>100</v>
      </c>
    </row>
    <row r="127" spans="1:37" x14ac:dyDescent="0.2">
      <c r="A127" t="s">
        <v>877</v>
      </c>
      <c r="B127" t="s">
        <v>361</v>
      </c>
      <c r="C127">
        <v>2021</v>
      </c>
      <c r="D127">
        <v>6</v>
      </c>
      <c r="E127" t="s">
        <v>883</v>
      </c>
      <c r="F127" t="s">
        <v>365</v>
      </c>
      <c r="G127">
        <v>11.822901</v>
      </c>
      <c r="H127" s="20">
        <f>IF(AND(A127=A126,F127=F126,F127="Winter wheat"),G127*0.9*'BAU Management details'!$F$46,
IF(AND(OR(A127&lt;&gt;A126,F127&lt;&gt;F126),F127="Winter wheat"),G127*'BAU Management details'!$F$46,
IF(F127="Oilseed Rape",G127*'BAU Management details'!$F$47)))</f>
        <v>41.380153499999999</v>
      </c>
      <c r="I127" t="s">
        <v>348</v>
      </c>
      <c r="J127">
        <v>10</v>
      </c>
      <c r="K127" t="s">
        <v>532</v>
      </c>
      <c r="L127" t="s">
        <v>787</v>
      </c>
      <c r="M127">
        <v>1</v>
      </c>
      <c r="N127" t="s">
        <v>349</v>
      </c>
      <c r="O127" t="s">
        <v>350</v>
      </c>
      <c r="P127">
        <v>6.8</v>
      </c>
      <c r="Q127" t="s">
        <v>743</v>
      </c>
      <c r="R127" t="s">
        <v>351</v>
      </c>
      <c r="S127">
        <v>220</v>
      </c>
      <c r="T127" s="47" t="s">
        <v>735</v>
      </c>
      <c r="U127" t="s">
        <v>368</v>
      </c>
      <c r="V127" t="s">
        <v>364</v>
      </c>
      <c r="W127" s="47" t="s">
        <v>736</v>
      </c>
      <c r="X127" s="47">
        <v>0</v>
      </c>
      <c r="Y127" s="47" t="s">
        <v>736</v>
      </c>
      <c r="Z127" s="47">
        <v>0</v>
      </c>
      <c r="AA127" s="47" t="s">
        <v>736</v>
      </c>
      <c r="AB127" s="47">
        <v>0</v>
      </c>
      <c r="AC127" s="47">
        <v>0</v>
      </c>
      <c r="AD127" s="47">
        <v>0</v>
      </c>
      <c r="AE127" s="47" t="s">
        <v>731</v>
      </c>
      <c r="AF127" s="47">
        <v>0</v>
      </c>
      <c r="AG127" s="47" t="s">
        <v>731</v>
      </c>
      <c r="AH127" s="47">
        <v>0</v>
      </c>
      <c r="AI127" s="47" t="s">
        <v>735</v>
      </c>
      <c r="AJ127">
        <v>1</v>
      </c>
      <c r="AK127">
        <v>100</v>
      </c>
    </row>
    <row r="128" spans="1:37" x14ac:dyDescent="0.2">
      <c r="A128" t="s">
        <v>884</v>
      </c>
      <c r="B128" t="s">
        <v>361</v>
      </c>
      <c r="C128">
        <v>2016</v>
      </c>
      <c r="D128">
        <v>1</v>
      </c>
      <c r="E128" t="s">
        <v>885</v>
      </c>
      <c r="F128" t="s">
        <v>362</v>
      </c>
      <c r="G128">
        <v>7.9554819999999999</v>
      </c>
      <c r="H128" s="20">
        <f>IF(AND(A128=A127,F128=F127,F128="Winter wheat"),G128*0.9*'BAU Management details'!$F$46,
IF(AND(OR(A128&lt;&gt;A127,F128&lt;&gt;F127),F128="Winter wheat"),G128*'BAU Management details'!$F$46,
IF(F128="Oilseed Rape",G128*'BAU Management details'!$F$47)))</f>
        <v>68.417145199999993</v>
      </c>
      <c r="I128" t="s">
        <v>348</v>
      </c>
      <c r="J128">
        <v>10</v>
      </c>
      <c r="K128" t="s">
        <v>362</v>
      </c>
      <c r="L128" t="s">
        <v>751</v>
      </c>
      <c r="M128">
        <v>2.2000000000000002</v>
      </c>
      <c r="N128" t="s">
        <v>349</v>
      </c>
      <c r="O128" t="s">
        <v>742</v>
      </c>
      <c r="P128">
        <v>6.7</v>
      </c>
      <c r="Q128" t="s">
        <v>743</v>
      </c>
      <c r="R128" t="s">
        <v>351</v>
      </c>
      <c r="S128">
        <v>220</v>
      </c>
      <c r="T128" s="47" t="s">
        <v>729</v>
      </c>
      <c r="U128" t="s">
        <v>366</v>
      </c>
      <c r="V128" t="s">
        <v>364</v>
      </c>
      <c r="W128" s="47" t="s">
        <v>736</v>
      </c>
      <c r="X128" s="47">
        <v>0</v>
      </c>
      <c r="Y128" s="47" t="s">
        <v>730</v>
      </c>
      <c r="Z128" s="47">
        <v>0</v>
      </c>
      <c r="AA128" s="47" t="s">
        <v>731</v>
      </c>
      <c r="AB128" s="47">
        <v>0</v>
      </c>
      <c r="AC128" s="47" t="s">
        <v>731</v>
      </c>
      <c r="AD128" s="47" t="s">
        <v>731</v>
      </c>
      <c r="AE128" s="47" t="s">
        <v>731</v>
      </c>
      <c r="AF128" s="47">
        <v>0</v>
      </c>
      <c r="AG128" s="47">
        <v>0</v>
      </c>
      <c r="AH128" s="47">
        <v>0</v>
      </c>
      <c r="AI128" s="47" t="s">
        <v>729</v>
      </c>
      <c r="AJ128">
        <v>1</v>
      </c>
      <c r="AK128">
        <v>100</v>
      </c>
    </row>
    <row r="129" spans="1:37" x14ac:dyDescent="0.2">
      <c r="A129" t="s">
        <v>884</v>
      </c>
      <c r="B129" t="s">
        <v>361</v>
      </c>
      <c r="C129">
        <v>2017</v>
      </c>
      <c r="D129">
        <v>2</v>
      </c>
      <c r="E129" t="s">
        <v>886</v>
      </c>
      <c r="F129" t="s">
        <v>362</v>
      </c>
      <c r="G129">
        <v>7.9554819999999999</v>
      </c>
      <c r="H129" s="20">
        <f>IF(AND(A129=A128,F129=F128,F129="Winter wheat"),G129*0.9*'BAU Management details'!$F$46,
IF(AND(OR(A129&lt;&gt;A128,F129&lt;&gt;F128),F129="Winter wheat"),G129*'BAU Management details'!$F$46,
IF(F129="Oilseed Rape",G129*'BAU Management details'!$F$47)))</f>
        <v>61.575430679999997</v>
      </c>
      <c r="I129" t="s">
        <v>348</v>
      </c>
      <c r="J129">
        <v>10</v>
      </c>
      <c r="K129" t="s">
        <v>362</v>
      </c>
      <c r="L129" t="s">
        <v>751</v>
      </c>
      <c r="M129">
        <v>2.2000000000000002</v>
      </c>
      <c r="N129" t="s">
        <v>349</v>
      </c>
      <c r="O129" t="s">
        <v>742</v>
      </c>
      <c r="P129">
        <v>6.7</v>
      </c>
      <c r="Q129" t="s">
        <v>743</v>
      </c>
      <c r="R129" t="s">
        <v>351</v>
      </c>
      <c r="S129">
        <v>220</v>
      </c>
      <c r="T129" s="47" t="s">
        <v>729</v>
      </c>
      <c r="U129" t="s">
        <v>733</v>
      </c>
      <c r="V129" t="s">
        <v>364</v>
      </c>
      <c r="W129" s="47" t="s">
        <v>736</v>
      </c>
      <c r="X129" s="47">
        <v>0</v>
      </c>
      <c r="Y129" s="47" t="s">
        <v>730</v>
      </c>
      <c r="Z129" s="47">
        <v>0</v>
      </c>
      <c r="AA129" s="47" t="s">
        <v>731</v>
      </c>
      <c r="AB129" s="47">
        <v>0</v>
      </c>
      <c r="AC129" s="47">
        <v>0</v>
      </c>
      <c r="AD129" s="47">
        <v>0</v>
      </c>
      <c r="AE129" s="47" t="s">
        <v>731</v>
      </c>
      <c r="AF129" s="47">
        <v>0</v>
      </c>
      <c r="AG129" s="47">
        <v>0</v>
      </c>
      <c r="AH129" s="47">
        <v>0</v>
      </c>
      <c r="AI129" s="47" t="s">
        <v>729</v>
      </c>
      <c r="AJ129">
        <v>1</v>
      </c>
      <c r="AK129">
        <v>100</v>
      </c>
    </row>
    <row r="130" spans="1:37" x14ac:dyDescent="0.2">
      <c r="A130" t="s">
        <v>884</v>
      </c>
      <c r="B130" t="s">
        <v>361</v>
      </c>
      <c r="C130">
        <v>2018</v>
      </c>
      <c r="D130">
        <v>3</v>
      </c>
      <c r="E130" t="s">
        <v>887</v>
      </c>
      <c r="F130" t="s">
        <v>365</v>
      </c>
      <c r="G130">
        <v>7.9554819999999999</v>
      </c>
      <c r="H130" s="20">
        <f>IF(AND(A130=A129,F130=F129,F130="Winter wheat"),G130*0.9*'BAU Management details'!$F$46,
IF(AND(OR(A130&lt;&gt;A129,F130&lt;&gt;F129),F130="Winter wheat"),G130*'BAU Management details'!$F$46,
IF(F130="Oilseed Rape",G130*'BAU Management details'!$F$47)))</f>
        <v>27.844186999999998</v>
      </c>
      <c r="I130" t="s">
        <v>348</v>
      </c>
      <c r="J130">
        <v>10</v>
      </c>
      <c r="K130" t="s">
        <v>532</v>
      </c>
      <c r="L130" t="s">
        <v>751</v>
      </c>
      <c r="M130">
        <v>2.2000000000000002</v>
      </c>
      <c r="N130" t="s">
        <v>349</v>
      </c>
      <c r="O130" t="s">
        <v>742</v>
      </c>
      <c r="P130">
        <v>6.7</v>
      </c>
      <c r="Q130" t="s">
        <v>743</v>
      </c>
      <c r="R130" t="s">
        <v>351</v>
      </c>
      <c r="S130">
        <v>220</v>
      </c>
      <c r="T130" s="47" t="s">
        <v>735</v>
      </c>
      <c r="U130" t="s">
        <v>368</v>
      </c>
      <c r="V130" t="s">
        <v>364</v>
      </c>
      <c r="W130" s="47" t="s">
        <v>736</v>
      </c>
      <c r="X130" s="47">
        <v>0</v>
      </c>
      <c r="Y130" s="47" t="s">
        <v>736</v>
      </c>
      <c r="Z130" s="47">
        <v>0</v>
      </c>
      <c r="AA130" s="47" t="s">
        <v>736</v>
      </c>
      <c r="AB130" s="47">
        <v>0</v>
      </c>
      <c r="AC130" s="47">
        <v>0</v>
      </c>
      <c r="AD130" s="47">
        <v>0</v>
      </c>
      <c r="AE130" s="47" t="s">
        <v>731</v>
      </c>
      <c r="AF130" s="47">
        <v>0</v>
      </c>
      <c r="AG130" s="47" t="s">
        <v>731</v>
      </c>
      <c r="AH130" s="47">
        <v>0</v>
      </c>
      <c r="AI130" s="47" t="s">
        <v>735</v>
      </c>
      <c r="AJ130">
        <v>1</v>
      </c>
      <c r="AK130">
        <v>100</v>
      </c>
    </row>
    <row r="131" spans="1:37" x14ac:dyDescent="0.2">
      <c r="A131" t="s">
        <v>884</v>
      </c>
      <c r="B131" t="s">
        <v>361</v>
      </c>
      <c r="C131">
        <v>2019</v>
      </c>
      <c r="D131">
        <v>4</v>
      </c>
      <c r="E131" t="s">
        <v>888</v>
      </c>
      <c r="F131" t="s">
        <v>362</v>
      </c>
      <c r="G131">
        <v>7.9554819999999999</v>
      </c>
      <c r="H131" s="20">
        <f>IF(AND(A131=A130,F131=F130,F131="Winter wheat"),G131*0.9*'BAU Management details'!$F$46,
IF(AND(OR(A131&lt;&gt;A130,F131&lt;&gt;F130),F131="Winter wheat"),G131*'BAU Management details'!$F$46,
IF(F131="Oilseed Rape",G131*'BAU Management details'!$F$47)))</f>
        <v>68.417145199999993</v>
      </c>
      <c r="I131" t="s">
        <v>348</v>
      </c>
      <c r="J131">
        <v>10</v>
      </c>
      <c r="K131" t="s">
        <v>362</v>
      </c>
      <c r="L131" t="s">
        <v>751</v>
      </c>
      <c r="M131">
        <v>2.2000000000000002</v>
      </c>
      <c r="N131" t="s">
        <v>349</v>
      </c>
      <c r="O131" t="s">
        <v>742</v>
      </c>
      <c r="P131">
        <v>6.7</v>
      </c>
      <c r="Q131" t="s">
        <v>743</v>
      </c>
      <c r="R131" t="s">
        <v>351</v>
      </c>
      <c r="S131">
        <v>220</v>
      </c>
      <c r="T131" s="47" t="s">
        <v>729</v>
      </c>
      <c r="U131" t="s">
        <v>366</v>
      </c>
      <c r="V131" t="s">
        <v>364</v>
      </c>
      <c r="W131" s="47" t="s">
        <v>736</v>
      </c>
      <c r="X131" s="47">
        <v>0</v>
      </c>
      <c r="Y131" s="47" t="s">
        <v>730</v>
      </c>
      <c r="Z131" s="47">
        <v>0</v>
      </c>
      <c r="AA131" s="47" t="s">
        <v>731</v>
      </c>
      <c r="AB131" s="47">
        <v>0</v>
      </c>
      <c r="AC131" s="47" t="s">
        <v>731</v>
      </c>
      <c r="AD131" s="47" t="s">
        <v>731</v>
      </c>
      <c r="AE131" s="47" t="s">
        <v>731</v>
      </c>
      <c r="AF131" s="47">
        <v>0</v>
      </c>
      <c r="AG131" s="47">
        <v>0</v>
      </c>
      <c r="AH131" s="47">
        <v>0</v>
      </c>
      <c r="AI131" s="47" t="s">
        <v>729</v>
      </c>
      <c r="AJ131">
        <v>1</v>
      </c>
      <c r="AK131">
        <v>100</v>
      </c>
    </row>
    <row r="132" spans="1:37" x14ac:dyDescent="0.2">
      <c r="A132" t="s">
        <v>884</v>
      </c>
      <c r="B132" t="s">
        <v>361</v>
      </c>
      <c r="C132">
        <v>2020</v>
      </c>
      <c r="D132">
        <v>5</v>
      </c>
      <c r="E132" t="s">
        <v>889</v>
      </c>
      <c r="F132" t="s">
        <v>362</v>
      </c>
      <c r="G132">
        <v>7.9554819999999999</v>
      </c>
      <c r="H132" s="20">
        <f>IF(AND(A132=A131,F132=F131,F132="Winter wheat"),G132*0.9*'BAU Management details'!$F$46,
IF(AND(OR(A132&lt;&gt;A131,F132&lt;&gt;F131),F132="Winter wheat"),G132*'BAU Management details'!$F$46,
IF(F132="Oilseed Rape",G132*'BAU Management details'!$F$47)))</f>
        <v>61.575430679999997</v>
      </c>
      <c r="I132" t="s">
        <v>348</v>
      </c>
      <c r="J132">
        <v>10</v>
      </c>
      <c r="K132" t="s">
        <v>362</v>
      </c>
      <c r="L132" t="s">
        <v>751</v>
      </c>
      <c r="M132">
        <v>2.2000000000000002</v>
      </c>
      <c r="N132" t="s">
        <v>349</v>
      </c>
      <c r="O132" t="s">
        <v>742</v>
      </c>
      <c r="P132">
        <v>6.7</v>
      </c>
      <c r="Q132" t="s">
        <v>743</v>
      </c>
      <c r="R132" t="s">
        <v>351</v>
      </c>
      <c r="S132">
        <v>220</v>
      </c>
      <c r="T132" s="47" t="s">
        <v>729</v>
      </c>
      <c r="U132" t="s">
        <v>733</v>
      </c>
      <c r="V132" t="s">
        <v>364</v>
      </c>
      <c r="W132" s="47" t="s">
        <v>736</v>
      </c>
      <c r="X132" s="47">
        <v>0</v>
      </c>
      <c r="Y132" s="47" t="s">
        <v>730</v>
      </c>
      <c r="Z132" s="47">
        <v>0</v>
      </c>
      <c r="AA132" s="47" t="s">
        <v>731</v>
      </c>
      <c r="AB132" s="47">
        <v>0</v>
      </c>
      <c r="AC132" s="47">
        <v>0</v>
      </c>
      <c r="AD132" s="47">
        <v>0</v>
      </c>
      <c r="AE132" s="47" t="s">
        <v>731</v>
      </c>
      <c r="AF132" s="47">
        <v>0</v>
      </c>
      <c r="AG132" s="47">
        <v>0</v>
      </c>
      <c r="AH132" s="47">
        <v>0</v>
      </c>
      <c r="AI132" s="47" t="s">
        <v>729</v>
      </c>
      <c r="AJ132">
        <v>1</v>
      </c>
      <c r="AK132">
        <v>100</v>
      </c>
    </row>
    <row r="133" spans="1:37" x14ac:dyDescent="0.2">
      <c r="A133" t="s">
        <v>884</v>
      </c>
      <c r="B133" t="s">
        <v>361</v>
      </c>
      <c r="C133">
        <v>2021</v>
      </c>
      <c r="D133">
        <v>6</v>
      </c>
      <c r="E133" t="s">
        <v>890</v>
      </c>
      <c r="F133" t="s">
        <v>365</v>
      </c>
      <c r="G133">
        <v>7.9554819999999999</v>
      </c>
      <c r="H133" s="20">
        <f>IF(AND(A133=A132,F133=F132,F133="Winter wheat"),G133*0.9*'BAU Management details'!$F$46,
IF(AND(OR(A133&lt;&gt;A132,F133&lt;&gt;F132),F133="Winter wheat"),G133*'BAU Management details'!$F$46,
IF(F133="Oilseed Rape",G133*'BAU Management details'!$F$47)))</f>
        <v>27.844186999999998</v>
      </c>
      <c r="I133" t="s">
        <v>348</v>
      </c>
      <c r="J133">
        <v>10</v>
      </c>
      <c r="K133" t="s">
        <v>532</v>
      </c>
      <c r="L133" t="s">
        <v>751</v>
      </c>
      <c r="M133">
        <v>2.2000000000000002</v>
      </c>
      <c r="N133" t="s">
        <v>349</v>
      </c>
      <c r="O133" t="s">
        <v>742</v>
      </c>
      <c r="P133">
        <v>6.7</v>
      </c>
      <c r="Q133" t="s">
        <v>743</v>
      </c>
      <c r="R133" t="s">
        <v>351</v>
      </c>
      <c r="S133">
        <v>220</v>
      </c>
      <c r="T133" s="47" t="s">
        <v>735</v>
      </c>
      <c r="U133" t="s">
        <v>368</v>
      </c>
      <c r="V133" t="s">
        <v>364</v>
      </c>
      <c r="W133" s="47" t="s">
        <v>736</v>
      </c>
      <c r="X133" s="47">
        <v>0</v>
      </c>
      <c r="Y133" s="47" t="s">
        <v>736</v>
      </c>
      <c r="Z133" s="47">
        <v>0</v>
      </c>
      <c r="AA133" s="47" t="s">
        <v>736</v>
      </c>
      <c r="AB133" s="47">
        <v>0</v>
      </c>
      <c r="AC133" s="47">
        <v>0</v>
      </c>
      <c r="AD133" s="47">
        <v>0</v>
      </c>
      <c r="AE133" s="47" t="s">
        <v>731</v>
      </c>
      <c r="AF133" s="47">
        <v>0</v>
      </c>
      <c r="AG133" s="47" t="s">
        <v>731</v>
      </c>
      <c r="AH133" s="47">
        <v>0</v>
      </c>
      <c r="AI133" s="47" t="s">
        <v>735</v>
      </c>
      <c r="AJ133">
        <v>1</v>
      </c>
      <c r="AK133">
        <v>100</v>
      </c>
    </row>
    <row r="134" spans="1:37" x14ac:dyDescent="0.2">
      <c r="A134" t="s">
        <v>891</v>
      </c>
      <c r="B134" t="s">
        <v>361</v>
      </c>
      <c r="C134">
        <v>2016</v>
      </c>
      <c r="D134">
        <v>1</v>
      </c>
      <c r="E134" t="s">
        <v>892</v>
      </c>
      <c r="F134" t="s">
        <v>362</v>
      </c>
      <c r="G134">
        <v>12.540919000000001</v>
      </c>
      <c r="H134" s="20">
        <f>IF(AND(A134=A133,F134=F133,F134="Winter wheat"),G134*0.9*'BAU Management details'!$F$46,
IF(AND(OR(A134&lt;&gt;A133,F134&lt;&gt;F133),F134="Winter wheat"),G134*'BAU Management details'!$F$46,
IF(F134="Oilseed Rape",G134*'BAU Management details'!$F$47)))</f>
        <v>107.8519034</v>
      </c>
      <c r="I134" t="s">
        <v>348</v>
      </c>
      <c r="J134">
        <v>10</v>
      </c>
      <c r="K134" t="s">
        <v>362</v>
      </c>
      <c r="L134" t="s">
        <v>751</v>
      </c>
      <c r="M134">
        <v>4.4000000000000004</v>
      </c>
      <c r="N134" t="s">
        <v>349</v>
      </c>
      <c r="O134" t="s">
        <v>350</v>
      </c>
      <c r="P134">
        <v>7.7</v>
      </c>
      <c r="Q134" t="s">
        <v>728</v>
      </c>
      <c r="R134" t="s">
        <v>351</v>
      </c>
      <c r="S134">
        <v>220</v>
      </c>
      <c r="T134" s="47" t="s">
        <v>729</v>
      </c>
      <c r="U134" t="s">
        <v>366</v>
      </c>
      <c r="V134" t="s">
        <v>364</v>
      </c>
      <c r="W134" s="47" t="s">
        <v>736</v>
      </c>
      <c r="X134" s="47">
        <v>0</v>
      </c>
      <c r="Y134" s="47" t="s">
        <v>730</v>
      </c>
      <c r="Z134" s="47">
        <v>0</v>
      </c>
      <c r="AA134" s="47" t="s">
        <v>731</v>
      </c>
      <c r="AB134" s="47">
        <v>0</v>
      </c>
      <c r="AC134" s="47" t="s">
        <v>731</v>
      </c>
      <c r="AD134" s="47" t="s">
        <v>731</v>
      </c>
      <c r="AE134" s="47" t="s">
        <v>731</v>
      </c>
      <c r="AF134" s="47">
        <v>0</v>
      </c>
      <c r="AG134" s="47">
        <v>0</v>
      </c>
      <c r="AH134" s="47">
        <v>0</v>
      </c>
      <c r="AI134" s="47" t="s">
        <v>729</v>
      </c>
      <c r="AJ134">
        <v>1</v>
      </c>
      <c r="AK134">
        <v>100</v>
      </c>
    </row>
    <row r="135" spans="1:37" x14ac:dyDescent="0.2">
      <c r="A135" t="s">
        <v>891</v>
      </c>
      <c r="B135" t="s">
        <v>361</v>
      </c>
      <c r="C135">
        <v>2017</v>
      </c>
      <c r="D135">
        <v>2</v>
      </c>
      <c r="E135" t="s">
        <v>893</v>
      </c>
      <c r="F135" t="s">
        <v>362</v>
      </c>
      <c r="G135">
        <v>12.540919000000001</v>
      </c>
      <c r="H135" s="20">
        <f>IF(AND(A135=A134,F135=F134,F135="Winter wheat"),G135*0.9*'BAU Management details'!$F$46,
IF(AND(OR(A135&lt;&gt;A134,F135&lt;&gt;F134),F135="Winter wheat"),G135*'BAU Management details'!$F$46,
IF(F135="Oilseed Rape",G135*'BAU Management details'!$F$47)))</f>
        <v>97.066713059999998</v>
      </c>
      <c r="I135" t="s">
        <v>348</v>
      </c>
      <c r="J135">
        <v>10</v>
      </c>
      <c r="K135" t="s">
        <v>362</v>
      </c>
      <c r="L135" t="s">
        <v>751</v>
      </c>
      <c r="M135">
        <v>4.4000000000000004</v>
      </c>
      <c r="N135" t="s">
        <v>349</v>
      </c>
      <c r="O135" t="s">
        <v>350</v>
      </c>
      <c r="P135">
        <v>7.7</v>
      </c>
      <c r="Q135" t="s">
        <v>728</v>
      </c>
      <c r="R135" t="s">
        <v>351</v>
      </c>
      <c r="S135">
        <v>220</v>
      </c>
      <c r="T135" s="47" t="s">
        <v>729</v>
      </c>
      <c r="U135" t="s">
        <v>733</v>
      </c>
      <c r="V135" t="s">
        <v>364</v>
      </c>
      <c r="W135" s="47" t="s">
        <v>736</v>
      </c>
      <c r="X135" s="47">
        <v>0</v>
      </c>
      <c r="Y135" s="47" t="s">
        <v>730</v>
      </c>
      <c r="Z135" s="47">
        <v>0</v>
      </c>
      <c r="AA135" s="47" t="s">
        <v>731</v>
      </c>
      <c r="AB135" s="47">
        <v>0</v>
      </c>
      <c r="AC135" s="47">
        <v>0</v>
      </c>
      <c r="AD135" s="47">
        <v>0</v>
      </c>
      <c r="AE135" s="47" t="s">
        <v>731</v>
      </c>
      <c r="AF135" s="47">
        <v>0</v>
      </c>
      <c r="AG135" s="47">
        <v>0</v>
      </c>
      <c r="AH135" s="47">
        <v>0</v>
      </c>
      <c r="AI135" s="47" t="s">
        <v>729</v>
      </c>
      <c r="AJ135">
        <v>1</v>
      </c>
      <c r="AK135">
        <v>100</v>
      </c>
    </row>
    <row r="136" spans="1:37" x14ac:dyDescent="0.2">
      <c r="A136" t="s">
        <v>891</v>
      </c>
      <c r="B136" t="s">
        <v>361</v>
      </c>
      <c r="C136">
        <v>2018</v>
      </c>
      <c r="D136">
        <v>3</v>
      </c>
      <c r="E136" t="s">
        <v>894</v>
      </c>
      <c r="F136" t="s">
        <v>365</v>
      </c>
      <c r="G136">
        <v>12.540919000000001</v>
      </c>
      <c r="H136" s="20">
        <f>IF(AND(A136=A135,F136=F135,F136="Winter wheat"),G136*0.9*'BAU Management details'!$F$46,
IF(AND(OR(A136&lt;&gt;A135,F136&lt;&gt;F135),F136="Winter wheat"),G136*'BAU Management details'!$F$46,
IF(F136="Oilseed Rape",G136*'BAU Management details'!$F$47)))</f>
        <v>43.893216500000001</v>
      </c>
      <c r="I136" t="s">
        <v>348</v>
      </c>
      <c r="J136">
        <v>10</v>
      </c>
      <c r="K136" t="s">
        <v>532</v>
      </c>
      <c r="L136" t="s">
        <v>751</v>
      </c>
      <c r="M136">
        <v>4.4000000000000004</v>
      </c>
      <c r="N136" t="s">
        <v>349</v>
      </c>
      <c r="O136" t="s">
        <v>350</v>
      </c>
      <c r="P136">
        <v>7.7</v>
      </c>
      <c r="Q136" t="s">
        <v>728</v>
      </c>
      <c r="R136" t="s">
        <v>351</v>
      </c>
      <c r="S136">
        <v>220</v>
      </c>
      <c r="T136" s="47" t="s">
        <v>735</v>
      </c>
      <c r="U136" t="s">
        <v>368</v>
      </c>
      <c r="V136" t="s">
        <v>364</v>
      </c>
      <c r="W136" s="47" t="s">
        <v>736</v>
      </c>
      <c r="X136" s="47">
        <v>0</v>
      </c>
      <c r="Y136" s="47" t="s">
        <v>736</v>
      </c>
      <c r="Z136" s="47">
        <v>0</v>
      </c>
      <c r="AA136" s="47" t="s">
        <v>736</v>
      </c>
      <c r="AB136" s="47">
        <v>0</v>
      </c>
      <c r="AC136" s="47">
        <v>0</v>
      </c>
      <c r="AD136" s="47">
        <v>0</v>
      </c>
      <c r="AE136" s="47" t="s">
        <v>731</v>
      </c>
      <c r="AF136" s="47">
        <v>0</v>
      </c>
      <c r="AG136" s="47" t="s">
        <v>731</v>
      </c>
      <c r="AH136" s="47">
        <v>0</v>
      </c>
      <c r="AI136" s="47" t="s">
        <v>735</v>
      </c>
      <c r="AJ136">
        <v>1</v>
      </c>
      <c r="AK136">
        <v>100</v>
      </c>
    </row>
    <row r="137" spans="1:37" x14ac:dyDescent="0.2">
      <c r="A137" t="s">
        <v>891</v>
      </c>
      <c r="B137" t="s">
        <v>361</v>
      </c>
      <c r="C137">
        <v>2019</v>
      </c>
      <c r="D137">
        <v>4</v>
      </c>
      <c r="E137" t="s">
        <v>895</v>
      </c>
      <c r="F137" t="s">
        <v>362</v>
      </c>
      <c r="G137">
        <v>12.540919000000001</v>
      </c>
      <c r="H137" s="20">
        <f>IF(AND(A137=A136,F137=F136,F137="Winter wheat"),G137*0.9*'BAU Management details'!$F$46,
IF(AND(OR(A137&lt;&gt;A136,F137&lt;&gt;F136),F137="Winter wheat"),G137*'BAU Management details'!$F$46,
IF(F137="Oilseed Rape",G137*'BAU Management details'!$F$47)))</f>
        <v>107.8519034</v>
      </c>
      <c r="I137" t="s">
        <v>348</v>
      </c>
      <c r="J137">
        <v>10</v>
      </c>
      <c r="K137" t="s">
        <v>362</v>
      </c>
      <c r="L137" t="s">
        <v>751</v>
      </c>
      <c r="M137">
        <v>4.4000000000000004</v>
      </c>
      <c r="N137" t="s">
        <v>349</v>
      </c>
      <c r="O137" t="s">
        <v>350</v>
      </c>
      <c r="P137">
        <v>7.7</v>
      </c>
      <c r="Q137" t="s">
        <v>728</v>
      </c>
      <c r="R137" t="s">
        <v>351</v>
      </c>
      <c r="S137">
        <v>220</v>
      </c>
      <c r="T137" s="47" t="s">
        <v>729</v>
      </c>
      <c r="U137" t="s">
        <v>366</v>
      </c>
      <c r="V137" t="s">
        <v>364</v>
      </c>
      <c r="W137" s="47" t="s">
        <v>736</v>
      </c>
      <c r="X137" s="47">
        <v>0</v>
      </c>
      <c r="Y137" s="47" t="s">
        <v>730</v>
      </c>
      <c r="Z137" s="47">
        <v>0</v>
      </c>
      <c r="AA137" s="47" t="s">
        <v>731</v>
      </c>
      <c r="AB137" s="47">
        <v>0</v>
      </c>
      <c r="AC137" s="47" t="s">
        <v>731</v>
      </c>
      <c r="AD137" s="47" t="s">
        <v>731</v>
      </c>
      <c r="AE137" s="47" t="s">
        <v>731</v>
      </c>
      <c r="AF137" s="47">
        <v>0</v>
      </c>
      <c r="AG137" s="47">
        <v>0</v>
      </c>
      <c r="AH137" s="47">
        <v>0</v>
      </c>
      <c r="AI137" s="47" t="s">
        <v>729</v>
      </c>
      <c r="AJ137">
        <v>1</v>
      </c>
      <c r="AK137">
        <v>100</v>
      </c>
    </row>
    <row r="138" spans="1:37" x14ac:dyDescent="0.2">
      <c r="A138" t="s">
        <v>891</v>
      </c>
      <c r="B138" t="s">
        <v>361</v>
      </c>
      <c r="C138">
        <v>2020</v>
      </c>
      <c r="D138">
        <v>5</v>
      </c>
      <c r="E138" t="s">
        <v>896</v>
      </c>
      <c r="F138" t="s">
        <v>362</v>
      </c>
      <c r="G138">
        <v>12.540919000000001</v>
      </c>
      <c r="H138" s="20">
        <f>IF(AND(A138=A137,F138=F137,F138="Winter wheat"),G138*0.9*'BAU Management details'!$F$46,
IF(AND(OR(A138&lt;&gt;A137,F138&lt;&gt;F137),F138="Winter wheat"),G138*'BAU Management details'!$F$46,
IF(F138="Oilseed Rape",G138*'BAU Management details'!$F$47)))</f>
        <v>97.066713059999998</v>
      </c>
      <c r="I138" t="s">
        <v>348</v>
      </c>
      <c r="J138">
        <v>10</v>
      </c>
      <c r="K138" t="s">
        <v>362</v>
      </c>
      <c r="L138" t="s">
        <v>751</v>
      </c>
      <c r="M138">
        <v>4.4000000000000004</v>
      </c>
      <c r="N138" t="s">
        <v>349</v>
      </c>
      <c r="O138" t="s">
        <v>350</v>
      </c>
      <c r="P138">
        <v>7.7</v>
      </c>
      <c r="Q138" t="s">
        <v>728</v>
      </c>
      <c r="R138" t="s">
        <v>351</v>
      </c>
      <c r="S138">
        <v>220</v>
      </c>
      <c r="T138" s="47" t="s">
        <v>729</v>
      </c>
      <c r="U138" t="s">
        <v>733</v>
      </c>
      <c r="V138" t="s">
        <v>364</v>
      </c>
      <c r="W138" s="47" t="s">
        <v>736</v>
      </c>
      <c r="X138" s="47">
        <v>0</v>
      </c>
      <c r="Y138" s="47" t="s">
        <v>730</v>
      </c>
      <c r="Z138" s="47">
        <v>0</v>
      </c>
      <c r="AA138" s="47" t="s">
        <v>731</v>
      </c>
      <c r="AB138" s="47">
        <v>0</v>
      </c>
      <c r="AC138" s="47">
        <v>0</v>
      </c>
      <c r="AD138" s="47">
        <v>0</v>
      </c>
      <c r="AE138" s="47" t="s">
        <v>731</v>
      </c>
      <c r="AF138" s="47">
        <v>0</v>
      </c>
      <c r="AG138" s="47">
        <v>0</v>
      </c>
      <c r="AH138" s="47">
        <v>0</v>
      </c>
      <c r="AI138" s="47" t="s">
        <v>729</v>
      </c>
      <c r="AJ138">
        <v>1</v>
      </c>
      <c r="AK138">
        <v>100</v>
      </c>
    </row>
    <row r="139" spans="1:37" x14ac:dyDescent="0.2">
      <c r="A139" t="s">
        <v>891</v>
      </c>
      <c r="B139" t="s">
        <v>361</v>
      </c>
      <c r="C139">
        <v>2021</v>
      </c>
      <c r="D139">
        <v>6</v>
      </c>
      <c r="E139" t="s">
        <v>897</v>
      </c>
      <c r="F139" t="s">
        <v>365</v>
      </c>
      <c r="G139">
        <v>12.540919000000001</v>
      </c>
      <c r="H139" s="20">
        <f>IF(AND(A139=A138,F139=F138,F139="Winter wheat"),G139*0.9*'BAU Management details'!$F$46,
IF(AND(OR(A139&lt;&gt;A138,F139&lt;&gt;F138),F139="Winter wheat"),G139*'BAU Management details'!$F$46,
IF(F139="Oilseed Rape",G139*'BAU Management details'!$F$47)))</f>
        <v>43.893216500000001</v>
      </c>
      <c r="I139" t="s">
        <v>348</v>
      </c>
      <c r="J139">
        <v>10</v>
      </c>
      <c r="K139" t="s">
        <v>532</v>
      </c>
      <c r="L139" t="s">
        <v>751</v>
      </c>
      <c r="M139">
        <v>4.4000000000000004</v>
      </c>
      <c r="N139" t="s">
        <v>349</v>
      </c>
      <c r="O139" t="s">
        <v>350</v>
      </c>
      <c r="P139">
        <v>7.7</v>
      </c>
      <c r="Q139" t="s">
        <v>728</v>
      </c>
      <c r="R139" t="s">
        <v>351</v>
      </c>
      <c r="S139">
        <v>220</v>
      </c>
      <c r="T139" s="47" t="s">
        <v>735</v>
      </c>
      <c r="U139" t="s">
        <v>368</v>
      </c>
      <c r="V139" t="s">
        <v>364</v>
      </c>
      <c r="W139" s="47" t="s">
        <v>736</v>
      </c>
      <c r="X139" s="47">
        <v>0</v>
      </c>
      <c r="Y139" s="47" t="s">
        <v>736</v>
      </c>
      <c r="Z139" s="47">
        <v>0</v>
      </c>
      <c r="AA139" s="47" t="s">
        <v>736</v>
      </c>
      <c r="AB139" s="47">
        <v>0</v>
      </c>
      <c r="AC139" s="47">
        <v>0</v>
      </c>
      <c r="AD139" s="47">
        <v>0</v>
      </c>
      <c r="AE139" s="47" t="s">
        <v>731</v>
      </c>
      <c r="AF139" s="47">
        <v>0</v>
      </c>
      <c r="AG139" s="47" t="s">
        <v>731</v>
      </c>
      <c r="AH139" s="47">
        <v>0</v>
      </c>
      <c r="AI139" s="47" t="s">
        <v>735</v>
      </c>
      <c r="AJ139">
        <v>1</v>
      </c>
      <c r="AK139">
        <v>100</v>
      </c>
    </row>
    <row r="140" spans="1:37" x14ac:dyDescent="0.2">
      <c r="A140" t="s">
        <v>898</v>
      </c>
      <c r="B140" t="s">
        <v>361</v>
      </c>
      <c r="C140">
        <v>2016</v>
      </c>
      <c r="D140">
        <v>1</v>
      </c>
      <c r="E140" t="s">
        <v>899</v>
      </c>
      <c r="F140" t="s">
        <v>362</v>
      </c>
      <c r="G140">
        <v>2.5117630000000002</v>
      </c>
      <c r="H140" s="20">
        <f>IF(AND(A140=A139,F140=F139,F140="Winter wheat"),G140*0.9*'BAU Management details'!$F$46,
IF(AND(OR(A140&lt;&gt;A139,F140&lt;&gt;F139),F140="Winter wheat"),G140*'BAU Management details'!$F$46,
IF(F140="Oilseed Rape",G140*'BAU Management details'!$F$47)))</f>
        <v>21.6011618</v>
      </c>
      <c r="I140" t="s">
        <v>348</v>
      </c>
      <c r="J140">
        <v>10</v>
      </c>
      <c r="K140" t="s">
        <v>362</v>
      </c>
      <c r="L140" t="s">
        <v>727</v>
      </c>
      <c r="M140">
        <v>2.9</v>
      </c>
      <c r="N140" t="s">
        <v>349</v>
      </c>
      <c r="O140" t="s">
        <v>742</v>
      </c>
      <c r="P140">
        <v>6.3</v>
      </c>
      <c r="Q140" t="s">
        <v>743</v>
      </c>
      <c r="R140" t="s">
        <v>351</v>
      </c>
      <c r="S140">
        <v>220</v>
      </c>
      <c r="T140" s="47" t="s">
        <v>729</v>
      </c>
      <c r="U140" t="s">
        <v>366</v>
      </c>
      <c r="V140" t="s">
        <v>364</v>
      </c>
      <c r="W140" s="47" t="s">
        <v>736</v>
      </c>
      <c r="X140" s="47">
        <v>0</v>
      </c>
      <c r="Y140" s="47" t="s">
        <v>730</v>
      </c>
      <c r="Z140" s="47">
        <v>0</v>
      </c>
      <c r="AA140" s="47" t="s">
        <v>731</v>
      </c>
      <c r="AB140" s="47">
        <v>0</v>
      </c>
      <c r="AC140" s="47" t="s">
        <v>731</v>
      </c>
      <c r="AD140" s="47" t="s">
        <v>731</v>
      </c>
      <c r="AE140" s="47" t="s">
        <v>731</v>
      </c>
      <c r="AF140" s="47">
        <v>0</v>
      </c>
      <c r="AG140" s="47">
        <v>0</v>
      </c>
      <c r="AH140" s="47">
        <v>0</v>
      </c>
      <c r="AI140" s="47" t="s">
        <v>729</v>
      </c>
      <c r="AJ140">
        <v>1</v>
      </c>
      <c r="AK140">
        <v>100</v>
      </c>
    </row>
    <row r="141" spans="1:37" x14ac:dyDescent="0.2">
      <c r="A141" t="s">
        <v>898</v>
      </c>
      <c r="B141" t="s">
        <v>361</v>
      </c>
      <c r="C141">
        <v>2017</v>
      </c>
      <c r="D141">
        <v>2</v>
      </c>
      <c r="E141" t="s">
        <v>900</v>
      </c>
      <c r="F141" t="s">
        <v>362</v>
      </c>
      <c r="G141">
        <v>2.5117630000000002</v>
      </c>
      <c r="H141" s="20">
        <f>IF(AND(A141=A140,F141=F140,F141="Winter wheat"),G141*0.9*'BAU Management details'!$F$46,
IF(AND(OR(A141&lt;&gt;A140,F141&lt;&gt;F140),F141="Winter wheat"),G141*'BAU Management details'!$F$46,
IF(F141="Oilseed Rape",G141*'BAU Management details'!$F$47)))</f>
        <v>19.441045620000001</v>
      </c>
      <c r="I141" t="s">
        <v>348</v>
      </c>
      <c r="J141">
        <v>10</v>
      </c>
      <c r="K141" t="s">
        <v>362</v>
      </c>
      <c r="L141" t="s">
        <v>727</v>
      </c>
      <c r="M141">
        <v>2.9</v>
      </c>
      <c r="N141" t="s">
        <v>349</v>
      </c>
      <c r="O141" t="s">
        <v>742</v>
      </c>
      <c r="P141">
        <v>6.3</v>
      </c>
      <c r="Q141" t="s">
        <v>743</v>
      </c>
      <c r="R141" t="s">
        <v>351</v>
      </c>
      <c r="S141">
        <v>220</v>
      </c>
      <c r="T141" s="47" t="s">
        <v>729</v>
      </c>
      <c r="U141" t="s">
        <v>733</v>
      </c>
      <c r="V141" t="s">
        <v>364</v>
      </c>
      <c r="W141" s="47" t="s">
        <v>736</v>
      </c>
      <c r="X141" s="47">
        <v>0</v>
      </c>
      <c r="Y141" s="47" t="s">
        <v>730</v>
      </c>
      <c r="Z141" s="47">
        <v>0</v>
      </c>
      <c r="AA141" s="47" t="s">
        <v>731</v>
      </c>
      <c r="AB141" s="47">
        <v>0</v>
      </c>
      <c r="AC141" s="47">
        <v>0</v>
      </c>
      <c r="AD141" s="47">
        <v>0</v>
      </c>
      <c r="AE141" s="47" t="s">
        <v>731</v>
      </c>
      <c r="AF141" s="47">
        <v>0</v>
      </c>
      <c r="AG141" s="47">
        <v>0</v>
      </c>
      <c r="AH141" s="47">
        <v>0</v>
      </c>
      <c r="AI141" s="47" t="s">
        <v>729</v>
      </c>
      <c r="AJ141">
        <v>1</v>
      </c>
      <c r="AK141">
        <v>100</v>
      </c>
    </row>
    <row r="142" spans="1:37" x14ac:dyDescent="0.2">
      <c r="A142" t="s">
        <v>898</v>
      </c>
      <c r="B142" t="s">
        <v>361</v>
      </c>
      <c r="C142">
        <v>2018</v>
      </c>
      <c r="D142">
        <v>3</v>
      </c>
      <c r="E142" t="s">
        <v>901</v>
      </c>
      <c r="F142" t="s">
        <v>365</v>
      </c>
      <c r="G142">
        <v>2.5117630000000002</v>
      </c>
      <c r="H142" s="20">
        <f>IF(AND(A142=A141,F142=F141,F142="Winter wheat"),G142*0.9*'BAU Management details'!$F$46,
IF(AND(OR(A142&lt;&gt;A141,F142&lt;&gt;F141),F142="Winter wheat"),G142*'BAU Management details'!$F$46,
IF(F142="Oilseed Rape",G142*'BAU Management details'!$F$47)))</f>
        <v>8.7911704999999998</v>
      </c>
      <c r="I142" t="s">
        <v>348</v>
      </c>
      <c r="J142">
        <v>10</v>
      </c>
      <c r="K142" t="s">
        <v>532</v>
      </c>
      <c r="L142" t="s">
        <v>727</v>
      </c>
      <c r="M142">
        <v>2.9</v>
      </c>
      <c r="N142" t="s">
        <v>349</v>
      </c>
      <c r="O142" t="s">
        <v>742</v>
      </c>
      <c r="P142">
        <v>6.3</v>
      </c>
      <c r="Q142" t="s">
        <v>743</v>
      </c>
      <c r="R142" t="s">
        <v>351</v>
      </c>
      <c r="S142">
        <v>220</v>
      </c>
      <c r="T142" s="47" t="s">
        <v>735</v>
      </c>
      <c r="U142" t="s">
        <v>368</v>
      </c>
      <c r="V142" t="s">
        <v>364</v>
      </c>
      <c r="W142" s="47" t="s">
        <v>736</v>
      </c>
      <c r="X142" s="47">
        <v>0</v>
      </c>
      <c r="Y142" s="47" t="s">
        <v>736</v>
      </c>
      <c r="Z142" s="47">
        <v>0</v>
      </c>
      <c r="AA142" s="47" t="s">
        <v>736</v>
      </c>
      <c r="AB142" s="47">
        <v>0</v>
      </c>
      <c r="AC142" s="47">
        <v>0</v>
      </c>
      <c r="AD142" s="47">
        <v>0</v>
      </c>
      <c r="AE142" s="47" t="s">
        <v>731</v>
      </c>
      <c r="AF142" s="47">
        <v>0</v>
      </c>
      <c r="AG142" s="47" t="s">
        <v>731</v>
      </c>
      <c r="AH142" s="47">
        <v>0</v>
      </c>
      <c r="AI142" s="47" t="s">
        <v>735</v>
      </c>
      <c r="AJ142">
        <v>1</v>
      </c>
      <c r="AK142">
        <v>100</v>
      </c>
    </row>
    <row r="143" spans="1:37" x14ac:dyDescent="0.2">
      <c r="A143" t="s">
        <v>898</v>
      </c>
      <c r="B143" t="s">
        <v>361</v>
      </c>
      <c r="C143">
        <v>2019</v>
      </c>
      <c r="D143">
        <v>4</v>
      </c>
      <c r="E143" t="s">
        <v>902</v>
      </c>
      <c r="F143" t="s">
        <v>362</v>
      </c>
      <c r="G143">
        <v>2.5117630000000002</v>
      </c>
      <c r="H143" s="20">
        <f>IF(AND(A143=A142,F143=F142,F143="Winter wheat"),G143*0.9*'BAU Management details'!$F$46,
IF(AND(OR(A143&lt;&gt;A142,F143&lt;&gt;F142),F143="Winter wheat"),G143*'BAU Management details'!$F$46,
IF(F143="Oilseed Rape",G143*'BAU Management details'!$F$47)))</f>
        <v>21.6011618</v>
      </c>
      <c r="I143" t="s">
        <v>348</v>
      </c>
      <c r="J143">
        <v>10</v>
      </c>
      <c r="K143" t="s">
        <v>362</v>
      </c>
      <c r="L143" t="s">
        <v>727</v>
      </c>
      <c r="M143">
        <v>2.9</v>
      </c>
      <c r="N143" t="s">
        <v>349</v>
      </c>
      <c r="O143" t="s">
        <v>742</v>
      </c>
      <c r="P143">
        <v>6.3</v>
      </c>
      <c r="Q143" t="s">
        <v>743</v>
      </c>
      <c r="R143" t="s">
        <v>351</v>
      </c>
      <c r="S143">
        <v>220</v>
      </c>
      <c r="T143" s="47" t="s">
        <v>729</v>
      </c>
      <c r="U143" t="s">
        <v>366</v>
      </c>
      <c r="V143" t="s">
        <v>364</v>
      </c>
      <c r="W143" s="47" t="s">
        <v>736</v>
      </c>
      <c r="X143" s="47">
        <v>0</v>
      </c>
      <c r="Y143" s="47" t="s">
        <v>730</v>
      </c>
      <c r="Z143" s="47">
        <v>0</v>
      </c>
      <c r="AA143" s="47" t="s">
        <v>731</v>
      </c>
      <c r="AB143" s="47">
        <v>0</v>
      </c>
      <c r="AC143" s="47" t="s">
        <v>731</v>
      </c>
      <c r="AD143" s="47" t="s">
        <v>731</v>
      </c>
      <c r="AE143" s="47" t="s">
        <v>731</v>
      </c>
      <c r="AF143" s="47">
        <v>0</v>
      </c>
      <c r="AG143" s="47">
        <v>0</v>
      </c>
      <c r="AH143" s="47">
        <v>0</v>
      </c>
      <c r="AI143" s="47" t="s">
        <v>729</v>
      </c>
      <c r="AJ143">
        <v>1</v>
      </c>
      <c r="AK143">
        <v>100</v>
      </c>
    </row>
    <row r="144" spans="1:37" x14ac:dyDescent="0.2">
      <c r="A144" t="s">
        <v>898</v>
      </c>
      <c r="B144" t="s">
        <v>361</v>
      </c>
      <c r="C144">
        <v>2020</v>
      </c>
      <c r="D144">
        <v>5</v>
      </c>
      <c r="E144" t="s">
        <v>903</v>
      </c>
      <c r="F144" t="s">
        <v>362</v>
      </c>
      <c r="G144">
        <v>2.5117630000000002</v>
      </c>
      <c r="H144" s="20">
        <f>IF(AND(A144=A143,F144=F143,F144="Winter wheat"),G144*0.9*'BAU Management details'!$F$46,
IF(AND(OR(A144&lt;&gt;A143,F144&lt;&gt;F143),F144="Winter wheat"),G144*'BAU Management details'!$F$46,
IF(F144="Oilseed Rape",G144*'BAU Management details'!$F$47)))</f>
        <v>19.441045620000001</v>
      </c>
      <c r="I144" t="s">
        <v>348</v>
      </c>
      <c r="J144">
        <v>10</v>
      </c>
      <c r="K144" t="s">
        <v>362</v>
      </c>
      <c r="L144" t="s">
        <v>727</v>
      </c>
      <c r="M144">
        <v>2.9</v>
      </c>
      <c r="N144" t="s">
        <v>349</v>
      </c>
      <c r="O144" t="s">
        <v>742</v>
      </c>
      <c r="P144">
        <v>6.3</v>
      </c>
      <c r="Q144" t="s">
        <v>743</v>
      </c>
      <c r="R144" t="s">
        <v>351</v>
      </c>
      <c r="S144">
        <v>220</v>
      </c>
      <c r="T144" s="47" t="s">
        <v>729</v>
      </c>
      <c r="U144" t="s">
        <v>733</v>
      </c>
      <c r="V144" t="s">
        <v>364</v>
      </c>
      <c r="W144" s="47" t="s">
        <v>736</v>
      </c>
      <c r="X144" s="47">
        <v>0</v>
      </c>
      <c r="Y144" s="47" t="s">
        <v>730</v>
      </c>
      <c r="Z144" s="47">
        <v>0</v>
      </c>
      <c r="AA144" s="47" t="s">
        <v>731</v>
      </c>
      <c r="AB144" s="47">
        <v>0</v>
      </c>
      <c r="AC144" s="47">
        <v>0</v>
      </c>
      <c r="AD144" s="47">
        <v>0</v>
      </c>
      <c r="AE144" s="47" t="s">
        <v>731</v>
      </c>
      <c r="AF144" s="47">
        <v>0</v>
      </c>
      <c r="AG144" s="47">
        <v>0</v>
      </c>
      <c r="AH144" s="47">
        <v>0</v>
      </c>
      <c r="AI144" s="47" t="s">
        <v>729</v>
      </c>
      <c r="AJ144">
        <v>1</v>
      </c>
      <c r="AK144">
        <v>100</v>
      </c>
    </row>
    <row r="145" spans="1:37" x14ac:dyDescent="0.2">
      <c r="A145" t="s">
        <v>898</v>
      </c>
      <c r="B145" t="s">
        <v>361</v>
      </c>
      <c r="C145">
        <v>2021</v>
      </c>
      <c r="D145">
        <v>6</v>
      </c>
      <c r="E145" t="s">
        <v>904</v>
      </c>
      <c r="F145" t="s">
        <v>365</v>
      </c>
      <c r="G145">
        <v>2.5117630000000002</v>
      </c>
      <c r="H145" s="20">
        <f>IF(AND(A145=A144,F145=F144,F145="Winter wheat"),G145*0.9*'BAU Management details'!$F$46,
IF(AND(OR(A145&lt;&gt;A144,F145&lt;&gt;F144),F145="Winter wheat"),G145*'BAU Management details'!$F$46,
IF(F145="Oilseed Rape",G145*'BAU Management details'!$F$47)))</f>
        <v>8.7911704999999998</v>
      </c>
      <c r="I145" t="s">
        <v>348</v>
      </c>
      <c r="J145">
        <v>10</v>
      </c>
      <c r="K145" t="s">
        <v>532</v>
      </c>
      <c r="L145" t="s">
        <v>727</v>
      </c>
      <c r="M145">
        <v>2.9</v>
      </c>
      <c r="N145" t="s">
        <v>349</v>
      </c>
      <c r="O145" t="s">
        <v>742</v>
      </c>
      <c r="P145">
        <v>6.3</v>
      </c>
      <c r="Q145" t="s">
        <v>743</v>
      </c>
      <c r="R145" t="s">
        <v>351</v>
      </c>
      <c r="S145">
        <v>220</v>
      </c>
      <c r="T145" s="47" t="s">
        <v>735</v>
      </c>
      <c r="U145" t="s">
        <v>368</v>
      </c>
      <c r="V145" t="s">
        <v>364</v>
      </c>
      <c r="W145" s="47" t="s">
        <v>736</v>
      </c>
      <c r="X145" s="47">
        <v>0</v>
      </c>
      <c r="Y145" s="47" t="s">
        <v>736</v>
      </c>
      <c r="Z145" s="47">
        <v>0</v>
      </c>
      <c r="AA145" s="47" t="s">
        <v>736</v>
      </c>
      <c r="AB145" s="47">
        <v>0</v>
      </c>
      <c r="AC145" s="47">
        <v>0</v>
      </c>
      <c r="AD145" s="47">
        <v>0</v>
      </c>
      <c r="AE145" s="47" t="s">
        <v>731</v>
      </c>
      <c r="AF145" s="47">
        <v>0</v>
      </c>
      <c r="AG145" s="47" t="s">
        <v>731</v>
      </c>
      <c r="AH145" s="47">
        <v>0</v>
      </c>
      <c r="AI145" s="47" t="s">
        <v>735</v>
      </c>
      <c r="AJ145">
        <v>1</v>
      </c>
      <c r="AK145">
        <v>100</v>
      </c>
    </row>
    <row r="146" spans="1:37" x14ac:dyDescent="0.2">
      <c r="A146" t="s">
        <v>905</v>
      </c>
      <c r="B146" t="s">
        <v>361</v>
      </c>
      <c r="C146">
        <v>2016</v>
      </c>
      <c r="D146">
        <v>1</v>
      </c>
      <c r="E146" t="s">
        <v>906</v>
      </c>
      <c r="F146" t="s">
        <v>362</v>
      </c>
      <c r="G146">
        <v>5.9841150000000001</v>
      </c>
      <c r="H146" s="20">
        <f>IF(AND(A146=A145,F146=F145,F146="Winter wheat"),G146*0.9*'BAU Management details'!$F$46,
IF(AND(OR(A146&lt;&gt;A145,F146&lt;&gt;F145),F146="Winter wheat"),G146*'BAU Management details'!$F$46,
IF(F146="Oilseed Rape",G146*'BAU Management details'!$F$47)))</f>
        <v>51.463388999999999</v>
      </c>
      <c r="I146" t="s">
        <v>348</v>
      </c>
      <c r="J146">
        <v>10</v>
      </c>
      <c r="K146" t="s">
        <v>362</v>
      </c>
      <c r="L146" t="s">
        <v>751</v>
      </c>
      <c r="M146">
        <v>2.7</v>
      </c>
      <c r="N146" t="s">
        <v>349</v>
      </c>
      <c r="O146" t="s">
        <v>742</v>
      </c>
      <c r="P146">
        <v>6.5</v>
      </c>
      <c r="Q146" t="s">
        <v>743</v>
      </c>
      <c r="R146" t="s">
        <v>351</v>
      </c>
      <c r="S146">
        <v>220</v>
      </c>
      <c r="T146" s="47" t="s">
        <v>729</v>
      </c>
      <c r="U146" t="s">
        <v>366</v>
      </c>
      <c r="V146" t="s">
        <v>364</v>
      </c>
      <c r="W146" s="47" t="s">
        <v>736</v>
      </c>
      <c r="X146" s="47">
        <v>0</v>
      </c>
      <c r="Y146" s="47" t="s">
        <v>730</v>
      </c>
      <c r="Z146" s="47">
        <v>0</v>
      </c>
      <c r="AA146" s="47" t="s">
        <v>731</v>
      </c>
      <c r="AB146" s="47">
        <v>0</v>
      </c>
      <c r="AC146" s="47" t="s">
        <v>731</v>
      </c>
      <c r="AD146" s="47" t="s">
        <v>731</v>
      </c>
      <c r="AE146" s="47" t="s">
        <v>731</v>
      </c>
      <c r="AF146" s="47">
        <v>0</v>
      </c>
      <c r="AG146" s="47">
        <v>0</v>
      </c>
      <c r="AH146" s="47">
        <v>0</v>
      </c>
      <c r="AI146" s="47" t="s">
        <v>729</v>
      </c>
      <c r="AJ146">
        <v>1</v>
      </c>
      <c r="AK146">
        <v>100</v>
      </c>
    </row>
    <row r="147" spans="1:37" x14ac:dyDescent="0.2">
      <c r="A147" t="s">
        <v>905</v>
      </c>
      <c r="B147" t="s">
        <v>361</v>
      </c>
      <c r="C147">
        <v>2017</v>
      </c>
      <c r="D147">
        <v>2</v>
      </c>
      <c r="E147" t="s">
        <v>907</v>
      </c>
      <c r="F147" t="s">
        <v>362</v>
      </c>
      <c r="G147">
        <v>5.9841150000000001</v>
      </c>
      <c r="H147" s="20">
        <f>IF(AND(A147=A146,F147=F146,F147="Winter wheat"),G147*0.9*'BAU Management details'!$F$46,
IF(AND(OR(A147&lt;&gt;A146,F147&lt;&gt;F146),F147="Winter wheat"),G147*'BAU Management details'!$F$46,
IF(F147="Oilseed Rape",G147*'BAU Management details'!$F$47)))</f>
        <v>46.317050099999996</v>
      </c>
      <c r="I147" t="s">
        <v>348</v>
      </c>
      <c r="J147">
        <v>10</v>
      </c>
      <c r="K147" t="s">
        <v>362</v>
      </c>
      <c r="L147" t="s">
        <v>751</v>
      </c>
      <c r="M147">
        <v>2.7</v>
      </c>
      <c r="N147" t="s">
        <v>349</v>
      </c>
      <c r="O147" t="s">
        <v>742</v>
      </c>
      <c r="P147">
        <v>6.5</v>
      </c>
      <c r="Q147" t="s">
        <v>743</v>
      </c>
      <c r="R147" t="s">
        <v>351</v>
      </c>
      <c r="S147">
        <v>220</v>
      </c>
      <c r="T147" s="47" t="s">
        <v>729</v>
      </c>
      <c r="U147" t="s">
        <v>733</v>
      </c>
      <c r="V147" t="s">
        <v>364</v>
      </c>
      <c r="W147" s="47" t="s">
        <v>736</v>
      </c>
      <c r="X147" s="47">
        <v>0</v>
      </c>
      <c r="Y147" s="47" t="s">
        <v>730</v>
      </c>
      <c r="Z147" s="47">
        <v>0</v>
      </c>
      <c r="AA147" s="47" t="s">
        <v>731</v>
      </c>
      <c r="AB147" s="47">
        <v>0</v>
      </c>
      <c r="AC147" s="47">
        <v>0</v>
      </c>
      <c r="AD147" s="47">
        <v>0</v>
      </c>
      <c r="AE147" s="47" t="s">
        <v>731</v>
      </c>
      <c r="AF147" s="47">
        <v>0</v>
      </c>
      <c r="AG147" s="47">
        <v>0</v>
      </c>
      <c r="AH147" s="47">
        <v>0</v>
      </c>
      <c r="AI147" s="47" t="s">
        <v>729</v>
      </c>
      <c r="AJ147">
        <v>1</v>
      </c>
      <c r="AK147">
        <v>100</v>
      </c>
    </row>
    <row r="148" spans="1:37" x14ac:dyDescent="0.2">
      <c r="A148" t="s">
        <v>905</v>
      </c>
      <c r="B148" t="s">
        <v>361</v>
      </c>
      <c r="C148">
        <v>2018</v>
      </c>
      <c r="D148">
        <v>3</v>
      </c>
      <c r="E148" t="s">
        <v>908</v>
      </c>
      <c r="F148" t="s">
        <v>365</v>
      </c>
      <c r="G148">
        <v>5.9841150000000001</v>
      </c>
      <c r="H148" s="20">
        <f>IF(AND(A148=A147,F148=F147,F148="Winter wheat"),G148*0.9*'BAU Management details'!$F$46,
IF(AND(OR(A148&lt;&gt;A147,F148&lt;&gt;F147),F148="Winter wheat"),G148*'BAU Management details'!$F$46,
IF(F148="Oilseed Rape",G148*'BAU Management details'!$F$47)))</f>
        <v>20.944402499999999</v>
      </c>
      <c r="I148" t="s">
        <v>348</v>
      </c>
      <c r="J148">
        <v>10</v>
      </c>
      <c r="K148" t="s">
        <v>532</v>
      </c>
      <c r="L148" t="s">
        <v>751</v>
      </c>
      <c r="M148">
        <v>2.7</v>
      </c>
      <c r="N148" t="s">
        <v>349</v>
      </c>
      <c r="O148" t="s">
        <v>742</v>
      </c>
      <c r="P148">
        <v>6.5</v>
      </c>
      <c r="Q148" t="s">
        <v>743</v>
      </c>
      <c r="R148" t="s">
        <v>351</v>
      </c>
      <c r="S148">
        <v>220</v>
      </c>
      <c r="T148" s="47" t="s">
        <v>735</v>
      </c>
      <c r="U148" t="s">
        <v>368</v>
      </c>
      <c r="V148" t="s">
        <v>364</v>
      </c>
      <c r="W148" s="47" t="s">
        <v>736</v>
      </c>
      <c r="X148" s="47">
        <v>0</v>
      </c>
      <c r="Y148" s="47" t="s">
        <v>736</v>
      </c>
      <c r="Z148" s="47">
        <v>0</v>
      </c>
      <c r="AA148" s="47" t="s">
        <v>736</v>
      </c>
      <c r="AB148" s="47">
        <v>0</v>
      </c>
      <c r="AC148" s="47">
        <v>0</v>
      </c>
      <c r="AD148" s="47">
        <v>0</v>
      </c>
      <c r="AE148" s="47" t="s">
        <v>731</v>
      </c>
      <c r="AF148" s="47">
        <v>0</v>
      </c>
      <c r="AG148" s="47" t="s">
        <v>731</v>
      </c>
      <c r="AH148" s="47">
        <v>0</v>
      </c>
      <c r="AI148" s="47" t="s">
        <v>735</v>
      </c>
      <c r="AJ148">
        <v>1</v>
      </c>
      <c r="AK148">
        <v>100</v>
      </c>
    </row>
    <row r="149" spans="1:37" x14ac:dyDescent="0.2">
      <c r="A149" t="s">
        <v>905</v>
      </c>
      <c r="B149" t="s">
        <v>361</v>
      </c>
      <c r="C149">
        <v>2019</v>
      </c>
      <c r="D149">
        <v>4</v>
      </c>
      <c r="E149" t="s">
        <v>909</v>
      </c>
      <c r="F149" t="s">
        <v>362</v>
      </c>
      <c r="G149">
        <v>5.9841150000000001</v>
      </c>
      <c r="H149" s="20">
        <f>IF(AND(A149=A148,F149=F148,F149="Winter wheat"),G149*0.9*'BAU Management details'!$F$46,
IF(AND(OR(A149&lt;&gt;A148,F149&lt;&gt;F148),F149="Winter wheat"),G149*'BAU Management details'!$F$46,
IF(F149="Oilseed Rape",G149*'BAU Management details'!$F$47)))</f>
        <v>51.463388999999999</v>
      </c>
      <c r="I149" t="s">
        <v>348</v>
      </c>
      <c r="J149">
        <v>10</v>
      </c>
      <c r="K149" t="s">
        <v>362</v>
      </c>
      <c r="L149" t="s">
        <v>751</v>
      </c>
      <c r="M149">
        <v>2.7</v>
      </c>
      <c r="N149" t="s">
        <v>349</v>
      </c>
      <c r="O149" t="s">
        <v>742</v>
      </c>
      <c r="P149">
        <v>6.5</v>
      </c>
      <c r="Q149" t="s">
        <v>743</v>
      </c>
      <c r="R149" t="s">
        <v>351</v>
      </c>
      <c r="S149">
        <v>220</v>
      </c>
      <c r="T149" s="47" t="s">
        <v>729</v>
      </c>
      <c r="U149" t="s">
        <v>366</v>
      </c>
      <c r="V149" t="s">
        <v>364</v>
      </c>
      <c r="W149" s="47" t="s">
        <v>736</v>
      </c>
      <c r="X149" s="47">
        <v>0</v>
      </c>
      <c r="Y149" s="47" t="s">
        <v>730</v>
      </c>
      <c r="Z149" s="47">
        <v>0</v>
      </c>
      <c r="AA149" s="47" t="s">
        <v>731</v>
      </c>
      <c r="AB149" s="47">
        <v>0</v>
      </c>
      <c r="AC149" s="47" t="s">
        <v>731</v>
      </c>
      <c r="AD149" s="47" t="s">
        <v>731</v>
      </c>
      <c r="AE149" s="47" t="s">
        <v>731</v>
      </c>
      <c r="AF149" s="47">
        <v>0</v>
      </c>
      <c r="AG149" s="47">
        <v>0</v>
      </c>
      <c r="AH149" s="47">
        <v>0</v>
      </c>
      <c r="AI149" s="47" t="s">
        <v>729</v>
      </c>
      <c r="AJ149">
        <v>1</v>
      </c>
      <c r="AK149">
        <v>100</v>
      </c>
    </row>
    <row r="150" spans="1:37" x14ac:dyDescent="0.2">
      <c r="A150" t="s">
        <v>905</v>
      </c>
      <c r="B150" t="s">
        <v>361</v>
      </c>
      <c r="C150">
        <v>2020</v>
      </c>
      <c r="D150">
        <v>5</v>
      </c>
      <c r="E150" t="s">
        <v>910</v>
      </c>
      <c r="F150" t="s">
        <v>362</v>
      </c>
      <c r="G150">
        <v>5.9841150000000001</v>
      </c>
      <c r="H150" s="20">
        <f>IF(AND(A150=A149,F150=F149,F150="Winter wheat"),G150*0.9*'BAU Management details'!$F$46,
IF(AND(OR(A150&lt;&gt;A149,F150&lt;&gt;F149),F150="Winter wheat"),G150*'BAU Management details'!$F$46,
IF(F150="Oilseed Rape",G150*'BAU Management details'!$F$47)))</f>
        <v>46.317050099999996</v>
      </c>
      <c r="I150" t="s">
        <v>348</v>
      </c>
      <c r="J150">
        <v>10</v>
      </c>
      <c r="K150" t="s">
        <v>362</v>
      </c>
      <c r="L150" t="s">
        <v>751</v>
      </c>
      <c r="M150">
        <v>2.7</v>
      </c>
      <c r="N150" t="s">
        <v>349</v>
      </c>
      <c r="O150" t="s">
        <v>742</v>
      </c>
      <c r="P150">
        <v>6.5</v>
      </c>
      <c r="Q150" t="s">
        <v>743</v>
      </c>
      <c r="R150" t="s">
        <v>351</v>
      </c>
      <c r="S150">
        <v>220</v>
      </c>
      <c r="T150" s="47" t="s">
        <v>729</v>
      </c>
      <c r="U150" t="s">
        <v>733</v>
      </c>
      <c r="V150" t="s">
        <v>364</v>
      </c>
      <c r="W150" s="47" t="s">
        <v>736</v>
      </c>
      <c r="X150" s="47">
        <v>0</v>
      </c>
      <c r="Y150" s="47" t="s">
        <v>730</v>
      </c>
      <c r="Z150" s="47">
        <v>0</v>
      </c>
      <c r="AA150" s="47" t="s">
        <v>731</v>
      </c>
      <c r="AB150" s="47">
        <v>0</v>
      </c>
      <c r="AC150" s="47">
        <v>0</v>
      </c>
      <c r="AD150" s="47">
        <v>0</v>
      </c>
      <c r="AE150" s="47" t="s">
        <v>731</v>
      </c>
      <c r="AF150" s="47">
        <v>0</v>
      </c>
      <c r="AG150" s="47">
        <v>0</v>
      </c>
      <c r="AH150" s="47">
        <v>0</v>
      </c>
      <c r="AI150" s="47" t="s">
        <v>729</v>
      </c>
      <c r="AJ150">
        <v>1</v>
      </c>
      <c r="AK150">
        <v>100</v>
      </c>
    </row>
    <row r="151" spans="1:37" x14ac:dyDescent="0.2">
      <c r="A151" t="s">
        <v>905</v>
      </c>
      <c r="B151" t="s">
        <v>361</v>
      </c>
      <c r="C151">
        <v>2021</v>
      </c>
      <c r="D151">
        <v>6</v>
      </c>
      <c r="E151" t="s">
        <v>911</v>
      </c>
      <c r="F151" t="s">
        <v>365</v>
      </c>
      <c r="G151">
        <v>5.9841150000000001</v>
      </c>
      <c r="H151" s="20">
        <f>IF(AND(A151=A150,F151=F150,F151="Winter wheat"),G151*0.9*'BAU Management details'!$F$46,
IF(AND(OR(A151&lt;&gt;A150,F151&lt;&gt;F150),F151="Winter wheat"),G151*'BAU Management details'!$F$46,
IF(F151="Oilseed Rape",G151*'BAU Management details'!$F$47)))</f>
        <v>20.944402499999999</v>
      </c>
      <c r="I151" t="s">
        <v>348</v>
      </c>
      <c r="J151">
        <v>10</v>
      </c>
      <c r="K151" t="s">
        <v>532</v>
      </c>
      <c r="L151" t="s">
        <v>751</v>
      </c>
      <c r="M151">
        <v>2.7</v>
      </c>
      <c r="N151" t="s">
        <v>349</v>
      </c>
      <c r="O151" t="s">
        <v>742</v>
      </c>
      <c r="P151">
        <v>6.5</v>
      </c>
      <c r="Q151" t="s">
        <v>743</v>
      </c>
      <c r="R151" t="s">
        <v>351</v>
      </c>
      <c r="S151">
        <v>220</v>
      </c>
      <c r="T151" s="47" t="s">
        <v>735</v>
      </c>
      <c r="U151" t="s">
        <v>368</v>
      </c>
      <c r="V151" t="s">
        <v>364</v>
      </c>
      <c r="W151" s="47" t="s">
        <v>736</v>
      </c>
      <c r="X151" s="47">
        <v>0</v>
      </c>
      <c r="Y151" s="47" t="s">
        <v>736</v>
      </c>
      <c r="Z151" s="47">
        <v>0</v>
      </c>
      <c r="AA151" s="47" t="s">
        <v>736</v>
      </c>
      <c r="AB151" s="47">
        <v>0</v>
      </c>
      <c r="AC151" s="47">
        <v>0</v>
      </c>
      <c r="AD151" s="47">
        <v>0</v>
      </c>
      <c r="AE151" s="47" t="s">
        <v>731</v>
      </c>
      <c r="AF151" s="47">
        <v>0</v>
      </c>
      <c r="AG151" s="47" t="s">
        <v>731</v>
      </c>
      <c r="AH151" s="47">
        <v>0</v>
      </c>
      <c r="AI151" s="47" t="s">
        <v>735</v>
      </c>
      <c r="AJ151">
        <v>1</v>
      </c>
      <c r="AK151">
        <v>100</v>
      </c>
    </row>
    <row r="152" spans="1:37" x14ac:dyDescent="0.2">
      <c r="A152" t="s">
        <v>912</v>
      </c>
      <c r="B152" t="s">
        <v>361</v>
      </c>
      <c r="C152">
        <v>2016</v>
      </c>
      <c r="D152">
        <v>1</v>
      </c>
      <c r="E152" t="s">
        <v>913</v>
      </c>
      <c r="F152" t="s">
        <v>362</v>
      </c>
      <c r="G152">
        <v>6.5535230000000002</v>
      </c>
      <c r="H152" s="20">
        <f>IF(AND(A152=A151,F152=F151,F152="Winter wheat"),G152*0.9*'BAU Management details'!$F$46,
IF(AND(OR(A152&lt;&gt;A151,F152&lt;&gt;F151),F152="Winter wheat"),G152*'BAU Management details'!$F$46,
IF(F152="Oilseed Rape",G152*'BAU Management details'!$F$47)))</f>
        <v>56.360297799999998</v>
      </c>
      <c r="I152" t="s">
        <v>348</v>
      </c>
      <c r="J152">
        <v>10</v>
      </c>
      <c r="K152" t="s">
        <v>362</v>
      </c>
      <c r="L152" t="s">
        <v>727</v>
      </c>
      <c r="M152">
        <v>3.1</v>
      </c>
      <c r="N152" t="s">
        <v>349</v>
      </c>
      <c r="O152" t="s">
        <v>350</v>
      </c>
      <c r="P152">
        <v>7.5</v>
      </c>
      <c r="Q152" t="s">
        <v>728</v>
      </c>
      <c r="R152" t="s">
        <v>351</v>
      </c>
      <c r="S152">
        <v>220</v>
      </c>
      <c r="T152" s="47" t="s">
        <v>729</v>
      </c>
      <c r="U152" t="s">
        <v>366</v>
      </c>
      <c r="V152" t="s">
        <v>364</v>
      </c>
      <c r="W152" s="47" t="s">
        <v>736</v>
      </c>
      <c r="X152" s="47">
        <v>0</v>
      </c>
      <c r="Y152" s="47" t="s">
        <v>730</v>
      </c>
      <c r="Z152" s="47">
        <v>0</v>
      </c>
      <c r="AA152" s="47" t="s">
        <v>731</v>
      </c>
      <c r="AB152" s="47">
        <v>0</v>
      </c>
      <c r="AC152" s="47" t="s">
        <v>731</v>
      </c>
      <c r="AD152" s="47" t="s">
        <v>731</v>
      </c>
      <c r="AE152" s="47" t="s">
        <v>731</v>
      </c>
      <c r="AF152" s="47">
        <v>0</v>
      </c>
      <c r="AG152" s="47">
        <v>0</v>
      </c>
      <c r="AH152" s="47">
        <v>0</v>
      </c>
      <c r="AI152" s="47" t="s">
        <v>729</v>
      </c>
      <c r="AJ152">
        <v>1</v>
      </c>
      <c r="AK152">
        <v>100</v>
      </c>
    </row>
    <row r="153" spans="1:37" x14ac:dyDescent="0.2">
      <c r="A153" t="s">
        <v>912</v>
      </c>
      <c r="B153" t="s">
        <v>361</v>
      </c>
      <c r="C153">
        <v>2017</v>
      </c>
      <c r="D153">
        <v>2</v>
      </c>
      <c r="E153" t="s">
        <v>914</v>
      </c>
      <c r="F153" t="s">
        <v>362</v>
      </c>
      <c r="G153">
        <v>6.5535230000000002</v>
      </c>
      <c r="H153" s="20">
        <f>IF(AND(A153=A152,F153=F152,F153="Winter wheat"),G153*0.9*'BAU Management details'!$F$46,
IF(AND(OR(A153&lt;&gt;A152,F153&lt;&gt;F152),F153="Winter wheat"),G153*'BAU Management details'!$F$46,
IF(F153="Oilseed Rape",G153*'BAU Management details'!$F$47)))</f>
        <v>50.724268020000004</v>
      </c>
      <c r="I153" t="s">
        <v>348</v>
      </c>
      <c r="J153">
        <v>10</v>
      </c>
      <c r="K153" t="s">
        <v>362</v>
      </c>
      <c r="L153" t="s">
        <v>727</v>
      </c>
      <c r="M153">
        <v>3.1</v>
      </c>
      <c r="N153" t="s">
        <v>349</v>
      </c>
      <c r="O153" t="s">
        <v>350</v>
      </c>
      <c r="P153">
        <v>7.5</v>
      </c>
      <c r="Q153" t="s">
        <v>728</v>
      </c>
      <c r="R153" t="s">
        <v>351</v>
      </c>
      <c r="S153">
        <v>220</v>
      </c>
      <c r="T153" s="47" t="s">
        <v>729</v>
      </c>
      <c r="U153" t="s">
        <v>733</v>
      </c>
      <c r="V153" t="s">
        <v>364</v>
      </c>
      <c r="W153" s="47" t="s">
        <v>736</v>
      </c>
      <c r="X153" s="47">
        <v>0</v>
      </c>
      <c r="Y153" s="47" t="s">
        <v>730</v>
      </c>
      <c r="Z153" s="47">
        <v>0</v>
      </c>
      <c r="AA153" s="47" t="s">
        <v>731</v>
      </c>
      <c r="AB153" s="47">
        <v>0</v>
      </c>
      <c r="AC153" s="47">
        <v>0</v>
      </c>
      <c r="AD153" s="47">
        <v>0</v>
      </c>
      <c r="AE153" s="47" t="s">
        <v>731</v>
      </c>
      <c r="AF153" s="47">
        <v>0</v>
      </c>
      <c r="AG153" s="47">
        <v>0</v>
      </c>
      <c r="AH153" s="47">
        <v>0</v>
      </c>
      <c r="AI153" s="47" t="s">
        <v>729</v>
      </c>
      <c r="AJ153">
        <v>1</v>
      </c>
      <c r="AK153">
        <v>100</v>
      </c>
    </row>
    <row r="154" spans="1:37" x14ac:dyDescent="0.2">
      <c r="A154" t="s">
        <v>912</v>
      </c>
      <c r="B154" t="s">
        <v>361</v>
      </c>
      <c r="C154">
        <v>2018</v>
      </c>
      <c r="D154">
        <v>3</v>
      </c>
      <c r="E154" t="s">
        <v>915</v>
      </c>
      <c r="F154" t="s">
        <v>365</v>
      </c>
      <c r="G154">
        <v>6.5535230000000002</v>
      </c>
      <c r="H154" s="20">
        <f>IF(AND(A154=A153,F154=F153,F154="Winter wheat"),G154*0.9*'BAU Management details'!$F$46,
IF(AND(OR(A154&lt;&gt;A153,F154&lt;&gt;F153),F154="Winter wheat"),G154*'BAU Management details'!$F$46,
IF(F154="Oilseed Rape",G154*'BAU Management details'!$F$47)))</f>
        <v>22.937330500000002</v>
      </c>
      <c r="I154" t="s">
        <v>348</v>
      </c>
      <c r="J154">
        <v>10</v>
      </c>
      <c r="K154" t="s">
        <v>532</v>
      </c>
      <c r="L154" t="s">
        <v>727</v>
      </c>
      <c r="M154">
        <v>3.1</v>
      </c>
      <c r="N154" t="s">
        <v>349</v>
      </c>
      <c r="O154" t="s">
        <v>350</v>
      </c>
      <c r="P154">
        <v>7.5</v>
      </c>
      <c r="Q154" t="s">
        <v>728</v>
      </c>
      <c r="R154" t="s">
        <v>351</v>
      </c>
      <c r="S154">
        <v>220</v>
      </c>
      <c r="T154" s="47" t="s">
        <v>735</v>
      </c>
      <c r="U154" t="s">
        <v>368</v>
      </c>
      <c r="V154" t="s">
        <v>364</v>
      </c>
      <c r="W154" s="47" t="s">
        <v>736</v>
      </c>
      <c r="X154" s="47">
        <v>0</v>
      </c>
      <c r="Y154" s="47" t="s">
        <v>736</v>
      </c>
      <c r="Z154" s="47">
        <v>0</v>
      </c>
      <c r="AA154" s="47" t="s">
        <v>736</v>
      </c>
      <c r="AB154" s="47">
        <v>0</v>
      </c>
      <c r="AC154" s="47">
        <v>0</v>
      </c>
      <c r="AD154" s="47">
        <v>0</v>
      </c>
      <c r="AE154" s="47" t="s">
        <v>731</v>
      </c>
      <c r="AF154" s="47">
        <v>0</v>
      </c>
      <c r="AG154" s="47" t="s">
        <v>731</v>
      </c>
      <c r="AH154" s="47">
        <v>0</v>
      </c>
      <c r="AI154" s="47" t="s">
        <v>735</v>
      </c>
      <c r="AJ154">
        <v>1</v>
      </c>
      <c r="AK154">
        <v>100</v>
      </c>
    </row>
    <row r="155" spans="1:37" x14ac:dyDescent="0.2">
      <c r="A155" t="s">
        <v>912</v>
      </c>
      <c r="B155" t="s">
        <v>361</v>
      </c>
      <c r="C155">
        <v>2019</v>
      </c>
      <c r="D155">
        <v>4</v>
      </c>
      <c r="E155" t="s">
        <v>916</v>
      </c>
      <c r="F155" t="s">
        <v>362</v>
      </c>
      <c r="G155">
        <v>6.5535230000000002</v>
      </c>
      <c r="H155" s="20">
        <f>IF(AND(A155=A154,F155=F154,F155="Winter wheat"),G155*0.9*'BAU Management details'!$F$46,
IF(AND(OR(A155&lt;&gt;A154,F155&lt;&gt;F154),F155="Winter wheat"),G155*'BAU Management details'!$F$46,
IF(F155="Oilseed Rape",G155*'BAU Management details'!$F$47)))</f>
        <v>56.360297799999998</v>
      </c>
      <c r="I155" t="s">
        <v>348</v>
      </c>
      <c r="J155">
        <v>10</v>
      </c>
      <c r="K155" t="s">
        <v>362</v>
      </c>
      <c r="L155" t="s">
        <v>727</v>
      </c>
      <c r="M155">
        <v>3.1</v>
      </c>
      <c r="N155" t="s">
        <v>349</v>
      </c>
      <c r="O155" t="s">
        <v>350</v>
      </c>
      <c r="P155">
        <v>7.5</v>
      </c>
      <c r="Q155" t="s">
        <v>728</v>
      </c>
      <c r="R155" t="s">
        <v>351</v>
      </c>
      <c r="S155">
        <v>220</v>
      </c>
      <c r="T155" s="47" t="s">
        <v>729</v>
      </c>
      <c r="U155" t="s">
        <v>366</v>
      </c>
      <c r="V155" t="s">
        <v>364</v>
      </c>
      <c r="W155" s="47" t="s">
        <v>736</v>
      </c>
      <c r="X155" s="47">
        <v>0</v>
      </c>
      <c r="Y155" s="47" t="s">
        <v>730</v>
      </c>
      <c r="Z155" s="47">
        <v>0</v>
      </c>
      <c r="AA155" s="47" t="s">
        <v>731</v>
      </c>
      <c r="AB155" s="47">
        <v>0</v>
      </c>
      <c r="AC155" s="47" t="s">
        <v>731</v>
      </c>
      <c r="AD155" s="47" t="s">
        <v>731</v>
      </c>
      <c r="AE155" s="47" t="s">
        <v>731</v>
      </c>
      <c r="AF155" s="47">
        <v>0</v>
      </c>
      <c r="AG155" s="47">
        <v>0</v>
      </c>
      <c r="AH155" s="47">
        <v>0</v>
      </c>
      <c r="AI155" s="47" t="s">
        <v>729</v>
      </c>
      <c r="AJ155">
        <v>1</v>
      </c>
      <c r="AK155">
        <v>100</v>
      </c>
    </row>
    <row r="156" spans="1:37" x14ac:dyDescent="0.2">
      <c r="A156" t="s">
        <v>912</v>
      </c>
      <c r="B156" t="s">
        <v>361</v>
      </c>
      <c r="C156">
        <v>2020</v>
      </c>
      <c r="D156">
        <v>5</v>
      </c>
      <c r="E156" t="s">
        <v>917</v>
      </c>
      <c r="F156" t="s">
        <v>362</v>
      </c>
      <c r="G156">
        <v>6.5535230000000002</v>
      </c>
      <c r="H156" s="20">
        <f>IF(AND(A156=A155,F156=F155,F156="Winter wheat"),G156*0.9*'BAU Management details'!$F$46,
IF(AND(OR(A156&lt;&gt;A155,F156&lt;&gt;F155),F156="Winter wheat"),G156*'BAU Management details'!$F$46,
IF(F156="Oilseed Rape",G156*'BAU Management details'!$F$47)))</f>
        <v>50.724268020000004</v>
      </c>
      <c r="I156" t="s">
        <v>348</v>
      </c>
      <c r="J156">
        <v>10</v>
      </c>
      <c r="K156" t="s">
        <v>362</v>
      </c>
      <c r="L156" t="s">
        <v>727</v>
      </c>
      <c r="M156">
        <v>3.1</v>
      </c>
      <c r="N156" t="s">
        <v>349</v>
      </c>
      <c r="O156" t="s">
        <v>350</v>
      </c>
      <c r="P156">
        <v>7.5</v>
      </c>
      <c r="Q156" t="s">
        <v>728</v>
      </c>
      <c r="R156" t="s">
        <v>351</v>
      </c>
      <c r="S156">
        <v>220</v>
      </c>
      <c r="T156" s="47" t="s">
        <v>729</v>
      </c>
      <c r="U156" t="s">
        <v>733</v>
      </c>
      <c r="V156" t="s">
        <v>364</v>
      </c>
      <c r="W156" s="47" t="s">
        <v>736</v>
      </c>
      <c r="X156" s="47">
        <v>0</v>
      </c>
      <c r="Y156" s="47" t="s">
        <v>730</v>
      </c>
      <c r="Z156" s="47">
        <v>0</v>
      </c>
      <c r="AA156" s="47" t="s">
        <v>731</v>
      </c>
      <c r="AB156" s="47">
        <v>0</v>
      </c>
      <c r="AC156" s="47">
        <v>0</v>
      </c>
      <c r="AD156" s="47">
        <v>0</v>
      </c>
      <c r="AE156" s="47" t="s">
        <v>731</v>
      </c>
      <c r="AF156" s="47">
        <v>0</v>
      </c>
      <c r="AG156" s="47">
        <v>0</v>
      </c>
      <c r="AH156" s="47">
        <v>0</v>
      </c>
      <c r="AI156" s="47" t="s">
        <v>729</v>
      </c>
      <c r="AJ156">
        <v>1</v>
      </c>
      <c r="AK156">
        <v>100</v>
      </c>
    </row>
    <row r="157" spans="1:37" x14ac:dyDescent="0.2">
      <c r="A157" t="s">
        <v>912</v>
      </c>
      <c r="B157" t="s">
        <v>361</v>
      </c>
      <c r="C157">
        <v>2021</v>
      </c>
      <c r="D157">
        <v>6</v>
      </c>
      <c r="E157" t="s">
        <v>918</v>
      </c>
      <c r="F157" t="s">
        <v>365</v>
      </c>
      <c r="G157">
        <v>6.5535230000000002</v>
      </c>
      <c r="H157" s="20">
        <f>IF(AND(A157=A156,F157=F156,F157="Winter wheat"),G157*0.9*'BAU Management details'!$F$46,
IF(AND(OR(A157&lt;&gt;A156,F157&lt;&gt;F156),F157="Winter wheat"),G157*'BAU Management details'!$F$46,
IF(F157="Oilseed Rape",G157*'BAU Management details'!$F$47)))</f>
        <v>22.937330500000002</v>
      </c>
      <c r="I157" t="s">
        <v>348</v>
      </c>
      <c r="J157">
        <v>10</v>
      </c>
      <c r="K157" t="s">
        <v>532</v>
      </c>
      <c r="L157" t="s">
        <v>727</v>
      </c>
      <c r="M157">
        <v>3.1</v>
      </c>
      <c r="N157" t="s">
        <v>349</v>
      </c>
      <c r="O157" t="s">
        <v>350</v>
      </c>
      <c r="P157">
        <v>7.5</v>
      </c>
      <c r="Q157" t="s">
        <v>728</v>
      </c>
      <c r="R157" t="s">
        <v>351</v>
      </c>
      <c r="S157">
        <v>220</v>
      </c>
      <c r="T157" s="47" t="s">
        <v>735</v>
      </c>
      <c r="U157" t="s">
        <v>368</v>
      </c>
      <c r="V157" t="s">
        <v>364</v>
      </c>
      <c r="W157" s="47" t="s">
        <v>736</v>
      </c>
      <c r="X157" s="47">
        <v>0</v>
      </c>
      <c r="Y157" s="47" t="s">
        <v>736</v>
      </c>
      <c r="Z157" s="47">
        <v>0</v>
      </c>
      <c r="AA157" s="47" t="s">
        <v>736</v>
      </c>
      <c r="AB157" s="47">
        <v>0</v>
      </c>
      <c r="AC157" s="47">
        <v>0</v>
      </c>
      <c r="AD157" s="47">
        <v>0</v>
      </c>
      <c r="AE157" s="47" t="s">
        <v>731</v>
      </c>
      <c r="AF157" s="47">
        <v>0</v>
      </c>
      <c r="AG157" s="47" t="s">
        <v>731</v>
      </c>
      <c r="AH157" s="47">
        <v>0</v>
      </c>
      <c r="AI157" s="47" t="s">
        <v>735</v>
      </c>
      <c r="AJ157">
        <v>1</v>
      </c>
      <c r="AK157">
        <v>100</v>
      </c>
    </row>
    <row r="158" spans="1:37" x14ac:dyDescent="0.2">
      <c r="A158" t="s">
        <v>919</v>
      </c>
      <c r="B158" t="s">
        <v>361</v>
      </c>
      <c r="C158">
        <v>2016</v>
      </c>
      <c r="D158">
        <v>1</v>
      </c>
      <c r="E158" t="s">
        <v>920</v>
      </c>
      <c r="F158" t="s">
        <v>362</v>
      </c>
      <c r="G158">
        <v>4.6683820000000003</v>
      </c>
      <c r="H158" s="20">
        <f>IF(AND(A158=A157,F158=F157,F158="Winter wheat"),G158*0.9*'BAU Management details'!$F$46,
IF(AND(OR(A158&lt;&gt;A157,F158&lt;&gt;F157),F158="Winter wheat"),G158*'BAU Management details'!$F$46,
IF(F158="Oilseed Rape",G158*'BAU Management details'!$F$47)))</f>
        <v>40.148085199999997</v>
      </c>
      <c r="I158" t="s">
        <v>348</v>
      </c>
      <c r="J158">
        <v>10</v>
      </c>
      <c r="K158" t="s">
        <v>362</v>
      </c>
      <c r="L158" t="s">
        <v>751</v>
      </c>
      <c r="M158">
        <v>2.8</v>
      </c>
      <c r="N158" t="s">
        <v>349</v>
      </c>
      <c r="O158" t="s">
        <v>350</v>
      </c>
      <c r="P158">
        <v>6.5</v>
      </c>
      <c r="Q158" t="s">
        <v>743</v>
      </c>
      <c r="R158" t="s">
        <v>351</v>
      </c>
      <c r="S158">
        <v>220</v>
      </c>
      <c r="T158" s="47" t="s">
        <v>729</v>
      </c>
      <c r="U158" t="s">
        <v>366</v>
      </c>
      <c r="V158" t="s">
        <v>364</v>
      </c>
      <c r="W158" s="47" t="s">
        <v>736</v>
      </c>
      <c r="X158" s="47">
        <v>0</v>
      </c>
      <c r="Y158" s="47" t="s">
        <v>730</v>
      </c>
      <c r="Z158" s="47">
        <v>0</v>
      </c>
      <c r="AA158" s="47" t="s">
        <v>731</v>
      </c>
      <c r="AB158" s="47">
        <v>0</v>
      </c>
      <c r="AC158" s="47" t="s">
        <v>731</v>
      </c>
      <c r="AD158" s="47" t="s">
        <v>731</v>
      </c>
      <c r="AE158" s="47" t="s">
        <v>731</v>
      </c>
      <c r="AF158" s="47">
        <v>0</v>
      </c>
      <c r="AG158" s="47">
        <v>0</v>
      </c>
      <c r="AH158" s="47">
        <v>0</v>
      </c>
      <c r="AI158" s="47" t="s">
        <v>729</v>
      </c>
      <c r="AJ158">
        <v>1</v>
      </c>
      <c r="AK158">
        <v>100</v>
      </c>
    </row>
    <row r="159" spans="1:37" x14ac:dyDescent="0.2">
      <c r="A159" t="s">
        <v>919</v>
      </c>
      <c r="B159" t="s">
        <v>361</v>
      </c>
      <c r="C159">
        <v>2017</v>
      </c>
      <c r="D159">
        <v>2</v>
      </c>
      <c r="E159" t="s">
        <v>921</v>
      </c>
      <c r="F159" t="s">
        <v>362</v>
      </c>
      <c r="G159">
        <v>4.6683820000000003</v>
      </c>
      <c r="H159" s="20">
        <f>IF(AND(A159=A158,F159=F158,F159="Winter wheat"),G159*0.9*'BAU Management details'!$F$46,
IF(AND(OR(A159&lt;&gt;A158,F159&lt;&gt;F158),F159="Winter wheat"),G159*'BAU Management details'!$F$46,
IF(F159="Oilseed Rape",G159*'BAU Management details'!$F$47)))</f>
        <v>36.133276680000002</v>
      </c>
      <c r="I159" t="s">
        <v>348</v>
      </c>
      <c r="J159">
        <v>10</v>
      </c>
      <c r="K159" t="s">
        <v>362</v>
      </c>
      <c r="L159" t="s">
        <v>751</v>
      </c>
      <c r="M159">
        <v>2.8</v>
      </c>
      <c r="N159" t="s">
        <v>349</v>
      </c>
      <c r="O159" t="s">
        <v>350</v>
      </c>
      <c r="P159">
        <v>6.5</v>
      </c>
      <c r="Q159" t="s">
        <v>743</v>
      </c>
      <c r="R159" t="s">
        <v>351</v>
      </c>
      <c r="S159">
        <v>220</v>
      </c>
      <c r="T159" s="47" t="s">
        <v>729</v>
      </c>
      <c r="U159" t="s">
        <v>733</v>
      </c>
      <c r="V159" t="s">
        <v>364</v>
      </c>
      <c r="W159" s="47" t="s">
        <v>736</v>
      </c>
      <c r="X159" s="47">
        <v>0</v>
      </c>
      <c r="Y159" s="47" t="s">
        <v>730</v>
      </c>
      <c r="Z159" s="47">
        <v>0</v>
      </c>
      <c r="AA159" s="47" t="s">
        <v>731</v>
      </c>
      <c r="AB159" s="47">
        <v>0</v>
      </c>
      <c r="AC159" s="47">
        <v>0</v>
      </c>
      <c r="AD159" s="47">
        <v>0</v>
      </c>
      <c r="AE159" s="47" t="s">
        <v>731</v>
      </c>
      <c r="AF159" s="47">
        <v>0</v>
      </c>
      <c r="AG159" s="47">
        <v>0</v>
      </c>
      <c r="AH159" s="47">
        <v>0</v>
      </c>
      <c r="AI159" s="47" t="s">
        <v>729</v>
      </c>
      <c r="AJ159">
        <v>1</v>
      </c>
      <c r="AK159">
        <v>100</v>
      </c>
    </row>
    <row r="160" spans="1:37" x14ac:dyDescent="0.2">
      <c r="A160" t="s">
        <v>919</v>
      </c>
      <c r="B160" t="s">
        <v>361</v>
      </c>
      <c r="C160">
        <v>2018</v>
      </c>
      <c r="D160">
        <v>3</v>
      </c>
      <c r="E160" t="s">
        <v>922</v>
      </c>
      <c r="F160" t="s">
        <v>365</v>
      </c>
      <c r="G160">
        <v>4.6683820000000003</v>
      </c>
      <c r="H160" s="20">
        <f>IF(AND(A160=A159,F160=F159,F160="Winter wheat"),G160*0.9*'BAU Management details'!$F$46,
IF(AND(OR(A160&lt;&gt;A159,F160&lt;&gt;F159),F160="Winter wheat"),G160*'BAU Management details'!$F$46,
IF(F160="Oilseed Rape",G160*'BAU Management details'!$F$47)))</f>
        <v>16.339337</v>
      </c>
      <c r="I160" t="s">
        <v>348</v>
      </c>
      <c r="J160">
        <v>10</v>
      </c>
      <c r="K160" t="s">
        <v>532</v>
      </c>
      <c r="L160" t="s">
        <v>751</v>
      </c>
      <c r="M160">
        <v>2.8</v>
      </c>
      <c r="N160" t="s">
        <v>349</v>
      </c>
      <c r="O160" t="s">
        <v>350</v>
      </c>
      <c r="P160">
        <v>6.5</v>
      </c>
      <c r="Q160" t="s">
        <v>743</v>
      </c>
      <c r="R160" t="s">
        <v>351</v>
      </c>
      <c r="S160">
        <v>220</v>
      </c>
      <c r="T160" s="47" t="s">
        <v>735</v>
      </c>
      <c r="U160" t="s">
        <v>368</v>
      </c>
      <c r="V160" t="s">
        <v>364</v>
      </c>
      <c r="W160" s="47" t="s">
        <v>736</v>
      </c>
      <c r="X160" s="47">
        <v>0</v>
      </c>
      <c r="Y160" s="47" t="s">
        <v>736</v>
      </c>
      <c r="Z160" s="47">
        <v>0</v>
      </c>
      <c r="AA160" s="47" t="s">
        <v>736</v>
      </c>
      <c r="AB160" s="47">
        <v>0</v>
      </c>
      <c r="AC160" s="47">
        <v>0</v>
      </c>
      <c r="AD160" s="47">
        <v>0</v>
      </c>
      <c r="AE160" s="47" t="s">
        <v>731</v>
      </c>
      <c r="AF160" s="47">
        <v>0</v>
      </c>
      <c r="AG160" s="47" t="s">
        <v>731</v>
      </c>
      <c r="AH160" s="47">
        <v>0</v>
      </c>
      <c r="AI160" s="47" t="s">
        <v>735</v>
      </c>
      <c r="AJ160">
        <v>1</v>
      </c>
      <c r="AK160">
        <v>100</v>
      </c>
    </row>
    <row r="161" spans="1:37" x14ac:dyDescent="0.2">
      <c r="A161" t="s">
        <v>919</v>
      </c>
      <c r="B161" t="s">
        <v>361</v>
      </c>
      <c r="C161">
        <v>2019</v>
      </c>
      <c r="D161">
        <v>4</v>
      </c>
      <c r="E161" t="s">
        <v>923</v>
      </c>
      <c r="F161" t="s">
        <v>362</v>
      </c>
      <c r="G161">
        <v>4.6683820000000003</v>
      </c>
      <c r="H161" s="20">
        <f>IF(AND(A161=A160,F161=F160,F161="Winter wheat"),G161*0.9*'BAU Management details'!$F$46,
IF(AND(OR(A161&lt;&gt;A160,F161&lt;&gt;F160),F161="Winter wheat"),G161*'BAU Management details'!$F$46,
IF(F161="Oilseed Rape",G161*'BAU Management details'!$F$47)))</f>
        <v>40.148085199999997</v>
      </c>
      <c r="I161" t="s">
        <v>348</v>
      </c>
      <c r="J161">
        <v>10</v>
      </c>
      <c r="K161" t="s">
        <v>362</v>
      </c>
      <c r="L161" t="s">
        <v>751</v>
      </c>
      <c r="M161">
        <v>2.8</v>
      </c>
      <c r="N161" t="s">
        <v>349</v>
      </c>
      <c r="O161" t="s">
        <v>350</v>
      </c>
      <c r="P161">
        <v>6.5</v>
      </c>
      <c r="Q161" t="s">
        <v>743</v>
      </c>
      <c r="R161" t="s">
        <v>351</v>
      </c>
      <c r="S161">
        <v>220</v>
      </c>
      <c r="T161" s="47" t="s">
        <v>729</v>
      </c>
      <c r="U161" t="s">
        <v>366</v>
      </c>
      <c r="V161" t="s">
        <v>364</v>
      </c>
      <c r="W161" s="47" t="s">
        <v>736</v>
      </c>
      <c r="X161" s="47">
        <v>0</v>
      </c>
      <c r="Y161" s="47" t="s">
        <v>730</v>
      </c>
      <c r="Z161" s="47">
        <v>0</v>
      </c>
      <c r="AA161" s="47" t="s">
        <v>731</v>
      </c>
      <c r="AB161" s="47">
        <v>0</v>
      </c>
      <c r="AC161" s="47" t="s">
        <v>731</v>
      </c>
      <c r="AD161" s="47" t="s">
        <v>731</v>
      </c>
      <c r="AE161" s="47" t="s">
        <v>731</v>
      </c>
      <c r="AF161" s="47">
        <v>0</v>
      </c>
      <c r="AG161" s="47">
        <v>0</v>
      </c>
      <c r="AH161" s="47">
        <v>0</v>
      </c>
      <c r="AI161" s="47" t="s">
        <v>729</v>
      </c>
      <c r="AJ161">
        <v>1</v>
      </c>
      <c r="AK161">
        <v>100</v>
      </c>
    </row>
    <row r="162" spans="1:37" x14ac:dyDescent="0.2">
      <c r="A162" t="s">
        <v>919</v>
      </c>
      <c r="B162" t="s">
        <v>361</v>
      </c>
      <c r="C162">
        <v>2020</v>
      </c>
      <c r="D162">
        <v>5</v>
      </c>
      <c r="E162" t="s">
        <v>924</v>
      </c>
      <c r="F162" t="s">
        <v>362</v>
      </c>
      <c r="G162">
        <v>4.6683820000000003</v>
      </c>
      <c r="H162" s="20">
        <f>IF(AND(A162=A161,F162=F161,F162="Winter wheat"),G162*0.9*'BAU Management details'!$F$46,
IF(AND(OR(A162&lt;&gt;A161,F162&lt;&gt;F161),F162="Winter wheat"),G162*'BAU Management details'!$F$46,
IF(F162="Oilseed Rape",G162*'BAU Management details'!$F$47)))</f>
        <v>36.133276680000002</v>
      </c>
      <c r="I162" t="s">
        <v>348</v>
      </c>
      <c r="J162">
        <v>10</v>
      </c>
      <c r="K162" t="s">
        <v>362</v>
      </c>
      <c r="L162" t="s">
        <v>751</v>
      </c>
      <c r="M162">
        <v>2.8</v>
      </c>
      <c r="N162" t="s">
        <v>349</v>
      </c>
      <c r="O162" t="s">
        <v>350</v>
      </c>
      <c r="P162">
        <v>6.5</v>
      </c>
      <c r="Q162" t="s">
        <v>743</v>
      </c>
      <c r="R162" t="s">
        <v>351</v>
      </c>
      <c r="S162">
        <v>220</v>
      </c>
      <c r="T162" s="47" t="s">
        <v>729</v>
      </c>
      <c r="U162" t="s">
        <v>733</v>
      </c>
      <c r="V162" t="s">
        <v>364</v>
      </c>
      <c r="W162" s="47" t="s">
        <v>736</v>
      </c>
      <c r="X162" s="47">
        <v>0</v>
      </c>
      <c r="Y162" s="47" t="s">
        <v>730</v>
      </c>
      <c r="Z162" s="47">
        <v>0</v>
      </c>
      <c r="AA162" s="47" t="s">
        <v>731</v>
      </c>
      <c r="AB162" s="47">
        <v>0</v>
      </c>
      <c r="AC162" s="47">
        <v>0</v>
      </c>
      <c r="AD162" s="47">
        <v>0</v>
      </c>
      <c r="AE162" s="47" t="s">
        <v>731</v>
      </c>
      <c r="AF162" s="47">
        <v>0</v>
      </c>
      <c r="AG162" s="47">
        <v>0</v>
      </c>
      <c r="AH162" s="47">
        <v>0</v>
      </c>
      <c r="AI162" s="47" t="s">
        <v>729</v>
      </c>
      <c r="AJ162">
        <v>1</v>
      </c>
      <c r="AK162">
        <v>100</v>
      </c>
    </row>
    <row r="163" spans="1:37" x14ac:dyDescent="0.2">
      <c r="A163" t="s">
        <v>919</v>
      </c>
      <c r="B163" t="s">
        <v>361</v>
      </c>
      <c r="C163">
        <v>2021</v>
      </c>
      <c r="D163">
        <v>6</v>
      </c>
      <c r="E163" t="s">
        <v>925</v>
      </c>
      <c r="F163" t="s">
        <v>365</v>
      </c>
      <c r="G163">
        <v>4.6683820000000003</v>
      </c>
      <c r="H163" s="20">
        <f>IF(AND(A163=A162,F163=F162,F163="Winter wheat"),G163*0.9*'BAU Management details'!$F$46,
IF(AND(OR(A163&lt;&gt;A162,F163&lt;&gt;F162),F163="Winter wheat"),G163*'BAU Management details'!$F$46,
IF(F163="Oilseed Rape",G163*'BAU Management details'!$F$47)))</f>
        <v>16.339337</v>
      </c>
      <c r="I163" t="s">
        <v>348</v>
      </c>
      <c r="J163">
        <v>10</v>
      </c>
      <c r="K163" t="s">
        <v>532</v>
      </c>
      <c r="L163" t="s">
        <v>751</v>
      </c>
      <c r="M163">
        <v>2.8</v>
      </c>
      <c r="N163" t="s">
        <v>349</v>
      </c>
      <c r="O163" t="s">
        <v>350</v>
      </c>
      <c r="P163">
        <v>6.5</v>
      </c>
      <c r="Q163" t="s">
        <v>743</v>
      </c>
      <c r="R163" t="s">
        <v>351</v>
      </c>
      <c r="S163">
        <v>220</v>
      </c>
      <c r="T163" s="47" t="s">
        <v>735</v>
      </c>
      <c r="U163" t="s">
        <v>368</v>
      </c>
      <c r="V163" t="s">
        <v>364</v>
      </c>
      <c r="W163" s="47" t="s">
        <v>736</v>
      </c>
      <c r="X163" s="47">
        <v>0</v>
      </c>
      <c r="Y163" s="47" t="s">
        <v>736</v>
      </c>
      <c r="Z163" s="47">
        <v>0</v>
      </c>
      <c r="AA163" s="47" t="s">
        <v>736</v>
      </c>
      <c r="AB163" s="47">
        <v>0</v>
      </c>
      <c r="AC163" s="47">
        <v>0</v>
      </c>
      <c r="AD163" s="47">
        <v>0</v>
      </c>
      <c r="AE163" s="47" t="s">
        <v>731</v>
      </c>
      <c r="AF163" s="47">
        <v>0</v>
      </c>
      <c r="AG163" s="47" t="s">
        <v>731</v>
      </c>
      <c r="AH163" s="47">
        <v>0</v>
      </c>
      <c r="AI163" s="47" t="s">
        <v>735</v>
      </c>
      <c r="AJ163">
        <v>1</v>
      </c>
      <c r="AK163">
        <v>100</v>
      </c>
    </row>
    <row r="164" spans="1:37" x14ac:dyDescent="0.2">
      <c r="A164" t="s">
        <v>926</v>
      </c>
      <c r="B164" t="s">
        <v>361</v>
      </c>
      <c r="C164">
        <v>2016</v>
      </c>
      <c r="D164">
        <v>1</v>
      </c>
      <c r="E164" t="s">
        <v>927</v>
      </c>
      <c r="F164" t="s">
        <v>362</v>
      </c>
      <c r="G164">
        <v>12.172211000000001</v>
      </c>
      <c r="H164" s="20">
        <f>IF(AND(A164=A163,F164=F163,F164="Winter wheat"),G164*0.9*'BAU Management details'!$F$46,
IF(AND(OR(A164&lt;&gt;A163,F164&lt;&gt;F163),F164="Winter wheat"),G164*'BAU Management details'!$F$46,
IF(F164="Oilseed Rape",G164*'BAU Management details'!$F$47)))</f>
        <v>104.6810146</v>
      </c>
      <c r="I164" t="s">
        <v>348</v>
      </c>
      <c r="J164">
        <v>10</v>
      </c>
      <c r="K164" t="s">
        <v>362</v>
      </c>
      <c r="L164" t="s">
        <v>751</v>
      </c>
      <c r="M164">
        <v>2.9</v>
      </c>
      <c r="N164" t="s">
        <v>349</v>
      </c>
      <c r="O164" t="s">
        <v>350</v>
      </c>
      <c r="P164">
        <v>7.7</v>
      </c>
      <c r="Q164" t="s">
        <v>728</v>
      </c>
      <c r="R164" t="s">
        <v>351</v>
      </c>
      <c r="S164">
        <v>220</v>
      </c>
      <c r="T164" s="47" t="s">
        <v>729</v>
      </c>
      <c r="U164" t="s">
        <v>366</v>
      </c>
      <c r="V164" t="s">
        <v>364</v>
      </c>
      <c r="W164" s="47" t="s">
        <v>736</v>
      </c>
      <c r="X164" s="47">
        <v>0</v>
      </c>
      <c r="Y164" s="47" t="s">
        <v>730</v>
      </c>
      <c r="Z164" s="47">
        <v>0</v>
      </c>
      <c r="AA164" s="47" t="s">
        <v>731</v>
      </c>
      <c r="AB164" s="47">
        <v>0</v>
      </c>
      <c r="AC164" s="47" t="s">
        <v>731</v>
      </c>
      <c r="AD164" s="47" t="s">
        <v>731</v>
      </c>
      <c r="AE164" s="47" t="s">
        <v>731</v>
      </c>
      <c r="AF164" s="47">
        <v>0</v>
      </c>
      <c r="AG164" s="47">
        <v>0</v>
      </c>
      <c r="AH164" s="47">
        <v>0</v>
      </c>
      <c r="AI164" s="47" t="s">
        <v>729</v>
      </c>
      <c r="AJ164">
        <v>1</v>
      </c>
      <c r="AK164">
        <v>100</v>
      </c>
    </row>
    <row r="165" spans="1:37" x14ac:dyDescent="0.2">
      <c r="A165" t="s">
        <v>926</v>
      </c>
      <c r="B165" t="s">
        <v>361</v>
      </c>
      <c r="C165">
        <v>2017</v>
      </c>
      <c r="D165">
        <v>2</v>
      </c>
      <c r="E165" t="s">
        <v>928</v>
      </c>
      <c r="F165" t="s">
        <v>362</v>
      </c>
      <c r="G165">
        <v>12.172211000000001</v>
      </c>
      <c r="H165" s="20">
        <f>IF(AND(A165=A164,F165=F164,F165="Winter wheat"),G165*0.9*'BAU Management details'!$F$46,
IF(AND(OR(A165&lt;&gt;A164,F165&lt;&gt;F164),F165="Winter wheat"),G165*'BAU Management details'!$F$46,
IF(F165="Oilseed Rape",G165*'BAU Management details'!$F$47)))</f>
        <v>94.212913140000012</v>
      </c>
      <c r="I165" t="s">
        <v>348</v>
      </c>
      <c r="J165">
        <v>10</v>
      </c>
      <c r="K165" t="s">
        <v>362</v>
      </c>
      <c r="L165" t="s">
        <v>751</v>
      </c>
      <c r="M165">
        <v>2.9</v>
      </c>
      <c r="N165" t="s">
        <v>349</v>
      </c>
      <c r="O165" t="s">
        <v>350</v>
      </c>
      <c r="P165">
        <v>7.7</v>
      </c>
      <c r="Q165" t="s">
        <v>728</v>
      </c>
      <c r="R165" t="s">
        <v>351</v>
      </c>
      <c r="S165">
        <v>220</v>
      </c>
      <c r="T165" s="47" t="s">
        <v>729</v>
      </c>
      <c r="U165" t="s">
        <v>733</v>
      </c>
      <c r="V165" t="s">
        <v>364</v>
      </c>
      <c r="W165" s="47" t="s">
        <v>736</v>
      </c>
      <c r="X165" s="47">
        <v>0</v>
      </c>
      <c r="Y165" s="47" t="s">
        <v>730</v>
      </c>
      <c r="Z165" s="47">
        <v>0</v>
      </c>
      <c r="AA165" s="47" t="s">
        <v>731</v>
      </c>
      <c r="AB165" s="47">
        <v>0</v>
      </c>
      <c r="AC165" s="47">
        <v>0</v>
      </c>
      <c r="AD165" s="47">
        <v>0</v>
      </c>
      <c r="AE165" s="47" t="s">
        <v>731</v>
      </c>
      <c r="AF165" s="47">
        <v>0</v>
      </c>
      <c r="AG165" s="47">
        <v>0</v>
      </c>
      <c r="AH165" s="47">
        <v>0</v>
      </c>
      <c r="AI165" s="47" t="s">
        <v>729</v>
      </c>
      <c r="AJ165">
        <v>1</v>
      </c>
      <c r="AK165">
        <v>100</v>
      </c>
    </row>
    <row r="166" spans="1:37" x14ac:dyDescent="0.2">
      <c r="A166" t="s">
        <v>926</v>
      </c>
      <c r="B166" t="s">
        <v>361</v>
      </c>
      <c r="C166">
        <v>2018</v>
      </c>
      <c r="D166">
        <v>3</v>
      </c>
      <c r="E166" t="s">
        <v>929</v>
      </c>
      <c r="F166" t="s">
        <v>365</v>
      </c>
      <c r="G166">
        <v>12.172211000000001</v>
      </c>
      <c r="H166" s="20">
        <f>IF(AND(A166=A165,F166=F165,F166="Winter wheat"),G166*0.9*'BAU Management details'!$F$46,
IF(AND(OR(A166&lt;&gt;A165,F166&lt;&gt;F165),F166="Winter wheat"),G166*'BAU Management details'!$F$46,
IF(F166="Oilseed Rape",G166*'BAU Management details'!$F$47)))</f>
        <v>42.602738500000001</v>
      </c>
      <c r="I166" t="s">
        <v>348</v>
      </c>
      <c r="J166">
        <v>10</v>
      </c>
      <c r="K166" t="s">
        <v>532</v>
      </c>
      <c r="L166" t="s">
        <v>751</v>
      </c>
      <c r="M166">
        <v>2.9</v>
      </c>
      <c r="N166" t="s">
        <v>349</v>
      </c>
      <c r="O166" t="s">
        <v>350</v>
      </c>
      <c r="P166">
        <v>7.7</v>
      </c>
      <c r="Q166" t="s">
        <v>728</v>
      </c>
      <c r="R166" t="s">
        <v>351</v>
      </c>
      <c r="S166">
        <v>220</v>
      </c>
      <c r="T166" s="47" t="s">
        <v>735</v>
      </c>
      <c r="U166" t="s">
        <v>368</v>
      </c>
      <c r="V166" t="s">
        <v>364</v>
      </c>
      <c r="W166" s="47" t="s">
        <v>736</v>
      </c>
      <c r="X166" s="47">
        <v>0</v>
      </c>
      <c r="Y166" s="47" t="s">
        <v>736</v>
      </c>
      <c r="Z166" s="47">
        <v>0</v>
      </c>
      <c r="AA166" s="47" t="s">
        <v>736</v>
      </c>
      <c r="AB166" s="47">
        <v>0</v>
      </c>
      <c r="AC166" s="47">
        <v>0</v>
      </c>
      <c r="AD166" s="47">
        <v>0</v>
      </c>
      <c r="AE166" s="47" t="s">
        <v>731</v>
      </c>
      <c r="AF166" s="47">
        <v>0</v>
      </c>
      <c r="AG166" s="47" t="s">
        <v>731</v>
      </c>
      <c r="AH166" s="47">
        <v>0</v>
      </c>
      <c r="AI166" s="47" t="s">
        <v>735</v>
      </c>
      <c r="AJ166">
        <v>1</v>
      </c>
      <c r="AK166">
        <v>100</v>
      </c>
    </row>
    <row r="167" spans="1:37" x14ac:dyDescent="0.2">
      <c r="A167" t="s">
        <v>926</v>
      </c>
      <c r="B167" t="s">
        <v>361</v>
      </c>
      <c r="C167">
        <v>2019</v>
      </c>
      <c r="D167">
        <v>4</v>
      </c>
      <c r="E167" t="s">
        <v>930</v>
      </c>
      <c r="F167" t="s">
        <v>362</v>
      </c>
      <c r="G167">
        <v>12.172211000000001</v>
      </c>
      <c r="H167" s="20">
        <f>IF(AND(A167=A166,F167=F166,F167="Winter wheat"),G167*0.9*'BAU Management details'!$F$46,
IF(AND(OR(A167&lt;&gt;A166,F167&lt;&gt;F166),F167="Winter wheat"),G167*'BAU Management details'!$F$46,
IF(F167="Oilseed Rape",G167*'BAU Management details'!$F$47)))</f>
        <v>104.6810146</v>
      </c>
      <c r="I167" t="s">
        <v>348</v>
      </c>
      <c r="J167">
        <v>10</v>
      </c>
      <c r="K167" t="s">
        <v>362</v>
      </c>
      <c r="L167" t="s">
        <v>751</v>
      </c>
      <c r="M167">
        <v>2.9</v>
      </c>
      <c r="N167" t="s">
        <v>349</v>
      </c>
      <c r="O167" t="s">
        <v>350</v>
      </c>
      <c r="P167">
        <v>7.7</v>
      </c>
      <c r="Q167" t="s">
        <v>728</v>
      </c>
      <c r="R167" t="s">
        <v>351</v>
      </c>
      <c r="S167">
        <v>220</v>
      </c>
      <c r="T167" s="47" t="s">
        <v>729</v>
      </c>
      <c r="U167" t="s">
        <v>366</v>
      </c>
      <c r="V167" t="s">
        <v>364</v>
      </c>
      <c r="W167" s="47" t="s">
        <v>736</v>
      </c>
      <c r="X167" s="47">
        <v>0</v>
      </c>
      <c r="Y167" s="47" t="s">
        <v>730</v>
      </c>
      <c r="Z167" s="47">
        <v>0</v>
      </c>
      <c r="AA167" s="47" t="s">
        <v>731</v>
      </c>
      <c r="AB167" s="47">
        <v>0</v>
      </c>
      <c r="AC167" s="47" t="s">
        <v>731</v>
      </c>
      <c r="AD167" s="47" t="s">
        <v>731</v>
      </c>
      <c r="AE167" s="47" t="s">
        <v>731</v>
      </c>
      <c r="AF167" s="47">
        <v>0</v>
      </c>
      <c r="AG167" s="47">
        <v>0</v>
      </c>
      <c r="AH167" s="47">
        <v>0</v>
      </c>
      <c r="AI167" s="47" t="s">
        <v>729</v>
      </c>
      <c r="AJ167">
        <v>1</v>
      </c>
      <c r="AK167">
        <v>100</v>
      </c>
    </row>
    <row r="168" spans="1:37" x14ac:dyDescent="0.2">
      <c r="A168" t="s">
        <v>926</v>
      </c>
      <c r="B168" t="s">
        <v>361</v>
      </c>
      <c r="C168">
        <v>2020</v>
      </c>
      <c r="D168">
        <v>5</v>
      </c>
      <c r="E168" t="s">
        <v>931</v>
      </c>
      <c r="F168" t="s">
        <v>362</v>
      </c>
      <c r="G168">
        <v>12.172211000000001</v>
      </c>
      <c r="H168" s="20">
        <f>IF(AND(A168=A167,F168=F167,F168="Winter wheat"),G168*0.9*'BAU Management details'!$F$46,
IF(AND(OR(A168&lt;&gt;A167,F168&lt;&gt;F167),F168="Winter wheat"),G168*'BAU Management details'!$F$46,
IF(F168="Oilseed Rape",G168*'BAU Management details'!$F$47)))</f>
        <v>94.212913140000012</v>
      </c>
      <c r="I168" t="s">
        <v>348</v>
      </c>
      <c r="J168">
        <v>10</v>
      </c>
      <c r="K168" t="s">
        <v>362</v>
      </c>
      <c r="L168" t="s">
        <v>751</v>
      </c>
      <c r="M168">
        <v>2.9</v>
      </c>
      <c r="N168" t="s">
        <v>349</v>
      </c>
      <c r="O168" t="s">
        <v>350</v>
      </c>
      <c r="P168">
        <v>7.7</v>
      </c>
      <c r="Q168" t="s">
        <v>728</v>
      </c>
      <c r="R168" t="s">
        <v>351</v>
      </c>
      <c r="S168">
        <v>220</v>
      </c>
      <c r="T168" s="47" t="s">
        <v>729</v>
      </c>
      <c r="U168" t="s">
        <v>733</v>
      </c>
      <c r="V168" t="s">
        <v>364</v>
      </c>
      <c r="W168" s="47" t="s">
        <v>736</v>
      </c>
      <c r="X168" s="47">
        <v>0</v>
      </c>
      <c r="Y168" s="47" t="s">
        <v>730</v>
      </c>
      <c r="Z168" s="47">
        <v>0</v>
      </c>
      <c r="AA168" s="47" t="s">
        <v>731</v>
      </c>
      <c r="AB168" s="47">
        <v>0</v>
      </c>
      <c r="AC168" s="47">
        <v>0</v>
      </c>
      <c r="AD168" s="47">
        <v>0</v>
      </c>
      <c r="AE168" s="47" t="s">
        <v>731</v>
      </c>
      <c r="AF168" s="47">
        <v>0</v>
      </c>
      <c r="AG168" s="47">
        <v>0</v>
      </c>
      <c r="AH168" s="47">
        <v>0</v>
      </c>
      <c r="AI168" s="47" t="s">
        <v>729</v>
      </c>
      <c r="AJ168">
        <v>1</v>
      </c>
      <c r="AK168">
        <v>100</v>
      </c>
    </row>
    <row r="169" spans="1:37" x14ac:dyDescent="0.2">
      <c r="A169" t="s">
        <v>926</v>
      </c>
      <c r="B169" t="s">
        <v>361</v>
      </c>
      <c r="C169">
        <v>2021</v>
      </c>
      <c r="D169">
        <v>6</v>
      </c>
      <c r="E169" t="s">
        <v>932</v>
      </c>
      <c r="F169" t="s">
        <v>365</v>
      </c>
      <c r="G169">
        <v>12.172211000000001</v>
      </c>
      <c r="H169" s="20">
        <f>IF(AND(A169=A168,F169=F168,F169="Winter wheat"),G169*0.9*'BAU Management details'!$F$46,
IF(AND(OR(A169&lt;&gt;A168,F169&lt;&gt;F168),F169="Winter wheat"),G169*'BAU Management details'!$F$46,
IF(F169="Oilseed Rape",G169*'BAU Management details'!$F$47)))</f>
        <v>42.602738500000001</v>
      </c>
      <c r="I169" t="s">
        <v>348</v>
      </c>
      <c r="J169">
        <v>10</v>
      </c>
      <c r="K169" t="s">
        <v>532</v>
      </c>
      <c r="L169" t="s">
        <v>751</v>
      </c>
      <c r="M169">
        <v>2.9</v>
      </c>
      <c r="N169" t="s">
        <v>349</v>
      </c>
      <c r="O169" t="s">
        <v>350</v>
      </c>
      <c r="P169">
        <v>7.7</v>
      </c>
      <c r="Q169" t="s">
        <v>728</v>
      </c>
      <c r="R169" t="s">
        <v>351</v>
      </c>
      <c r="S169">
        <v>220</v>
      </c>
      <c r="T169" s="47" t="s">
        <v>735</v>
      </c>
      <c r="U169" t="s">
        <v>368</v>
      </c>
      <c r="V169" t="s">
        <v>364</v>
      </c>
      <c r="W169" s="47" t="s">
        <v>736</v>
      </c>
      <c r="X169" s="47">
        <v>0</v>
      </c>
      <c r="Y169" s="47" t="s">
        <v>736</v>
      </c>
      <c r="Z169" s="47">
        <v>0</v>
      </c>
      <c r="AA169" s="47" t="s">
        <v>736</v>
      </c>
      <c r="AB169" s="47">
        <v>0</v>
      </c>
      <c r="AC169" s="47">
        <v>0</v>
      </c>
      <c r="AD169" s="47">
        <v>0</v>
      </c>
      <c r="AE169" s="47" t="s">
        <v>731</v>
      </c>
      <c r="AF169" s="47">
        <v>0</v>
      </c>
      <c r="AG169" s="47" t="s">
        <v>731</v>
      </c>
      <c r="AH169" s="47">
        <v>0</v>
      </c>
      <c r="AI169" s="47" t="s">
        <v>735</v>
      </c>
      <c r="AJ169">
        <v>1</v>
      </c>
      <c r="AK169">
        <v>100</v>
      </c>
    </row>
    <row r="170" spans="1:37" x14ac:dyDescent="0.2">
      <c r="A170" t="s">
        <v>933</v>
      </c>
      <c r="B170" t="s">
        <v>361</v>
      </c>
      <c r="C170">
        <v>2016</v>
      </c>
      <c r="D170">
        <v>1</v>
      </c>
      <c r="E170" t="s">
        <v>934</v>
      </c>
      <c r="F170" t="s">
        <v>362</v>
      </c>
      <c r="G170">
        <v>14.226456000000001</v>
      </c>
      <c r="H170" s="20">
        <f>IF(AND(A170=A169,F170=F169,F170="Winter wheat"),G170*0.9*'BAU Management details'!$F$46,
IF(AND(OR(A170&lt;&gt;A169,F170&lt;&gt;F169),F170="Winter wheat"),G170*'BAU Management details'!$F$46,
IF(F170="Oilseed Rape",G170*'BAU Management details'!$F$47)))</f>
        <v>122.34752160000001</v>
      </c>
      <c r="I170" t="s">
        <v>348</v>
      </c>
      <c r="J170">
        <v>10</v>
      </c>
      <c r="K170" t="s">
        <v>362</v>
      </c>
      <c r="L170" t="s">
        <v>751</v>
      </c>
      <c r="M170">
        <v>2.6</v>
      </c>
      <c r="N170" t="s">
        <v>349</v>
      </c>
      <c r="O170" t="s">
        <v>350</v>
      </c>
      <c r="P170">
        <v>7.8</v>
      </c>
      <c r="Q170" t="s">
        <v>728</v>
      </c>
      <c r="R170" t="s">
        <v>351</v>
      </c>
      <c r="S170">
        <v>220</v>
      </c>
      <c r="T170" s="47" t="s">
        <v>729</v>
      </c>
      <c r="U170" t="s">
        <v>366</v>
      </c>
      <c r="V170" t="s">
        <v>364</v>
      </c>
      <c r="W170" s="47" t="s">
        <v>736</v>
      </c>
      <c r="X170" s="47">
        <v>0</v>
      </c>
      <c r="Y170" s="47" t="s">
        <v>730</v>
      </c>
      <c r="Z170" s="47">
        <v>0</v>
      </c>
      <c r="AA170" s="47" t="s">
        <v>731</v>
      </c>
      <c r="AB170" s="47">
        <v>0</v>
      </c>
      <c r="AC170" s="47" t="s">
        <v>731</v>
      </c>
      <c r="AD170" s="47" t="s">
        <v>731</v>
      </c>
      <c r="AE170" s="47" t="s">
        <v>731</v>
      </c>
      <c r="AF170" s="47">
        <v>0</v>
      </c>
      <c r="AG170" s="47">
        <v>0</v>
      </c>
      <c r="AH170" s="47">
        <v>0</v>
      </c>
      <c r="AI170" s="47" t="s">
        <v>729</v>
      </c>
      <c r="AJ170">
        <v>1</v>
      </c>
      <c r="AK170">
        <v>100</v>
      </c>
    </row>
    <row r="171" spans="1:37" x14ac:dyDescent="0.2">
      <c r="A171" t="s">
        <v>933</v>
      </c>
      <c r="B171" t="s">
        <v>361</v>
      </c>
      <c r="C171">
        <v>2017</v>
      </c>
      <c r="D171">
        <v>2</v>
      </c>
      <c r="E171" t="s">
        <v>935</v>
      </c>
      <c r="F171" t="s">
        <v>362</v>
      </c>
      <c r="G171">
        <v>14.226456000000001</v>
      </c>
      <c r="H171" s="20">
        <f>IF(AND(A171=A170,F171=F170,F171="Winter wheat"),G171*0.9*'BAU Management details'!$F$46,
IF(AND(OR(A171&lt;&gt;A170,F171&lt;&gt;F170),F171="Winter wheat"),G171*'BAU Management details'!$F$46,
IF(F171="Oilseed Rape",G171*'BAU Management details'!$F$47)))</f>
        <v>110.11276944000001</v>
      </c>
      <c r="I171" t="s">
        <v>348</v>
      </c>
      <c r="J171">
        <v>10</v>
      </c>
      <c r="K171" t="s">
        <v>362</v>
      </c>
      <c r="L171" t="s">
        <v>751</v>
      </c>
      <c r="M171">
        <v>2.6</v>
      </c>
      <c r="N171" t="s">
        <v>349</v>
      </c>
      <c r="O171" t="s">
        <v>350</v>
      </c>
      <c r="P171">
        <v>7.8</v>
      </c>
      <c r="Q171" t="s">
        <v>728</v>
      </c>
      <c r="R171" t="s">
        <v>351</v>
      </c>
      <c r="S171">
        <v>220</v>
      </c>
      <c r="T171" s="47" t="s">
        <v>729</v>
      </c>
      <c r="U171" t="s">
        <v>733</v>
      </c>
      <c r="V171" t="s">
        <v>364</v>
      </c>
      <c r="W171" s="47" t="s">
        <v>736</v>
      </c>
      <c r="X171" s="47">
        <v>0</v>
      </c>
      <c r="Y171" s="47" t="s">
        <v>730</v>
      </c>
      <c r="Z171" s="47">
        <v>0</v>
      </c>
      <c r="AA171" s="47" t="s">
        <v>731</v>
      </c>
      <c r="AB171" s="47">
        <v>0</v>
      </c>
      <c r="AC171" s="47">
        <v>0</v>
      </c>
      <c r="AD171" s="47">
        <v>0</v>
      </c>
      <c r="AE171" s="47" t="s">
        <v>731</v>
      </c>
      <c r="AF171" s="47">
        <v>0</v>
      </c>
      <c r="AG171" s="47">
        <v>0</v>
      </c>
      <c r="AH171" s="47">
        <v>0</v>
      </c>
      <c r="AI171" s="47" t="s">
        <v>729</v>
      </c>
      <c r="AJ171">
        <v>1</v>
      </c>
      <c r="AK171">
        <v>100</v>
      </c>
    </row>
    <row r="172" spans="1:37" x14ac:dyDescent="0.2">
      <c r="A172" t="s">
        <v>933</v>
      </c>
      <c r="B172" t="s">
        <v>361</v>
      </c>
      <c r="C172">
        <v>2018</v>
      </c>
      <c r="D172">
        <v>3</v>
      </c>
      <c r="E172" t="s">
        <v>936</v>
      </c>
      <c r="F172" t="s">
        <v>365</v>
      </c>
      <c r="G172">
        <v>14.226456000000001</v>
      </c>
      <c r="H172" s="20">
        <f>IF(AND(A172=A171,F172=F171,F172="Winter wheat"),G172*0.9*'BAU Management details'!$F$46,
IF(AND(OR(A172&lt;&gt;A171,F172&lt;&gt;F171),F172="Winter wheat"),G172*'BAU Management details'!$F$46,
IF(F172="Oilseed Rape",G172*'BAU Management details'!$F$47)))</f>
        <v>49.792596000000003</v>
      </c>
      <c r="I172" t="s">
        <v>348</v>
      </c>
      <c r="J172">
        <v>10</v>
      </c>
      <c r="K172" t="s">
        <v>532</v>
      </c>
      <c r="L172" t="s">
        <v>751</v>
      </c>
      <c r="M172">
        <v>2.6</v>
      </c>
      <c r="N172" t="s">
        <v>349</v>
      </c>
      <c r="O172" t="s">
        <v>350</v>
      </c>
      <c r="P172">
        <v>7.8</v>
      </c>
      <c r="Q172" t="s">
        <v>728</v>
      </c>
      <c r="R172" t="s">
        <v>351</v>
      </c>
      <c r="S172">
        <v>220</v>
      </c>
      <c r="T172" s="47" t="s">
        <v>735</v>
      </c>
      <c r="U172" t="s">
        <v>368</v>
      </c>
      <c r="V172" t="s">
        <v>364</v>
      </c>
      <c r="W172" s="47" t="s">
        <v>736</v>
      </c>
      <c r="X172" s="47">
        <v>0</v>
      </c>
      <c r="Y172" s="47" t="s">
        <v>736</v>
      </c>
      <c r="Z172" s="47">
        <v>0</v>
      </c>
      <c r="AA172" s="47" t="s">
        <v>736</v>
      </c>
      <c r="AB172" s="47">
        <v>0</v>
      </c>
      <c r="AC172" s="47">
        <v>0</v>
      </c>
      <c r="AD172" s="47">
        <v>0</v>
      </c>
      <c r="AE172" s="47" t="s">
        <v>731</v>
      </c>
      <c r="AF172" s="47">
        <v>0</v>
      </c>
      <c r="AG172" s="47" t="s">
        <v>731</v>
      </c>
      <c r="AH172" s="47">
        <v>0</v>
      </c>
      <c r="AI172" s="47" t="s">
        <v>735</v>
      </c>
      <c r="AJ172">
        <v>1</v>
      </c>
      <c r="AK172">
        <v>100</v>
      </c>
    </row>
    <row r="173" spans="1:37" x14ac:dyDescent="0.2">
      <c r="A173" t="s">
        <v>933</v>
      </c>
      <c r="B173" t="s">
        <v>361</v>
      </c>
      <c r="C173">
        <v>2019</v>
      </c>
      <c r="D173">
        <v>4</v>
      </c>
      <c r="E173" t="s">
        <v>937</v>
      </c>
      <c r="F173" t="s">
        <v>362</v>
      </c>
      <c r="G173">
        <v>14.226456000000001</v>
      </c>
      <c r="H173" s="20">
        <f>IF(AND(A173=A172,F173=F172,F173="Winter wheat"),G173*0.9*'BAU Management details'!$F$46,
IF(AND(OR(A173&lt;&gt;A172,F173&lt;&gt;F172),F173="Winter wheat"),G173*'BAU Management details'!$F$46,
IF(F173="Oilseed Rape",G173*'BAU Management details'!$F$47)))</f>
        <v>122.34752160000001</v>
      </c>
      <c r="I173" t="s">
        <v>348</v>
      </c>
      <c r="J173">
        <v>10</v>
      </c>
      <c r="K173" t="s">
        <v>362</v>
      </c>
      <c r="L173" t="s">
        <v>751</v>
      </c>
      <c r="M173">
        <v>2.6</v>
      </c>
      <c r="N173" t="s">
        <v>349</v>
      </c>
      <c r="O173" t="s">
        <v>350</v>
      </c>
      <c r="P173">
        <v>7.8</v>
      </c>
      <c r="Q173" t="s">
        <v>728</v>
      </c>
      <c r="R173" t="s">
        <v>351</v>
      </c>
      <c r="S173">
        <v>220</v>
      </c>
      <c r="T173" s="47" t="s">
        <v>729</v>
      </c>
      <c r="U173" t="s">
        <v>366</v>
      </c>
      <c r="V173" t="s">
        <v>364</v>
      </c>
      <c r="W173" s="47" t="s">
        <v>736</v>
      </c>
      <c r="X173" s="47">
        <v>0</v>
      </c>
      <c r="Y173" s="47" t="s">
        <v>730</v>
      </c>
      <c r="Z173" s="47">
        <v>0</v>
      </c>
      <c r="AA173" s="47" t="s">
        <v>731</v>
      </c>
      <c r="AB173" s="47">
        <v>0</v>
      </c>
      <c r="AC173" s="47" t="s">
        <v>731</v>
      </c>
      <c r="AD173" s="47" t="s">
        <v>731</v>
      </c>
      <c r="AE173" s="47" t="s">
        <v>731</v>
      </c>
      <c r="AF173" s="47">
        <v>0</v>
      </c>
      <c r="AG173" s="47">
        <v>0</v>
      </c>
      <c r="AH173" s="47">
        <v>0</v>
      </c>
      <c r="AI173" s="47" t="s">
        <v>729</v>
      </c>
      <c r="AJ173">
        <v>1</v>
      </c>
      <c r="AK173">
        <v>100</v>
      </c>
    </row>
    <row r="174" spans="1:37" x14ac:dyDescent="0.2">
      <c r="A174" t="s">
        <v>933</v>
      </c>
      <c r="B174" t="s">
        <v>361</v>
      </c>
      <c r="C174">
        <v>2020</v>
      </c>
      <c r="D174">
        <v>5</v>
      </c>
      <c r="E174" t="s">
        <v>938</v>
      </c>
      <c r="F174" t="s">
        <v>362</v>
      </c>
      <c r="G174">
        <v>14.226456000000001</v>
      </c>
      <c r="H174" s="20">
        <f>IF(AND(A174=A173,F174=F173,F174="Winter wheat"),G174*0.9*'BAU Management details'!$F$46,
IF(AND(OR(A174&lt;&gt;A173,F174&lt;&gt;F173),F174="Winter wheat"),G174*'BAU Management details'!$F$46,
IF(F174="Oilseed Rape",G174*'BAU Management details'!$F$47)))</f>
        <v>110.11276944000001</v>
      </c>
      <c r="I174" t="s">
        <v>348</v>
      </c>
      <c r="J174">
        <v>10</v>
      </c>
      <c r="K174" t="s">
        <v>362</v>
      </c>
      <c r="L174" t="s">
        <v>751</v>
      </c>
      <c r="M174">
        <v>2.6</v>
      </c>
      <c r="N174" t="s">
        <v>349</v>
      </c>
      <c r="O174" t="s">
        <v>350</v>
      </c>
      <c r="P174">
        <v>7.8</v>
      </c>
      <c r="Q174" t="s">
        <v>728</v>
      </c>
      <c r="R174" t="s">
        <v>351</v>
      </c>
      <c r="S174">
        <v>220</v>
      </c>
      <c r="T174" s="47" t="s">
        <v>729</v>
      </c>
      <c r="U174" t="s">
        <v>733</v>
      </c>
      <c r="V174" t="s">
        <v>364</v>
      </c>
      <c r="W174" s="47" t="s">
        <v>736</v>
      </c>
      <c r="X174" s="47">
        <v>0</v>
      </c>
      <c r="Y174" s="47" t="s">
        <v>730</v>
      </c>
      <c r="Z174" s="47">
        <v>0</v>
      </c>
      <c r="AA174" s="47" t="s">
        <v>731</v>
      </c>
      <c r="AB174" s="47">
        <v>0</v>
      </c>
      <c r="AC174" s="47">
        <v>0</v>
      </c>
      <c r="AD174" s="47">
        <v>0</v>
      </c>
      <c r="AE174" s="47" t="s">
        <v>731</v>
      </c>
      <c r="AF174" s="47">
        <v>0</v>
      </c>
      <c r="AG174" s="47">
        <v>0</v>
      </c>
      <c r="AH174" s="47">
        <v>0</v>
      </c>
      <c r="AI174" s="47" t="s">
        <v>729</v>
      </c>
      <c r="AJ174">
        <v>1</v>
      </c>
      <c r="AK174">
        <v>100</v>
      </c>
    </row>
    <row r="175" spans="1:37" x14ac:dyDescent="0.2">
      <c r="A175" t="s">
        <v>933</v>
      </c>
      <c r="B175" t="s">
        <v>361</v>
      </c>
      <c r="C175">
        <v>2021</v>
      </c>
      <c r="D175">
        <v>6</v>
      </c>
      <c r="E175" t="s">
        <v>939</v>
      </c>
      <c r="F175" t="s">
        <v>365</v>
      </c>
      <c r="G175">
        <v>14.226456000000001</v>
      </c>
      <c r="H175" s="20">
        <f>IF(AND(A175=A174,F175=F174,F175="Winter wheat"),G175*0.9*'BAU Management details'!$F$46,
IF(AND(OR(A175&lt;&gt;A174,F175&lt;&gt;F174),F175="Winter wheat"),G175*'BAU Management details'!$F$46,
IF(F175="Oilseed Rape",G175*'BAU Management details'!$F$47)))</f>
        <v>49.792596000000003</v>
      </c>
      <c r="I175" t="s">
        <v>348</v>
      </c>
      <c r="J175">
        <v>10</v>
      </c>
      <c r="K175" t="s">
        <v>532</v>
      </c>
      <c r="L175" t="s">
        <v>751</v>
      </c>
      <c r="M175">
        <v>2.6</v>
      </c>
      <c r="N175" t="s">
        <v>349</v>
      </c>
      <c r="O175" t="s">
        <v>350</v>
      </c>
      <c r="P175">
        <v>7.8</v>
      </c>
      <c r="Q175" t="s">
        <v>728</v>
      </c>
      <c r="R175" t="s">
        <v>351</v>
      </c>
      <c r="S175">
        <v>220</v>
      </c>
      <c r="T175" s="47" t="s">
        <v>735</v>
      </c>
      <c r="U175" t="s">
        <v>368</v>
      </c>
      <c r="V175" t="s">
        <v>364</v>
      </c>
      <c r="W175" s="47" t="s">
        <v>736</v>
      </c>
      <c r="X175" s="47">
        <v>0</v>
      </c>
      <c r="Y175" s="47" t="s">
        <v>736</v>
      </c>
      <c r="Z175" s="47">
        <v>0</v>
      </c>
      <c r="AA175" s="47" t="s">
        <v>736</v>
      </c>
      <c r="AB175" s="47">
        <v>0</v>
      </c>
      <c r="AC175" s="47">
        <v>0</v>
      </c>
      <c r="AD175" s="47">
        <v>0</v>
      </c>
      <c r="AE175" s="47" t="s">
        <v>731</v>
      </c>
      <c r="AF175" s="47">
        <v>0</v>
      </c>
      <c r="AG175" s="47" t="s">
        <v>731</v>
      </c>
      <c r="AH175" s="47">
        <v>0</v>
      </c>
      <c r="AI175" s="47" t="s">
        <v>735</v>
      </c>
      <c r="AJ175">
        <v>1</v>
      </c>
      <c r="AK175">
        <v>100</v>
      </c>
    </row>
    <row r="176" spans="1:37" x14ac:dyDescent="0.2">
      <c r="A176" t="s">
        <v>940</v>
      </c>
      <c r="B176" t="s">
        <v>361</v>
      </c>
      <c r="C176">
        <v>2016</v>
      </c>
      <c r="D176">
        <v>1</v>
      </c>
      <c r="E176" t="s">
        <v>941</v>
      </c>
      <c r="F176" t="s">
        <v>362</v>
      </c>
      <c r="G176">
        <v>10.428227</v>
      </c>
      <c r="H176" s="20">
        <f>IF(AND(A176=A175,F176=F175,F176="Winter wheat"),G176*0.9*'BAU Management details'!$F$46,
IF(AND(OR(A176&lt;&gt;A175,F176&lt;&gt;F175),F176="Winter wheat"),G176*'BAU Management details'!$F$46,
IF(F176="Oilseed Rape",G176*'BAU Management details'!$F$47)))</f>
        <v>89.682752199999996</v>
      </c>
      <c r="I176" t="s">
        <v>348</v>
      </c>
      <c r="J176">
        <v>10</v>
      </c>
      <c r="K176" t="s">
        <v>362</v>
      </c>
      <c r="L176" t="s">
        <v>727</v>
      </c>
      <c r="M176">
        <v>2.9</v>
      </c>
      <c r="N176" t="s">
        <v>349</v>
      </c>
      <c r="O176" t="s">
        <v>742</v>
      </c>
      <c r="P176">
        <v>6.3</v>
      </c>
      <c r="Q176" t="s">
        <v>743</v>
      </c>
      <c r="R176" t="s">
        <v>351</v>
      </c>
      <c r="S176">
        <v>220</v>
      </c>
      <c r="T176" s="47" t="s">
        <v>729</v>
      </c>
      <c r="U176" t="s">
        <v>366</v>
      </c>
      <c r="V176" t="s">
        <v>364</v>
      </c>
      <c r="W176" s="47" t="s">
        <v>736</v>
      </c>
      <c r="X176" s="47">
        <v>0</v>
      </c>
      <c r="Y176" s="47" t="s">
        <v>730</v>
      </c>
      <c r="Z176" s="47">
        <v>0</v>
      </c>
      <c r="AA176" s="47" t="s">
        <v>731</v>
      </c>
      <c r="AB176" s="47">
        <v>0</v>
      </c>
      <c r="AC176" s="47" t="s">
        <v>731</v>
      </c>
      <c r="AD176" s="47" t="s">
        <v>731</v>
      </c>
      <c r="AE176" s="47" t="s">
        <v>731</v>
      </c>
      <c r="AF176" s="47">
        <v>0</v>
      </c>
      <c r="AG176" s="47">
        <v>0</v>
      </c>
      <c r="AH176" s="47">
        <v>0</v>
      </c>
      <c r="AI176" s="47" t="s">
        <v>729</v>
      </c>
      <c r="AJ176">
        <v>1</v>
      </c>
      <c r="AK176">
        <v>100</v>
      </c>
    </row>
    <row r="177" spans="1:37" x14ac:dyDescent="0.2">
      <c r="A177" t="s">
        <v>940</v>
      </c>
      <c r="B177" t="s">
        <v>361</v>
      </c>
      <c r="C177">
        <v>2017</v>
      </c>
      <c r="D177">
        <v>2</v>
      </c>
      <c r="E177" t="s">
        <v>942</v>
      </c>
      <c r="F177" t="s">
        <v>362</v>
      </c>
      <c r="G177">
        <v>10.428227</v>
      </c>
      <c r="H177" s="20">
        <f>IF(AND(A177=A176,F177=F176,F177="Winter wheat"),G177*0.9*'BAU Management details'!$F$46,
IF(AND(OR(A177&lt;&gt;A176,F177&lt;&gt;F176),F177="Winter wheat"),G177*'BAU Management details'!$F$46,
IF(F177="Oilseed Rape",G177*'BAU Management details'!$F$47)))</f>
        <v>80.714476979999986</v>
      </c>
      <c r="I177" t="s">
        <v>348</v>
      </c>
      <c r="J177">
        <v>10</v>
      </c>
      <c r="K177" t="s">
        <v>362</v>
      </c>
      <c r="L177" t="s">
        <v>727</v>
      </c>
      <c r="M177">
        <v>2.9</v>
      </c>
      <c r="N177" t="s">
        <v>349</v>
      </c>
      <c r="O177" t="s">
        <v>742</v>
      </c>
      <c r="P177">
        <v>6.3</v>
      </c>
      <c r="Q177" t="s">
        <v>743</v>
      </c>
      <c r="R177" t="s">
        <v>351</v>
      </c>
      <c r="S177">
        <v>220</v>
      </c>
      <c r="T177" s="47" t="s">
        <v>729</v>
      </c>
      <c r="U177" t="s">
        <v>733</v>
      </c>
      <c r="V177" t="s">
        <v>364</v>
      </c>
      <c r="W177" s="47" t="s">
        <v>736</v>
      </c>
      <c r="X177" s="47">
        <v>0</v>
      </c>
      <c r="Y177" s="47" t="s">
        <v>730</v>
      </c>
      <c r="Z177" s="47">
        <v>0</v>
      </c>
      <c r="AA177" s="47" t="s">
        <v>731</v>
      </c>
      <c r="AB177" s="47">
        <v>0</v>
      </c>
      <c r="AC177" s="47">
        <v>0</v>
      </c>
      <c r="AD177" s="47">
        <v>0</v>
      </c>
      <c r="AE177" s="47" t="s">
        <v>731</v>
      </c>
      <c r="AF177" s="47">
        <v>0</v>
      </c>
      <c r="AG177" s="47">
        <v>0</v>
      </c>
      <c r="AH177" s="47">
        <v>0</v>
      </c>
      <c r="AI177" s="47" t="s">
        <v>729</v>
      </c>
      <c r="AJ177">
        <v>1</v>
      </c>
      <c r="AK177">
        <v>100</v>
      </c>
    </row>
    <row r="178" spans="1:37" x14ac:dyDescent="0.2">
      <c r="A178" t="s">
        <v>940</v>
      </c>
      <c r="B178" t="s">
        <v>361</v>
      </c>
      <c r="C178">
        <v>2018</v>
      </c>
      <c r="D178">
        <v>3</v>
      </c>
      <c r="E178" t="s">
        <v>943</v>
      </c>
      <c r="F178" t="s">
        <v>365</v>
      </c>
      <c r="G178">
        <v>10.428227</v>
      </c>
      <c r="H178" s="20">
        <f>IF(AND(A178=A177,F178=F177,F178="Winter wheat"),G178*0.9*'BAU Management details'!$F$46,
IF(AND(OR(A178&lt;&gt;A177,F178&lt;&gt;F177),F178="Winter wheat"),G178*'BAU Management details'!$F$46,
IF(F178="Oilseed Rape",G178*'BAU Management details'!$F$47)))</f>
        <v>36.498794500000002</v>
      </c>
      <c r="I178" t="s">
        <v>348</v>
      </c>
      <c r="J178">
        <v>10</v>
      </c>
      <c r="K178" t="s">
        <v>532</v>
      </c>
      <c r="L178" t="s">
        <v>727</v>
      </c>
      <c r="M178">
        <v>2.9</v>
      </c>
      <c r="N178" t="s">
        <v>349</v>
      </c>
      <c r="O178" t="s">
        <v>742</v>
      </c>
      <c r="P178">
        <v>6.3</v>
      </c>
      <c r="Q178" t="s">
        <v>743</v>
      </c>
      <c r="R178" t="s">
        <v>351</v>
      </c>
      <c r="S178">
        <v>220</v>
      </c>
      <c r="T178" s="47" t="s">
        <v>735</v>
      </c>
      <c r="U178" t="s">
        <v>368</v>
      </c>
      <c r="V178" t="s">
        <v>364</v>
      </c>
      <c r="W178" s="47" t="s">
        <v>736</v>
      </c>
      <c r="X178" s="47">
        <v>0</v>
      </c>
      <c r="Y178" s="47" t="s">
        <v>736</v>
      </c>
      <c r="Z178" s="47">
        <v>0</v>
      </c>
      <c r="AA178" s="47" t="s">
        <v>736</v>
      </c>
      <c r="AB178" s="47">
        <v>0</v>
      </c>
      <c r="AC178" s="47">
        <v>0</v>
      </c>
      <c r="AD178" s="47">
        <v>0</v>
      </c>
      <c r="AE178" s="47" t="s">
        <v>731</v>
      </c>
      <c r="AF178" s="47">
        <v>0</v>
      </c>
      <c r="AG178" s="47" t="s">
        <v>731</v>
      </c>
      <c r="AH178" s="47">
        <v>0</v>
      </c>
      <c r="AI178" s="47" t="s">
        <v>735</v>
      </c>
      <c r="AJ178">
        <v>1</v>
      </c>
      <c r="AK178">
        <v>100</v>
      </c>
    </row>
    <row r="179" spans="1:37" x14ac:dyDescent="0.2">
      <c r="A179" t="s">
        <v>940</v>
      </c>
      <c r="B179" t="s">
        <v>361</v>
      </c>
      <c r="C179">
        <v>2019</v>
      </c>
      <c r="D179">
        <v>4</v>
      </c>
      <c r="E179" t="s">
        <v>944</v>
      </c>
      <c r="F179" t="s">
        <v>362</v>
      </c>
      <c r="G179">
        <v>10.428227</v>
      </c>
      <c r="H179" s="20">
        <f>IF(AND(A179=A178,F179=F178,F179="Winter wheat"),G179*0.9*'BAU Management details'!$F$46,
IF(AND(OR(A179&lt;&gt;A178,F179&lt;&gt;F178),F179="Winter wheat"),G179*'BAU Management details'!$F$46,
IF(F179="Oilseed Rape",G179*'BAU Management details'!$F$47)))</f>
        <v>89.682752199999996</v>
      </c>
      <c r="I179" t="s">
        <v>348</v>
      </c>
      <c r="J179">
        <v>10</v>
      </c>
      <c r="K179" t="s">
        <v>362</v>
      </c>
      <c r="L179" t="s">
        <v>727</v>
      </c>
      <c r="M179">
        <v>2.9</v>
      </c>
      <c r="N179" t="s">
        <v>349</v>
      </c>
      <c r="O179" t="s">
        <v>742</v>
      </c>
      <c r="P179">
        <v>6.3</v>
      </c>
      <c r="Q179" t="s">
        <v>743</v>
      </c>
      <c r="R179" t="s">
        <v>351</v>
      </c>
      <c r="S179">
        <v>220</v>
      </c>
      <c r="T179" s="47" t="s">
        <v>729</v>
      </c>
      <c r="U179" t="s">
        <v>366</v>
      </c>
      <c r="V179" t="s">
        <v>364</v>
      </c>
      <c r="W179" s="47" t="s">
        <v>736</v>
      </c>
      <c r="X179" s="47">
        <v>0</v>
      </c>
      <c r="Y179" s="47" t="s">
        <v>730</v>
      </c>
      <c r="Z179" s="47">
        <v>0</v>
      </c>
      <c r="AA179" s="47" t="s">
        <v>731</v>
      </c>
      <c r="AB179" s="47">
        <v>0</v>
      </c>
      <c r="AC179" s="47" t="s">
        <v>731</v>
      </c>
      <c r="AD179" s="47" t="s">
        <v>731</v>
      </c>
      <c r="AE179" s="47" t="s">
        <v>731</v>
      </c>
      <c r="AF179" s="47">
        <v>0</v>
      </c>
      <c r="AG179" s="47">
        <v>0</v>
      </c>
      <c r="AH179" s="47">
        <v>0</v>
      </c>
      <c r="AI179" s="47" t="s">
        <v>729</v>
      </c>
      <c r="AJ179">
        <v>1</v>
      </c>
      <c r="AK179">
        <v>100</v>
      </c>
    </row>
    <row r="180" spans="1:37" x14ac:dyDescent="0.2">
      <c r="A180" t="s">
        <v>940</v>
      </c>
      <c r="B180" t="s">
        <v>361</v>
      </c>
      <c r="C180">
        <v>2020</v>
      </c>
      <c r="D180">
        <v>5</v>
      </c>
      <c r="E180" t="s">
        <v>945</v>
      </c>
      <c r="F180" t="s">
        <v>362</v>
      </c>
      <c r="G180">
        <v>10.428227</v>
      </c>
      <c r="H180" s="20">
        <f>IF(AND(A180=A179,F180=F179,F180="Winter wheat"),G180*0.9*'BAU Management details'!$F$46,
IF(AND(OR(A180&lt;&gt;A179,F180&lt;&gt;F179),F180="Winter wheat"),G180*'BAU Management details'!$F$46,
IF(F180="Oilseed Rape",G180*'BAU Management details'!$F$47)))</f>
        <v>80.714476979999986</v>
      </c>
      <c r="I180" t="s">
        <v>348</v>
      </c>
      <c r="J180">
        <v>10</v>
      </c>
      <c r="K180" t="s">
        <v>362</v>
      </c>
      <c r="L180" t="s">
        <v>727</v>
      </c>
      <c r="M180">
        <v>2.9</v>
      </c>
      <c r="N180" t="s">
        <v>349</v>
      </c>
      <c r="O180" t="s">
        <v>742</v>
      </c>
      <c r="P180">
        <v>6.3</v>
      </c>
      <c r="Q180" t="s">
        <v>743</v>
      </c>
      <c r="R180" t="s">
        <v>351</v>
      </c>
      <c r="S180">
        <v>220</v>
      </c>
      <c r="T180" s="47" t="s">
        <v>729</v>
      </c>
      <c r="U180" t="s">
        <v>733</v>
      </c>
      <c r="V180" t="s">
        <v>364</v>
      </c>
      <c r="W180" s="47" t="s">
        <v>736</v>
      </c>
      <c r="X180" s="47">
        <v>0</v>
      </c>
      <c r="Y180" s="47" t="s">
        <v>730</v>
      </c>
      <c r="Z180" s="47">
        <v>0</v>
      </c>
      <c r="AA180" s="47" t="s">
        <v>731</v>
      </c>
      <c r="AB180" s="47">
        <v>0</v>
      </c>
      <c r="AC180" s="47">
        <v>0</v>
      </c>
      <c r="AD180" s="47">
        <v>0</v>
      </c>
      <c r="AE180" s="47" t="s">
        <v>731</v>
      </c>
      <c r="AF180" s="47">
        <v>0</v>
      </c>
      <c r="AG180" s="47">
        <v>0</v>
      </c>
      <c r="AH180" s="47">
        <v>0</v>
      </c>
      <c r="AI180" s="47" t="s">
        <v>729</v>
      </c>
      <c r="AJ180">
        <v>1</v>
      </c>
      <c r="AK180">
        <v>100</v>
      </c>
    </row>
    <row r="181" spans="1:37" x14ac:dyDescent="0.2">
      <c r="A181" t="s">
        <v>940</v>
      </c>
      <c r="B181" t="s">
        <v>361</v>
      </c>
      <c r="C181">
        <v>2021</v>
      </c>
      <c r="D181">
        <v>6</v>
      </c>
      <c r="E181" t="s">
        <v>946</v>
      </c>
      <c r="F181" t="s">
        <v>365</v>
      </c>
      <c r="G181">
        <v>10.428227</v>
      </c>
      <c r="H181" s="20">
        <f>IF(AND(A181=A180,F181=F180,F181="Winter wheat"),G181*0.9*'BAU Management details'!$F$46,
IF(AND(OR(A181&lt;&gt;A180,F181&lt;&gt;F180),F181="Winter wheat"),G181*'BAU Management details'!$F$46,
IF(F181="Oilseed Rape",G181*'BAU Management details'!$F$47)))</f>
        <v>36.498794500000002</v>
      </c>
      <c r="I181" t="s">
        <v>348</v>
      </c>
      <c r="J181">
        <v>10</v>
      </c>
      <c r="K181" t="s">
        <v>532</v>
      </c>
      <c r="L181" t="s">
        <v>727</v>
      </c>
      <c r="M181">
        <v>2.9</v>
      </c>
      <c r="N181" t="s">
        <v>349</v>
      </c>
      <c r="O181" t="s">
        <v>742</v>
      </c>
      <c r="P181">
        <v>6.3</v>
      </c>
      <c r="Q181" t="s">
        <v>743</v>
      </c>
      <c r="R181" t="s">
        <v>351</v>
      </c>
      <c r="S181">
        <v>220</v>
      </c>
      <c r="T181" s="47" t="s">
        <v>735</v>
      </c>
      <c r="U181" t="s">
        <v>368</v>
      </c>
      <c r="V181" t="s">
        <v>364</v>
      </c>
      <c r="W181" s="47" t="s">
        <v>736</v>
      </c>
      <c r="X181" s="47">
        <v>0</v>
      </c>
      <c r="Y181" s="47" t="s">
        <v>736</v>
      </c>
      <c r="Z181" s="47">
        <v>0</v>
      </c>
      <c r="AA181" s="47" t="s">
        <v>736</v>
      </c>
      <c r="AB181" s="47">
        <v>0</v>
      </c>
      <c r="AC181" s="47">
        <v>0</v>
      </c>
      <c r="AD181" s="47">
        <v>0</v>
      </c>
      <c r="AE181" s="47" t="s">
        <v>731</v>
      </c>
      <c r="AF181" s="47">
        <v>0</v>
      </c>
      <c r="AG181" s="47" t="s">
        <v>731</v>
      </c>
      <c r="AH181" s="47">
        <v>0</v>
      </c>
      <c r="AI181" s="47" t="s">
        <v>735</v>
      </c>
      <c r="AJ181">
        <v>1</v>
      </c>
      <c r="AK181">
        <v>100</v>
      </c>
    </row>
    <row r="182" spans="1:37" x14ac:dyDescent="0.2">
      <c r="A182" t="s">
        <v>947</v>
      </c>
      <c r="B182" t="s">
        <v>361</v>
      </c>
      <c r="C182">
        <v>2016</v>
      </c>
      <c r="D182">
        <v>1</v>
      </c>
      <c r="E182" t="s">
        <v>948</v>
      </c>
      <c r="F182" t="s">
        <v>362</v>
      </c>
      <c r="G182">
        <v>5.1698789999999999</v>
      </c>
      <c r="H182" s="20">
        <f>IF(AND(A182=A181,F182=F181,F182="Winter wheat"),G182*0.9*'BAU Management details'!$F$46,
IF(AND(OR(A182&lt;&gt;A181,F182&lt;&gt;F181),F182="Winter wheat"),G182*'BAU Management details'!$F$46,
IF(F182="Oilseed Rape",G182*'BAU Management details'!$F$47)))</f>
        <v>44.4609594</v>
      </c>
      <c r="I182" t="s">
        <v>348</v>
      </c>
      <c r="J182">
        <v>10</v>
      </c>
      <c r="K182" t="s">
        <v>362</v>
      </c>
      <c r="L182" t="s">
        <v>727</v>
      </c>
      <c r="M182">
        <v>2.9</v>
      </c>
      <c r="N182" t="s">
        <v>349</v>
      </c>
      <c r="O182" t="s">
        <v>742</v>
      </c>
      <c r="P182">
        <v>6.3</v>
      </c>
      <c r="Q182" t="s">
        <v>743</v>
      </c>
      <c r="R182" t="s">
        <v>351</v>
      </c>
      <c r="S182">
        <v>220</v>
      </c>
      <c r="T182" s="47" t="s">
        <v>729</v>
      </c>
      <c r="U182" t="s">
        <v>366</v>
      </c>
      <c r="V182" t="s">
        <v>364</v>
      </c>
      <c r="W182" s="47" t="s">
        <v>736</v>
      </c>
      <c r="X182" s="47">
        <v>0</v>
      </c>
      <c r="Y182" s="47" t="s">
        <v>730</v>
      </c>
      <c r="Z182" s="47">
        <v>0</v>
      </c>
      <c r="AA182" s="47" t="s">
        <v>731</v>
      </c>
      <c r="AB182" s="47">
        <v>0</v>
      </c>
      <c r="AC182" s="47" t="s">
        <v>731</v>
      </c>
      <c r="AD182" s="47" t="s">
        <v>731</v>
      </c>
      <c r="AE182" s="47" t="s">
        <v>731</v>
      </c>
      <c r="AF182" s="47">
        <v>0</v>
      </c>
      <c r="AG182" s="47">
        <v>0</v>
      </c>
      <c r="AH182" s="47">
        <v>0</v>
      </c>
      <c r="AI182" s="47" t="s">
        <v>729</v>
      </c>
      <c r="AJ182">
        <v>1</v>
      </c>
      <c r="AK182">
        <v>100</v>
      </c>
    </row>
    <row r="183" spans="1:37" x14ac:dyDescent="0.2">
      <c r="A183" t="s">
        <v>947</v>
      </c>
      <c r="B183" t="s">
        <v>361</v>
      </c>
      <c r="C183">
        <v>2017</v>
      </c>
      <c r="D183">
        <v>2</v>
      </c>
      <c r="E183" t="s">
        <v>949</v>
      </c>
      <c r="F183" t="s">
        <v>362</v>
      </c>
      <c r="G183">
        <v>5.1698789999999999</v>
      </c>
      <c r="H183" s="20">
        <f>IF(AND(A183=A182,F183=F182,F183="Winter wheat"),G183*0.9*'BAU Management details'!$F$46,
IF(AND(OR(A183&lt;&gt;A182,F183&lt;&gt;F182),F183="Winter wheat"),G183*'BAU Management details'!$F$46,
IF(F183="Oilseed Rape",G183*'BAU Management details'!$F$47)))</f>
        <v>40.014863459999994</v>
      </c>
      <c r="I183" t="s">
        <v>348</v>
      </c>
      <c r="J183">
        <v>10</v>
      </c>
      <c r="K183" t="s">
        <v>362</v>
      </c>
      <c r="L183" t="s">
        <v>727</v>
      </c>
      <c r="M183">
        <v>2.9</v>
      </c>
      <c r="N183" t="s">
        <v>349</v>
      </c>
      <c r="O183" t="s">
        <v>742</v>
      </c>
      <c r="P183">
        <v>6.3</v>
      </c>
      <c r="Q183" t="s">
        <v>743</v>
      </c>
      <c r="R183" t="s">
        <v>351</v>
      </c>
      <c r="S183">
        <v>220</v>
      </c>
      <c r="T183" s="47" t="s">
        <v>729</v>
      </c>
      <c r="U183" t="s">
        <v>733</v>
      </c>
      <c r="V183" t="s">
        <v>364</v>
      </c>
      <c r="W183" s="47" t="s">
        <v>736</v>
      </c>
      <c r="X183" s="47">
        <v>0</v>
      </c>
      <c r="Y183" s="47" t="s">
        <v>730</v>
      </c>
      <c r="Z183" s="47">
        <v>0</v>
      </c>
      <c r="AA183" s="47" t="s">
        <v>731</v>
      </c>
      <c r="AB183" s="47">
        <v>0</v>
      </c>
      <c r="AC183" s="47">
        <v>0</v>
      </c>
      <c r="AD183" s="47">
        <v>0</v>
      </c>
      <c r="AE183" s="47" t="s">
        <v>731</v>
      </c>
      <c r="AF183" s="47">
        <v>0</v>
      </c>
      <c r="AG183" s="47">
        <v>0</v>
      </c>
      <c r="AH183" s="47">
        <v>0</v>
      </c>
      <c r="AI183" s="47" t="s">
        <v>729</v>
      </c>
      <c r="AJ183">
        <v>1</v>
      </c>
      <c r="AK183">
        <v>100</v>
      </c>
    </row>
    <row r="184" spans="1:37" x14ac:dyDescent="0.2">
      <c r="A184" t="s">
        <v>947</v>
      </c>
      <c r="B184" t="s">
        <v>361</v>
      </c>
      <c r="C184">
        <v>2018</v>
      </c>
      <c r="D184">
        <v>3</v>
      </c>
      <c r="E184" t="s">
        <v>950</v>
      </c>
      <c r="F184" t="s">
        <v>365</v>
      </c>
      <c r="G184">
        <v>5.1698789999999999</v>
      </c>
      <c r="H184" s="20">
        <f>IF(AND(A184=A183,F184=F183,F184="Winter wheat"),G184*0.9*'BAU Management details'!$F$46,
IF(AND(OR(A184&lt;&gt;A183,F184&lt;&gt;F183),F184="Winter wheat"),G184*'BAU Management details'!$F$46,
IF(F184="Oilseed Rape",G184*'BAU Management details'!$F$47)))</f>
        <v>18.094576499999999</v>
      </c>
      <c r="I184" t="s">
        <v>348</v>
      </c>
      <c r="J184">
        <v>10</v>
      </c>
      <c r="K184" t="s">
        <v>532</v>
      </c>
      <c r="L184" t="s">
        <v>727</v>
      </c>
      <c r="M184">
        <v>2.9</v>
      </c>
      <c r="N184" t="s">
        <v>349</v>
      </c>
      <c r="O184" t="s">
        <v>742</v>
      </c>
      <c r="P184">
        <v>6.3</v>
      </c>
      <c r="Q184" t="s">
        <v>743</v>
      </c>
      <c r="R184" t="s">
        <v>351</v>
      </c>
      <c r="S184">
        <v>220</v>
      </c>
      <c r="T184" s="47" t="s">
        <v>735</v>
      </c>
      <c r="U184" t="s">
        <v>368</v>
      </c>
      <c r="V184" t="s">
        <v>364</v>
      </c>
      <c r="W184" s="47" t="s">
        <v>736</v>
      </c>
      <c r="X184" s="47">
        <v>0</v>
      </c>
      <c r="Y184" s="47" t="s">
        <v>736</v>
      </c>
      <c r="Z184" s="47">
        <v>0</v>
      </c>
      <c r="AA184" s="47" t="s">
        <v>736</v>
      </c>
      <c r="AB184" s="47">
        <v>0</v>
      </c>
      <c r="AC184" s="47">
        <v>0</v>
      </c>
      <c r="AD184" s="47">
        <v>0</v>
      </c>
      <c r="AE184" s="47" t="s">
        <v>731</v>
      </c>
      <c r="AF184" s="47">
        <v>0</v>
      </c>
      <c r="AG184" s="47" t="s">
        <v>731</v>
      </c>
      <c r="AH184" s="47">
        <v>0</v>
      </c>
      <c r="AI184" s="47" t="s">
        <v>735</v>
      </c>
      <c r="AJ184">
        <v>1</v>
      </c>
      <c r="AK184">
        <v>100</v>
      </c>
    </row>
    <row r="185" spans="1:37" x14ac:dyDescent="0.2">
      <c r="A185" t="s">
        <v>947</v>
      </c>
      <c r="B185" t="s">
        <v>361</v>
      </c>
      <c r="C185">
        <v>2019</v>
      </c>
      <c r="D185">
        <v>4</v>
      </c>
      <c r="E185" t="s">
        <v>951</v>
      </c>
      <c r="F185" t="s">
        <v>362</v>
      </c>
      <c r="G185">
        <v>5.1698789999999999</v>
      </c>
      <c r="H185" s="20">
        <f>IF(AND(A185=A184,F185=F184,F185="Winter wheat"),G185*0.9*'BAU Management details'!$F$46,
IF(AND(OR(A185&lt;&gt;A184,F185&lt;&gt;F184),F185="Winter wheat"),G185*'BAU Management details'!$F$46,
IF(F185="Oilseed Rape",G185*'BAU Management details'!$F$47)))</f>
        <v>44.4609594</v>
      </c>
      <c r="I185" t="s">
        <v>348</v>
      </c>
      <c r="J185">
        <v>10</v>
      </c>
      <c r="K185" t="s">
        <v>362</v>
      </c>
      <c r="L185" t="s">
        <v>727</v>
      </c>
      <c r="M185">
        <v>2.9</v>
      </c>
      <c r="N185" t="s">
        <v>349</v>
      </c>
      <c r="O185" t="s">
        <v>742</v>
      </c>
      <c r="P185">
        <v>6.3</v>
      </c>
      <c r="Q185" t="s">
        <v>743</v>
      </c>
      <c r="R185" t="s">
        <v>351</v>
      </c>
      <c r="S185">
        <v>220</v>
      </c>
      <c r="T185" s="47" t="s">
        <v>729</v>
      </c>
      <c r="U185" t="s">
        <v>366</v>
      </c>
      <c r="V185" t="s">
        <v>364</v>
      </c>
      <c r="W185" s="47" t="s">
        <v>736</v>
      </c>
      <c r="X185" s="47">
        <v>0</v>
      </c>
      <c r="Y185" s="47" t="s">
        <v>730</v>
      </c>
      <c r="Z185" s="47">
        <v>0</v>
      </c>
      <c r="AA185" s="47" t="s">
        <v>731</v>
      </c>
      <c r="AB185" s="47">
        <v>0</v>
      </c>
      <c r="AC185" s="47" t="s">
        <v>731</v>
      </c>
      <c r="AD185" s="47" t="s">
        <v>731</v>
      </c>
      <c r="AE185" s="47" t="s">
        <v>731</v>
      </c>
      <c r="AF185" s="47">
        <v>0</v>
      </c>
      <c r="AG185" s="47">
        <v>0</v>
      </c>
      <c r="AH185" s="47">
        <v>0</v>
      </c>
      <c r="AI185" s="47" t="s">
        <v>729</v>
      </c>
      <c r="AJ185">
        <v>1</v>
      </c>
      <c r="AK185">
        <v>100</v>
      </c>
    </row>
    <row r="186" spans="1:37" x14ac:dyDescent="0.2">
      <c r="A186" t="s">
        <v>947</v>
      </c>
      <c r="B186" t="s">
        <v>361</v>
      </c>
      <c r="C186">
        <v>2020</v>
      </c>
      <c r="D186">
        <v>5</v>
      </c>
      <c r="E186" t="s">
        <v>952</v>
      </c>
      <c r="F186" t="s">
        <v>362</v>
      </c>
      <c r="G186">
        <v>5.1698789999999999</v>
      </c>
      <c r="H186" s="20">
        <f>IF(AND(A186=A185,F186=F185,F186="Winter wheat"),G186*0.9*'BAU Management details'!$F$46,
IF(AND(OR(A186&lt;&gt;A185,F186&lt;&gt;F185),F186="Winter wheat"),G186*'BAU Management details'!$F$46,
IF(F186="Oilseed Rape",G186*'BAU Management details'!$F$47)))</f>
        <v>40.014863459999994</v>
      </c>
      <c r="I186" t="s">
        <v>348</v>
      </c>
      <c r="J186">
        <v>10</v>
      </c>
      <c r="K186" t="s">
        <v>362</v>
      </c>
      <c r="L186" t="s">
        <v>727</v>
      </c>
      <c r="M186">
        <v>2.9</v>
      </c>
      <c r="N186" t="s">
        <v>349</v>
      </c>
      <c r="O186" t="s">
        <v>742</v>
      </c>
      <c r="P186">
        <v>6.3</v>
      </c>
      <c r="Q186" t="s">
        <v>743</v>
      </c>
      <c r="R186" t="s">
        <v>351</v>
      </c>
      <c r="S186">
        <v>220</v>
      </c>
      <c r="T186" s="47" t="s">
        <v>729</v>
      </c>
      <c r="U186" t="s">
        <v>733</v>
      </c>
      <c r="V186" t="s">
        <v>364</v>
      </c>
      <c r="W186" s="47" t="s">
        <v>736</v>
      </c>
      <c r="X186" s="47">
        <v>0</v>
      </c>
      <c r="Y186" s="47" t="s">
        <v>730</v>
      </c>
      <c r="Z186" s="47">
        <v>0</v>
      </c>
      <c r="AA186" s="47" t="s">
        <v>731</v>
      </c>
      <c r="AB186" s="47">
        <v>0</v>
      </c>
      <c r="AC186" s="47">
        <v>0</v>
      </c>
      <c r="AD186" s="47">
        <v>0</v>
      </c>
      <c r="AE186" s="47" t="s">
        <v>731</v>
      </c>
      <c r="AF186" s="47">
        <v>0</v>
      </c>
      <c r="AG186" s="47">
        <v>0</v>
      </c>
      <c r="AH186" s="47">
        <v>0</v>
      </c>
      <c r="AI186" s="47" t="s">
        <v>729</v>
      </c>
      <c r="AJ186">
        <v>1</v>
      </c>
      <c r="AK186">
        <v>100</v>
      </c>
    </row>
    <row r="187" spans="1:37" x14ac:dyDescent="0.2">
      <c r="A187" t="s">
        <v>947</v>
      </c>
      <c r="B187" t="s">
        <v>361</v>
      </c>
      <c r="C187">
        <v>2021</v>
      </c>
      <c r="D187">
        <v>6</v>
      </c>
      <c r="E187" t="s">
        <v>953</v>
      </c>
      <c r="F187" t="s">
        <v>365</v>
      </c>
      <c r="G187">
        <v>5.1698789999999999</v>
      </c>
      <c r="H187" s="20">
        <f>IF(AND(A187=A186,F187=F186,F187="Winter wheat"),G187*0.9*'BAU Management details'!$F$46,
IF(AND(OR(A187&lt;&gt;A186,F187&lt;&gt;F186),F187="Winter wheat"),G187*'BAU Management details'!$F$46,
IF(F187="Oilseed Rape",G187*'BAU Management details'!$F$47)))</f>
        <v>18.094576499999999</v>
      </c>
      <c r="I187" t="s">
        <v>348</v>
      </c>
      <c r="J187">
        <v>10</v>
      </c>
      <c r="K187" t="s">
        <v>532</v>
      </c>
      <c r="L187" t="s">
        <v>727</v>
      </c>
      <c r="M187">
        <v>2.9</v>
      </c>
      <c r="N187" t="s">
        <v>349</v>
      </c>
      <c r="O187" t="s">
        <v>742</v>
      </c>
      <c r="P187">
        <v>6.3</v>
      </c>
      <c r="Q187" t="s">
        <v>743</v>
      </c>
      <c r="R187" t="s">
        <v>351</v>
      </c>
      <c r="S187">
        <v>220</v>
      </c>
      <c r="T187" s="47" t="s">
        <v>735</v>
      </c>
      <c r="U187" t="s">
        <v>368</v>
      </c>
      <c r="V187" t="s">
        <v>364</v>
      </c>
      <c r="W187" s="47" t="s">
        <v>736</v>
      </c>
      <c r="X187" s="47">
        <v>0</v>
      </c>
      <c r="Y187" s="47" t="s">
        <v>736</v>
      </c>
      <c r="Z187" s="47">
        <v>0</v>
      </c>
      <c r="AA187" s="47" t="s">
        <v>736</v>
      </c>
      <c r="AB187" s="47">
        <v>0</v>
      </c>
      <c r="AC187" s="47">
        <v>0</v>
      </c>
      <c r="AD187" s="47">
        <v>0</v>
      </c>
      <c r="AE187" s="47" t="s">
        <v>731</v>
      </c>
      <c r="AF187" s="47">
        <v>0</v>
      </c>
      <c r="AG187" s="47" t="s">
        <v>731</v>
      </c>
      <c r="AH187" s="47">
        <v>0</v>
      </c>
      <c r="AI187" s="47" t="s">
        <v>735</v>
      </c>
      <c r="AJ187">
        <v>1</v>
      </c>
      <c r="AK187">
        <v>100</v>
      </c>
    </row>
    <row r="188" spans="1:37" x14ac:dyDescent="0.2">
      <c r="A188" t="s">
        <v>954</v>
      </c>
      <c r="B188" t="s">
        <v>361</v>
      </c>
      <c r="C188">
        <v>2016</v>
      </c>
      <c r="D188">
        <v>1</v>
      </c>
      <c r="E188" t="s">
        <v>955</v>
      </c>
      <c r="F188" t="s">
        <v>362</v>
      </c>
      <c r="G188">
        <v>6.6263249999999996</v>
      </c>
      <c r="H188" s="20">
        <f>IF(AND(A188=A187,F188=F187,F188="Winter wheat"),G188*0.9*'BAU Management details'!$F$46,
IF(AND(OR(A188&lt;&gt;A187,F188&lt;&gt;F187),F188="Winter wheat"),G188*'BAU Management details'!$F$46,
IF(F188="Oilseed Rape",G188*'BAU Management details'!$F$47)))</f>
        <v>56.986394999999995</v>
      </c>
      <c r="I188" t="s">
        <v>348</v>
      </c>
      <c r="J188">
        <v>10</v>
      </c>
      <c r="K188" t="s">
        <v>362</v>
      </c>
      <c r="L188" t="s">
        <v>787</v>
      </c>
      <c r="M188">
        <v>1.9</v>
      </c>
      <c r="N188" t="s">
        <v>349</v>
      </c>
      <c r="O188" t="s">
        <v>350</v>
      </c>
      <c r="P188">
        <v>6.3</v>
      </c>
      <c r="Q188" t="s">
        <v>743</v>
      </c>
      <c r="R188" t="s">
        <v>351</v>
      </c>
      <c r="S188">
        <v>220</v>
      </c>
      <c r="T188" s="47" t="s">
        <v>729</v>
      </c>
      <c r="U188" t="s">
        <v>366</v>
      </c>
      <c r="V188" t="s">
        <v>364</v>
      </c>
      <c r="W188" s="47" t="s">
        <v>736</v>
      </c>
      <c r="X188" s="47">
        <v>0</v>
      </c>
      <c r="Y188" s="47" t="s">
        <v>730</v>
      </c>
      <c r="Z188" s="47">
        <v>0</v>
      </c>
      <c r="AA188" s="47" t="s">
        <v>731</v>
      </c>
      <c r="AB188" s="47">
        <v>0</v>
      </c>
      <c r="AC188" s="47" t="s">
        <v>731</v>
      </c>
      <c r="AD188" s="47" t="s">
        <v>731</v>
      </c>
      <c r="AE188" s="47" t="s">
        <v>731</v>
      </c>
      <c r="AF188" s="47">
        <v>0</v>
      </c>
      <c r="AG188" s="47">
        <v>0</v>
      </c>
      <c r="AH188" s="47">
        <v>0</v>
      </c>
      <c r="AI188" s="47" t="s">
        <v>729</v>
      </c>
      <c r="AJ188">
        <v>1</v>
      </c>
      <c r="AK188">
        <v>100</v>
      </c>
    </row>
    <row r="189" spans="1:37" x14ac:dyDescent="0.2">
      <c r="A189" t="s">
        <v>954</v>
      </c>
      <c r="B189" t="s">
        <v>361</v>
      </c>
      <c r="C189">
        <v>2017</v>
      </c>
      <c r="D189">
        <v>2</v>
      </c>
      <c r="E189" t="s">
        <v>956</v>
      </c>
      <c r="F189" t="s">
        <v>362</v>
      </c>
      <c r="G189">
        <v>6.6263249999999996</v>
      </c>
      <c r="H189" s="20">
        <f>IF(AND(A189=A188,F189=F188,F189="Winter wheat"),G189*0.9*'BAU Management details'!$F$46,
IF(AND(OR(A189&lt;&gt;A188,F189&lt;&gt;F188),F189="Winter wheat"),G189*'BAU Management details'!$F$46,
IF(F189="Oilseed Rape",G189*'BAU Management details'!$F$47)))</f>
        <v>51.287755499999996</v>
      </c>
      <c r="I189" t="s">
        <v>348</v>
      </c>
      <c r="J189">
        <v>10</v>
      </c>
      <c r="K189" t="s">
        <v>362</v>
      </c>
      <c r="L189" t="s">
        <v>787</v>
      </c>
      <c r="M189">
        <v>1.9</v>
      </c>
      <c r="N189" t="s">
        <v>349</v>
      </c>
      <c r="O189" t="s">
        <v>350</v>
      </c>
      <c r="P189">
        <v>6.3</v>
      </c>
      <c r="Q189" t="s">
        <v>743</v>
      </c>
      <c r="R189" t="s">
        <v>351</v>
      </c>
      <c r="S189">
        <v>220</v>
      </c>
      <c r="T189" s="47" t="s">
        <v>729</v>
      </c>
      <c r="U189" t="s">
        <v>733</v>
      </c>
      <c r="V189" t="s">
        <v>364</v>
      </c>
      <c r="W189" s="47" t="s">
        <v>736</v>
      </c>
      <c r="X189" s="47">
        <v>0</v>
      </c>
      <c r="Y189" s="47" t="s">
        <v>730</v>
      </c>
      <c r="Z189" s="47">
        <v>0</v>
      </c>
      <c r="AA189" s="47" t="s">
        <v>731</v>
      </c>
      <c r="AB189" s="47">
        <v>0</v>
      </c>
      <c r="AC189" s="47">
        <v>0</v>
      </c>
      <c r="AD189" s="47">
        <v>0</v>
      </c>
      <c r="AE189" s="47" t="s">
        <v>731</v>
      </c>
      <c r="AF189" s="47">
        <v>0</v>
      </c>
      <c r="AG189" s="47">
        <v>0</v>
      </c>
      <c r="AH189" s="47">
        <v>0</v>
      </c>
      <c r="AI189" s="47" t="s">
        <v>729</v>
      </c>
      <c r="AJ189">
        <v>1</v>
      </c>
      <c r="AK189">
        <v>100</v>
      </c>
    </row>
    <row r="190" spans="1:37" x14ac:dyDescent="0.2">
      <c r="A190" t="s">
        <v>954</v>
      </c>
      <c r="B190" t="s">
        <v>361</v>
      </c>
      <c r="C190">
        <v>2018</v>
      </c>
      <c r="D190">
        <v>3</v>
      </c>
      <c r="E190" t="s">
        <v>957</v>
      </c>
      <c r="F190" t="s">
        <v>365</v>
      </c>
      <c r="G190">
        <v>6.6263249999999996</v>
      </c>
      <c r="H190" s="20">
        <f>IF(AND(A190=A189,F190=F189,F190="Winter wheat"),G190*0.9*'BAU Management details'!$F$46,
IF(AND(OR(A190&lt;&gt;A189,F190&lt;&gt;F189),F190="Winter wheat"),G190*'BAU Management details'!$F$46,
IF(F190="Oilseed Rape",G190*'BAU Management details'!$F$47)))</f>
        <v>23.192137499999998</v>
      </c>
      <c r="I190" t="s">
        <v>348</v>
      </c>
      <c r="J190">
        <v>10</v>
      </c>
      <c r="K190" t="s">
        <v>532</v>
      </c>
      <c r="L190" t="s">
        <v>787</v>
      </c>
      <c r="M190">
        <v>1.9</v>
      </c>
      <c r="N190" t="s">
        <v>349</v>
      </c>
      <c r="O190" t="s">
        <v>350</v>
      </c>
      <c r="P190">
        <v>6.3</v>
      </c>
      <c r="Q190" t="s">
        <v>743</v>
      </c>
      <c r="R190" t="s">
        <v>351</v>
      </c>
      <c r="S190">
        <v>220</v>
      </c>
      <c r="T190" s="47" t="s">
        <v>735</v>
      </c>
      <c r="U190" t="s">
        <v>368</v>
      </c>
      <c r="V190" t="s">
        <v>364</v>
      </c>
      <c r="W190" s="47" t="s">
        <v>736</v>
      </c>
      <c r="X190" s="47">
        <v>0</v>
      </c>
      <c r="Y190" s="47" t="s">
        <v>736</v>
      </c>
      <c r="Z190" s="47">
        <v>0</v>
      </c>
      <c r="AA190" s="47" t="s">
        <v>736</v>
      </c>
      <c r="AB190" s="47">
        <v>0</v>
      </c>
      <c r="AC190" s="47">
        <v>0</v>
      </c>
      <c r="AD190" s="47">
        <v>0</v>
      </c>
      <c r="AE190" s="47" t="s">
        <v>731</v>
      </c>
      <c r="AF190" s="47">
        <v>0</v>
      </c>
      <c r="AG190" s="47" t="s">
        <v>731</v>
      </c>
      <c r="AH190" s="47">
        <v>0</v>
      </c>
      <c r="AI190" s="47" t="s">
        <v>735</v>
      </c>
      <c r="AJ190">
        <v>1</v>
      </c>
      <c r="AK190">
        <v>100</v>
      </c>
    </row>
    <row r="191" spans="1:37" x14ac:dyDescent="0.2">
      <c r="A191" t="s">
        <v>954</v>
      </c>
      <c r="B191" t="s">
        <v>361</v>
      </c>
      <c r="C191">
        <v>2019</v>
      </c>
      <c r="D191">
        <v>4</v>
      </c>
      <c r="E191" t="s">
        <v>958</v>
      </c>
      <c r="F191" t="s">
        <v>362</v>
      </c>
      <c r="G191">
        <v>6.6263249999999996</v>
      </c>
      <c r="H191" s="20">
        <f>IF(AND(A191=A190,F191=F190,F191="Winter wheat"),G191*0.9*'BAU Management details'!$F$46,
IF(AND(OR(A191&lt;&gt;A190,F191&lt;&gt;F190),F191="Winter wheat"),G191*'BAU Management details'!$F$46,
IF(F191="Oilseed Rape",G191*'BAU Management details'!$F$47)))</f>
        <v>56.986394999999995</v>
      </c>
      <c r="I191" t="s">
        <v>348</v>
      </c>
      <c r="J191">
        <v>10</v>
      </c>
      <c r="K191" t="s">
        <v>362</v>
      </c>
      <c r="L191" t="s">
        <v>787</v>
      </c>
      <c r="M191">
        <v>1.9</v>
      </c>
      <c r="N191" t="s">
        <v>349</v>
      </c>
      <c r="O191" t="s">
        <v>350</v>
      </c>
      <c r="P191">
        <v>6.3</v>
      </c>
      <c r="Q191" t="s">
        <v>743</v>
      </c>
      <c r="R191" t="s">
        <v>351</v>
      </c>
      <c r="S191">
        <v>220</v>
      </c>
      <c r="T191" s="47" t="s">
        <v>729</v>
      </c>
      <c r="U191" t="s">
        <v>366</v>
      </c>
      <c r="V191" t="s">
        <v>364</v>
      </c>
      <c r="W191" s="47" t="s">
        <v>736</v>
      </c>
      <c r="X191" s="47">
        <v>0</v>
      </c>
      <c r="Y191" s="47" t="s">
        <v>730</v>
      </c>
      <c r="Z191" s="47">
        <v>0</v>
      </c>
      <c r="AA191" s="47" t="s">
        <v>731</v>
      </c>
      <c r="AB191" s="47">
        <v>0</v>
      </c>
      <c r="AC191" s="47" t="s">
        <v>731</v>
      </c>
      <c r="AD191" s="47" t="s">
        <v>731</v>
      </c>
      <c r="AE191" s="47" t="s">
        <v>731</v>
      </c>
      <c r="AF191" s="47">
        <v>0</v>
      </c>
      <c r="AG191" s="47">
        <v>0</v>
      </c>
      <c r="AH191" s="47">
        <v>0</v>
      </c>
      <c r="AI191" s="47" t="s">
        <v>729</v>
      </c>
      <c r="AJ191">
        <v>1</v>
      </c>
      <c r="AK191">
        <v>100</v>
      </c>
    </row>
    <row r="192" spans="1:37" x14ac:dyDescent="0.2">
      <c r="A192" t="s">
        <v>954</v>
      </c>
      <c r="B192" t="s">
        <v>361</v>
      </c>
      <c r="C192">
        <v>2020</v>
      </c>
      <c r="D192">
        <v>5</v>
      </c>
      <c r="E192" t="s">
        <v>959</v>
      </c>
      <c r="F192" t="s">
        <v>362</v>
      </c>
      <c r="G192">
        <v>6.6263249999999996</v>
      </c>
      <c r="H192" s="20">
        <f>IF(AND(A192=A191,F192=F191,F192="Winter wheat"),G192*0.9*'BAU Management details'!$F$46,
IF(AND(OR(A192&lt;&gt;A191,F192&lt;&gt;F191),F192="Winter wheat"),G192*'BAU Management details'!$F$46,
IF(F192="Oilseed Rape",G192*'BAU Management details'!$F$47)))</f>
        <v>51.287755499999996</v>
      </c>
      <c r="I192" t="s">
        <v>348</v>
      </c>
      <c r="J192">
        <v>10</v>
      </c>
      <c r="K192" t="s">
        <v>362</v>
      </c>
      <c r="L192" t="s">
        <v>787</v>
      </c>
      <c r="M192">
        <v>1.9</v>
      </c>
      <c r="N192" t="s">
        <v>349</v>
      </c>
      <c r="O192" t="s">
        <v>350</v>
      </c>
      <c r="P192">
        <v>6.3</v>
      </c>
      <c r="Q192" t="s">
        <v>743</v>
      </c>
      <c r="R192" t="s">
        <v>351</v>
      </c>
      <c r="S192">
        <v>220</v>
      </c>
      <c r="T192" s="47" t="s">
        <v>729</v>
      </c>
      <c r="U192" t="s">
        <v>733</v>
      </c>
      <c r="V192" t="s">
        <v>364</v>
      </c>
      <c r="W192" s="47" t="s">
        <v>736</v>
      </c>
      <c r="X192" s="47">
        <v>0</v>
      </c>
      <c r="Y192" s="47" t="s">
        <v>730</v>
      </c>
      <c r="Z192" s="47">
        <v>0</v>
      </c>
      <c r="AA192" s="47" t="s">
        <v>731</v>
      </c>
      <c r="AB192" s="47">
        <v>0</v>
      </c>
      <c r="AC192" s="47">
        <v>0</v>
      </c>
      <c r="AD192" s="47">
        <v>0</v>
      </c>
      <c r="AE192" s="47" t="s">
        <v>731</v>
      </c>
      <c r="AF192" s="47">
        <v>0</v>
      </c>
      <c r="AG192" s="47">
        <v>0</v>
      </c>
      <c r="AH192" s="47">
        <v>0</v>
      </c>
      <c r="AI192" s="47" t="s">
        <v>729</v>
      </c>
      <c r="AJ192">
        <v>1</v>
      </c>
      <c r="AK192">
        <v>100</v>
      </c>
    </row>
    <row r="193" spans="1:37" x14ac:dyDescent="0.2">
      <c r="A193" t="s">
        <v>954</v>
      </c>
      <c r="B193" t="s">
        <v>361</v>
      </c>
      <c r="C193">
        <v>2021</v>
      </c>
      <c r="D193">
        <v>6</v>
      </c>
      <c r="E193" t="s">
        <v>960</v>
      </c>
      <c r="F193" t="s">
        <v>365</v>
      </c>
      <c r="G193">
        <v>6.6263249999999996</v>
      </c>
      <c r="H193" s="20">
        <f>IF(AND(A193=A192,F193=F192,F193="Winter wheat"),G193*0.9*'BAU Management details'!$F$46,
IF(AND(OR(A193&lt;&gt;A192,F193&lt;&gt;F192),F193="Winter wheat"),G193*'BAU Management details'!$F$46,
IF(F193="Oilseed Rape",G193*'BAU Management details'!$F$47)))</f>
        <v>23.192137499999998</v>
      </c>
      <c r="I193" t="s">
        <v>348</v>
      </c>
      <c r="J193">
        <v>10</v>
      </c>
      <c r="K193" t="s">
        <v>532</v>
      </c>
      <c r="L193" t="s">
        <v>787</v>
      </c>
      <c r="M193">
        <v>1.9</v>
      </c>
      <c r="N193" t="s">
        <v>349</v>
      </c>
      <c r="O193" t="s">
        <v>350</v>
      </c>
      <c r="P193">
        <v>6.3</v>
      </c>
      <c r="Q193" t="s">
        <v>743</v>
      </c>
      <c r="R193" t="s">
        <v>351</v>
      </c>
      <c r="S193">
        <v>220</v>
      </c>
      <c r="T193" s="47" t="s">
        <v>735</v>
      </c>
      <c r="U193" t="s">
        <v>368</v>
      </c>
      <c r="V193" t="s">
        <v>364</v>
      </c>
      <c r="W193" s="47" t="s">
        <v>736</v>
      </c>
      <c r="X193" s="47">
        <v>0</v>
      </c>
      <c r="Y193" s="47" t="s">
        <v>736</v>
      </c>
      <c r="Z193" s="47">
        <v>0</v>
      </c>
      <c r="AA193" s="47" t="s">
        <v>736</v>
      </c>
      <c r="AB193" s="47">
        <v>0</v>
      </c>
      <c r="AC193" s="47">
        <v>0</v>
      </c>
      <c r="AD193" s="47">
        <v>0</v>
      </c>
      <c r="AE193" s="47" t="s">
        <v>731</v>
      </c>
      <c r="AF193" s="47">
        <v>0</v>
      </c>
      <c r="AG193" s="47" t="s">
        <v>731</v>
      </c>
      <c r="AH193" s="47">
        <v>0</v>
      </c>
      <c r="AI193" s="47" t="s">
        <v>735</v>
      </c>
      <c r="AJ193">
        <v>1</v>
      </c>
      <c r="AK193">
        <v>100</v>
      </c>
    </row>
    <row r="194" spans="1:37" x14ac:dyDescent="0.2">
      <c r="A194" t="s">
        <v>961</v>
      </c>
      <c r="B194" t="s">
        <v>361</v>
      </c>
      <c r="C194">
        <v>2016</v>
      </c>
      <c r="D194">
        <v>1</v>
      </c>
      <c r="E194" t="s">
        <v>962</v>
      </c>
      <c r="F194" t="s">
        <v>362</v>
      </c>
      <c r="G194">
        <v>8.4340980000000005</v>
      </c>
      <c r="H194" s="20">
        <f>IF(AND(A194=A193,F194=F193,F194="Winter wheat"),G194*0.9*'BAU Management details'!$F$46,
IF(AND(OR(A194&lt;&gt;A193,F194&lt;&gt;F193),F194="Winter wheat"),G194*'BAU Management details'!$F$46,
IF(F194="Oilseed Rape",G194*'BAU Management details'!$F$47)))</f>
        <v>72.533242799999996</v>
      </c>
      <c r="I194" t="s">
        <v>348</v>
      </c>
      <c r="J194">
        <v>10</v>
      </c>
      <c r="K194" t="s">
        <v>362</v>
      </c>
      <c r="L194" t="s">
        <v>751</v>
      </c>
      <c r="M194">
        <v>1.9</v>
      </c>
      <c r="N194" t="s">
        <v>349</v>
      </c>
      <c r="O194" t="s">
        <v>350</v>
      </c>
      <c r="P194">
        <v>6.8</v>
      </c>
      <c r="Q194" t="s">
        <v>743</v>
      </c>
      <c r="R194" t="s">
        <v>351</v>
      </c>
      <c r="S194">
        <v>220</v>
      </c>
      <c r="T194" s="47" t="s">
        <v>729</v>
      </c>
      <c r="U194" t="s">
        <v>366</v>
      </c>
      <c r="V194" t="s">
        <v>367</v>
      </c>
      <c r="W194" s="47" t="s">
        <v>736</v>
      </c>
      <c r="X194" s="47">
        <v>0</v>
      </c>
      <c r="Y194" s="47" t="s">
        <v>730</v>
      </c>
      <c r="Z194" s="47">
        <v>0</v>
      </c>
      <c r="AA194" s="47" t="s">
        <v>731</v>
      </c>
      <c r="AB194" s="47">
        <v>0</v>
      </c>
      <c r="AC194" s="47" t="s">
        <v>731</v>
      </c>
      <c r="AD194" s="47" t="s">
        <v>731</v>
      </c>
      <c r="AE194" s="47" t="s">
        <v>731</v>
      </c>
      <c r="AF194" s="47">
        <v>0</v>
      </c>
      <c r="AG194" s="47">
        <v>0</v>
      </c>
      <c r="AH194" s="47">
        <v>0</v>
      </c>
      <c r="AI194" s="47" t="s">
        <v>729</v>
      </c>
      <c r="AJ194">
        <v>1</v>
      </c>
      <c r="AK194">
        <v>100</v>
      </c>
    </row>
    <row r="195" spans="1:37" x14ac:dyDescent="0.2">
      <c r="A195" t="s">
        <v>961</v>
      </c>
      <c r="B195" t="s">
        <v>361</v>
      </c>
      <c r="C195">
        <v>2017</v>
      </c>
      <c r="D195">
        <v>2</v>
      </c>
      <c r="E195" t="s">
        <v>963</v>
      </c>
      <c r="F195" t="s">
        <v>362</v>
      </c>
      <c r="G195">
        <v>8.4340980000000005</v>
      </c>
      <c r="H195" s="20">
        <f>IF(AND(A195=A194,F195=F194,F195="Winter wheat"),G195*0.9*'BAU Management details'!$F$46,
IF(AND(OR(A195&lt;&gt;A194,F195&lt;&gt;F194),F195="Winter wheat"),G195*'BAU Management details'!$F$46,
IF(F195="Oilseed Rape",G195*'BAU Management details'!$F$47)))</f>
        <v>65.27991852000001</v>
      </c>
      <c r="I195" t="s">
        <v>348</v>
      </c>
      <c r="J195">
        <v>10</v>
      </c>
      <c r="K195" t="s">
        <v>362</v>
      </c>
      <c r="L195" t="s">
        <v>751</v>
      </c>
      <c r="M195">
        <v>1.9</v>
      </c>
      <c r="N195" t="s">
        <v>349</v>
      </c>
      <c r="O195" t="s">
        <v>350</v>
      </c>
      <c r="P195">
        <v>6.8</v>
      </c>
      <c r="Q195" t="s">
        <v>743</v>
      </c>
      <c r="R195" t="s">
        <v>351</v>
      </c>
      <c r="S195">
        <v>220</v>
      </c>
      <c r="T195" s="47" t="s">
        <v>729</v>
      </c>
      <c r="U195" t="s">
        <v>733</v>
      </c>
      <c r="V195" t="s">
        <v>369</v>
      </c>
      <c r="W195" s="47" t="s">
        <v>736</v>
      </c>
      <c r="X195" s="47">
        <v>0</v>
      </c>
      <c r="Y195" s="47" t="s">
        <v>730</v>
      </c>
      <c r="Z195" s="47">
        <v>0</v>
      </c>
      <c r="AA195" s="47" t="s">
        <v>731</v>
      </c>
      <c r="AB195" s="47">
        <v>0</v>
      </c>
      <c r="AC195" s="47">
        <v>0</v>
      </c>
      <c r="AD195" s="47">
        <v>0</v>
      </c>
      <c r="AE195" s="47" t="s">
        <v>731</v>
      </c>
      <c r="AF195" s="47">
        <v>0</v>
      </c>
      <c r="AG195" s="47">
        <v>0</v>
      </c>
      <c r="AH195" s="47">
        <v>0</v>
      </c>
      <c r="AI195" s="47" t="s">
        <v>729</v>
      </c>
      <c r="AJ195">
        <v>1</v>
      </c>
      <c r="AK195">
        <v>100</v>
      </c>
    </row>
    <row r="196" spans="1:37" x14ac:dyDescent="0.2">
      <c r="A196" t="s">
        <v>961</v>
      </c>
      <c r="B196" t="s">
        <v>361</v>
      </c>
      <c r="C196">
        <v>2018</v>
      </c>
      <c r="D196">
        <v>3</v>
      </c>
      <c r="E196" t="s">
        <v>964</v>
      </c>
      <c r="F196" t="s">
        <v>365</v>
      </c>
      <c r="G196">
        <v>8.4340980000000005</v>
      </c>
      <c r="H196" s="20">
        <f>IF(AND(A196=A195,F196=F195,F196="Winter wheat"),G196*0.9*'BAU Management details'!$F$46,
IF(AND(OR(A196&lt;&gt;A195,F196&lt;&gt;F195),F196="Winter wheat"),G196*'BAU Management details'!$F$46,
IF(F196="Oilseed Rape",G196*'BAU Management details'!$F$47)))</f>
        <v>29.519343000000003</v>
      </c>
      <c r="I196" t="s">
        <v>348</v>
      </c>
      <c r="J196">
        <v>10</v>
      </c>
      <c r="K196" t="s">
        <v>532</v>
      </c>
      <c r="L196" t="s">
        <v>751</v>
      </c>
      <c r="M196">
        <v>1.9</v>
      </c>
      <c r="N196" t="s">
        <v>349</v>
      </c>
      <c r="O196" t="s">
        <v>350</v>
      </c>
      <c r="P196">
        <v>6.8</v>
      </c>
      <c r="Q196" t="s">
        <v>743</v>
      </c>
      <c r="R196" t="s">
        <v>351</v>
      </c>
      <c r="S196">
        <v>220</v>
      </c>
      <c r="T196" s="47" t="s">
        <v>735</v>
      </c>
      <c r="U196" t="s">
        <v>368</v>
      </c>
      <c r="V196" t="s">
        <v>364</v>
      </c>
      <c r="W196" s="47" t="s">
        <v>736</v>
      </c>
      <c r="X196" s="47">
        <v>0</v>
      </c>
      <c r="Y196" s="47" t="s">
        <v>736</v>
      </c>
      <c r="Z196" s="47">
        <v>0</v>
      </c>
      <c r="AA196" s="47" t="s">
        <v>736</v>
      </c>
      <c r="AB196" s="47">
        <v>0</v>
      </c>
      <c r="AC196" s="47">
        <v>0</v>
      </c>
      <c r="AD196" s="47">
        <v>0</v>
      </c>
      <c r="AE196" s="47" t="s">
        <v>731</v>
      </c>
      <c r="AF196" s="47">
        <v>0</v>
      </c>
      <c r="AG196" s="47" t="s">
        <v>731</v>
      </c>
      <c r="AH196" s="47">
        <v>0</v>
      </c>
      <c r="AI196" s="47" t="s">
        <v>735</v>
      </c>
      <c r="AJ196">
        <v>1</v>
      </c>
      <c r="AK196">
        <v>100</v>
      </c>
    </row>
    <row r="197" spans="1:37" x14ac:dyDescent="0.2">
      <c r="A197" t="s">
        <v>961</v>
      </c>
      <c r="B197" t="s">
        <v>361</v>
      </c>
      <c r="C197">
        <v>2019</v>
      </c>
      <c r="D197">
        <v>4</v>
      </c>
      <c r="E197" t="s">
        <v>965</v>
      </c>
      <c r="F197" t="s">
        <v>362</v>
      </c>
      <c r="G197">
        <v>8.4340980000000005</v>
      </c>
      <c r="H197" s="20">
        <f>IF(AND(A197=A196,F197=F196,F197="Winter wheat"),G197*0.9*'BAU Management details'!$F$46,
IF(AND(OR(A197&lt;&gt;A196,F197&lt;&gt;F196),F197="Winter wheat"),G197*'BAU Management details'!$F$46,
IF(F197="Oilseed Rape",G197*'BAU Management details'!$F$47)))</f>
        <v>72.533242799999996</v>
      </c>
      <c r="I197" t="s">
        <v>348</v>
      </c>
      <c r="J197">
        <v>10</v>
      </c>
      <c r="K197" t="s">
        <v>362</v>
      </c>
      <c r="L197" t="s">
        <v>751</v>
      </c>
      <c r="M197">
        <v>1.9</v>
      </c>
      <c r="N197" t="s">
        <v>349</v>
      </c>
      <c r="O197" t="s">
        <v>350</v>
      </c>
      <c r="P197">
        <v>6.8</v>
      </c>
      <c r="Q197" t="s">
        <v>743</v>
      </c>
      <c r="R197" t="s">
        <v>351</v>
      </c>
      <c r="S197">
        <v>220</v>
      </c>
      <c r="T197" s="47" t="s">
        <v>729</v>
      </c>
      <c r="U197" t="s">
        <v>366</v>
      </c>
      <c r="V197" t="s">
        <v>367</v>
      </c>
      <c r="W197" s="47" t="s">
        <v>736</v>
      </c>
      <c r="X197" s="47">
        <v>0</v>
      </c>
      <c r="Y197" s="47" t="s">
        <v>730</v>
      </c>
      <c r="Z197" s="47">
        <v>0</v>
      </c>
      <c r="AA197" s="47" t="s">
        <v>731</v>
      </c>
      <c r="AB197" s="47">
        <v>0</v>
      </c>
      <c r="AC197" s="47" t="s">
        <v>731</v>
      </c>
      <c r="AD197" s="47" t="s">
        <v>731</v>
      </c>
      <c r="AE197" s="47" t="s">
        <v>731</v>
      </c>
      <c r="AF197" s="47">
        <v>0</v>
      </c>
      <c r="AG197" s="47">
        <v>0</v>
      </c>
      <c r="AH197" s="47">
        <v>0</v>
      </c>
      <c r="AI197" s="47" t="s">
        <v>729</v>
      </c>
      <c r="AJ197">
        <v>1</v>
      </c>
      <c r="AK197">
        <v>100</v>
      </c>
    </row>
    <row r="198" spans="1:37" x14ac:dyDescent="0.2">
      <c r="A198" t="s">
        <v>961</v>
      </c>
      <c r="B198" t="s">
        <v>361</v>
      </c>
      <c r="C198">
        <v>2020</v>
      </c>
      <c r="D198">
        <v>5</v>
      </c>
      <c r="E198" t="s">
        <v>966</v>
      </c>
      <c r="F198" t="s">
        <v>362</v>
      </c>
      <c r="G198">
        <v>8.4340980000000005</v>
      </c>
      <c r="H198" s="20">
        <f>IF(AND(A198=A197,F198=F197,F198="Winter wheat"),G198*0.9*'BAU Management details'!$F$46,
IF(AND(OR(A198&lt;&gt;A197,F198&lt;&gt;F197),F198="Winter wheat"),G198*'BAU Management details'!$F$46,
IF(F198="Oilseed Rape",G198*'BAU Management details'!$F$47)))</f>
        <v>65.27991852000001</v>
      </c>
      <c r="I198" t="s">
        <v>348</v>
      </c>
      <c r="J198">
        <v>10</v>
      </c>
      <c r="K198" t="s">
        <v>362</v>
      </c>
      <c r="L198" t="s">
        <v>751</v>
      </c>
      <c r="M198">
        <v>1.9</v>
      </c>
      <c r="N198" t="s">
        <v>349</v>
      </c>
      <c r="O198" t="s">
        <v>350</v>
      </c>
      <c r="P198">
        <v>6.8</v>
      </c>
      <c r="Q198" t="s">
        <v>743</v>
      </c>
      <c r="R198" t="s">
        <v>351</v>
      </c>
      <c r="S198">
        <v>220</v>
      </c>
      <c r="T198" s="47" t="s">
        <v>729</v>
      </c>
      <c r="U198" t="s">
        <v>733</v>
      </c>
      <c r="V198" t="s">
        <v>369</v>
      </c>
      <c r="W198" s="47" t="s">
        <v>736</v>
      </c>
      <c r="X198" s="47">
        <v>0</v>
      </c>
      <c r="Y198" s="47" t="s">
        <v>730</v>
      </c>
      <c r="Z198" s="47">
        <v>0</v>
      </c>
      <c r="AA198" s="47" t="s">
        <v>731</v>
      </c>
      <c r="AB198" s="47">
        <v>0</v>
      </c>
      <c r="AC198" s="47">
        <v>0</v>
      </c>
      <c r="AD198" s="47">
        <v>0</v>
      </c>
      <c r="AE198" s="47" t="s">
        <v>731</v>
      </c>
      <c r="AF198" s="47">
        <v>0</v>
      </c>
      <c r="AG198" s="47">
        <v>0</v>
      </c>
      <c r="AH198" s="47">
        <v>0</v>
      </c>
      <c r="AI198" s="47" t="s">
        <v>729</v>
      </c>
      <c r="AJ198">
        <v>1</v>
      </c>
      <c r="AK198">
        <v>100</v>
      </c>
    </row>
    <row r="199" spans="1:37" x14ac:dyDescent="0.2">
      <c r="A199" t="s">
        <v>961</v>
      </c>
      <c r="B199" t="s">
        <v>361</v>
      </c>
      <c r="C199">
        <v>2021</v>
      </c>
      <c r="D199">
        <v>6</v>
      </c>
      <c r="E199" t="s">
        <v>967</v>
      </c>
      <c r="F199" t="s">
        <v>365</v>
      </c>
      <c r="G199">
        <v>8.4340980000000005</v>
      </c>
      <c r="H199" s="20">
        <f>IF(AND(A199=A198,F199=F198,F199="Winter wheat"),G199*0.9*'BAU Management details'!$F$46,
IF(AND(OR(A199&lt;&gt;A198,F199&lt;&gt;F198),F199="Winter wheat"),G199*'BAU Management details'!$F$46,
IF(F199="Oilseed Rape",G199*'BAU Management details'!$F$47)))</f>
        <v>29.519343000000003</v>
      </c>
      <c r="I199" t="s">
        <v>348</v>
      </c>
      <c r="J199">
        <v>10</v>
      </c>
      <c r="K199" t="s">
        <v>532</v>
      </c>
      <c r="L199" t="s">
        <v>751</v>
      </c>
      <c r="M199">
        <v>1.9</v>
      </c>
      <c r="N199" t="s">
        <v>349</v>
      </c>
      <c r="O199" t="s">
        <v>350</v>
      </c>
      <c r="P199">
        <v>6.8</v>
      </c>
      <c r="Q199" t="s">
        <v>743</v>
      </c>
      <c r="R199" t="s">
        <v>351</v>
      </c>
      <c r="S199">
        <v>220</v>
      </c>
      <c r="T199" s="47" t="s">
        <v>735</v>
      </c>
      <c r="U199" t="s">
        <v>368</v>
      </c>
      <c r="V199" t="s">
        <v>364</v>
      </c>
      <c r="W199" s="47" t="s">
        <v>736</v>
      </c>
      <c r="X199" s="47">
        <v>0</v>
      </c>
      <c r="Y199" s="47" t="s">
        <v>736</v>
      </c>
      <c r="Z199" s="47">
        <v>0</v>
      </c>
      <c r="AA199" s="47" t="s">
        <v>736</v>
      </c>
      <c r="AB199" s="47">
        <v>0</v>
      </c>
      <c r="AC199" s="47">
        <v>0</v>
      </c>
      <c r="AD199" s="47">
        <v>0</v>
      </c>
      <c r="AE199" s="47" t="s">
        <v>731</v>
      </c>
      <c r="AF199" s="47">
        <v>0</v>
      </c>
      <c r="AG199" s="47" t="s">
        <v>731</v>
      </c>
      <c r="AH199" s="47">
        <v>0</v>
      </c>
      <c r="AI199" s="47" t="s">
        <v>735</v>
      </c>
      <c r="AJ199">
        <v>1</v>
      </c>
      <c r="AK199">
        <v>100</v>
      </c>
    </row>
    <row r="200" spans="1:37" x14ac:dyDescent="0.2">
      <c r="A200" t="s">
        <v>968</v>
      </c>
      <c r="B200" t="s">
        <v>361</v>
      </c>
      <c r="C200">
        <v>2016</v>
      </c>
      <c r="D200">
        <v>1</v>
      </c>
      <c r="E200" t="s">
        <v>969</v>
      </c>
      <c r="F200" t="s">
        <v>362</v>
      </c>
      <c r="G200">
        <v>8.7933430000000001</v>
      </c>
      <c r="H200" s="20">
        <f>IF(AND(A200=A199,F200=F199,F200="Winter wheat"),G200*0.9*'BAU Management details'!$F$46,
IF(AND(OR(A200&lt;&gt;A199,F200&lt;&gt;F199),F200="Winter wheat"),G200*'BAU Management details'!$F$46,
IF(F200="Oilseed Rape",G200*'BAU Management details'!$F$47)))</f>
        <v>75.622749799999994</v>
      </c>
      <c r="I200" t="s">
        <v>348</v>
      </c>
      <c r="J200">
        <v>10</v>
      </c>
      <c r="K200" t="s">
        <v>362</v>
      </c>
      <c r="L200" t="s">
        <v>727</v>
      </c>
      <c r="M200">
        <v>4</v>
      </c>
      <c r="N200" t="s">
        <v>349</v>
      </c>
      <c r="O200" t="s">
        <v>350</v>
      </c>
      <c r="P200">
        <v>7.3</v>
      </c>
      <c r="Q200" t="s">
        <v>743</v>
      </c>
      <c r="R200" t="s">
        <v>351</v>
      </c>
      <c r="S200">
        <v>220</v>
      </c>
      <c r="T200" s="47" t="s">
        <v>729</v>
      </c>
      <c r="U200" t="s">
        <v>366</v>
      </c>
      <c r="V200" t="s">
        <v>364</v>
      </c>
      <c r="W200" s="47" t="s">
        <v>736</v>
      </c>
      <c r="X200" s="47">
        <v>0</v>
      </c>
      <c r="Y200" s="47" t="s">
        <v>730</v>
      </c>
      <c r="Z200" s="47">
        <v>0</v>
      </c>
      <c r="AA200" s="47" t="s">
        <v>731</v>
      </c>
      <c r="AB200" s="47">
        <v>0</v>
      </c>
      <c r="AC200" s="47" t="s">
        <v>731</v>
      </c>
      <c r="AD200" s="47" t="s">
        <v>731</v>
      </c>
      <c r="AE200" s="47" t="s">
        <v>731</v>
      </c>
      <c r="AF200" s="47">
        <v>0</v>
      </c>
      <c r="AG200" s="47">
        <v>0</v>
      </c>
      <c r="AH200" s="47">
        <v>0</v>
      </c>
      <c r="AI200" s="47" t="s">
        <v>729</v>
      </c>
      <c r="AJ200">
        <v>1</v>
      </c>
      <c r="AK200">
        <v>100</v>
      </c>
    </row>
    <row r="201" spans="1:37" x14ac:dyDescent="0.2">
      <c r="A201" t="s">
        <v>968</v>
      </c>
      <c r="B201" t="s">
        <v>361</v>
      </c>
      <c r="C201">
        <v>2017</v>
      </c>
      <c r="D201">
        <v>2</v>
      </c>
      <c r="E201" t="s">
        <v>970</v>
      </c>
      <c r="F201" t="s">
        <v>362</v>
      </c>
      <c r="G201">
        <v>8.7933430000000001</v>
      </c>
      <c r="H201" s="20">
        <f>IF(AND(A201=A200,F201=F200,F201="Winter wheat"),G201*0.9*'BAU Management details'!$F$46,
IF(AND(OR(A201&lt;&gt;A200,F201&lt;&gt;F200),F201="Winter wheat"),G201*'BAU Management details'!$F$46,
IF(F201="Oilseed Rape",G201*'BAU Management details'!$F$47)))</f>
        <v>68.060474819999996</v>
      </c>
      <c r="I201" t="s">
        <v>348</v>
      </c>
      <c r="J201">
        <v>10</v>
      </c>
      <c r="K201" t="s">
        <v>362</v>
      </c>
      <c r="L201" t="s">
        <v>727</v>
      </c>
      <c r="M201">
        <v>4</v>
      </c>
      <c r="N201" t="s">
        <v>349</v>
      </c>
      <c r="O201" t="s">
        <v>350</v>
      </c>
      <c r="P201">
        <v>7.3</v>
      </c>
      <c r="Q201" t="s">
        <v>743</v>
      </c>
      <c r="R201" t="s">
        <v>351</v>
      </c>
      <c r="S201">
        <v>220</v>
      </c>
      <c r="T201" s="47" t="s">
        <v>729</v>
      </c>
      <c r="U201" t="s">
        <v>733</v>
      </c>
      <c r="V201" t="s">
        <v>364</v>
      </c>
      <c r="W201" s="47" t="s">
        <v>736</v>
      </c>
      <c r="X201" s="47">
        <v>0</v>
      </c>
      <c r="Y201" s="47" t="s">
        <v>730</v>
      </c>
      <c r="Z201" s="47">
        <v>0</v>
      </c>
      <c r="AA201" s="47" t="s">
        <v>731</v>
      </c>
      <c r="AB201" s="47">
        <v>0</v>
      </c>
      <c r="AC201" s="47">
        <v>0</v>
      </c>
      <c r="AD201" s="47">
        <v>0</v>
      </c>
      <c r="AE201" s="47" t="s">
        <v>731</v>
      </c>
      <c r="AF201" s="47">
        <v>0</v>
      </c>
      <c r="AG201" s="47">
        <v>0</v>
      </c>
      <c r="AH201" s="47">
        <v>0</v>
      </c>
      <c r="AI201" s="47" t="s">
        <v>729</v>
      </c>
      <c r="AJ201">
        <v>1</v>
      </c>
      <c r="AK201">
        <v>100</v>
      </c>
    </row>
    <row r="202" spans="1:37" x14ac:dyDescent="0.2">
      <c r="A202" t="s">
        <v>968</v>
      </c>
      <c r="B202" t="s">
        <v>361</v>
      </c>
      <c r="C202">
        <v>2018</v>
      </c>
      <c r="D202">
        <v>3</v>
      </c>
      <c r="E202" t="s">
        <v>971</v>
      </c>
      <c r="F202" t="s">
        <v>365</v>
      </c>
      <c r="G202">
        <v>8.7933430000000001</v>
      </c>
      <c r="H202" s="20">
        <f>IF(AND(A202=A201,F202=F201,F202="Winter wheat"),G202*0.9*'BAU Management details'!$F$46,
IF(AND(OR(A202&lt;&gt;A201,F202&lt;&gt;F201),F202="Winter wheat"),G202*'BAU Management details'!$F$46,
IF(F202="Oilseed Rape",G202*'BAU Management details'!$F$47)))</f>
        <v>30.7767005</v>
      </c>
      <c r="I202" t="s">
        <v>348</v>
      </c>
      <c r="J202">
        <v>10</v>
      </c>
      <c r="K202" t="s">
        <v>532</v>
      </c>
      <c r="L202" t="s">
        <v>727</v>
      </c>
      <c r="M202">
        <v>4</v>
      </c>
      <c r="N202" t="s">
        <v>349</v>
      </c>
      <c r="O202" t="s">
        <v>350</v>
      </c>
      <c r="P202">
        <v>7.3</v>
      </c>
      <c r="Q202" t="s">
        <v>743</v>
      </c>
      <c r="R202" t="s">
        <v>351</v>
      </c>
      <c r="S202">
        <v>220</v>
      </c>
      <c r="T202" s="47" t="s">
        <v>735</v>
      </c>
      <c r="U202" t="s">
        <v>368</v>
      </c>
      <c r="V202" t="s">
        <v>364</v>
      </c>
      <c r="W202" s="47" t="s">
        <v>736</v>
      </c>
      <c r="X202" s="47">
        <v>0</v>
      </c>
      <c r="Y202" s="47" t="s">
        <v>736</v>
      </c>
      <c r="Z202" s="47">
        <v>0</v>
      </c>
      <c r="AA202" s="47" t="s">
        <v>736</v>
      </c>
      <c r="AB202" s="47">
        <v>0</v>
      </c>
      <c r="AC202" s="47">
        <v>0</v>
      </c>
      <c r="AD202" s="47">
        <v>0</v>
      </c>
      <c r="AE202" s="47" t="s">
        <v>731</v>
      </c>
      <c r="AF202" s="47">
        <v>0</v>
      </c>
      <c r="AG202" s="47" t="s">
        <v>731</v>
      </c>
      <c r="AH202" s="47">
        <v>0</v>
      </c>
      <c r="AI202" s="47" t="s">
        <v>735</v>
      </c>
      <c r="AJ202">
        <v>1</v>
      </c>
      <c r="AK202">
        <v>100</v>
      </c>
    </row>
    <row r="203" spans="1:37" x14ac:dyDescent="0.2">
      <c r="A203" t="s">
        <v>968</v>
      </c>
      <c r="B203" t="s">
        <v>361</v>
      </c>
      <c r="C203">
        <v>2019</v>
      </c>
      <c r="D203">
        <v>4</v>
      </c>
      <c r="E203" t="s">
        <v>972</v>
      </c>
      <c r="F203" t="s">
        <v>362</v>
      </c>
      <c r="G203">
        <v>8.7933430000000001</v>
      </c>
      <c r="H203" s="20">
        <f>IF(AND(A203=A202,F203=F202,F203="Winter wheat"),G203*0.9*'BAU Management details'!$F$46,
IF(AND(OR(A203&lt;&gt;A202,F203&lt;&gt;F202),F203="Winter wheat"),G203*'BAU Management details'!$F$46,
IF(F203="Oilseed Rape",G203*'BAU Management details'!$F$47)))</f>
        <v>75.622749799999994</v>
      </c>
      <c r="I203" t="s">
        <v>348</v>
      </c>
      <c r="J203">
        <v>10</v>
      </c>
      <c r="K203" t="s">
        <v>362</v>
      </c>
      <c r="L203" t="s">
        <v>727</v>
      </c>
      <c r="M203">
        <v>4</v>
      </c>
      <c r="N203" t="s">
        <v>349</v>
      </c>
      <c r="O203" t="s">
        <v>350</v>
      </c>
      <c r="P203">
        <v>7.3</v>
      </c>
      <c r="Q203" t="s">
        <v>743</v>
      </c>
      <c r="R203" t="s">
        <v>351</v>
      </c>
      <c r="S203">
        <v>220</v>
      </c>
      <c r="T203" s="47" t="s">
        <v>729</v>
      </c>
      <c r="U203" t="s">
        <v>366</v>
      </c>
      <c r="V203" t="s">
        <v>364</v>
      </c>
      <c r="W203" s="47" t="s">
        <v>736</v>
      </c>
      <c r="X203" s="47">
        <v>0</v>
      </c>
      <c r="Y203" s="47" t="s">
        <v>730</v>
      </c>
      <c r="Z203" s="47">
        <v>0</v>
      </c>
      <c r="AA203" s="47" t="s">
        <v>731</v>
      </c>
      <c r="AB203" s="47">
        <v>0</v>
      </c>
      <c r="AC203" s="47" t="s">
        <v>731</v>
      </c>
      <c r="AD203" s="47" t="s">
        <v>731</v>
      </c>
      <c r="AE203" s="47" t="s">
        <v>731</v>
      </c>
      <c r="AF203" s="47">
        <v>0</v>
      </c>
      <c r="AG203" s="47">
        <v>0</v>
      </c>
      <c r="AH203" s="47">
        <v>0</v>
      </c>
      <c r="AI203" s="47" t="s">
        <v>729</v>
      </c>
      <c r="AJ203">
        <v>1</v>
      </c>
      <c r="AK203">
        <v>100</v>
      </c>
    </row>
    <row r="204" spans="1:37" x14ac:dyDescent="0.2">
      <c r="A204" t="s">
        <v>968</v>
      </c>
      <c r="B204" t="s">
        <v>361</v>
      </c>
      <c r="C204">
        <v>2020</v>
      </c>
      <c r="D204">
        <v>5</v>
      </c>
      <c r="E204" t="s">
        <v>973</v>
      </c>
      <c r="F204" t="s">
        <v>362</v>
      </c>
      <c r="G204">
        <v>8.7933430000000001</v>
      </c>
      <c r="H204" s="20">
        <f>IF(AND(A204=A203,F204=F203,F204="Winter wheat"),G204*0.9*'BAU Management details'!$F$46,
IF(AND(OR(A204&lt;&gt;A203,F204&lt;&gt;F203),F204="Winter wheat"),G204*'BAU Management details'!$F$46,
IF(F204="Oilseed Rape",G204*'BAU Management details'!$F$47)))</f>
        <v>68.060474819999996</v>
      </c>
      <c r="I204" t="s">
        <v>348</v>
      </c>
      <c r="J204">
        <v>10</v>
      </c>
      <c r="K204" t="s">
        <v>362</v>
      </c>
      <c r="L204" t="s">
        <v>727</v>
      </c>
      <c r="M204">
        <v>4</v>
      </c>
      <c r="N204" t="s">
        <v>349</v>
      </c>
      <c r="O204" t="s">
        <v>350</v>
      </c>
      <c r="P204">
        <v>7.3</v>
      </c>
      <c r="Q204" t="s">
        <v>743</v>
      </c>
      <c r="R204" t="s">
        <v>351</v>
      </c>
      <c r="S204">
        <v>220</v>
      </c>
      <c r="T204" s="47" t="s">
        <v>729</v>
      </c>
      <c r="U204" t="s">
        <v>733</v>
      </c>
      <c r="V204" t="s">
        <v>364</v>
      </c>
      <c r="W204" s="47" t="s">
        <v>736</v>
      </c>
      <c r="X204" s="47">
        <v>0</v>
      </c>
      <c r="Y204" s="47" t="s">
        <v>730</v>
      </c>
      <c r="Z204" s="47">
        <v>0</v>
      </c>
      <c r="AA204" s="47" t="s">
        <v>731</v>
      </c>
      <c r="AB204" s="47">
        <v>0</v>
      </c>
      <c r="AC204" s="47">
        <v>0</v>
      </c>
      <c r="AD204" s="47">
        <v>0</v>
      </c>
      <c r="AE204" s="47" t="s">
        <v>731</v>
      </c>
      <c r="AF204" s="47">
        <v>0</v>
      </c>
      <c r="AG204" s="47">
        <v>0</v>
      </c>
      <c r="AH204" s="47">
        <v>0</v>
      </c>
      <c r="AI204" s="47" t="s">
        <v>729</v>
      </c>
      <c r="AJ204">
        <v>1</v>
      </c>
      <c r="AK204">
        <v>100</v>
      </c>
    </row>
    <row r="205" spans="1:37" x14ac:dyDescent="0.2">
      <c r="A205" t="s">
        <v>968</v>
      </c>
      <c r="B205" t="s">
        <v>361</v>
      </c>
      <c r="C205">
        <v>2021</v>
      </c>
      <c r="D205">
        <v>6</v>
      </c>
      <c r="E205" t="s">
        <v>974</v>
      </c>
      <c r="F205" t="s">
        <v>365</v>
      </c>
      <c r="G205">
        <v>8.7933430000000001</v>
      </c>
      <c r="H205" s="20">
        <f>IF(AND(A205=A204,F205=F204,F205="Winter wheat"),G205*0.9*'BAU Management details'!$F$46,
IF(AND(OR(A205&lt;&gt;A204,F205&lt;&gt;F204),F205="Winter wheat"),G205*'BAU Management details'!$F$46,
IF(F205="Oilseed Rape",G205*'BAU Management details'!$F$47)))</f>
        <v>30.7767005</v>
      </c>
      <c r="I205" t="s">
        <v>348</v>
      </c>
      <c r="J205">
        <v>10</v>
      </c>
      <c r="K205" t="s">
        <v>532</v>
      </c>
      <c r="L205" t="s">
        <v>727</v>
      </c>
      <c r="M205">
        <v>4</v>
      </c>
      <c r="N205" t="s">
        <v>349</v>
      </c>
      <c r="O205" t="s">
        <v>350</v>
      </c>
      <c r="P205">
        <v>7.3</v>
      </c>
      <c r="Q205" t="s">
        <v>743</v>
      </c>
      <c r="R205" t="s">
        <v>351</v>
      </c>
      <c r="S205">
        <v>220</v>
      </c>
      <c r="T205" s="47" t="s">
        <v>735</v>
      </c>
      <c r="U205" t="s">
        <v>368</v>
      </c>
      <c r="V205" t="s">
        <v>364</v>
      </c>
      <c r="W205" s="47" t="s">
        <v>736</v>
      </c>
      <c r="X205" s="47">
        <v>0</v>
      </c>
      <c r="Y205" s="47" t="s">
        <v>736</v>
      </c>
      <c r="Z205" s="47">
        <v>0</v>
      </c>
      <c r="AA205" s="47" t="s">
        <v>736</v>
      </c>
      <c r="AB205" s="47">
        <v>0</v>
      </c>
      <c r="AC205" s="47">
        <v>0</v>
      </c>
      <c r="AD205" s="47">
        <v>0</v>
      </c>
      <c r="AE205" s="47" t="s">
        <v>731</v>
      </c>
      <c r="AF205" s="47">
        <v>0</v>
      </c>
      <c r="AG205" s="47" t="s">
        <v>731</v>
      </c>
      <c r="AH205" s="47">
        <v>0</v>
      </c>
      <c r="AI205" s="47" t="s">
        <v>735</v>
      </c>
      <c r="AJ205">
        <v>1</v>
      </c>
      <c r="AK205">
        <v>100</v>
      </c>
    </row>
    <row r="206" spans="1:37" x14ac:dyDescent="0.2">
      <c r="A206" t="s">
        <v>975</v>
      </c>
      <c r="B206" t="s">
        <v>361</v>
      </c>
      <c r="C206">
        <v>2016</v>
      </c>
      <c r="D206">
        <v>1</v>
      </c>
      <c r="E206" t="s">
        <v>976</v>
      </c>
      <c r="F206" t="s">
        <v>362</v>
      </c>
      <c r="G206">
        <v>6.1283260000000004</v>
      </c>
      <c r="H206" s="20">
        <f>IF(AND(A206=A205,F206=F205,F206="Winter wheat"),G206*0.9*'BAU Management details'!$F$46,
IF(AND(OR(A206&lt;&gt;A205,F206&lt;&gt;F205),F206="Winter wheat"),G206*'BAU Management details'!$F$46,
IF(F206="Oilseed Rape",G206*'BAU Management details'!$F$47)))</f>
        <v>52.703603600000001</v>
      </c>
      <c r="I206" t="s">
        <v>348</v>
      </c>
      <c r="J206">
        <v>10</v>
      </c>
      <c r="K206" t="s">
        <v>362</v>
      </c>
      <c r="L206" t="s">
        <v>751</v>
      </c>
      <c r="M206">
        <v>2.8</v>
      </c>
      <c r="N206" t="s">
        <v>349</v>
      </c>
      <c r="O206" t="s">
        <v>350</v>
      </c>
      <c r="P206">
        <v>6.5</v>
      </c>
      <c r="Q206" t="s">
        <v>743</v>
      </c>
      <c r="R206" t="s">
        <v>351</v>
      </c>
      <c r="S206">
        <v>220</v>
      </c>
      <c r="T206" s="47" t="s">
        <v>729</v>
      </c>
      <c r="U206" t="s">
        <v>366</v>
      </c>
      <c r="V206" t="s">
        <v>364</v>
      </c>
      <c r="W206" s="47" t="s">
        <v>736</v>
      </c>
      <c r="X206" s="47">
        <v>0</v>
      </c>
      <c r="Y206" s="47" t="s">
        <v>730</v>
      </c>
      <c r="Z206" s="47">
        <v>0</v>
      </c>
      <c r="AA206" s="47" t="s">
        <v>731</v>
      </c>
      <c r="AB206" s="47">
        <v>0</v>
      </c>
      <c r="AC206" s="47" t="s">
        <v>731</v>
      </c>
      <c r="AD206" s="47" t="s">
        <v>731</v>
      </c>
      <c r="AE206" s="47" t="s">
        <v>731</v>
      </c>
      <c r="AF206" s="47">
        <v>0</v>
      </c>
      <c r="AG206" s="47">
        <v>0</v>
      </c>
      <c r="AH206" s="47">
        <v>0</v>
      </c>
      <c r="AI206" s="47" t="s">
        <v>729</v>
      </c>
      <c r="AJ206">
        <v>1</v>
      </c>
      <c r="AK206">
        <v>100</v>
      </c>
    </row>
    <row r="207" spans="1:37" x14ac:dyDescent="0.2">
      <c r="A207" t="s">
        <v>975</v>
      </c>
      <c r="B207" t="s">
        <v>361</v>
      </c>
      <c r="C207">
        <v>2017</v>
      </c>
      <c r="D207">
        <v>2</v>
      </c>
      <c r="E207" t="s">
        <v>977</v>
      </c>
      <c r="F207" t="s">
        <v>362</v>
      </c>
      <c r="G207">
        <v>6.1283260000000004</v>
      </c>
      <c r="H207" s="20">
        <f>IF(AND(A207=A206,F207=F206,F207="Winter wheat"),G207*0.9*'BAU Management details'!$F$46,
IF(AND(OR(A207&lt;&gt;A206,F207&lt;&gt;F206),F207="Winter wheat"),G207*'BAU Management details'!$F$46,
IF(F207="Oilseed Rape",G207*'BAU Management details'!$F$47)))</f>
        <v>47.433243240000003</v>
      </c>
      <c r="I207" t="s">
        <v>348</v>
      </c>
      <c r="J207">
        <v>10</v>
      </c>
      <c r="K207" t="s">
        <v>362</v>
      </c>
      <c r="L207" t="s">
        <v>751</v>
      </c>
      <c r="M207">
        <v>2.8</v>
      </c>
      <c r="N207" t="s">
        <v>349</v>
      </c>
      <c r="O207" t="s">
        <v>350</v>
      </c>
      <c r="P207">
        <v>6.5</v>
      </c>
      <c r="Q207" t="s">
        <v>743</v>
      </c>
      <c r="R207" t="s">
        <v>351</v>
      </c>
      <c r="S207">
        <v>220</v>
      </c>
      <c r="T207" s="47" t="s">
        <v>729</v>
      </c>
      <c r="U207" t="s">
        <v>733</v>
      </c>
      <c r="V207" t="s">
        <v>364</v>
      </c>
      <c r="W207" s="47" t="s">
        <v>736</v>
      </c>
      <c r="X207" s="47">
        <v>0</v>
      </c>
      <c r="Y207" s="47" t="s">
        <v>730</v>
      </c>
      <c r="Z207" s="47">
        <v>0</v>
      </c>
      <c r="AA207" s="47" t="s">
        <v>731</v>
      </c>
      <c r="AB207" s="47">
        <v>0</v>
      </c>
      <c r="AC207" s="47">
        <v>0</v>
      </c>
      <c r="AD207" s="47">
        <v>0</v>
      </c>
      <c r="AE207" s="47" t="s">
        <v>731</v>
      </c>
      <c r="AF207" s="47">
        <v>0</v>
      </c>
      <c r="AG207" s="47">
        <v>0</v>
      </c>
      <c r="AH207" s="47">
        <v>0</v>
      </c>
      <c r="AI207" s="47" t="s">
        <v>729</v>
      </c>
      <c r="AJ207">
        <v>1</v>
      </c>
      <c r="AK207">
        <v>100</v>
      </c>
    </row>
    <row r="208" spans="1:37" x14ac:dyDescent="0.2">
      <c r="A208" t="s">
        <v>975</v>
      </c>
      <c r="B208" t="s">
        <v>361</v>
      </c>
      <c r="C208">
        <v>2018</v>
      </c>
      <c r="D208">
        <v>3</v>
      </c>
      <c r="E208" t="s">
        <v>978</v>
      </c>
      <c r="F208" t="s">
        <v>365</v>
      </c>
      <c r="G208">
        <v>6.1283260000000004</v>
      </c>
      <c r="H208" s="20">
        <f>IF(AND(A208=A207,F208=F207,F208="Winter wheat"),G208*0.9*'BAU Management details'!$F$46,
IF(AND(OR(A208&lt;&gt;A207,F208&lt;&gt;F207),F208="Winter wheat"),G208*'BAU Management details'!$F$46,
IF(F208="Oilseed Rape",G208*'BAU Management details'!$F$47)))</f>
        <v>21.449141000000001</v>
      </c>
      <c r="I208" t="s">
        <v>348</v>
      </c>
      <c r="J208">
        <v>10</v>
      </c>
      <c r="K208" t="s">
        <v>532</v>
      </c>
      <c r="L208" t="s">
        <v>751</v>
      </c>
      <c r="M208">
        <v>2.8</v>
      </c>
      <c r="N208" t="s">
        <v>349</v>
      </c>
      <c r="O208" t="s">
        <v>350</v>
      </c>
      <c r="P208">
        <v>6.5</v>
      </c>
      <c r="Q208" t="s">
        <v>743</v>
      </c>
      <c r="R208" t="s">
        <v>351</v>
      </c>
      <c r="S208">
        <v>220</v>
      </c>
      <c r="T208" s="47" t="s">
        <v>735</v>
      </c>
      <c r="U208" t="s">
        <v>368</v>
      </c>
      <c r="V208" t="s">
        <v>364</v>
      </c>
      <c r="W208" s="47" t="s">
        <v>736</v>
      </c>
      <c r="X208" s="47">
        <v>0</v>
      </c>
      <c r="Y208" s="47" t="s">
        <v>736</v>
      </c>
      <c r="Z208" s="47">
        <v>0</v>
      </c>
      <c r="AA208" s="47" t="s">
        <v>736</v>
      </c>
      <c r="AB208" s="47">
        <v>0</v>
      </c>
      <c r="AC208" s="47">
        <v>0</v>
      </c>
      <c r="AD208" s="47">
        <v>0</v>
      </c>
      <c r="AE208" s="47" t="s">
        <v>731</v>
      </c>
      <c r="AF208" s="47">
        <v>0</v>
      </c>
      <c r="AG208" s="47" t="s">
        <v>731</v>
      </c>
      <c r="AH208" s="47">
        <v>0</v>
      </c>
      <c r="AI208" s="47" t="s">
        <v>735</v>
      </c>
      <c r="AJ208">
        <v>1</v>
      </c>
      <c r="AK208">
        <v>100</v>
      </c>
    </row>
    <row r="209" spans="1:37" x14ac:dyDescent="0.2">
      <c r="A209" t="s">
        <v>975</v>
      </c>
      <c r="B209" t="s">
        <v>361</v>
      </c>
      <c r="C209">
        <v>2019</v>
      </c>
      <c r="D209">
        <v>4</v>
      </c>
      <c r="E209" t="s">
        <v>979</v>
      </c>
      <c r="F209" t="s">
        <v>362</v>
      </c>
      <c r="G209">
        <v>6.1283260000000004</v>
      </c>
      <c r="H209" s="20">
        <f>IF(AND(A209=A208,F209=F208,F209="Winter wheat"),G209*0.9*'BAU Management details'!$F$46,
IF(AND(OR(A209&lt;&gt;A208,F209&lt;&gt;F208),F209="Winter wheat"),G209*'BAU Management details'!$F$46,
IF(F209="Oilseed Rape",G209*'BAU Management details'!$F$47)))</f>
        <v>52.703603600000001</v>
      </c>
      <c r="I209" t="s">
        <v>348</v>
      </c>
      <c r="J209">
        <v>10</v>
      </c>
      <c r="K209" t="s">
        <v>362</v>
      </c>
      <c r="L209" t="s">
        <v>751</v>
      </c>
      <c r="M209">
        <v>2.8</v>
      </c>
      <c r="N209" t="s">
        <v>349</v>
      </c>
      <c r="O209" t="s">
        <v>350</v>
      </c>
      <c r="P209">
        <v>6.5</v>
      </c>
      <c r="Q209" t="s">
        <v>743</v>
      </c>
      <c r="R209" t="s">
        <v>351</v>
      </c>
      <c r="S209">
        <v>220</v>
      </c>
      <c r="T209" s="47" t="s">
        <v>729</v>
      </c>
      <c r="U209" t="s">
        <v>366</v>
      </c>
      <c r="V209" t="s">
        <v>364</v>
      </c>
      <c r="W209" s="47" t="s">
        <v>736</v>
      </c>
      <c r="X209" s="47">
        <v>0</v>
      </c>
      <c r="Y209" s="47" t="s">
        <v>730</v>
      </c>
      <c r="Z209" s="47">
        <v>0</v>
      </c>
      <c r="AA209" s="47" t="s">
        <v>731</v>
      </c>
      <c r="AB209" s="47">
        <v>0</v>
      </c>
      <c r="AC209" s="47" t="s">
        <v>731</v>
      </c>
      <c r="AD209" s="47" t="s">
        <v>731</v>
      </c>
      <c r="AE209" s="47" t="s">
        <v>731</v>
      </c>
      <c r="AF209" s="47">
        <v>0</v>
      </c>
      <c r="AG209" s="47">
        <v>0</v>
      </c>
      <c r="AH209" s="47">
        <v>0</v>
      </c>
      <c r="AI209" s="47" t="s">
        <v>729</v>
      </c>
      <c r="AJ209">
        <v>1</v>
      </c>
      <c r="AK209">
        <v>100</v>
      </c>
    </row>
    <row r="210" spans="1:37" x14ac:dyDescent="0.2">
      <c r="A210" t="s">
        <v>975</v>
      </c>
      <c r="B210" t="s">
        <v>361</v>
      </c>
      <c r="C210">
        <v>2020</v>
      </c>
      <c r="D210">
        <v>5</v>
      </c>
      <c r="E210" t="s">
        <v>980</v>
      </c>
      <c r="F210" t="s">
        <v>362</v>
      </c>
      <c r="G210">
        <v>6.1283260000000004</v>
      </c>
      <c r="H210" s="20">
        <f>IF(AND(A210=A209,F210=F209,F210="Winter wheat"),G210*0.9*'BAU Management details'!$F$46,
IF(AND(OR(A210&lt;&gt;A209,F210&lt;&gt;F209),F210="Winter wheat"),G210*'BAU Management details'!$F$46,
IF(F210="Oilseed Rape",G210*'BAU Management details'!$F$47)))</f>
        <v>47.433243240000003</v>
      </c>
      <c r="I210" t="s">
        <v>348</v>
      </c>
      <c r="J210">
        <v>10</v>
      </c>
      <c r="K210" t="s">
        <v>362</v>
      </c>
      <c r="L210" t="s">
        <v>751</v>
      </c>
      <c r="M210">
        <v>2.8</v>
      </c>
      <c r="N210" t="s">
        <v>349</v>
      </c>
      <c r="O210" t="s">
        <v>350</v>
      </c>
      <c r="P210">
        <v>6.5</v>
      </c>
      <c r="Q210" t="s">
        <v>743</v>
      </c>
      <c r="R210" t="s">
        <v>351</v>
      </c>
      <c r="S210">
        <v>220</v>
      </c>
      <c r="T210" s="47" t="s">
        <v>729</v>
      </c>
      <c r="U210" t="s">
        <v>733</v>
      </c>
      <c r="V210" t="s">
        <v>364</v>
      </c>
      <c r="W210" s="47" t="s">
        <v>736</v>
      </c>
      <c r="X210" s="47">
        <v>0</v>
      </c>
      <c r="Y210" s="47" t="s">
        <v>730</v>
      </c>
      <c r="Z210" s="47">
        <v>0</v>
      </c>
      <c r="AA210" s="47" t="s">
        <v>731</v>
      </c>
      <c r="AB210" s="47">
        <v>0</v>
      </c>
      <c r="AC210" s="47">
        <v>0</v>
      </c>
      <c r="AD210" s="47">
        <v>0</v>
      </c>
      <c r="AE210" s="47" t="s">
        <v>731</v>
      </c>
      <c r="AF210" s="47">
        <v>0</v>
      </c>
      <c r="AG210" s="47">
        <v>0</v>
      </c>
      <c r="AH210" s="47">
        <v>0</v>
      </c>
      <c r="AI210" s="47" t="s">
        <v>729</v>
      </c>
      <c r="AJ210">
        <v>1</v>
      </c>
      <c r="AK210">
        <v>100</v>
      </c>
    </row>
    <row r="211" spans="1:37" x14ac:dyDescent="0.2">
      <c r="A211" t="s">
        <v>975</v>
      </c>
      <c r="B211" t="s">
        <v>361</v>
      </c>
      <c r="C211">
        <v>2021</v>
      </c>
      <c r="D211">
        <v>6</v>
      </c>
      <c r="E211" t="s">
        <v>981</v>
      </c>
      <c r="F211" t="s">
        <v>365</v>
      </c>
      <c r="G211">
        <v>6.1283260000000004</v>
      </c>
      <c r="H211" s="20">
        <f>IF(AND(A211=A210,F211=F210,F211="Winter wheat"),G211*0.9*'BAU Management details'!$F$46,
IF(AND(OR(A211&lt;&gt;A210,F211&lt;&gt;F210),F211="Winter wheat"),G211*'BAU Management details'!$F$46,
IF(F211="Oilseed Rape",G211*'BAU Management details'!$F$47)))</f>
        <v>21.449141000000001</v>
      </c>
      <c r="I211" t="s">
        <v>348</v>
      </c>
      <c r="J211">
        <v>10</v>
      </c>
      <c r="K211" t="s">
        <v>532</v>
      </c>
      <c r="L211" t="s">
        <v>751</v>
      </c>
      <c r="M211">
        <v>2.8</v>
      </c>
      <c r="N211" t="s">
        <v>349</v>
      </c>
      <c r="O211" t="s">
        <v>350</v>
      </c>
      <c r="P211">
        <v>6.5</v>
      </c>
      <c r="Q211" t="s">
        <v>743</v>
      </c>
      <c r="R211" t="s">
        <v>351</v>
      </c>
      <c r="S211">
        <v>220</v>
      </c>
      <c r="T211" s="47" t="s">
        <v>735</v>
      </c>
      <c r="U211" t="s">
        <v>368</v>
      </c>
      <c r="V211" t="s">
        <v>364</v>
      </c>
      <c r="W211" s="47" t="s">
        <v>736</v>
      </c>
      <c r="X211" s="47">
        <v>0</v>
      </c>
      <c r="Y211" s="47" t="s">
        <v>736</v>
      </c>
      <c r="Z211" s="47">
        <v>0</v>
      </c>
      <c r="AA211" s="47" t="s">
        <v>736</v>
      </c>
      <c r="AB211" s="47">
        <v>0</v>
      </c>
      <c r="AC211" s="47">
        <v>0</v>
      </c>
      <c r="AD211" s="47">
        <v>0</v>
      </c>
      <c r="AE211" s="47" t="s">
        <v>731</v>
      </c>
      <c r="AF211" s="47">
        <v>0</v>
      </c>
      <c r="AG211" s="47" t="s">
        <v>731</v>
      </c>
      <c r="AH211" s="47">
        <v>0</v>
      </c>
      <c r="AI211" s="47" t="s">
        <v>735</v>
      </c>
      <c r="AJ211">
        <v>1</v>
      </c>
      <c r="AK211">
        <v>100</v>
      </c>
    </row>
    <row r="212" spans="1:37" x14ac:dyDescent="0.2">
      <c r="A212" t="s">
        <v>982</v>
      </c>
      <c r="B212" t="s">
        <v>361</v>
      </c>
      <c r="C212">
        <v>2016</v>
      </c>
      <c r="D212">
        <v>1</v>
      </c>
      <c r="E212" t="s">
        <v>983</v>
      </c>
      <c r="F212" t="s">
        <v>362</v>
      </c>
      <c r="G212">
        <v>8.7444310000000005</v>
      </c>
      <c r="H212" s="20">
        <f>IF(AND(A212=A211,F212=F211,F212="Winter wheat"),G212*0.9*'BAU Management details'!$F$46,
IF(AND(OR(A212&lt;&gt;A211,F212&lt;&gt;F211),F212="Winter wheat"),G212*'BAU Management details'!$F$46,
IF(F212="Oilseed Rape",G212*'BAU Management details'!$F$47)))</f>
        <v>75.202106600000008</v>
      </c>
      <c r="I212" t="s">
        <v>348</v>
      </c>
      <c r="J212">
        <v>10</v>
      </c>
      <c r="K212" t="s">
        <v>362</v>
      </c>
      <c r="L212" t="s">
        <v>727</v>
      </c>
      <c r="M212">
        <v>11.7</v>
      </c>
      <c r="N212" t="s">
        <v>349</v>
      </c>
      <c r="O212" t="s">
        <v>742</v>
      </c>
      <c r="P212">
        <v>6.8</v>
      </c>
      <c r="Q212" t="s">
        <v>743</v>
      </c>
      <c r="R212" t="s">
        <v>351</v>
      </c>
      <c r="S212">
        <v>220</v>
      </c>
      <c r="T212" s="47" t="s">
        <v>729</v>
      </c>
      <c r="U212" t="s">
        <v>366</v>
      </c>
      <c r="V212" t="s">
        <v>364</v>
      </c>
      <c r="W212" s="47" t="s">
        <v>736</v>
      </c>
      <c r="X212" s="47">
        <v>0</v>
      </c>
      <c r="Y212" s="47" t="s">
        <v>730</v>
      </c>
      <c r="Z212" s="47">
        <v>0</v>
      </c>
      <c r="AA212" s="47" t="s">
        <v>731</v>
      </c>
      <c r="AB212" s="47">
        <v>0</v>
      </c>
      <c r="AC212" s="47" t="s">
        <v>731</v>
      </c>
      <c r="AD212" s="47" t="s">
        <v>731</v>
      </c>
      <c r="AE212" s="47" t="s">
        <v>731</v>
      </c>
      <c r="AF212" s="47">
        <v>0</v>
      </c>
      <c r="AG212" s="47">
        <v>0</v>
      </c>
      <c r="AH212" s="47">
        <v>0</v>
      </c>
      <c r="AI212" s="47" t="s">
        <v>729</v>
      </c>
      <c r="AJ212">
        <v>1</v>
      </c>
      <c r="AK212">
        <v>100</v>
      </c>
    </row>
    <row r="213" spans="1:37" x14ac:dyDescent="0.2">
      <c r="A213" t="s">
        <v>982</v>
      </c>
      <c r="B213" t="s">
        <v>361</v>
      </c>
      <c r="C213">
        <v>2017</v>
      </c>
      <c r="D213">
        <v>2</v>
      </c>
      <c r="E213" t="s">
        <v>984</v>
      </c>
      <c r="F213" t="s">
        <v>362</v>
      </c>
      <c r="G213">
        <v>8.7444310000000005</v>
      </c>
      <c r="H213" s="20">
        <f>IF(AND(A213=A212,F213=F212,F213="Winter wheat"),G213*0.9*'BAU Management details'!$F$46,
IF(AND(OR(A213&lt;&gt;A212,F213&lt;&gt;F212),F213="Winter wheat"),G213*'BAU Management details'!$F$46,
IF(F213="Oilseed Rape",G213*'BAU Management details'!$F$47)))</f>
        <v>67.681895940000004</v>
      </c>
      <c r="I213" t="s">
        <v>348</v>
      </c>
      <c r="J213">
        <v>10</v>
      </c>
      <c r="K213" t="s">
        <v>362</v>
      </c>
      <c r="L213" t="s">
        <v>727</v>
      </c>
      <c r="M213">
        <v>11.7</v>
      </c>
      <c r="N213" t="s">
        <v>349</v>
      </c>
      <c r="O213" t="s">
        <v>742</v>
      </c>
      <c r="P213">
        <v>6.8</v>
      </c>
      <c r="Q213" t="s">
        <v>743</v>
      </c>
      <c r="R213" t="s">
        <v>351</v>
      </c>
      <c r="S213">
        <v>220</v>
      </c>
      <c r="T213" s="47" t="s">
        <v>729</v>
      </c>
      <c r="U213" t="s">
        <v>733</v>
      </c>
      <c r="V213" t="s">
        <v>364</v>
      </c>
      <c r="W213" s="47" t="s">
        <v>736</v>
      </c>
      <c r="X213" s="47">
        <v>0</v>
      </c>
      <c r="Y213" s="47" t="s">
        <v>730</v>
      </c>
      <c r="Z213" s="47">
        <v>0</v>
      </c>
      <c r="AA213" s="47" t="s">
        <v>731</v>
      </c>
      <c r="AB213" s="47">
        <v>0</v>
      </c>
      <c r="AC213" s="47">
        <v>0</v>
      </c>
      <c r="AD213" s="47">
        <v>0</v>
      </c>
      <c r="AE213" s="47" t="s">
        <v>731</v>
      </c>
      <c r="AF213" s="47">
        <v>0</v>
      </c>
      <c r="AG213" s="47">
        <v>0</v>
      </c>
      <c r="AH213" s="47">
        <v>0</v>
      </c>
      <c r="AI213" s="47" t="s">
        <v>729</v>
      </c>
      <c r="AJ213">
        <v>1</v>
      </c>
      <c r="AK213">
        <v>100</v>
      </c>
    </row>
    <row r="214" spans="1:37" x14ac:dyDescent="0.2">
      <c r="A214" t="s">
        <v>982</v>
      </c>
      <c r="B214" t="s">
        <v>361</v>
      </c>
      <c r="C214">
        <v>2018</v>
      </c>
      <c r="D214">
        <v>3</v>
      </c>
      <c r="E214" t="s">
        <v>985</v>
      </c>
      <c r="F214" t="s">
        <v>365</v>
      </c>
      <c r="G214">
        <v>8.7444310000000005</v>
      </c>
      <c r="H214" s="20">
        <f>IF(AND(A214=A213,F214=F213,F214="Winter wheat"),G214*0.9*'BAU Management details'!$F$46,
IF(AND(OR(A214&lt;&gt;A213,F214&lt;&gt;F213),F214="Winter wheat"),G214*'BAU Management details'!$F$46,
IF(F214="Oilseed Rape",G214*'BAU Management details'!$F$47)))</f>
        <v>30.605508500000003</v>
      </c>
      <c r="I214" t="s">
        <v>348</v>
      </c>
      <c r="J214">
        <v>10</v>
      </c>
      <c r="K214" t="s">
        <v>532</v>
      </c>
      <c r="L214" t="s">
        <v>727</v>
      </c>
      <c r="M214">
        <v>11.7</v>
      </c>
      <c r="N214" t="s">
        <v>349</v>
      </c>
      <c r="O214" t="s">
        <v>742</v>
      </c>
      <c r="P214">
        <v>6.8</v>
      </c>
      <c r="Q214" t="s">
        <v>743</v>
      </c>
      <c r="R214" t="s">
        <v>351</v>
      </c>
      <c r="S214">
        <v>220</v>
      </c>
      <c r="T214" s="47" t="s">
        <v>735</v>
      </c>
      <c r="U214" t="s">
        <v>368</v>
      </c>
      <c r="V214" t="s">
        <v>364</v>
      </c>
      <c r="W214" s="47" t="s">
        <v>736</v>
      </c>
      <c r="X214" s="47">
        <v>0</v>
      </c>
      <c r="Y214" s="47" t="s">
        <v>736</v>
      </c>
      <c r="Z214" s="47">
        <v>0</v>
      </c>
      <c r="AA214" s="47" t="s">
        <v>736</v>
      </c>
      <c r="AB214" s="47">
        <v>0</v>
      </c>
      <c r="AC214" s="47">
        <v>0</v>
      </c>
      <c r="AD214" s="47">
        <v>0</v>
      </c>
      <c r="AE214" s="47" t="s">
        <v>731</v>
      </c>
      <c r="AF214" s="47">
        <v>0</v>
      </c>
      <c r="AG214" s="47" t="s">
        <v>731</v>
      </c>
      <c r="AH214" s="47">
        <v>0</v>
      </c>
      <c r="AI214" s="47" t="s">
        <v>735</v>
      </c>
      <c r="AJ214">
        <v>1</v>
      </c>
      <c r="AK214">
        <v>100</v>
      </c>
    </row>
    <row r="215" spans="1:37" x14ac:dyDescent="0.2">
      <c r="A215" t="s">
        <v>982</v>
      </c>
      <c r="B215" t="s">
        <v>361</v>
      </c>
      <c r="C215">
        <v>2019</v>
      </c>
      <c r="D215">
        <v>4</v>
      </c>
      <c r="E215" t="s">
        <v>986</v>
      </c>
      <c r="F215" t="s">
        <v>362</v>
      </c>
      <c r="G215">
        <v>8.7444310000000005</v>
      </c>
      <c r="H215" s="20">
        <f>IF(AND(A215=A214,F215=F214,F215="Winter wheat"),G215*0.9*'BAU Management details'!$F$46,
IF(AND(OR(A215&lt;&gt;A214,F215&lt;&gt;F214),F215="Winter wheat"),G215*'BAU Management details'!$F$46,
IF(F215="Oilseed Rape",G215*'BAU Management details'!$F$47)))</f>
        <v>75.202106600000008</v>
      </c>
      <c r="I215" t="s">
        <v>348</v>
      </c>
      <c r="J215">
        <v>10</v>
      </c>
      <c r="K215" t="s">
        <v>362</v>
      </c>
      <c r="L215" t="s">
        <v>727</v>
      </c>
      <c r="M215">
        <v>11.7</v>
      </c>
      <c r="N215" t="s">
        <v>349</v>
      </c>
      <c r="O215" t="s">
        <v>742</v>
      </c>
      <c r="P215">
        <v>6.8</v>
      </c>
      <c r="Q215" t="s">
        <v>743</v>
      </c>
      <c r="R215" t="s">
        <v>351</v>
      </c>
      <c r="S215">
        <v>220</v>
      </c>
      <c r="T215" s="47" t="s">
        <v>729</v>
      </c>
      <c r="U215" t="s">
        <v>366</v>
      </c>
      <c r="V215" t="s">
        <v>364</v>
      </c>
      <c r="W215" s="47" t="s">
        <v>736</v>
      </c>
      <c r="X215" s="47">
        <v>0</v>
      </c>
      <c r="Y215" s="47" t="s">
        <v>730</v>
      </c>
      <c r="Z215" s="47">
        <v>0</v>
      </c>
      <c r="AA215" s="47" t="s">
        <v>731</v>
      </c>
      <c r="AB215" s="47">
        <v>0</v>
      </c>
      <c r="AC215" s="47" t="s">
        <v>731</v>
      </c>
      <c r="AD215" s="47" t="s">
        <v>731</v>
      </c>
      <c r="AE215" s="47" t="s">
        <v>731</v>
      </c>
      <c r="AF215" s="47">
        <v>0</v>
      </c>
      <c r="AG215" s="47">
        <v>0</v>
      </c>
      <c r="AH215" s="47">
        <v>0</v>
      </c>
      <c r="AI215" s="47" t="s">
        <v>729</v>
      </c>
      <c r="AJ215">
        <v>1</v>
      </c>
      <c r="AK215">
        <v>100</v>
      </c>
    </row>
    <row r="216" spans="1:37" x14ac:dyDescent="0.2">
      <c r="A216" t="s">
        <v>982</v>
      </c>
      <c r="B216" t="s">
        <v>361</v>
      </c>
      <c r="C216">
        <v>2020</v>
      </c>
      <c r="D216">
        <v>5</v>
      </c>
      <c r="E216" t="s">
        <v>987</v>
      </c>
      <c r="F216" t="s">
        <v>362</v>
      </c>
      <c r="G216">
        <v>8.7444310000000005</v>
      </c>
      <c r="H216" s="20">
        <f>IF(AND(A216=A215,F216=F215,F216="Winter wheat"),G216*0.9*'BAU Management details'!$F$46,
IF(AND(OR(A216&lt;&gt;A215,F216&lt;&gt;F215),F216="Winter wheat"),G216*'BAU Management details'!$F$46,
IF(F216="Oilseed Rape",G216*'BAU Management details'!$F$47)))</f>
        <v>67.681895940000004</v>
      </c>
      <c r="I216" t="s">
        <v>348</v>
      </c>
      <c r="J216">
        <v>10</v>
      </c>
      <c r="K216" t="s">
        <v>362</v>
      </c>
      <c r="L216" t="s">
        <v>727</v>
      </c>
      <c r="M216">
        <v>11.7</v>
      </c>
      <c r="N216" t="s">
        <v>349</v>
      </c>
      <c r="O216" t="s">
        <v>742</v>
      </c>
      <c r="P216">
        <v>6.8</v>
      </c>
      <c r="Q216" t="s">
        <v>743</v>
      </c>
      <c r="R216" t="s">
        <v>351</v>
      </c>
      <c r="S216">
        <v>220</v>
      </c>
      <c r="T216" s="47" t="s">
        <v>729</v>
      </c>
      <c r="U216" t="s">
        <v>733</v>
      </c>
      <c r="V216" t="s">
        <v>364</v>
      </c>
      <c r="W216" s="47" t="s">
        <v>736</v>
      </c>
      <c r="X216" s="47">
        <v>0</v>
      </c>
      <c r="Y216" s="47" t="s">
        <v>730</v>
      </c>
      <c r="Z216" s="47">
        <v>0</v>
      </c>
      <c r="AA216" s="47" t="s">
        <v>731</v>
      </c>
      <c r="AB216" s="47">
        <v>0</v>
      </c>
      <c r="AC216" s="47">
        <v>0</v>
      </c>
      <c r="AD216" s="47">
        <v>0</v>
      </c>
      <c r="AE216" s="47" t="s">
        <v>731</v>
      </c>
      <c r="AF216" s="47">
        <v>0</v>
      </c>
      <c r="AG216" s="47">
        <v>0</v>
      </c>
      <c r="AH216" s="47">
        <v>0</v>
      </c>
      <c r="AI216" s="47" t="s">
        <v>729</v>
      </c>
      <c r="AJ216">
        <v>1</v>
      </c>
      <c r="AK216">
        <v>100</v>
      </c>
    </row>
    <row r="217" spans="1:37" x14ac:dyDescent="0.2">
      <c r="A217" t="s">
        <v>982</v>
      </c>
      <c r="B217" t="s">
        <v>361</v>
      </c>
      <c r="C217">
        <v>2021</v>
      </c>
      <c r="D217">
        <v>6</v>
      </c>
      <c r="E217" t="s">
        <v>988</v>
      </c>
      <c r="F217" t="s">
        <v>365</v>
      </c>
      <c r="G217">
        <v>8.7444310000000005</v>
      </c>
      <c r="H217" s="20">
        <f>IF(AND(A217=A216,F217=F216,F217="Winter wheat"),G217*0.9*'BAU Management details'!$F$46,
IF(AND(OR(A217&lt;&gt;A216,F217&lt;&gt;F216),F217="Winter wheat"),G217*'BAU Management details'!$F$46,
IF(F217="Oilseed Rape",G217*'BAU Management details'!$F$47)))</f>
        <v>30.605508500000003</v>
      </c>
      <c r="I217" t="s">
        <v>348</v>
      </c>
      <c r="J217">
        <v>10</v>
      </c>
      <c r="K217" t="s">
        <v>532</v>
      </c>
      <c r="L217" t="s">
        <v>727</v>
      </c>
      <c r="M217">
        <v>11.7</v>
      </c>
      <c r="N217" t="s">
        <v>349</v>
      </c>
      <c r="O217" t="s">
        <v>742</v>
      </c>
      <c r="P217">
        <v>6.8</v>
      </c>
      <c r="Q217" t="s">
        <v>743</v>
      </c>
      <c r="R217" t="s">
        <v>351</v>
      </c>
      <c r="S217">
        <v>220</v>
      </c>
      <c r="T217" s="47" t="s">
        <v>735</v>
      </c>
      <c r="U217" t="s">
        <v>368</v>
      </c>
      <c r="V217" t="s">
        <v>364</v>
      </c>
      <c r="W217" s="47" t="s">
        <v>736</v>
      </c>
      <c r="X217" s="47">
        <v>0</v>
      </c>
      <c r="Y217" s="47" t="s">
        <v>736</v>
      </c>
      <c r="Z217" s="47">
        <v>0</v>
      </c>
      <c r="AA217" s="47" t="s">
        <v>736</v>
      </c>
      <c r="AB217" s="47">
        <v>0</v>
      </c>
      <c r="AC217" s="47">
        <v>0</v>
      </c>
      <c r="AD217" s="47">
        <v>0</v>
      </c>
      <c r="AE217" s="47" t="s">
        <v>731</v>
      </c>
      <c r="AF217" s="47">
        <v>0</v>
      </c>
      <c r="AG217" s="47" t="s">
        <v>731</v>
      </c>
      <c r="AH217" s="47">
        <v>0</v>
      </c>
      <c r="AI217" s="47" t="s">
        <v>735</v>
      </c>
      <c r="AJ217">
        <v>1</v>
      </c>
      <c r="AK217">
        <v>100</v>
      </c>
    </row>
    <row r="218" spans="1:37" x14ac:dyDescent="0.2">
      <c r="A218" t="s">
        <v>989</v>
      </c>
      <c r="B218" t="s">
        <v>361</v>
      </c>
      <c r="C218">
        <v>2016</v>
      </c>
      <c r="D218">
        <v>1</v>
      </c>
      <c r="E218" t="s">
        <v>990</v>
      </c>
      <c r="F218" t="s">
        <v>362</v>
      </c>
      <c r="G218">
        <v>5.6077000000000004</v>
      </c>
      <c r="H218" s="20">
        <f>IF(AND(A218=A217,F218=F217,F218="Winter wheat"),G218*0.9*'BAU Management details'!$F$46,
IF(AND(OR(A218&lt;&gt;A217,F218&lt;&gt;F217),F218="Winter wheat"),G218*'BAU Management details'!$F$46,
IF(F218="Oilseed Rape",G218*'BAU Management details'!$F$47)))</f>
        <v>48.226219999999998</v>
      </c>
      <c r="I218" t="s">
        <v>348</v>
      </c>
      <c r="J218">
        <v>10</v>
      </c>
      <c r="K218" t="s">
        <v>362</v>
      </c>
      <c r="L218" t="s">
        <v>727</v>
      </c>
      <c r="M218">
        <v>11.7</v>
      </c>
      <c r="N218" t="s">
        <v>349</v>
      </c>
      <c r="O218" t="s">
        <v>742</v>
      </c>
      <c r="P218">
        <v>6.8</v>
      </c>
      <c r="Q218" t="s">
        <v>743</v>
      </c>
      <c r="R218" t="s">
        <v>351</v>
      </c>
      <c r="S218">
        <v>220</v>
      </c>
      <c r="T218" s="47" t="s">
        <v>729</v>
      </c>
      <c r="U218" t="s">
        <v>366</v>
      </c>
      <c r="V218" t="s">
        <v>364</v>
      </c>
      <c r="W218" s="47" t="s">
        <v>736</v>
      </c>
      <c r="X218" s="47">
        <v>0</v>
      </c>
      <c r="Y218" s="47" t="s">
        <v>730</v>
      </c>
      <c r="Z218" s="47">
        <v>0</v>
      </c>
      <c r="AA218" s="47" t="s">
        <v>731</v>
      </c>
      <c r="AB218" s="47">
        <v>0</v>
      </c>
      <c r="AC218" s="47" t="s">
        <v>731</v>
      </c>
      <c r="AD218" s="47" t="s">
        <v>731</v>
      </c>
      <c r="AE218" s="47" t="s">
        <v>731</v>
      </c>
      <c r="AF218" s="47">
        <v>0</v>
      </c>
      <c r="AG218" s="47">
        <v>0</v>
      </c>
      <c r="AH218" s="47">
        <v>0</v>
      </c>
      <c r="AI218" s="47" t="s">
        <v>729</v>
      </c>
      <c r="AJ218">
        <v>1</v>
      </c>
      <c r="AK218">
        <v>100</v>
      </c>
    </row>
    <row r="219" spans="1:37" x14ac:dyDescent="0.2">
      <c r="A219" t="s">
        <v>989</v>
      </c>
      <c r="B219" t="s">
        <v>361</v>
      </c>
      <c r="C219">
        <v>2017</v>
      </c>
      <c r="D219">
        <v>2</v>
      </c>
      <c r="E219" t="s">
        <v>991</v>
      </c>
      <c r="F219" t="s">
        <v>362</v>
      </c>
      <c r="G219">
        <v>5.6077000000000004</v>
      </c>
      <c r="H219" s="20">
        <f>IF(AND(A219=A218,F219=F218,F219="Winter wheat"),G219*0.9*'BAU Management details'!$F$46,
IF(AND(OR(A219&lt;&gt;A218,F219&lt;&gt;F218),F219="Winter wheat"),G219*'BAU Management details'!$F$46,
IF(F219="Oilseed Rape",G219*'BAU Management details'!$F$47)))</f>
        <v>43.403598000000002</v>
      </c>
      <c r="I219" t="s">
        <v>348</v>
      </c>
      <c r="J219">
        <v>10</v>
      </c>
      <c r="K219" t="s">
        <v>362</v>
      </c>
      <c r="L219" t="s">
        <v>727</v>
      </c>
      <c r="M219">
        <v>11.7</v>
      </c>
      <c r="N219" t="s">
        <v>349</v>
      </c>
      <c r="O219" t="s">
        <v>742</v>
      </c>
      <c r="P219">
        <v>6.8</v>
      </c>
      <c r="Q219" t="s">
        <v>743</v>
      </c>
      <c r="R219" t="s">
        <v>351</v>
      </c>
      <c r="S219">
        <v>220</v>
      </c>
      <c r="T219" s="47" t="s">
        <v>729</v>
      </c>
      <c r="U219" t="s">
        <v>733</v>
      </c>
      <c r="V219" t="s">
        <v>364</v>
      </c>
      <c r="W219" s="47" t="s">
        <v>736</v>
      </c>
      <c r="X219" s="47">
        <v>0</v>
      </c>
      <c r="Y219" s="47" t="s">
        <v>730</v>
      </c>
      <c r="Z219" s="47">
        <v>0</v>
      </c>
      <c r="AA219" s="47" t="s">
        <v>731</v>
      </c>
      <c r="AB219" s="47">
        <v>0</v>
      </c>
      <c r="AC219" s="47">
        <v>0</v>
      </c>
      <c r="AD219" s="47">
        <v>0</v>
      </c>
      <c r="AE219" s="47" t="s">
        <v>731</v>
      </c>
      <c r="AF219" s="47">
        <v>0</v>
      </c>
      <c r="AG219" s="47">
        <v>0</v>
      </c>
      <c r="AH219" s="47">
        <v>0</v>
      </c>
      <c r="AI219" s="47" t="s">
        <v>729</v>
      </c>
      <c r="AJ219">
        <v>1</v>
      </c>
      <c r="AK219">
        <v>100</v>
      </c>
    </row>
    <row r="220" spans="1:37" x14ac:dyDescent="0.2">
      <c r="A220" t="s">
        <v>989</v>
      </c>
      <c r="B220" t="s">
        <v>361</v>
      </c>
      <c r="C220">
        <v>2018</v>
      </c>
      <c r="D220">
        <v>3</v>
      </c>
      <c r="E220" t="s">
        <v>992</v>
      </c>
      <c r="F220" t="s">
        <v>365</v>
      </c>
      <c r="G220">
        <v>5.6077000000000004</v>
      </c>
      <c r="H220" s="20">
        <f>IF(AND(A220=A219,F220=F219,F220="Winter wheat"),G220*0.9*'BAU Management details'!$F$46,
IF(AND(OR(A220&lt;&gt;A219,F220&lt;&gt;F219),F220="Winter wheat"),G220*'BAU Management details'!$F$46,
IF(F220="Oilseed Rape",G220*'BAU Management details'!$F$47)))</f>
        <v>19.626950000000001</v>
      </c>
      <c r="I220" t="s">
        <v>348</v>
      </c>
      <c r="J220">
        <v>10</v>
      </c>
      <c r="K220" t="s">
        <v>532</v>
      </c>
      <c r="L220" t="s">
        <v>727</v>
      </c>
      <c r="M220">
        <v>11.7</v>
      </c>
      <c r="N220" t="s">
        <v>349</v>
      </c>
      <c r="O220" t="s">
        <v>742</v>
      </c>
      <c r="P220">
        <v>6.8</v>
      </c>
      <c r="Q220" t="s">
        <v>743</v>
      </c>
      <c r="R220" t="s">
        <v>351</v>
      </c>
      <c r="S220">
        <v>220</v>
      </c>
      <c r="T220" s="47" t="s">
        <v>735</v>
      </c>
      <c r="U220" t="s">
        <v>368</v>
      </c>
      <c r="V220" t="s">
        <v>364</v>
      </c>
      <c r="W220" s="47" t="s">
        <v>736</v>
      </c>
      <c r="X220" s="47">
        <v>0</v>
      </c>
      <c r="Y220" s="47" t="s">
        <v>736</v>
      </c>
      <c r="Z220" s="47">
        <v>0</v>
      </c>
      <c r="AA220" s="47" t="s">
        <v>736</v>
      </c>
      <c r="AB220" s="47">
        <v>0</v>
      </c>
      <c r="AC220" s="47">
        <v>0</v>
      </c>
      <c r="AD220" s="47">
        <v>0</v>
      </c>
      <c r="AE220" s="47" t="s">
        <v>731</v>
      </c>
      <c r="AF220" s="47">
        <v>0</v>
      </c>
      <c r="AG220" s="47" t="s">
        <v>731</v>
      </c>
      <c r="AH220" s="47">
        <v>0</v>
      </c>
      <c r="AI220" s="47" t="s">
        <v>735</v>
      </c>
      <c r="AJ220">
        <v>1</v>
      </c>
      <c r="AK220">
        <v>100</v>
      </c>
    </row>
    <row r="221" spans="1:37" x14ac:dyDescent="0.2">
      <c r="A221" t="s">
        <v>989</v>
      </c>
      <c r="B221" t="s">
        <v>361</v>
      </c>
      <c r="C221">
        <v>2019</v>
      </c>
      <c r="D221">
        <v>4</v>
      </c>
      <c r="E221" t="s">
        <v>993</v>
      </c>
      <c r="F221" t="s">
        <v>362</v>
      </c>
      <c r="G221">
        <v>5.6077000000000004</v>
      </c>
      <c r="H221" s="20">
        <f>IF(AND(A221=A220,F221=F220,F221="Winter wheat"),G221*0.9*'BAU Management details'!$F$46,
IF(AND(OR(A221&lt;&gt;A220,F221&lt;&gt;F220),F221="Winter wheat"),G221*'BAU Management details'!$F$46,
IF(F221="Oilseed Rape",G221*'BAU Management details'!$F$47)))</f>
        <v>48.226219999999998</v>
      </c>
      <c r="I221" t="s">
        <v>348</v>
      </c>
      <c r="J221">
        <v>10</v>
      </c>
      <c r="K221" t="s">
        <v>362</v>
      </c>
      <c r="L221" t="s">
        <v>727</v>
      </c>
      <c r="M221">
        <v>11.7</v>
      </c>
      <c r="N221" t="s">
        <v>349</v>
      </c>
      <c r="O221" t="s">
        <v>742</v>
      </c>
      <c r="P221">
        <v>6.8</v>
      </c>
      <c r="Q221" t="s">
        <v>743</v>
      </c>
      <c r="R221" t="s">
        <v>351</v>
      </c>
      <c r="S221">
        <v>220</v>
      </c>
      <c r="T221" s="47" t="s">
        <v>729</v>
      </c>
      <c r="U221" t="s">
        <v>366</v>
      </c>
      <c r="V221" t="s">
        <v>364</v>
      </c>
      <c r="W221" s="47" t="s">
        <v>736</v>
      </c>
      <c r="X221" s="47">
        <v>0</v>
      </c>
      <c r="Y221" s="47" t="s">
        <v>730</v>
      </c>
      <c r="Z221" s="47">
        <v>0</v>
      </c>
      <c r="AA221" s="47" t="s">
        <v>731</v>
      </c>
      <c r="AB221" s="47">
        <v>0</v>
      </c>
      <c r="AC221" s="47" t="s">
        <v>731</v>
      </c>
      <c r="AD221" s="47" t="s">
        <v>731</v>
      </c>
      <c r="AE221" s="47" t="s">
        <v>731</v>
      </c>
      <c r="AF221" s="47">
        <v>0</v>
      </c>
      <c r="AG221" s="47">
        <v>0</v>
      </c>
      <c r="AH221" s="47">
        <v>0</v>
      </c>
      <c r="AI221" s="47" t="s">
        <v>729</v>
      </c>
      <c r="AJ221">
        <v>1</v>
      </c>
      <c r="AK221">
        <v>100</v>
      </c>
    </row>
    <row r="222" spans="1:37" x14ac:dyDescent="0.2">
      <c r="A222" t="s">
        <v>989</v>
      </c>
      <c r="B222" t="s">
        <v>361</v>
      </c>
      <c r="C222">
        <v>2020</v>
      </c>
      <c r="D222">
        <v>5</v>
      </c>
      <c r="E222" t="s">
        <v>994</v>
      </c>
      <c r="F222" t="s">
        <v>362</v>
      </c>
      <c r="G222">
        <v>5.6077000000000004</v>
      </c>
      <c r="H222" s="20">
        <f>IF(AND(A222=A221,F222=F221,F222="Winter wheat"),G222*0.9*'BAU Management details'!$F$46,
IF(AND(OR(A222&lt;&gt;A221,F222&lt;&gt;F221),F222="Winter wheat"),G222*'BAU Management details'!$F$46,
IF(F222="Oilseed Rape",G222*'BAU Management details'!$F$47)))</f>
        <v>43.403598000000002</v>
      </c>
      <c r="I222" t="s">
        <v>348</v>
      </c>
      <c r="J222">
        <v>10</v>
      </c>
      <c r="K222" t="s">
        <v>362</v>
      </c>
      <c r="L222" t="s">
        <v>727</v>
      </c>
      <c r="M222">
        <v>11.7</v>
      </c>
      <c r="N222" t="s">
        <v>349</v>
      </c>
      <c r="O222" t="s">
        <v>742</v>
      </c>
      <c r="P222">
        <v>6.8</v>
      </c>
      <c r="Q222" t="s">
        <v>743</v>
      </c>
      <c r="R222" t="s">
        <v>351</v>
      </c>
      <c r="S222">
        <v>220</v>
      </c>
      <c r="T222" s="47" t="s">
        <v>729</v>
      </c>
      <c r="U222" t="s">
        <v>733</v>
      </c>
      <c r="V222" t="s">
        <v>364</v>
      </c>
      <c r="W222" s="47" t="s">
        <v>736</v>
      </c>
      <c r="X222" s="47">
        <v>0</v>
      </c>
      <c r="Y222" s="47" t="s">
        <v>730</v>
      </c>
      <c r="Z222" s="47">
        <v>0</v>
      </c>
      <c r="AA222" s="47" t="s">
        <v>731</v>
      </c>
      <c r="AB222" s="47">
        <v>0</v>
      </c>
      <c r="AC222" s="47">
        <v>0</v>
      </c>
      <c r="AD222" s="47">
        <v>0</v>
      </c>
      <c r="AE222" s="47" t="s">
        <v>731</v>
      </c>
      <c r="AF222" s="47">
        <v>0</v>
      </c>
      <c r="AG222" s="47">
        <v>0</v>
      </c>
      <c r="AH222" s="47">
        <v>0</v>
      </c>
      <c r="AI222" s="47" t="s">
        <v>729</v>
      </c>
      <c r="AJ222">
        <v>1</v>
      </c>
      <c r="AK222">
        <v>100</v>
      </c>
    </row>
    <row r="223" spans="1:37" x14ac:dyDescent="0.2">
      <c r="A223" t="s">
        <v>989</v>
      </c>
      <c r="B223" t="s">
        <v>361</v>
      </c>
      <c r="C223">
        <v>2021</v>
      </c>
      <c r="D223">
        <v>6</v>
      </c>
      <c r="E223" t="s">
        <v>995</v>
      </c>
      <c r="F223" t="s">
        <v>365</v>
      </c>
      <c r="G223">
        <v>5.6077000000000004</v>
      </c>
      <c r="H223" s="20">
        <f>IF(AND(A223=A222,F223=F222,F223="Winter wheat"),G223*0.9*'BAU Management details'!$F$46,
IF(AND(OR(A223&lt;&gt;A222,F223&lt;&gt;F222),F223="Winter wheat"),G223*'BAU Management details'!$F$46,
IF(F223="Oilseed Rape",G223*'BAU Management details'!$F$47)))</f>
        <v>19.626950000000001</v>
      </c>
      <c r="I223" t="s">
        <v>348</v>
      </c>
      <c r="J223">
        <v>10</v>
      </c>
      <c r="K223" t="s">
        <v>532</v>
      </c>
      <c r="L223" t="s">
        <v>727</v>
      </c>
      <c r="M223">
        <v>11.7</v>
      </c>
      <c r="N223" t="s">
        <v>349</v>
      </c>
      <c r="O223" t="s">
        <v>742</v>
      </c>
      <c r="P223">
        <v>6.8</v>
      </c>
      <c r="Q223" t="s">
        <v>743</v>
      </c>
      <c r="R223" t="s">
        <v>351</v>
      </c>
      <c r="S223">
        <v>220</v>
      </c>
      <c r="T223" s="47" t="s">
        <v>735</v>
      </c>
      <c r="U223" t="s">
        <v>368</v>
      </c>
      <c r="V223" t="s">
        <v>364</v>
      </c>
      <c r="W223" s="47" t="s">
        <v>736</v>
      </c>
      <c r="X223" s="47">
        <v>0</v>
      </c>
      <c r="Y223" s="47" t="s">
        <v>736</v>
      </c>
      <c r="Z223" s="47">
        <v>0</v>
      </c>
      <c r="AA223" s="47" t="s">
        <v>736</v>
      </c>
      <c r="AB223" s="47">
        <v>0</v>
      </c>
      <c r="AC223" s="47">
        <v>0</v>
      </c>
      <c r="AD223" s="47">
        <v>0</v>
      </c>
      <c r="AE223" s="47" t="s">
        <v>731</v>
      </c>
      <c r="AF223" s="47">
        <v>0</v>
      </c>
      <c r="AG223" s="47" t="s">
        <v>731</v>
      </c>
      <c r="AH223" s="47">
        <v>0</v>
      </c>
      <c r="AI223" s="47" t="s">
        <v>735</v>
      </c>
      <c r="AJ223">
        <v>1</v>
      </c>
      <c r="AK223">
        <v>100</v>
      </c>
    </row>
    <row r="224" spans="1:37" x14ac:dyDescent="0.2">
      <c r="A224" t="s">
        <v>996</v>
      </c>
      <c r="B224" t="s">
        <v>361</v>
      </c>
      <c r="C224">
        <v>2016</v>
      </c>
      <c r="D224">
        <v>1</v>
      </c>
      <c r="E224" t="s">
        <v>997</v>
      </c>
      <c r="F224" t="s">
        <v>362</v>
      </c>
      <c r="G224">
        <v>7.1093929999999999</v>
      </c>
      <c r="H224" s="20">
        <f>IF(AND(A224=A223,F224=F223,F224="Winter wheat"),G224*0.9*'BAU Management details'!$F$46,
IF(AND(OR(A224&lt;&gt;A223,F224&lt;&gt;F223),F224="Winter wheat"),G224*'BAU Management details'!$F$46,
IF(F224="Oilseed Rape",G224*'BAU Management details'!$F$47)))</f>
        <v>61.140779799999997</v>
      </c>
      <c r="I224" t="s">
        <v>348</v>
      </c>
      <c r="J224">
        <v>10</v>
      </c>
      <c r="K224" t="s">
        <v>362</v>
      </c>
      <c r="L224" t="s">
        <v>727</v>
      </c>
      <c r="M224">
        <v>4</v>
      </c>
      <c r="N224" t="s">
        <v>349</v>
      </c>
      <c r="O224" t="s">
        <v>350</v>
      </c>
      <c r="P224">
        <v>7.3</v>
      </c>
      <c r="Q224" t="s">
        <v>743</v>
      </c>
      <c r="R224" t="s">
        <v>351</v>
      </c>
      <c r="S224">
        <v>220</v>
      </c>
      <c r="T224" s="47" t="s">
        <v>729</v>
      </c>
      <c r="U224" t="s">
        <v>366</v>
      </c>
      <c r="V224" t="s">
        <v>364</v>
      </c>
      <c r="W224" s="47" t="s">
        <v>736</v>
      </c>
      <c r="X224" s="47">
        <v>0</v>
      </c>
      <c r="Y224" s="47" t="s">
        <v>730</v>
      </c>
      <c r="Z224" s="47">
        <v>0</v>
      </c>
      <c r="AA224" s="47" t="s">
        <v>731</v>
      </c>
      <c r="AB224" s="47">
        <v>0</v>
      </c>
      <c r="AC224" s="47" t="s">
        <v>731</v>
      </c>
      <c r="AD224" s="47" t="s">
        <v>731</v>
      </c>
      <c r="AE224" s="47" t="s">
        <v>731</v>
      </c>
      <c r="AF224" s="47">
        <v>0</v>
      </c>
      <c r="AG224" s="47">
        <v>0</v>
      </c>
      <c r="AH224" s="47">
        <v>0</v>
      </c>
      <c r="AI224" s="47" t="s">
        <v>729</v>
      </c>
      <c r="AJ224">
        <v>1</v>
      </c>
      <c r="AK224">
        <v>100</v>
      </c>
    </row>
    <row r="225" spans="1:37" x14ac:dyDescent="0.2">
      <c r="A225" t="s">
        <v>996</v>
      </c>
      <c r="B225" t="s">
        <v>361</v>
      </c>
      <c r="C225">
        <v>2017</v>
      </c>
      <c r="D225">
        <v>2</v>
      </c>
      <c r="E225" t="s">
        <v>998</v>
      </c>
      <c r="F225" t="s">
        <v>362</v>
      </c>
      <c r="G225">
        <v>7.1093929999999999</v>
      </c>
      <c r="H225" s="20">
        <f>IF(AND(A225=A224,F225=F224,F225="Winter wheat"),G225*0.9*'BAU Management details'!$F$46,
IF(AND(OR(A225&lt;&gt;A224,F225&lt;&gt;F224),F225="Winter wheat"),G225*'BAU Management details'!$F$46,
IF(F225="Oilseed Rape",G225*'BAU Management details'!$F$47)))</f>
        <v>55.02670182</v>
      </c>
      <c r="I225" t="s">
        <v>348</v>
      </c>
      <c r="J225">
        <v>10</v>
      </c>
      <c r="K225" t="s">
        <v>362</v>
      </c>
      <c r="L225" t="s">
        <v>727</v>
      </c>
      <c r="M225">
        <v>4</v>
      </c>
      <c r="N225" t="s">
        <v>349</v>
      </c>
      <c r="O225" t="s">
        <v>350</v>
      </c>
      <c r="P225">
        <v>7.3</v>
      </c>
      <c r="Q225" t="s">
        <v>743</v>
      </c>
      <c r="R225" t="s">
        <v>351</v>
      </c>
      <c r="S225">
        <v>220</v>
      </c>
      <c r="T225" s="47" t="s">
        <v>729</v>
      </c>
      <c r="U225" t="s">
        <v>733</v>
      </c>
      <c r="V225" t="s">
        <v>364</v>
      </c>
      <c r="W225" s="47" t="s">
        <v>736</v>
      </c>
      <c r="X225" s="47">
        <v>0</v>
      </c>
      <c r="Y225" s="47" t="s">
        <v>730</v>
      </c>
      <c r="Z225" s="47">
        <v>0</v>
      </c>
      <c r="AA225" s="47" t="s">
        <v>731</v>
      </c>
      <c r="AB225" s="47">
        <v>0</v>
      </c>
      <c r="AC225" s="47">
        <v>0</v>
      </c>
      <c r="AD225" s="47">
        <v>0</v>
      </c>
      <c r="AE225" s="47" t="s">
        <v>731</v>
      </c>
      <c r="AF225" s="47">
        <v>0</v>
      </c>
      <c r="AG225" s="47">
        <v>0</v>
      </c>
      <c r="AH225" s="47">
        <v>0</v>
      </c>
      <c r="AI225" s="47" t="s">
        <v>729</v>
      </c>
      <c r="AJ225">
        <v>1</v>
      </c>
      <c r="AK225">
        <v>100</v>
      </c>
    </row>
    <row r="226" spans="1:37" x14ac:dyDescent="0.2">
      <c r="A226" t="s">
        <v>996</v>
      </c>
      <c r="B226" t="s">
        <v>361</v>
      </c>
      <c r="C226">
        <v>2018</v>
      </c>
      <c r="D226">
        <v>3</v>
      </c>
      <c r="E226" t="s">
        <v>999</v>
      </c>
      <c r="F226" t="s">
        <v>365</v>
      </c>
      <c r="G226">
        <v>7.1093929999999999</v>
      </c>
      <c r="H226" s="20">
        <f>IF(AND(A226=A225,F226=F225,F226="Winter wheat"),G226*0.9*'BAU Management details'!$F$46,
IF(AND(OR(A226&lt;&gt;A225,F226&lt;&gt;F225),F226="Winter wheat"),G226*'BAU Management details'!$F$46,
IF(F226="Oilseed Rape",G226*'BAU Management details'!$F$47)))</f>
        <v>24.882875500000001</v>
      </c>
      <c r="I226" t="s">
        <v>348</v>
      </c>
      <c r="J226">
        <v>10</v>
      </c>
      <c r="K226" t="s">
        <v>532</v>
      </c>
      <c r="L226" t="s">
        <v>727</v>
      </c>
      <c r="M226">
        <v>4</v>
      </c>
      <c r="N226" t="s">
        <v>349</v>
      </c>
      <c r="O226" t="s">
        <v>350</v>
      </c>
      <c r="P226">
        <v>7.3</v>
      </c>
      <c r="Q226" t="s">
        <v>743</v>
      </c>
      <c r="R226" t="s">
        <v>351</v>
      </c>
      <c r="S226">
        <v>220</v>
      </c>
      <c r="T226" s="47" t="s">
        <v>735</v>
      </c>
      <c r="U226" t="s">
        <v>368</v>
      </c>
      <c r="V226" t="s">
        <v>364</v>
      </c>
      <c r="W226" s="47" t="s">
        <v>736</v>
      </c>
      <c r="X226" s="47">
        <v>0</v>
      </c>
      <c r="Y226" s="47" t="s">
        <v>736</v>
      </c>
      <c r="Z226" s="47">
        <v>0</v>
      </c>
      <c r="AA226" s="47" t="s">
        <v>736</v>
      </c>
      <c r="AB226" s="47">
        <v>0</v>
      </c>
      <c r="AC226" s="47">
        <v>0</v>
      </c>
      <c r="AD226" s="47">
        <v>0</v>
      </c>
      <c r="AE226" s="47" t="s">
        <v>731</v>
      </c>
      <c r="AF226" s="47">
        <v>0</v>
      </c>
      <c r="AG226" s="47" t="s">
        <v>731</v>
      </c>
      <c r="AH226" s="47">
        <v>0</v>
      </c>
      <c r="AI226" s="47" t="s">
        <v>735</v>
      </c>
      <c r="AJ226">
        <v>1</v>
      </c>
      <c r="AK226">
        <v>100</v>
      </c>
    </row>
    <row r="227" spans="1:37" x14ac:dyDescent="0.2">
      <c r="A227" t="s">
        <v>996</v>
      </c>
      <c r="B227" t="s">
        <v>361</v>
      </c>
      <c r="C227">
        <v>2019</v>
      </c>
      <c r="D227">
        <v>4</v>
      </c>
      <c r="E227" t="s">
        <v>1000</v>
      </c>
      <c r="F227" t="s">
        <v>362</v>
      </c>
      <c r="G227">
        <v>7.1093929999999999</v>
      </c>
      <c r="H227" s="20">
        <f>IF(AND(A227=A226,F227=F226,F227="Winter wheat"),G227*0.9*'BAU Management details'!$F$46,
IF(AND(OR(A227&lt;&gt;A226,F227&lt;&gt;F226),F227="Winter wheat"),G227*'BAU Management details'!$F$46,
IF(F227="Oilseed Rape",G227*'BAU Management details'!$F$47)))</f>
        <v>61.140779799999997</v>
      </c>
      <c r="I227" t="s">
        <v>348</v>
      </c>
      <c r="J227">
        <v>10</v>
      </c>
      <c r="K227" t="s">
        <v>362</v>
      </c>
      <c r="L227" t="s">
        <v>727</v>
      </c>
      <c r="M227">
        <v>4</v>
      </c>
      <c r="N227" t="s">
        <v>349</v>
      </c>
      <c r="O227" t="s">
        <v>350</v>
      </c>
      <c r="P227">
        <v>7.3</v>
      </c>
      <c r="Q227" t="s">
        <v>743</v>
      </c>
      <c r="R227" t="s">
        <v>351</v>
      </c>
      <c r="S227">
        <v>220</v>
      </c>
      <c r="T227" s="47" t="s">
        <v>729</v>
      </c>
      <c r="U227" t="s">
        <v>366</v>
      </c>
      <c r="V227" t="s">
        <v>364</v>
      </c>
      <c r="W227" s="47" t="s">
        <v>736</v>
      </c>
      <c r="X227" s="47">
        <v>0</v>
      </c>
      <c r="Y227" s="47" t="s">
        <v>730</v>
      </c>
      <c r="Z227" s="47">
        <v>0</v>
      </c>
      <c r="AA227" s="47" t="s">
        <v>731</v>
      </c>
      <c r="AB227" s="47">
        <v>0</v>
      </c>
      <c r="AC227" s="47" t="s">
        <v>731</v>
      </c>
      <c r="AD227" s="47" t="s">
        <v>731</v>
      </c>
      <c r="AE227" s="47" t="s">
        <v>731</v>
      </c>
      <c r="AF227" s="47">
        <v>0</v>
      </c>
      <c r="AG227" s="47">
        <v>0</v>
      </c>
      <c r="AH227" s="47">
        <v>0</v>
      </c>
      <c r="AI227" s="47" t="s">
        <v>729</v>
      </c>
      <c r="AJ227">
        <v>1</v>
      </c>
      <c r="AK227">
        <v>100</v>
      </c>
    </row>
    <row r="228" spans="1:37" x14ac:dyDescent="0.2">
      <c r="A228" t="s">
        <v>996</v>
      </c>
      <c r="B228" t="s">
        <v>361</v>
      </c>
      <c r="C228">
        <v>2020</v>
      </c>
      <c r="D228">
        <v>5</v>
      </c>
      <c r="E228" t="s">
        <v>1001</v>
      </c>
      <c r="F228" t="s">
        <v>362</v>
      </c>
      <c r="G228">
        <v>7.1093929999999999</v>
      </c>
      <c r="H228" s="20">
        <f>IF(AND(A228=A227,F228=F227,F228="Winter wheat"),G228*0.9*'BAU Management details'!$F$46,
IF(AND(OR(A228&lt;&gt;A227,F228&lt;&gt;F227),F228="Winter wheat"),G228*'BAU Management details'!$F$46,
IF(F228="Oilseed Rape",G228*'BAU Management details'!$F$47)))</f>
        <v>55.02670182</v>
      </c>
      <c r="I228" t="s">
        <v>348</v>
      </c>
      <c r="J228">
        <v>10</v>
      </c>
      <c r="K228" t="s">
        <v>362</v>
      </c>
      <c r="L228" t="s">
        <v>727</v>
      </c>
      <c r="M228">
        <v>4</v>
      </c>
      <c r="N228" t="s">
        <v>349</v>
      </c>
      <c r="O228" t="s">
        <v>350</v>
      </c>
      <c r="P228">
        <v>7.3</v>
      </c>
      <c r="Q228" t="s">
        <v>743</v>
      </c>
      <c r="R228" t="s">
        <v>351</v>
      </c>
      <c r="S228">
        <v>220</v>
      </c>
      <c r="T228" s="47" t="s">
        <v>729</v>
      </c>
      <c r="U228" t="s">
        <v>733</v>
      </c>
      <c r="V228" t="s">
        <v>364</v>
      </c>
      <c r="W228" s="47" t="s">
        <v>736</v>
      </c>
      <c r="X228" s="47">
        <v>0</v>
      </c>
      <c r="Y228" s="47" t="s">
        <v>730</v>
      </c>
      <c r="Z228" s="47">
        <v>0</v>
      </c>
      <c r="AA228" s="47" t="s">
        <v>731</v>
      </c>
      <c r="AB228" s="47">
        <v>0</v>
      </c>
      <c r="AC228" s="47">
        <v>0</v>
      </c>
      <c r="AD228" s="47">
        <v>0</v>
      </c>
      <c r="AE228" s="47" t="s">
        <v>731</v>
      </c>
      <c r="AF228" s="47">
        <v>0</v>
      </c>
      <c r="AG228" s="47">
        <v>0</v>
      </c>
      <c r="AH228" s="47">
        <v>0</v>
      </c>
      <c r="AI228" s="47" t="s">
        <v>729</v>
      </c>
      <c r="AJ228">
        <v>1</v>
      </c>
      <c r="AK228">
        <v>100</v>
      </c>
    </row>
    <row r="229" spans="1:37" x14ac:dyDescent="0.2">
      <c r="A229" t="s">
        <v>996</v>
      </c>
      <c r="B229" t="s">
        <v>361</v>
      </c>
      <c r="C229">
        <v>2021</v>
      </c>
      <c r="D229">
        <v>6</v>
      </c>
      <c r="E229" t="s">
        <v>1002</v>
      </c>
      <c r="F229" t="s">
        <v>365</v>
      </c>
      <c r="G229">
        <v>7.1093929999999999</v>
      </c>
      <c r="H229" s="20">
        <f>IF(AND(A229=A228,F229=F228,F229="Winter wheat"),G229*0.9*'BAU Management details'!$F$46,
IF(AND(OR(A229&lt;&gt;A228,F229&lt;&gt;F228),F229="Winter wheat"),G229*'BAU Management details'!$F$46,
IF(F229="Oilseed Rape",G229*'BAU Management details'!$F$47)))</f>
        <v>24.882875500000001</v>
      </c>
      <c r="I229" t="s">
        <v>348</v>
      </c>
      <c r="J229">
        <v>10</v>
      </c>
      <c r="K229" t="s">
        <v>532</v>
      </c>
      <c r="L229" t="s">
        <v>727</v>
      </c>
      <c r="M229">
        <v>4</v>
      </c>
      <c r="N229" t="s">
        <v>349</v>
      </c>
      <c r="O229" t="s">
        <v>350</v>
      </c>
      <c r="P229">
        <v>7.3</v>
      </c>
      <c r="Q229" t="s">
        <v>743</v>
      </c>
      <c r="R229" t="s">
        <v>351</v>
      </c>
      <c r="S229">
        <v>220</v>
      </c>
      <c r="T229" s="47" t="s">
        <v>735</v>
      </c>
      <c r="U229" t="s">
        <v>368</v>
      </c>
      <c r="V229" t="s">
        <v>364</v>
      </c>
      <c r="W229" s="47" t="s">
        <v>736</v>
      </c>
      <c r="X229" s="47">
        <v>0</v>
      </c>
      <c r="Y229" s="47" t="s">
        <v>736</v>
      </c>
      <c r="Z229" s="47">
        <v>0</v>
      </c>
      <c r="AA229" s="47" t="s">
        <v>736</v>
      </c>
      <c r="AB229" s="47">
        <v>0</v>
      </c>
      <c r="AC229" s="47">
        <v>0</v>
      </c>
      <c r="AD229" s="47">
        <v>0</v>
      </c>
      <c r="AE229" s="47" t="s">
        <v>731</v>
      </c>
      <c r="AF229" s="47">
        <v>0</v>
      </c>
      <c r="AG229" s="47" t="s">
        <v>731</v>
      </c>
      <c r="AH229" s="47">
        <v>0</v>
      </c>
      <c r="AI229" s="47" t="s">
        <v>735</v>
      </c>
      <c r="AJ229">
        <v>1</v>
      </c>
      <c r="AK229">
        <v>100</v>
      </c>
    </row>
    <row r="230" spans="1:37" x14ac:dyDescent="0.2">
      <c r="A230" t="s">
        <v>1003</v>
      </c>
      <c r="B230" t="s">
        <v>361</v>
      </c>
      <c r="C230">
        <v>2016</v>
      </c>
      <c r="D230">
        <v>1</v>
      </c>
      <c r="E230" t="s">
        <v>1004</v>
      </c>
      <c r="F230" t="s">
        <v>362</v>
      </c>
      <c r="G230">
        <v>8.9941650000000006</v>
      </c>
      <c r="H230" s="20">
        <f>IF(AND(A230=A229,F230=F229,F230="Winter wheat"),G230*0.9*'BAU Management details'!$F$46,
IF(AND(OR(A230&lt;&gt;A229,F230&lt;&gt;F229),F230="Winter wheat"),G230*'BAU Management details'!$F$46,
IF(F230="Oilseed Rape",G230*'BAU Management details'!$F$47)))</f>
        <v>77.349818999999997</v>
      </c>
      <c r="I230" t="s">
        <v>348</v>
      </c>
      <c r="J230">
        <v>10</v>
      </c>
      <c r="K230" t="s">
        <v>362</v>
      </c>
      <c r="L230" t="s">
        <v>751</v>
      </c>
      <c r="M230">
        <v>2.8</v>
      </c>
      <c r="N230" t="s">
        <v>349</v>
      </c>
      <c r="O230" t="s">
        <v>350</v>
      </c>
      <c r="P230">
        <v>6.5</v>
      </c>
      <c r="Q230" t="s">
        <v>743</v>
      </c>
      <c r="R230" t="s">
        <v>351</v>
      </c>
      <c r="S230">
        <v>220</v>
      </c>
      <c r="T230" s="47" t="s">
        <v>729</v>
      </c>
      <c r="U230" t="s">
        <v>366</v>
      </c>
      <c r="V230" t="s">
        <v>367</v>
      </c>
      <c r="W230" s="47" t="s">
        <v>736</v>
      </c>
      <c r="X230" s="47">
        <v>0</v>
      </c>
      <c r="Y230" s="47" t="s">
        <v>730</v>
      </c>
      <c r="Z230" s="47">
        <v>0</v>
      </c>
      <c r="AA230" s="47" t="s">
        <v>731</v>
      </c>
      <c r="AB230" s="47">
        <v>0</v>
      </c>
      <c r="AC230" s="47" t="s">
        <v>731</v>
      </c>
      <c r="AD230" s="47" t="s">
        <v>731</v>
      </c>
      <c r="AE230" s="47" t="s">
        <v>731</v>
      </c>
      <c r="AF230" s="47">
        <v>0</v>
      </c>
      <c r="AG230" s="47">
        <v>0</v>
      </c>
      <c r="AH230" s="47">
        <v>0</v>
      </c>
      <c r="AI230" s="47" t="s">
        <v>729</v>
      </c>
      <c r="AJ230">
        <v>1</v>
      </c>
      <c r="AK230">
        <v>100</v>
      </c>
    </row>
    <row r="231" spans="1:37" x14ac:dyDescent="0.2">
      <c r="A231" t="s">
        <v>1003</v>
      </c>
      <c r="B231" t="s">
        <v>361</v>
      </c>
      <c r="C231">
        <v>2017</v>
      </c>
      <c r="D231">
        <v>2</v>
      </c>
      <c r="E231" t="s">
        <v>1005</v>
      </c>
      <c r="F231" t="s">
        <v>362</v>
      </c>
      <c r="G231">
        <v>8.9941650000000006</v>
      </c>
      <c r="H231" s="20">
        <f>IF(AND(A231=A230,F231=F230,F231="Winter wheat"),G231*0.9*'BAU Management details'!$F$46,
IF(AND(OR(A231&lt;&gt;A230,F231&lt;&gt;F230),F231="Winter wheat"),G231*'BAU Management details'!$F$46,
IF(F231="Oilseed Rape",G231*'BAU Management details'!$F$47)))</f>
        <v>69.614837100000003</v>
      </c>
      <c r="I231" t="s">
        <v>348</v>
      </c>
      <c r="J231">
        <v>10</v>
      </c>
      <c r="K231" t="s">
        <v>362</v>
      </c>
      <c r="L231" t="s">
        <v>751</v>
      </c>
      <c r="M231">
        <v>2.8</v>
      </c>
      <c r="N231" t="s">
        <v>349</v>
      </c>
      <c r="O231" t="s">
        <v>350</v>
      </c>
      <c r="P231">
        <v>6.5</v>
      </c>
      <c r="Q231" t="s">
        <v>743</v>
      </c>
      <c r="R231" t="s">
        <v>351</v>
      </c>
      <c r="S231">
        <v>220</v>
      </c>
      <c r="T231" s="47" t="s">
        <v>729</v>
      </c>
      <c r="U231" t="s">
        <v>733</v>
      </c>
      <c r="V231" t="s">
        <v>369</v>
      </c>
      <c r="W231" s="47" t="s">
        <v>736</v>
      </c>
      <c r="X231" s="47">
        <v>0</v>
      </c>
      <c r="Y231" s="47" t="s">
        <v>730</v>
      </c>
      <c r="Z231" s="47">
        <v>0</v>
      </c>
      <c r="AA231" s="47" t="s">
        <v>731</v>
      </c>
      <c r="AB231" s="47">
        <v>0</v>
      </c>
      <c r="AC231" s="47">
        <v>0</v>
      </c>
      <c r="AD231" s="47">
        <v>0</v>
      </c>
      <c r="AE231" s="47" t="s">
        <v>731</v>
      </c>
      <c r="AF231" s="47">
        <v>0</v>
      </c>
      <c r="AG231" s="47">
        <v>0</v>
      </c>
      <c r="AH231" s="47">
        <v>0</v>
      </c>
      <c r="AI231" s="47" t="s">
        <v>729</v>
      </c>
      <c r="AJ231">
        <v>1</v>
      </c>
      <c r="AK231">
        <v>100</v>
      </c>
    </row>
    <row r="232" spans="1:37" x14ac:dyDescent="0.2">
      <c r="A232" t="s">
        <v>1003</v>
      </c>
      <c r="B232" t="s">
        <v>361</v>
      </c>
      <c r="C232">
        <v>2018</v>
      </c>
      <c r="D232">
        <v>3</v>
      </c>
      <c r="E232" t="s">
        <v>1006</v>
      </c>
      <c r="F232" t="s">
        <v>365</v>
      </c>
      <c r="G232">
        <v>8.9941650000000006</v>
      </c>
      <c r="H232" s="20">
        <f>IF(AND(A232=A231,F232=F231,F232="Winter wheat"),G232*0.9*'BAU Management details'!$F$46,
IF(AND(OR(A232&lt;&gt;A231,F232&lt;&gt;F231),F232="Winter wheat"),G232*'BAU Management details'!$F$46,
IF(F232="Oilseed Rape",G232*'BAU Management details'!$F$47)))</f>
        <v>31.479577500000001</v>
      </c>
      <c r="I232" t="s">
        <v>348</v>
      </c>
      <c r="J232">
        <v>10</v>
      </c>
      <c r="K232" t="s">
        <v>532</v>
      </c>
      <c r="L232" t="s">
        <v>751</v>
      </c>
      <c r="M232">
        <v>2.8</v>
      </c>
      <c r="N232" t="s">
        <v>349</v>
      </c>
      <c r="O232" t="s">
        <v>350</v>
      </c>
      <c r="P232">
        <v>6.5</v>
      </c>
      <c r="Q232" t="s">
        <v>743</v>
      </c>
      <c r="R232" t="s">
        <v>351</v>
      </c>
      <c r="S232">
        <v>220</v>
      </c>
      <c r="T232" s="47" t="s">
        <v>735</v>
      </c>
      <c r="U232" t="s">
        <v>368</v>
      </c>
      <c r="V232" t="s">
        <v>364</v>
      </c>
      <c r="W232" s="47" t="s">
        <v>736</v>
      </c>
      <c r="X232" s="47">
        <v>0</v>
      </c>
      <c r="Y232" s="47" t="s">
        <v>736</v>
      </c>
      <c r="Z232" s="47">
        <v>0</v>
      </c>
      <c r="AA232" s="47" t="s">
        <v>736</v>
      </c>
      <c r="AB232" s="47">
        <v>0</v>
      </c>
      <c r="AC232" s="47">
        <v>0</v>
      </c>
      <c r="AD232" s="47">
        <v>0</v>
      </c>
      <c r="AE232" s="47" t="s">
        <v>731</v>
      </c>
      <c r="AF232" s="47">
        <v>0</v>
      </c>
      <c r="AG232" s="47" t="s">
        <v>731</v>
      </c>
      <c r="AH232" s="47">
        <v>0</v>
      </c>
      <c r="AI232" s="47" t="s">
        <v>735</v>
      </c>
      <c r="AJ232">
        <v>1</v>
      </c>
      <c r="AK232">
        <v>100</v>
      </c>
    </row>
    <row r="233" spans="1:37" x14ac:dyDescent="0.2">
      <c r="A233" t="s">
        <v>1003</v>
      </c>
      <c r="B233" t="s">
        <v>361</v>
      </c>
      <c r="C233">
        <v>2019</v>
      </c>
      <c r="D233">
        <v>4</v>
      </c>
      <c r="E233" t="s">
        <v>1007</v>
      </c>
      <c r="F233" t="s">
        <v>362</v>
      </c>
      <c r="G233">
        <v>8.9941650000000006</v>
      </c>
      <c r="H233" s="20">
        <f>IF(AND(A233=A232,F233=F232,F233="Winter wheat"),G233*0.9*'BAU Management details'!$F$46,
IF(AND(OR(A233&lt;&gt;A232,F233&lt;&gt;F232),F233="Winter wheat"),G233*'BAU Management details'!$F$46,
IF(F233="Oilseed Rape",G233*'BAU Management details'!$F$47)))</f>
        <v>77.349818999999997</v>
      </c>
      <c r="I233" t="s">
        <v>348</v>
      </c>
      <c r="J233">
        <v>10</v>
      </c>
      <c r="K233" t="s">
        <v>362</v>
      </c>
      <c r="L233" t="s">
        <v>751</v>
      </c>
      <c r="M233">
        <v>2.8</v>
      </c>
      <c r="N233" t="s">
        <v>349</v>
      </c>
      <c r="O233" t="s">
        <v>350</v>
      </c>
      <c r="P233">
        <v>6.5</v>
      </c>
      <c r="Q233" t="s">
        <v>743</v>
      </c>
      <c r="R233" t="s">
        <v>351</v>
      </c>
      <c r="S233">
        <v>220</v>
      </c>
      <c r="T233" s="47" t="s">
        <v>729</v>
      </c>
      <c r="U233" t="s">
        <v>366</v>
      </c>
      <c r="V233" t="s">
        <v>367</v>
      </c>
      <c r="W233" s="47" t="s">
        <v>736</v>
      </c>
      <c r="X233" s="47">
        <v>0</v>
      </c>
      <c r="Y233" s="47" t="s">
        <v>730</v>
      </c>
      <c r="Z233" s="47">
        <v>0</v>
      </c>
      <c r="AA233" s="47" t="s">
        <v>731</v>
      </c>
      <c r="AB233" s="47">
        <v>0</v>
      </c>
      <c r="AC233" s="47" t="s">
        <v>731</v>
      </c>
      <c r="AD233" s="47" t="s">
        <v>731</v>
      </c>
      <c r="AE233" s="47" t="s">
        <v>731</v>
      </c>
      <c r="AF233" s="47">
        <v>0</v>
      </c>
      <c r="AG233" s="47">
        <v>0</v>
      </c>
      <c r="AH233" s="47">
        <v>0</v>
      </c>
      <c r="AI233" s="47" t="s">
        <v>729</v>
      </c>
      <c r="AJ233">
        <v>1</v>
      </c>
      <c r="AK233">
        <v>100</v>
      </c>
    </row>
    <row r="234" spans="1:37" x14ac:dyDescent="0.2">
      <c r="A234" t="s">
        <v>1003</v>
      </c>
      <c r="B234" t="s">
        <v>361</v>
      </c>
      <c r="C234">
        <v>2020</v>
      </c>
      <c r="D234">
        <v>5</v>
      </c>
      <c r="E234" t="s">
        <v>1008</v>
      </c>
      <c r="F234" t="s">
        <v>362</v>
      </c>
      <c r="G234">
        <v>8.9941650000000006</v>
      </c>
      <c r="H234" s="20">
        <f>IF(AND(A234=A233,F234=F233,F234="Winter wheat"),G234*0.9*'BAU Management details'!$F$46,
IF(AND(OR(A234&lt;&gt;A233,F234&lt;&gt;F233),F234="Winter wheat"),G234*'BAU Management details'!$F$46,
IF(F234="Oilseed Rape",G234*'BAU Management details'!$F$47)))</f>
        <v>69.614837100000003</v>
      </c>
      <c r="I234" t="s">
        <v>348</v>
      </c>
      <c r="J234">
        <v>10</v>
      </c>
      <c r="K234" t="s">
        <v>362</v>
      </c>
      <c r="L234" t="s">
        <v>751</v>
      </c>
      <c r="M234">
        <v>2.8</v>
      </c>
      <c r="N234" t="s">
        <v>349</v>
      </c>
      <c r="O234" t="s">
        <v>350</v>
      </c>
      <c r="P234">
        <v>6.5</v>
      </c>
      <c r="Q234" t="s">
        <v>743</v>
      </c>
      <c r="R234" t="s">
        <v>351</v>
      </c>
      <c r="S234">
        <v>220</v>
      </c>
      <c r="T234" s="47" t="s">
        <v>729</v>
      </c>
      <c r="U234" t="s">
        <v>733</v>
      </c>
      <c r="V234" t="s">
        <v>369</v>
      </c>
      <c r="W234" s="47" t="s">
        <v>736</v>
      </c>
      <c r="X234" s="47">
        <v>0</v>
      </c>
      <c r="Y234" s="47" t="s">
        <v>730</v>
      </c>
      <c r="Z234" s="47">
        <v>0</v>
      </c>
      <c r="AA234" s="47" t="s">
        <v>731</v>
      </c>
      <c r="AB234" s="47">
        <v>0</v>
      </c>
      <c r="AC234" s="47">
        <v>0</v>
      </c>
      <c r="AD234" s="47">
        <v>0</v>
      </c>
      <c r="AE234" s="47" t="s">
        <v>731</v>
      </c>
      <c r="AF234" s="47">
        <v>0</v>
      </c>
      <c r="AG234" s="47">
        <v>0</v>
      </c>
      <c r="AH234" s="47">
        <v>0</v>
      </c>
      <c r="AI234" s="47" t="s">
        <v>729</v>
      </c>
      <c r="AJ234">
        <v>1</v>
      </c>
      <c r="AK234">
        <v>100</v>
      </c>
    </row>
    <row r="235" spans="1:37" x14ac:dyDescent="0.2">
      <c r="A235" t="s">
        <v>1003</v>
      </c>
      <c r="B235" t="s">
        <v>361</v>
      </c>
      <c r="C235">
        <v>2021</v>
      </c>
      <c r="D235">
        <v>6</v>
      </c>
      <c r="E235" t="s">
        <v>1009</v>
      </c>
      <c r="F235" t="s">
        <v>365</v>
      </c>
      <c r="G235">
        <v>8.9941650000000006</v>
      </c>
      <c r="H235" s="20">
        <f>IF(AND(A235=A234,F235=F234,F235="Winter wheat"),G235*0.9*'BAU Management details'!$F$46,
IF(AND(OR(A235&lt;&gt;A234,F235&lt;&gt;F234),F235="Winter wheat"),G235*'BAU Management details'!$F$46,
IF(F235="Oilseed Rape",G235*'BAU Management details'!$F$47)))</f>
        <v>31.479577500000001</v>
      </c>
      <c r="I235" t="s">
        <v>348</v>
      </c>
      <c r="J235">
        <v>10</v>
      </c>
      <c r="K235" t="s">
        <v>532</v>
      </c>
      <c r="L235" t="s">
        <v>751</v>
      </c>
      <c r="M235">
        <v>2.8</v>
      </c>
      <c r="N235" t="s">
        <v>349</v>
      </c>
      <c r="O235" t="s">
        <v>350</v>
      </c>
      <c r="P235">
        <v>6.5</v>
      </c>
      <c r="Q235" t="s">
        <v>743</v>
      </c>
      <c r="R235" t="s">
        <v>351</v>
      </c>
      <c r="S235">
        <v>220</v>
      </c>
      <c r="T235" s="47" t="s">
        <v>735</v>
      </c>
      <c r="U235" t="s">
        <v>368</v>
      </c>
      <c r="V235" t="s">
        <v>364</v>
      </c>
      <c r="W235" s="47" t="s">
        <v>736</v>
      </c>
      <c r="X235" s="47">
        <v>0</v>
      </c>
      <c r="Y235" s="47" t="s">
        <v>736</v>
      </c>
      <c r="Z235" s="47">
        <v>0</v>
      </c>
      <c r="AA235" s="47" t="s">
        <v>736</v>
      </c>
      <c r="AB235" s="47">
        <v>0</v>
      </c>
      <c r="AC235" s="47">
        <v>0</v>
      </c>
      <c r="AD235" s="47">
        <v>0</v>
      </c>
      <c r="AE235" s="47" t="s">
        <v>731</v>
      </c>
      <c r="AF235" s="47">
        <v>0</v>
      </c>
      <c r="AG235" s="47" t="s">
        <v>731</v>
      </c>
      <c r="AH235" s="47">
        <v>0</v>
      </c>
      <c r="AI235" s="47" t="s">
        <v>735</v>
      </c>
      <c r="AJ235">
        <v>1</v>
      </c>
      <c r="AK235">
        <v>100</v>
      </c>
    </row>
    <row r="236" spans="1:37" x14ac:dyDescent="0.2">
      <c r="A236" t="s">
        <v>1010</v>
      </c>
      <c r="B236" t="s">
        <v>361</v>
      </c>
      <c r="C236">
        <v>2016</v>
      </c>
      <c r="D236">
        <v>1</v>
      </c>
      <c r="E236" t="s">
        <v>1011</v>
      </c>
      <c r="F236" t="s">
        <v>362</v>
      </c>
      <c r="G236">
        <v>8.4791089999999993</v>
      </c>
      <c r="H236" s="20">
        <f>IF(AND(A236=A235,F236=F235,F236="Winter wheat"),G236*0.9*'BAU Management details'!$F$46,
IF(AND(OR(A236&lt;&gt;A235,F236&lt;&gt;F235),F236="Winter wheat"),G236*'BAU Management details'!$F$46,
IF(F236="Oilseed Rape",G236*'BAU Management details'!$F$47)))</f>
        <v>72.920337399999994</v>
      </c>
      <c r="I236" t="s">
        <v>348</v>
      </c>
      <c r="J236">
        <v>10</v>
      </c>
      <c r="K236" t="s">
        <v>362</v>
      </c>
      <c r="L236" t="s">
        <v>751</v>
      </c>
      <c r="M236">
        <v>2.9</v>
      </c>
      <c r="N236" t="s">
        <v>349</v>
      </c>
      <c r="O236" t="s">
        <v>350</v>
      </c>
      <c r="P236">
        <v>7.7</v>
      </c>
      <c r="Q236" t="s">
        <v>728</v>
      </c>
      <c r="R236" t="s">
        <v>351</v>
      </c>
      <c r="S236">
        <v>220</v>
      </c>
      <c r="T236" s="47" t="s">
        <v>729</v>
      </c>
      <c r="U236" t="s">
        <v>366</v>
      </c>
      <c r="V236" t="s">
        <v>364</v>
      </c>
      <c r="W236" s="47" t="s">
        <v>736</v>
      </c>
      <c r="X236" s="47">
        <v>0</v>
      </c>
      <c r="Y236" s="47" t="s">
        <v>730</v>
      </c>
      <c r="Z236" s="47">
        <v>0</v>
      </c>
      <c r="AA236" s="47" t="s">
        <v>731</v>
      </c>
      <c r="AB236" s="47">
        <v>0</v>
      </c>
      <c r="AC236" s="47" t="s">
        <v>731</v>
      </c>
      <c r="AD236" s="47" t="s">
        <v>731</v>
      </c>
      <c r="AE236" s="47" t="s">
        <v>731</v>
      </c>
      <c r="AF236" s="47">
        <v>0</v>
      </c>
      <c r="AG236" s="47">
        <v>0</v>
      </c>
      <c r="AH236" s="47">
        <v>0</v>
      </c>
      <c r="AI236" s="47" t="s">
        <v>729</v>
      </c>
      <c r="AJ236">
        <v>1</v>
      </c>
      <c r="AK236">
        <v>100</v>
      </c>
    </row>
    <row r="237" spans="1:37" x14ac:dyDescent="0.2">
      <c r="A237" t="s">
        <v>1010</v>
      </c>
      <c r="B237" t="s">
        <v>361</v>
      </c>
      <c r="C237">
        <v>2017</v>
      </c>
      <c r="D237">
        <v>2</v>
      </c>
      <c r="E237" t="s">
        <v>1012</v>
      </c>
      <c r="F237" t="s">
        <v>362</v>
      </c>
      <c r="G237">
        <v>8.4791089999999993</v>
      </c>
      <c r="H237" s="20">
        <f>IF(AND(A237=A236,F237=F236,F237="Winter wheat"),G237*0.9*'BAU Management details'!$F$46,
IF(AND(OR(A237&lt;&gt;A236,F237&lt;&gt;F236),F237="Winter wheat"),G237*'BAU Management details'!$F$46,
IF(F237="Oilseed Rape",G237*'BAU Management details'!$F$47)))</f>
        <v>65.62830366</v>
      </c>
      <c r="I237" t="s">
        <v>348</v>
      </c>
      <c r="J237">
        <v>10</v>
      </c>
      <c r="K237" t="s">
        <v>362</v>
      </c>
      <c r="L237" t="s">
        <v>751</v>
      </c>
      <c r="M237">
        <v>2.9</v>
      </c>
      <c r="N237" t="s">
        <v>349</v>
      </c>
      <c r="O237" t="s">
        <v>350</v>
      </c>
      <c r="P237">
        <v>7.7</v>
      </c>
      <c r="Q237" t="s">
        <v>728</v>
      </c>
      <c r="R237" t="s">
        <v>351</v>
      </c>
      <c r="S237">
        <v>220</v>
      </c>
      <c r="T237" s="47" t="s">
        <v>729</v>
      </c>
      <c r="U237" t="s">
        <v>733</v>
      </c>
      <c r="V237" t="s">
        <v>364</v>
      </c>
      <c r="W237" s="47" t="s">
        <v>736</v>
      </c>
      <c r="X237" s="47">
        <v>0</v>
      </c>
      <c r="Y237" s="47" t="s">
        <v>730</v>
      </c>
      <c r="Z237" s="47">
        <v>0</v>
      </c>
      <c r="AA237" s="47" t="s">
        <v>731</v>
      </c>
      <c r="AB237" s="47">
        <v>0</v>
      </c>
      <c r="AC237" s="47">
        <v>0</v>
      </c>
      <c r="AD237" s="47">
        <v>0</v>
      </c>
      <c r="AE237" s="47" t="s">
        <v>731</v>
      </c>
      <c r="AF237" s="47">
        <v>0</v>
      </c>
      <c r="AG237" s="47">
        <v>0</v>
      </c>
      <c r="AH237" s="47">
        <v>0</v>
      </c>
      <c r="AI237" s="47" t="s">
        <v>729</v>
      </c>
      <c r="AJ237">
        <v>1</v>
      </c>
      <c r="AK237">
        <v>100</v>
      </c>
    </row>
    <row r="238" spans="1:37" x14ac:dyDescent="0.2">
      <c r="A238" t="s">
        <v>1010</v>
      </c>
      <c r="B238" t="s">
        <v>361</v>
      </c>
      <c r="C238">
        <v>2018</v>
      </c>
      <c r="D238">
        <v>3</v>
      </c>
      <c r="E238" t="s">
        <v>1013</v>
      </c>
      <c r="F238" t="s">
        <v>365</v>
      </c>
      <c r="G238">
        <v>8.4791089999999993</v>
      </c>
      <c r="H238" s="20">
        <f>IF(AND(A238=A237,F238=F237,F238="Winter wheat"),G238*0.9*'BAU Management details'!$F$46,
IF(AND(OR(A238&lt;&gt;A237,F238&lt;&gt;F237),F238="Winter wheat"),G238*'BAU Management details'!$F$46,
IF(F238="Oilseed Rape",G238*'BAU Management details'!$F$47)))</f>
        <v>29.676881499999997</v>
      </c>
      <c r="I238" t="s">
        <v>348</v>
      </c>
      <c r="J238">
        <v>10</v>
      </c>
      <c r="K238" t="s">
        <v>532</v>
      </c>
      <c r="L238" t="s">
        <v>751</v>
      </c>
      <c r="M238">
        <v>2.9</v>
      </c>
      <c r="N238" t="s">
        <v>349</v>
      </c>
      <c r="O238" t="s">
        <v>350</v>
      </c>
      <c r="P238">
        <v>7.7</v>
      </c>
      <c r="Q238" t="s">
        <v>728</v>
      </c>
      <c r="R238" t="s">
        <v>351</v>
      </c>
      <c r="S238">
        <v>220</v>
      </c>
      <c r="T238" s="47" t="s">
        <v>735</v>
      </c>
      <c r="U238" t="s">
        <v>368</v>
      </c>
      <c r="V238" t="s">
        <v>364</v>
      </c>
      <c r="W238" s="47" t="s">
        <v>736</v>
      </c>
      <c r="X238" s="47">
        <v>0</v>
      </c>
      <c r="Y238" s="47" t="s">
        <v>736</v>
      </c>
      <c r="Z238" s="47">
        <v>0</v>
      </c>
      <c r="AA238" s="47" t="s">
        <v>736</v>
      </c>
      <c r="AB238" s="47">
        <v>0</v>
      </c>
      <c r="AC238" s="47">
        <v>0</v>
      </c>
      <c r="AD238" s="47">
        <v>0</v>
      </c>
      <c r="AE238" s="47" t="s">
        <v>731</v>
      </c>
      <c r="AF238" s="47">
        <v>0</v>
      </c>
      <c r="AG238" s="47" t="s">
        <v>731</v>
      </c>
      <c r="AH238" s="47">
        <v>0</v>
      </c>
      <c r="AI238" s="47" t="s">
        <v>735</v>
      </c>
      <c r="AJ238">
        <v>1</v>
      </c>
      <c r="AK238">
        <v>100</v>
      </c>
    </row>
    <row r="239" spans="1:37" x14ac:dyDescent="0.2">
      <c r="A239" t="s">
        <v>1010</v>
      </c>
      <c r="B239" t="s">
        <v>361</v>
      </c>
      <c r="C239">
        <v>2019</v>
      </c>
      <c r="D239">
        <v>4</v>
      </c>
      <c r="E239" t="s">
        <v>1014</v>
      </c>
      <c r="F239" t="s">
        <v>362</v>
      </c>
      <c r="G239">
        <v>8.4791089999999993</v>
      </c>
      <c r="H239" s="20">
        <f>IF(AND(A239=A238,F239=F238,F239="Winter wheat"),G239*0.9*'BAU Management details'!$F$46,
IF(AND(OR(A239&lt;&gt;A238,F239&lt;&gt;F238),F239="Winter wheat"),G239*'BAU Management details'!$F$46,
IF(F239="Oilseed Rape",G239*'BAU Management details'!$F$47)))</f>
        <v>72.920337399999994</v>
      </c>
      <c r="I239" t="s">
        <v>348</v>
      </c>
      <c r="J239">
        <v>10</v>
      </c>
      <c r="K239" t="s">
        <v>362</v>
      </c>
      <c r="L239" t="s">
        <v>751</v>
      </c>
      <c r="M239">
        <v>2.9</v>
      </c>
      <c r="N239" t="s">
        <v>349</v>
      </c>
      <c r="O239" t="s">
        <v>350</v>
      </c>
      <c r="P239">
        <v>7.7</v>
      </c>
      <c r="Q239" t="s">
        <v>728</v>
      </c>
      <c r="R239" t="s">
        <v>351</v>
      </c>
      <c r="S239">
        <v>220</v>
      </c>
      <c r="T239" s="47" t="s">
        <v>729</v>
      </c>
      <c r="U239" t="s">
        <v>366</v>
      </c>
      <c r="V239" t="s">
        <v>364</v>
      </c>
      <c r="W239" s="47" t="s">
        <v>736</v>
      </c>
      <c r="X239" s="47">
        <v>0</v>
      </c>
      <c r="Y239" s="47" t="s">
        <v>730</v>
      </c>
      <c r="Z239" s="47">
        <v>0</v>
      </c>
      <c r="AA239" s="47" t="s">
        <v>731</v>
      </c>
      <c r="AB239" s="47">
        <v>0</v>
      </c>
      <c r="AC239" s="47" t="s">
        <v>731</v>
      </c>
      <c r="AD239" s="47" t="s">
        <v>731</v>
      </c>
      <c r="AE239" s="47" t="s">
        <v>731</v>
      </c>
      <c r="AF239" s="47">
        <v>0</v>
      </c>
      <c r="AG239" s="47">
        <v>0</v>
      </c>
      <c r="AH239" s="47">
        <v>0</v>
      </c>
      <c r="AI239" s="47" t="s">
        <v>729</v>
      </c>
      <c r="AJ239">
        <v>1</v>
      </c>
      <c r="AK239">
        <v>100</v>
      </c>
    </row>
    <row r="240" spans="1:37" x14ac:dyDescent="0.2">
      <c r="A240" t="s">
        <v>1010</v>
      </c>
      <c r="B240" t="s">
        <v>361</v>
      </c>
      <c r="C240">
        <v>2020</v>
      </c>
      <c r="D240">
        <v>5</v>
      </c>
      <c r="E240" t="s">
        <v>1015</v>
      </c>
      <c r="F240" t="s">
        <v>362</v>
      </c>
      <c r="G240">
        <v>8.4791089999999993</v>
      </c>
      <c r="H240" s="20">
        <f>IF(AND(A240=A239,F240=F239,F240="Winter wheat"),G240*0.9*'BAU Management details'!$F$46,
IF(AND(OR(A240&lt;&gt;A239,F240&lt;&gt;F239),F240="Winter wheat"),G240*'BAU Management details'!$F$46,
IF(F240="Oilseed Rape",G240*'BAU Management details'!$F$47)))</f>
        <v>65.62830366</v>
      </c>
      <c r="I240" t="s">
        <v>348</v>
      </c>
      <c r="J240">
        <v>10</v>
      </c>
      <c r="K240" t="s">
        <v>362</v>
      </c>
      <c r="L240" t="s">
        <v>751</v>
      </c>
      <c r="M240">
        <v>2.9</v>
      </c>
      <c r="N240" t="s">
        <v>349</v>
      </c>
      <c r="O240" t="s">
        <v>350</v>
      </c>
      <c r="P240">
        <v>7.7</v>
      </c>
      <c r="Q240" t="s">
        <v>728</v>
      </c>
      <c r="R240" t="s">
        <v>351</v>
      </c>
      <c r="S240">
        <v>220</v>
      </c>
      <c r="T240" s="47" t="s">
        <v>729</v>
      </c>
      <c r="U240" t="s">
        <v>733</v>
      </c>
      <c r="V240" t="s">
        <v>364</v>
      </c>
      <c r="W240" s="47" t="s">
        <v>736</v>
      </c>
      <c r="X240" s="47">
        <v>0</v>
      </c>
      <c r="Y240" s="47" t="s">
        <v>730</v>
      </c>
      <c r="Z240" s="47">
        <v>0</v>
      </c>
      <c r="AA240" s="47" t="s">
        <v>731</v>
      </c>
      <c r="AB240" s="47">
        <v>0</v>
      </c>
      <c r="AC240" s="47">
        <v>0</v>
      </c>
      <c r="AD240" s="47">
        <v>0</v>
      </c>
      <c r="AE240" s="47" t="s">
        <v>731</v>
      </c>
      <c r="AF240" s="47">
        <v>0</v>
      </c>
      <c r="AG240" s="47">
        <v>0</v>
      </c>
      <c r="AH240" s="47">
        <v>0</v>
      </c>
      <c r="AI240" s="47" t="s">
        <v>729</v>
      </c>
      <c r="AJ240">
        <v>1</v>
      </c>
      <c r="AK240">
        <v>100</v>
      </c>
    </row>
    <row r="241" spans="1:37" x14ac:dyDescent="0.2">
      <c r="A241" t="s">
        <v>1010</v>
      </c>
      <c r="B241" t="s">
        <v>361</v>
      </c>
      <c r="C241">
        <v>2021</v>
      </c>
      <c r="D241">
        <v>6</v>
      </c>
      <c r="E241" t="s">
        <v>1016</v>
      </c>
      <c r="F241" t="s">
        <v>365</v>
      </c>
      <c r="G241">
        <v>8.4791089999999993</v>
      </c>
      <c r="H241" s="20">
        <f>IF(AND(A241=A240,F241=F240,F241="Winter wheat"),G241*0.9*'BAU Management details'!$F$46,
IF(AND(OR(A241&lt;&gt;A240,F241&lt;&gt;F240),F241="Winter wheat"),G241*'BAU Management details'!$F$46,
IF(F241="Oilseed Rape",G241*'BAU Management details'!$F$47)))</f>
        <v>29.676881499999997</v>
      </c>
      <c r="I241" t="s">
        <v>348</v>
      </c>
      <c r="J241">
        <v>10</v>
      </c>
      <c r="K241" t="s">
        <v>532</v>
      </c>
      <c r="L241" t="s">
        <v>751</v>
      </c>
      <c r="M241">
        <v>2.9</v>
      </c>
      <c r="N241" t="s">
        <v>349</v>
      </c>
      <c r="O241" t="s">
        <v>350</v>
      </c>
      <c r="P241">
        <v>7.7</v>
      </c>
      <c r="Q241" t="s">
        <v>728</v>
      </c>
      <c r="R241" t="s">
        <v>351</v>
      </c>
      <c r="S241">
        <v>220</v>
      </c>
      <c r="T241" s="47" t="s">
        <v>735</v>
      </c>
      <c r="U241" t="s">
        <v>368</v>
      </c>
      <c r="V241" t="s">
        <v>364</v>
      </c>
      <c r="W241" s="47" t="s">
        <v>736</v>
      </c>
      <c r="X241" s="47">
        <v>0</v>
      </c>
      <c r="Y241" s="47" t="s">
        <v>736</v>
      </c>
      <c r="Z241" s="47">
        <v>0</v>
      </c>
      <c r="AA241" s="47" t="s">
        <v>736</v>
      </c>
      <c r="AB241" s="47">
        <v>0</v>
      </c>
      <c r="AC241" s="47">
        <v>0</v>
      </c>
      <c r="AD241" s="47">
        <v>0</v>
      </c>
      <c r="AE241" s="47" t="s">
        <v>731</v>
      </c>
      <c r="AF241" s="47">
        <v>0</v>
      </c>
      <c r="AG241" s="47" t="s">
        <v>731</v>
      </c>
      <c r="AH241" s="47">
        <v>0</v>
      </c>
      <c r="AI241" s="47" t="s">
        <v>735</v>
      </c>
      <c r="AJ241">
        <v>1</v>
      </c>
      <c r="AK241">
        <v>100</v>
      </c>
    </row>
    <row r="242" spans="1:37" x14ac:dyDescent="0.2">
      <c r="A242" t="s">
        <v>1017</v>
      </c>
      <c r="B242" t="s">
        <v>361</v>
      </c>
      <c r="C242">
        <v>2016</v>
      </c>
      <c r="D242">
        <v>1</v>
      </c>
      <c r="E242" t="s">
        <v>1018</v>
      </c>
      <c r="F242" t="s">
        <v>362</v>
      </c>
      <c r="G242">
        <v>7.2845409999999999</v>
      </c>
      <c r="H242" s="20">
        <f>IF(AND(A242=A241,F242=F241,F242="Winter wheat"),G242*0.9*'BAU Management details'!$F$46,
IF(AND(OR(A242&lt;&gt;A241,F242&lt;&gt;F241),F242="Winter wheat"),G242*'BAU Management details'!$F$46,
IF(F242="Oilseed Rape",G242*'BAU Management details'!$F$47)))</f>
        <v>62.647052599999995</v>
      </c>
      <c r="I242" t="s">
        <v>348</v>
      </c>
      <c r="J242">
        <v>10</v>
      </c>
      <c r="K242" t="s">
        <v>362</v>
      </c>
      <c r="L242" t="s">
        <v>751</v>
      </c>
      <c r="M242">
        <v>2.2999999999999998</v>
      </c>
      <c r="N242" t="s">
        <v>349</v>
      </c>
      <c r="O242" t="s">
        <v>742</v>
      </c>
      <c r="P242">
        <v>6.4</v>
      </c>
      <c r="Q242" t="s">
        <v>743</v>
      </c>
      <c r="R242" t="s">
        <v>351</v>
      </c>
      <c r="S242">
        <v>220</v>
      </c>
      <c r="T242" s="47" t="s">
        <v>729</v>
      </c>
      <c r="U242" t="s">
        <v>366</v>
      </c>
      <c r="V242" t="s">
        <v>367</v>
      </c>
      <c r="W242" s="47" t="s">
        <v>736</v>
      </c>
      <c r="X242" s="47">
        <v>0</v>
      </c>
      <c r="Y242" s="47" t="s">
        <v>730</v>
      </c>
      <c r="Z242" s="47">
        <v>0</v>
      </c>
      <c r="AA242" s="47" t="s">
        <v>731</v>
      </c>
      <c r="AB242" s="47">
        <v>0</v>
      </c>
      <c r="AC242" s="47" t="s">
        <v>731</v>
      </c>
      <c r="AD242" s="47" t="s">
        <v>731</v>
      </c>
      <c r="AE242" s="47" t="s">
        <v>731</v>
      </c>
      <c r="AF242" s="47">
        <v>0</v>
      </c>
      <c r="AG242" s="47">
        <v>0</v>
      </c>
      <c r="AH242" s="47">
        <v>0</v>
      </c>
      <c r="AI242" s="47" t="s">
        <v>729</v>
      </c>
      <c r="AJ242">
        <v>1</v>
      </c>
      <c r="AK242">
        <v>100</v>
      </c>
    </row>
    <row r="243" spans="1:37" x14ac:dyDescent="0.2">
      <c r="A243" t="s">
        <v>1017</v>
      </c>
      <c r="B243" t="s">
        <v>361</v>
      </c>
      <c r="C243">
        <v>2017</v>
      </c>
      <c r="D243">
        <v>2</v>
      </c>
      <c r="E243" t="s">
        <v>1019</v>
      </c>
      <c r="F243" t="s">
        <v>362</v>
      </c>
      <c r="G243">
        <v>7.2845409999999999</v>
      </c>
      <c r="H243" s="20">
        <f>IF(AND(A243=A242,F243=F242,F243="Winter wheat"),G243*0.9*'BAU Management details'!$F$46,
IF(AND(OR(A243&lt;&gt;A242,F243&lt;&gt;F242),F243="Winter wheat"),G243*'BAU Management details'!$F$46,
IF(F243="Oilseed Rape",G243*'BAU Management details'!$F$47)))</f>
        <v>56.382347340000003</v>
      </c>
      <c r="I243" t="s">
        <v>348</v>
      </c>
      <c r="J243">
        <v>10</v>
      </c>
      <c r="K243" t="s">
        <v>362</v>
      </c>
      <c r="L243" t="s">
        <v>751</v>
      </c>
      <c r="M243">
        <v>2.2999999999999998</v>
      </c>
      <c r="N243" t="s">
        <v>349</v>
      </c>
      <c r="O243" t="s">
        <v>742</v>
      </c>
      <c r="P243">
        <v>6.4</v>
      </c>
      <c r="Q243" t="s">
        <v>743</v>
      </c>
      <c r="R243" t="s">
        <v>351</v>
      </c>
      <c r="S243">
        <v>220</v>
      </c>
      <c r="T243" s="47" t="s">
        <v>729</v>
      </c>
      <c r="U243" t="s">
        <v>733</v>
      </c>
      <c r="V243" t="s">
        <v>369</v>
      </c>
      <c r="W243" s="47" t="s">
        <v>736</v>
      </c>
      <c r="X243" s="47">
        <v>0</v>
      </c>
      <c r="Y243" s="47" t="s">
        <v>730</v>
      </c>
      <c r="Z243" s="47">
        <v>0</v>
      </c>
      <c r="AA243" s="47" t="s">
        <v>731</v>
      </c>
      <c r="AB243" s="47">
        <v>0</v>
      </c>
      <c r="AC243" s="47">
        <v>0</v>
      </c>
      <c r="AD243" s="47">
        <v>0</v>
      </c>
      <c r="AE243" s="47" t="s">
        <v>731</v>
      </c>
      <c r="AF243" s="47">
        <v>0</v>
      </c>
      <c r="AG243" s="47">
        <v>0</v>
      </c>
      <c r="AH243" s="47">
        <v>0</v>
      </c>
      <c r="AI243" s="47" t="s">
        <v>729</v>
      </c>
      <c r="AJ243">
        <v>1</v>
      </c>
      <c r="AK243">
        <v>100</v>
      </c>
    </row>
    <row r="244" spans="1:37" x14ac:dyDescent="0.2">
      <c r="A244" t="s">
        <v>1017</v>
      </c>
      <c r="B244" t="s">
        <v>361</v>
      </c>
      <c r="C244">
        <v>2018</v>
      </c>
      <c r="D244">
        <v>3</v>
      </c>
      <c r="E244" t="s">
        <v>1020</v>
      </c>
      <c r="F244" t="s">
        <v>365</v>
      </c>
      <c r="G244">
        <v>7.2845409999999999</v>
      </c>
      <c r="H244" s="20">
        <f>IF(AND(A244=A243,F244=F243,F244="Winter wheat"),G244*0.9*'BAU Management details'!$F$46,
IF(AND(OR(A244&lt;&gt;A243,F244&lt;&gt;F243),F244="Winter wheat"),G244*'BAU Management details'!$F$46,
IF(F244="Oilseed Rape",G244*'BAU Management details'!$F$47)))</f>
        <v>25.495893500000001</v>
      </c>
      <c r="I244" t="s">
        <v>348</v>
      </c>
      <c r="J244">
        <v>10</v>
      </c>
      <c r="K244" t="s">
        <v>532</v>
      </c>
      <c r="L244" t="s">
        <v>751</v>
      </c>
      <c r="M244">
        <v>2.2999999999999998</v>
      </c>
      <c r="N244" t="s">
        <v>349</v>
      </c>
      <c r="O244" t="s">
        <v>742</v>
      </c>
      <c r="P244">
        <v>6.4</v>
      </c>
      <c r="Q244" t="s">
        <v>743</v>
      </c>
      <c r="R244" t="s">
        <v>351</v>
      </c>
      <c r="S244">
        <v>220</v>
      </c>
      <c r="T244" s="47" t="s">
        <v>735</v>
      </c>
      <c r="U244" t="s">
        <v>368</v>
      </c>
      <c r="V244" t="s">
        <v>364</v>
      </c>
      <c r="W244" s="47" t="s">
        <v>736</v>
      </c>
      <c r="X244" s="47">
        <v>0</v>
      </c>
      <c r="Y244" s="47" t="s">
        <v>736</v>
      </c>
      <c r="Z244" s="47">
        <v>0</v>
      </c>
      <c r="AA244" s="47" t="s">
        <v>736</v>
      </c>
      <c r="AB244" s="47">
        <v>0</v>
      </c>
      <c r="AC244" s="47">
        <v>0</v>
      </c>
      <c r="AD244" s="47">
        <v>0</v>
      </c>
      <c r="AE244" s="47" t="s">
        <v>731</v>
      </c>
      <c r="AF244" s="47">
        <v>0</v>
      </c>
      <c r="AG244" s="47" t="s">
        <v>731</v>
      </c>
      <c r="AH244" s="47">
        <v>0</v>
      </c>
      <c r="AI244" s="47" t="s">
        <v>735</v>
      </c>
      <c r="AJ244">
        <v>1</v>
      </c>
      <c r="AK244">
        <v>100</v>
      </c>
    </row>
    <row r="245" spans="1:37" x14ac:dyDescent="0.2">
      <c r="A245" t="s">
        <v>1017</v>
      </c>
      <c r="B245" t="s">
        <v>361</v>
      </c>
      <c r="C245">
        <v>2019</v>
      </c>
      <c r="D245">
        <v>4</v>
      </c>
      <c r="E245" t="s">
        <v>1021</v>
      </c>
      <c r="F245" t="s">
        <v>362</v>
      </c>
      <c r="G245">
        <v>7.2845409999999999</v>
      </c>
      <c r="H245" s="20">
        <f>IF(AND(A245=A244,F245=F244,F245="Winter wheat"),G245*0.9*'BAU Management details'!$F$46,
IF(AND(OR(A245&lt;&gt;A244,F245&lt;&gt;F244),F245="Winter wheat"),G245*'BAU Management details'!$F$46,
IF(F245="Oilseed Rape",G245*'BAU Management details'!$F$47)))</f>
        <v>62.647052599999995</v>
      </c>
      <c r="I245" t="s">
        <v>348</v>
      </c>
      <c r="J245">
        <v>10</v>
      </c>
      <c r="K245" t="s">
        <v>362</v>
      </c>
      <c r="L245" t="s">
        <v>751</v>
      </c>
      <c r="M245">
        <v>2.2999999999999998</v>
      </c>
      <c r="N245" t="s">
        <v>349</v>
      </c>
      <c r="O245" t="s">
        <v>742</v>
      </c>
      <c r="P245">
        <v>6.4</v>
      </c>
      <c r="Q245" t="s">
        <v>743</v>
      </c>
      <c r="R245" t="s">
        <v>351</v>
      </c>
      <c r="S245">
        <v>220</v>
      </c>
      <c r="T245" s="47" t="s">
        <v>729</v>
      </c>
      <c r="U245" t="s">
        <v>366</v>
      </c>
      <c r="V245" t="s">
        <v>367</v>
      </c>
      <c r="W245" s="47" t="s">
        <v>736</v>
      </c>
      <c r="X245" s="47">
        <v>0</v>
      </c>
      <c r="Y245" s="47" t="s">
        <v>730</v>
      </c>
      <c r="Z245" s="47">
        <v>0</v>
      </c>
      <c r="AA245" s="47" t="s">
        <v>731</v>
      </c>
      <c r="AB245" s="47">
        <v>0</v>
      </c>
      <c r="AC245" s="47" t="s">
        <v>731</v>
      </c>
      <c r="AD245" s="47" t="s">
        <v>731</v>
      </c>
      <c r="AE245" s="47" t="s">
        <v>731</v>
      </c>
      <c r="AF245" s="47">
        <v>0</v>
      </c>
      <c r="AG245" s="47">
        <v>0</v>
      </c>
      <c r="AH245" s="47">
        <v>0</v>
      </c>
      <c r="AI245" s="47" t="s">
        <v>729</v>
      </c>
      <c r="AJ245">
        <v>1</v>
      </c>
      <c r="AK245">
        <v>100</v>
      </c>
    </row>
    <row r="246" spans="1:37" x14ac:dyDescent="0.2">
      <c r="A246" t="s">
        <v>1017</v>
      </c>
      <c r="B246" t="s">
        <v>361</v>
      </c>
      <c r="C246">
        <v>2020</v>
      </c>
      <c r="D246">
        <v>5</v>
      </c>
      <c r="E246" t="s">
        <v>1022</v>
      </c>
      <c r="F246" t="s">
        <v>362</v>
      </c>
      <c r="G246">
        <v>7.2845409999999999</v>
      </c>
      <c r="H246" s="20">
        <f>IF(AND(A246=A245,F246=F245,F246="Winter wheat"),G246*0.9*'BAU Management details'!$F$46,
IF(AND(OR(A246&lt;&gt;A245,F246&lt;&gt;F245),F246="Winter wheat"),G246*'BAU Management details'!$F$46,
IF(F246="Oilseed Rape",G246*'BAU Management details'!$F$47)))</f>
        <v>56.382347340000003</v>
      </c>
      <c r="I246" t="s">
        <v>348</v>
      </c>
      <c r="J246">
        <v>10</v>
      </c>
      <c r="K246" t="s">
        <v>362</v>
      </c>
      <c r="L246" t="s">
        <v>751</v>
      </c>
      <c r="M246">
        <v>2.2999999999999998</v>
      </c>
      <c r="N246" t="s">
        <v>349</v>
      </c>
      <c r="O246" t="s">
        <v>742</v>
      </c>
      <c r="P246">
        <v>6.4</v>
      </c>
      <c r="Q246" t="s">
        <v>743</v>
      </c>
      <c r="R246" t="s">
        <v>351</v>
      </c>
      <c r="S246">
        <v>220</v>
      </c>
      <c r="T246" s="47" t="s">
        <v>729</v>
      </c>
      <c r="U246" t="s">
        <v>733</v>
      </c>
      <c r="V246" t="s">
        <v>369</v>
      </c>
      <c r="W246" s="47" t="s">
        <v>736</v>
      </c>
      <c r="X246" s="47">
        <v>0</v>
      </c>
      <c r="Y246" s="47" t="s">
        <v>730</v>
      </c>
      <c r="Z246" s="47">
        <v>0</v>
      </c>
      <c r="AA246" s="47" t="s">
        <v>731</v>
      </c>
      <c r="AB246" s="47">
        <v>0</v>
      </c>
      <c r="AC246" s="47">
        <v>0</v>
      </c>
      <c r="AD246" s="47">
        <v>0</v>
      </c>
      <c r="AE246" s="47" t="s">
        <v>731</v>
      </c>
      <c r="AF246" s="47">
        <v>0</v>
      </c>
      <c r="AG246" s="47">
        <v>0</v>
      </c>
      <c r="AH246" s="47">
        <v>0</v>
      </c>
      <c r="AI246" s="47" t="s">
        <v>729</v>
      </c>
      <c r="AJ246">
        <v>1</v>
      </c>
      <c r="AK246">
        <v>100</v>
      </c>
    </row>
    <row r="247" spans="1:37" x14ac:dyDescent="0.2">
      <c r="A247" t="s">
        <v>1017</v>
      </c>
      <c r="B247" t="s">
        <v>361</v>
      </c>
      <c r="C247">
        <v>2021</v>
      </c>
      <c r="D247">
        <v>6</v>
      </c>
      <c r="E247" t="s">
        <v>1023</v>
      </c>
      <c r="F247" t="s">
        <v>365</v>
      </c>
      <c r="G247">
        <v>7.2845409999999999</v>
      </c>
      <c r="H247" s="20">
        <f>IF(AND(A247=A246,F247=F246,F247="Winter wheat"),G247*0.9*'BAU Management details'!$F$46,
IF(AND(OR(A247&lt;&gt;A246,F247&lt;&gt;F246),F247="Winter wheat"),G247*'BAU Management details'!$F$46,
IF(F247="Oilseed Rape",G247*'BAU Management details'!$F$47)))</f>
        <v>25.495893500000001</v>
      </c>
      <c r="I247" t="s">
        <v>348</v>
      </c>
      <c r="J247">
        <v>10</v>
      </c>
      <c r="K247" t="s">
        <v>532</v>
      </c>
      <c r="L247" t="s">
        <v>751</v>
      </c>
      <c r="M247">
        <v>2.2999999999999998</v>
      </c>
      <c r="N247" t="s">
        <v>349</v>
      </c>
      <c r="O247" t="s">
        <v>742</v>
      </c>
      <c r="P247">
        <v>6.4</v>
      </c>
      <c r="Q247" t="s">
        <v>743</v>
      </c>
      <c r="R247" t="s">
        <v>351</v>
      </c>
      <c r="S247">
        <v>220</v>
      </c>
      <c r="T247" s="47" t="s">
        <v>735</v>
      </c>
      <c r="U247" t="s">
        <v>368</v>
      </c>
      <c r="V247" t="s">
        <v>364</v>
      </c>
      <c r="W247" s="47" t="s">
        <v>736</v>
      </c>
      <c r="X247" s="47">
        <v>0</v>
      </c>
      <c r="Y247" s="47" t="s">
        <v>736</v>
      </c>
      <c r="Z247" s="47">
        <v>0</v>
      </c>
      <c r="AA247" s="47" t="s">
        <v>736</v>
      </c>
      <c r="AB247" s="47">
        <v>0</v>
      </c>
      <c r="AC247" s="47">
        <v>0</v>
      </c>
      <c r="AD247" s="47">
        <v>0</v>
      </c>
      <c r="AE247" s="47" t="s">
        <v>731</v>
      </c>
      <c r="AF247" s="47">
        <v>0</v>
      </c>
      <c r="AG247" s="47" t="s">
        <v>731</v>
      </c>
      <c r="AH247" s="47">
        <v>0</v>
      </c>
      <c r="AI247" s="47" t="s">
        <v>735</v>
      </c>
      <c r="AJ247">
        <v>1</v>
      </c>
      <c r="AK247">
        <v>100</v>
      </c>
    </row>
    <row r="248" spans="1:37" x14ac:dyDescent="0.2">
      <c r="A248" t="s">
        <v>1024</v>
      </c>
      <c r="B248" t="s">
        <v>361</v>
      </c>
      <c r="C248">
        <v>2016</v>
      </c>
      <c r="D248">
        <v>1</v>
      </c>
      <c r="E248" t="s">
        <v>1025</v>
      </c>
      <c r="F248" t="s">
        <v>362</v>
      </c>
      <c r="G248">
        <v>6.4233390000000004</v>
      </c>
      <c r="H248" s="20">
        <f>IF(AND(A248=A247,F248=F247,F248="Winter wheat"),G248*0.9*'BAU Management details'!$F$46,
IF(AND(OR(A248&lt;&gt;A247,F248&lt;&gt;F247),F248="Winter wheat"),G248*'BAU Management details'!$F$46,
IF(F248="Oilseed Rape",G248*'BAU Management details'!$F$47)))</f>
        <v>55.240715399999999</v>
      </c>
      <c r="I248" t="s">
        <v>348</v>
      </c>
      <c r="J248">
        <v>10</v>
      </c>
      <c r="K248" t="s">
        <v>362</v>
      </c>
      <c r="L248" t="s">
        <v>751</v>
      </c>
      <c r="M248">
        <v>2.5</v>
      </c>
      <c r="N248" t="s">
        <v>349</v>
      </c>
      <c r="O248" t="s">
        <v>350</v>
      </c>
      <c r="P248">
        <v>6.5</v>
      </c>
      <c r="Q248" t="s">
        <v>743</v>
      </c>
      <c r="R248" t="s">
        <v>351</v>
      </c>
      <c r="S248">
        <v>220</v>
      </c>
      <c r="T248" s="47" t="s">
        <v>729</v>
      </c>
      <c r="U248" t="s">
        <v>366</v>
      </c>
      <c r="V248" t="s">
        <v>367</v>
      </c>
      <c r="W248" s="47" t="s">
        <v>736</v>
      </c>
      <c r="X248" s="47">
        <v>0</v>
      </c>
      <c r="Y248" s="47" t="s">
        <v>730</v>
      </c>
      <c r="Z248" s="47">
        <v>0</v>
      </c>
      <c r="AA248" s="47" t="s">
        <v>731</v>
      </c>
      <c r="AB248" s="47">
        <v>0</v>
      </c>
      <c r="AC248" s="47" t="s">
        <v>731</v>
      </c>
      <c r="AD248" s="47" t="s">
        <v>731</v>
      </c>
      <c r="AE248" s="47" t="s">
        <v>731</v>
      </c>
      <c r="AF248" s="47">
        <v>0</v>
      </c>
      <c r="AG248" s="47">
        <v>0</v>
      </c>
      <c r="AH248" s="47">
        <v>0</v>
      </c>
      <c r="AI248" s="47" t="s">
        <v>729</v>
      </c>
      <c r="AJ248">
        <v>1</v>
      </c>
      <c r="AK248">
        <v>100</v>
      </c>
    </row>
    <row r="249" spans="1:37" x14ac:dyDescent="0.2">
      <c r="A249" t="s">
        <v>1024</v>
      </c>
      <c r="B249" t="s">
        <v>361</v>
      </c>
      <c r="C249">
        <v>2017</v>
      </c>
      <c r="D249">
        <v>2</v>
      </c>
      <c r="E249" t="s">
        <v>1026</v>
      </c>
      <c r="F249" t="s">
        <v>362</v>
      </c>
      <c r="G249">
        <v>6.4233390000000004</v>
      </c>
      <c r="H249" s="20">
        <f>IF(AND(A249=A248,F249=F248,F249="Winter wheat"),G249*0.9*'BAU Management details'!$F$46,
IF(AND(OR(A249&lt;&gt;A248,F249&lt;&gt;F248),F249="Winter wheat"),G249*'BAU Management details'!$F$46,
IF(F249="Oilseed Rape",G249*'BAU Management details'!$F$47)))</f>
        <v>49.716643860000005</v>
      </c>
      <c r="I249" t="s">
        <v>348</v>
      </c>
      <c r="J249">
        <v>10</v>
      </c>
      <c r="K249" t="s">
        <v>362</v>
      </c>
      <c r="L249" t="s">
        <v>751</v>
      </c>
      <c r="M249">
        <v>2.5</v>
      </c>
      <c r="N249" t="s">
        <v>349</v>
      </c>
      <c r="O249" t="s">
        <v>350</v>
      </c>
      <c r="P249">
        <v>6.5</v>
      </c>
      <c r="Q249" t="s">
        <v>743</v>
      </c>
      <c r="R249" t="s">
        <v>351</v>
      </c>
      <c r="S249">
        <v>220</v>
      </c>
      <c r="T249" s="47" t="s">
        <v>729</v>
      </c>
      <c r="U249" t="s">
        <v>733</v>
      </c>
      <c r="V249" t="s">
        <v>369</v>
      </c>
      <c r="W249" s="47" t="s">
        <v>736</v>
      </c>
      <c r="X249" s="47">
        <v>0</v>
      </c>
      <c r="Y249" s="47" t="s">
        <v>730</v>
      </c>
      <c r="Z249" s="47">
        <v>0</v>
      </c>
      <c r="AA249" s="47" t="s">
        <v>731</v>
      </c>
      <c r="AB249" s="47">
        <v>0</v>
      </c>
      <c r="AC249" s="47">
        <v>0</v>
      </c>
      <c r="AD249" s="47">
        <v>0</v>
      </c>
      <c r="AE249" s="47" t="s">
        <v>731</v>
      </c>
      <c r="AF249" s="47">
        <v>0</v>
      </c>
      <c r="AG249" s="47">
        <v>0</v>
      </c>
      <c r="AH249" s="47">
        <v>0</v>
      </c>
      <c r="AI249" s="47" t="s">
        <v>729</v>
      </c>
      <c r="AJ249">
        <v>1</v>
      </c>
      <c r="AK249">
        <v>100</v>
      </c>
    </row>
    <row r="250" spans="1:37" x14ac:dyDescent="0.2">
      <c r="A250" t="s">
        <v>1024</v>
      </c>
      <c r="B250" t="s">
        <v>361</v>
      </c>
      <c r="C250">
        <v>2018</v>
      </c>
      <c r="D250">
        <v>3</v>
      </c>
      <c r="E250" t="s">
        <v>1027</v>
      </c>
      <c r="F250" t="s">
        <v>365</v>
      </c>
      <c r="G250">
        <v>6.4233390000000004</v>
      </c>
      <c r="H250" s="20">
        <f>IF(AND(A250=A249,F250=F249,F250="Winter wheat"),G250*0.9*'BAU Management details'!$F$46,
IF(AND(OR(A250&lt;&gt;A249,F250&lt;&gt;F249),F250="Winter wheat"),G250*'BAU Management details'!$F$46,
IF(F250="Oilseed Rape",G250*'BAU Management details'!$F$47)))</f>
        <v>22.481686500000002</v>
      </c>
      <c r="I250" t="s">
        <v>348</v>
      </c>
      <c r="J250">
        <v>10</v>
      </c>
      <c r="K250" t="s">
        <v>532</v>
      </c>
      <c r="L250" t="s">
        <v>751</v>
      </c>
      <c r="M250">
        <v>2.5</v>
      </c>
      <c r="N250" t="s">
        <v>349</v>
      </c>
      <c r="O250" t="s">
        <v>350</v>
      </c>
      <c r="P250">
        <v>6.5</v>
      </c>
      <c r="Q250" t="s">
        <v>743</v>
      </c>
      <c r="R250" t="s">
        <v>351</v>
      </c>
      <c r="S250">
        <v>220</v>
      </c>
      <c r="T250" s="47" t="s">
        <v>735</v>
      </c>
      <c r="U250" t="s">
        <v>368</v>
      </c>
      <c r="V250" t="s">
        <v>364</v>
      </c>
      <c r="W250" s="47" t="s">
        <v>736</v>
      </c>
      <c r="X250" s="47">
        <v>0</v>
      </c>
      <c r="Y250" s="47" t="s">
        <v>736</v>
      </c>
      <c r="Z250" s="47">
        <v>0</v>
      </c>
      <c r="AA250" s="47" t="s">
        <v>736</v>
      </c>
      <c r="AB250" s="47">
        <v>0</v>
      </c>
      <c r="AC250" s="47">
        <v>0</v>
      </c>
      <c r="AD250" s="47">
        <v>0</v>
      </c>
      <c r="AE250" s="47" t="s">
        <v>731</v>
      </c>
      <c r="AF250" s="47">
        <v>0</v>
      </c>
      <c r="AG250" s="47" t="s">
        <v>731</v>
      </c>
      <c r="AH250" s="47">
        <v>0</v>
      </c>
      <c r="AI250" s="47" t="s">
        <v>735</v>
      </c>
      <c r="AJ250">
        <v>1</v>
      </c>
      <c r="AK250">
        <v>100</v>
      </c>
    </row>
    <row r="251" spans="1:37" x14ac:dyDescent="0.2">
      <c r="A251" t="s">
        <v>1024</v>
      </c>
      <c r="B251" t="s">
        <v>361</v>
      </c>
      <c r="C251">
        <v>2019</v>
      </c>
      <c r="D251">
        <v>4</v>
      </c>
      <c r="E251" t="s">
        <v>1028</v>
      </c>
      <c r="F251" t="s">
        <v>362</v>
      </c>
      <c r="G251">
        <v>6.4233390000000004</v>
      </c>
      <c r="H251" s="20">
        <f>IF(AND(A251=A250,F251=F250,F251="Winter wheat"),G251*0.9*'BAU Management details'!$F$46,
IF(AND(OR(A251&lt;&gt;A250,F251&lt;&gt;F250),F251="Winter wheat"),G251*'BAU Management details'!$F$46,
IF(F251="Oilseed Rape",G251*'BAU Management details'!$F$47)))</f>
        <v>55.240715399999999</v>
      </c>
      <c r="I251" t="s">
        <v>348</v>
      </c>
      <c r="J251">
        <v>10</v>
      </c>
      <c r="K251" t="s">
        <v>362</v>
      </c>
      <c r="L251" t="s">
        <v>751</v>
      </c>
      <c r="M251">
        <v>2.5</v>
      </c>
      <c r="N251" t="s">
        <v>349</v>
      </c>
      <c r="O251" t="s">
        <v>350</v>
      </c>
      <c r="P251">
        <v>6.5</v>
      </c>
      <c r="Q251" t="s">
        <v>743</v>
      </c>
      <c r="R251" t="s">
        <v>351</v>
      </c>
      <c r="S251">
        <v>220</v>
      </c>
      <c r="T251" s="47" t="s">
        <v>729</v>
      </c>
      <c r="U251" t="s">
        <v>366</v>
      </c>
      <c r="V251" t="s">
        <v>367</v>
      </c>
      <c r="W251" s="47" t="s">
        <v>736</v>
      </c>
      <c r="X251" s="47">
        <v>0</v>
      </c>
      <c r="Y251" s="47" t="s">
        <v>730</v>
      </c>
      <c r="Z251" s="47">
        <v>0</v>
      </c>
      <c r="AA251" s="47" t="s">
        <v>731</v>
      </c>
      <c r="AB251" s="47">
        <v>0</v>
      </c>
      <c r="AC251" s="47" t="s">
        <v>731</v>
      </c>
      <c r="AD251" s="47" t="s">
        <v>731</v>
      </c>
      <c r="AE251" s="47" t="s">
        <v>731</v>
      </c>
      <c r="AF251" s="47">
        <v>0</v>
      </c>
      <c r="AG251" s="47">
        <v>0</v>
      </c>
      <c r="AH251" s="47">
        <v>0</v>
      </c>
      <c r="AI251" s="47" t="s">
        <v>729</v>
      </c>
      <c r="AJ251">
        <v>1</v>
      </c>
      <c r="AK251">
        <v>100</v>
      </c>
    </row>
    <row r="252" spans="1:37" x14ac:dyDescent="0.2">
      <c r="A252" t="s">
        <v>1024</v>
      </c>
      <c r="B252" t="s">
        <v>361</v>
      </c>
      <c r="C252">
        <v>2020</v>
      </c>
      <c r="D252">
        <v>5</v>
      </c>
      <c r="E252" t="s">
        <v>1029</v>
      </c>
      <c r="F252" t="s">
        <v>362</v>
      </c>
      <c r="G252">
        <v>6.4233390000000004</v>
      </c>
      <c r="H252" s="20">
        <f>IF(AND(A252=A251,F252=F251,F252="Winter wheat"),G252*0.9*'BAU Management details'!$F$46,
IF(AND(OR(A252&lt;&gt;A251,F252&lt;&gt;F251),F252="Winter wheat"),G252*'BAU Management details'!$F$46,
IF(F252="Oilseed Rape",G252*'BAU Management details'!$F$47)))</f>
        <v>49.716643860000005</v>
      </c>
      <c r="I252" t="s">
        <v>348</v>
      </c>
      <c r="J252">
        <v>10</v>
      </c>
      <c r="K252" t="s">
        <v>362</v>
      </c>
      <c r="L252" t="s">
        <v>751</v>
      </c>
      <c r="M252">
        <v>2.5</v>
      </c>
      <c r="N252" t="s">
        <v>349</v>
      </c>
      <c r="O252" t="s">
        <v>350</v>
      </c>
      <c r="P252">
        <v>6.5</v>
      </c>
      <c r="Q252" t="s">
        <v>743</v>
      </c>
      <c r="R252" t="s">
        <v>351</v>
      </c>
      <c r="S252">
        <v>220</v>
      </c>
      <c r="T252" s="47" t="s">
        <v>729</v>
      </c>
      <c r="U252" t="s">
        <v>733</v>
      </c>
      <c r="V252" t="s">
        <v>369</v>
      </c>
      <c r="W252" s="47" t="s">
        <v>736</v>
      </c>
      <c r="X252" s="47">
        <v>0</v>
      </c>
      <c r="Y252" s="47" t="s">
        <v>730</v>
      </c>
      <c r="Z252" s="47">
        <v>0</v>
      </c>
      <c r="AA252" s="47" t="s">
        <v>731</v>
      </c>
      <c r="AB252" s="47">
        <v>0</v>
      </c>
      <c r="AC252" s="47">
        <v>0</v>
      </c>
      <c r="AD252" s="47">
        <v>0</v>
      </c>
      <c r="AE252" s="47" t="s">
        <v>731</v>
      </c>
      <c r="AF252" s="47">
        <v>0</v>
      </c>
      <c r="AG252" s="47">
        <v>0</v>
      </c>
      <c r="AH252" s="47">
        <v>0</v>
      </c>
      <c r="AI252" s="47" t="s">
        <v>729</v>
      </c>
      <c r="AJ252">
        <v>1</v>
      </c>
      <c r="AK252">
        <v>100</v>
      </c>
    </row>
    <row r="253" spans="1:37" x14ac:dyDescent="0.2">
      <c r="A253" t="s">
        <v>1024</v>
      </c>
      <c r="B253" t="s">
        <v>361</v>
      </c>
      <c r="C253">
        <v>2021</v>
      </c>
      <c r="D253">
        <v>6</v>
      </c>
      <c r="E253" t="s">
        <v>1030</v>
      </c>
      <c r="F253" t="s">
        <v>365</v>
      </c>
      <c r="G253">
        <v>6.4233390000000004</v>
      </c>
      <c r="H253" s="20">
        <f>IF(AND(A253=A252,F253=F252,F253="Winter wheat"),G253*0.9*'BAU Management details'!$F$46,
IF(AND(OR(A253&lt;&gt;A252,F253&lt;&gt;F252),F253="Winter wheat"),G253*'BAU Management details'!$F$46,
IF(F253="Oilseed Rape",G253*'BAU Management details'!$F$47)))</f>
        <v>22.481686500000002</v>
      </c>
      <c r="I253" t="s">
        <v>348</v>
      </c>
      <c r="J253">
        <v>10</v>
      </c>
      <c r="K253" t="s">
        <v>532</v>
      </c>
      <c r="L253" t="s">
        <v>751</v>
      </c>
      <c r="M253">
        <v>2.5</v>
      </c>
      <c r="N253" t="s">
        <v>349</v>
      </c>
      <c r="O253" t="s">
        <v>350</v>
      </c>
      <c r="P253">
        <v>6.5</v>
      </c>
      <c r="Q253" t="s">
        <v>743</v>
      </c>
      <c r="R253" t="s">
        <v>351</v>
      </c>
      <c r="S253">
        <v>220</v>
      </c>
      <c r="T253" s="47" t="s">
        <v>735</v>
      </c>
      <c r="U253" t="s">
        <v>368</v>
      </c>
      <c r="V253" t="s">
        <v>364</v>
      </c>
      <c r="W253" s="47" t="s">
        <v>736</v>
      </c>
      <c r="X253" s="47">
        <v>0</v>
      </c>
      <c r="Y253" s="47" t="s">
        <v>736</v>
      </c>
      <c r="Z253" s="47">
        <v>0</v>
      </c>
      <c r="AA253" s="47" t="s">
        <v>736</v>
      </c>
      <c r="AB253" s="47">
        <v>0</v>
      </c>
      <c r="AC253" s="47">
        <v>0</v>
      </c>
      <c r="AD253" s="47">
        <v>0</v>
      </c>
      <c r="AE253" s="47" t="s">
        <v>731</v>
      </c>
      <c r="AF253" s="47">
        <v>0</v>
      </c>
      <c r="AG253" s="47" t="s">
        <v>731</v>
      </c>
      <c r="AH253" s="47">
        <v>0</v>
      </c>
      <c r="AI253" s="47" t="s">
        <v>735</v>
      </c>
      <c r="AJ253">
        <v>1</v>
      </c>
      <c r="AK253">
        <v>100</v>
      </c>
    </row>
    <row r="254" spans="1:37" x14ac:dyDescent="0.2">
      <c r="A254" t="s">
        <v>1031</v>
      </c>
      <c r="B254" t="s">
        <v>361</v>
      </c>
      <c r="C254">
        <v>2016</v>
      </c>
      <c r="D254">
        <v>1</v>
      </c>
      <c r="E254" t="s">
        <v>1032</v>
      </c>
      <c r="F254" t="s">
        <v>362</v>
      </c>
      <c r="G254">
        <v>10.863674</v>
      </c>
      <c r="H254" s="20">
        <f>IF(AND(A254=A253,F254=F253,F254="Winter wheat"),G254*0.9*'BAU Management details'!$F$46,
IF(AND(OR(A254&lt;&gt;A253,F254&lt;&gt;F253),F254="Winter wheat"),G254*'BAU Management details'!$F$46,
IF(F254="Oilseed Rape",G254*'BAU Management details'!$F$47)))</f>
        <v>93.427596399999999</v>
      </c>
      <c r="I254" t="s">
        <v>348</v>
      </c>
      <c r="J254">
        <v>10</v>
      </c>
      <c r="K254" t="s">
        <v>362</v>
      </c>
      <c r="L254" t="s">
        <v>751</v>
      </c>
      <c r="M254">
        <v>2.9</v>
      </c>
      <c r="N254" t="s">
        <v>349</v>
      </c>
      <c r="O254" t="s">
        <v>350</v>
      </c>
      <c r="P254">
        <v>7.7</v>
      </c>
      <c r="Q254" t="s">
        <v>728</v>
      </c>
      <c r="R254" t="s">
        <v>351</v>
      </c>
      <c r="S254">
        <v>220</v>
      </c>
      <c r="T254" s="47" t="s">
        <v>729</v>
      </c>
      <c r="U254" t="s">
        <v>366</v>
      </c>
      <c r="V254" t="s">
        <v>367</v>
      </c>
      <c r="W254" s="47" t="s">
        <v>736</v>
      </c>
      <c r="X254" s="47">
        <v>0</v>
      </c>
      <c r="Y254" s="47" t="s">
        <v>730</v>
      </c>
      <c r="Z254" s="47">
        <v>0</v>
      </c>
      <c r="AA254" s="47" t="s">
        <v>731</v>
      </c>
      <c r="AB254" s="47">
        <v>0</v>
      </c>
      <c r="AC254" s="47" t="s">
        <v>731</v>
      </c>
      <c r="AD254" s="47" t="s">
        <v>731</v>
      </c>
      <c r="AE254" s="47" t="s">
        <v>731</v>
      </c>
      <c r="AF254" s="47">
        <v>0</v>
      </c>
      <c r="AG254" s="47">
        <v>0</v>
      </c>
      <c r="AH254" s="47">
        <v>0</v>
      </c>
      <c r="AI254" s="47" t="s">
        <v>729</v>
      </c>
      <c r="AJ254">
        <v>1</v>
      </c>
      <c r="AK254">
        <v>100</v>
      </c>
    </row>
    <row r="255" spans="1:37" x14ac:dyDescent="0.2">
      <c r="A255" t="s">
        <v>1031</v>
      </c>
      <c r="B255" t="s">
        <v>361</v>
      </c>
      <c r="C255">
        <v>2017</v>
      </c>
      <c r="D255">
        <v>2</v>
      </c>
      <c r="E255" t="s">
        <v>1033</v>
      </c>
      <c r="F255" t="s">
        <v>362</v>
      </c>
      <c r="G255">
        <v>10.863674</v>
      </c>
      <c r="H255" s="20">
        <f>IF(AND(A255=A254,F255=F254,F255="Winter wheat"),G255*0.9*'BAU Management details'!$F$46,
IF(AND(OR(A255&lt;&gt;A254,F255&lt;&gt;F254),F255="Winter wheat"),G255*'BAU Management details'!$F$46,
IF(F255="Oilseed Rape",G255*'BAU Management details'!$F$47)))</f>
        <v>84.084836759999988</v>
      </c>
      <c r="I255" t="s">
        <v>348</v>
      </c>
      <c r="J255">
        <v>10</v>
      </c>
      <c r="K255" t="s">
        <v>362</v>
      </c>
      <c r="L255" t="s">
        <v>751</v>
      </c>
      <c r="M255">
        <v>2.9</v>
      </c>
      <c r="N255" t="s">
        <v>349</v>
      </c>
      <c r="O255" t="s">
        <v>350</v>
      </c>
      <c r="P255">
        <v>7.7</v>
      </c>
      <c r="Q255" t="s">
        <v>728</v>
      </c>
      <c r="R255" t="s">
        <v>351</v>
      </c>
      <c r="S255">
        <v>220</v>
      </c>
      <c r="T255" s="47" t="s">
        <v>729</v>
      </c>
      <c r="U255" t="s">
        <v>733</v>
      </c>
      <c r="V255" t="s">
        <v>369</v>
      </c>
      <c r="W255" s="47" t="s">
        <v>736</v>
      </c>
      <c r="X255" s="47">
        <v>0</v>
      </c>
      <c r="Y255" s="47" t="s">
        <v>730</v>
      </c>
      <c r="Z255" s="47">
        <v>0</v>
      </c>
      <c r="AA255" s="47" t="s">
        <v>731</v>
      </c>
      <c r="AB255" s="47">
        <v>0</v>
      </c>
      <c r="AC255" s="47">
        <v>0</v>
      </c>
      <c r="AD255" s="47">
        <v>0</v>
      </c>
      <c r="AE255" s="47" t="s">
        <v>731</v>
      </c>
      <c r="AF255" s="47">
        <v>0</v>
      </c>
      <c r="AG255" s="47">
        <v>0</v>
      </c>
      <c r="AH255" s="47">
        <v>0</v>
      </c>
      <c r="AI255" s="47" t="s">
        <v>729</v>
      </c>
      <c r="AJ255">
        <v>1</v>
      </c>
      <c r="AK255">
        <v>100</v>
      </c>
    </row>
    <row r="256" spans="1:37" x14ac:dyDescent="0.2">
      <c r="A256" t="s">
        <v>1031</v>
      </c>
      <c r="B256" t="s">
        <v>361</v>
      </c>
      <c r="C256">
        <v>2018</v>
      </c>
      <c r="D256">
        <v>3</v>
      </c>
      <c r="E256" t="s">
        <v>1034</v>
      </c>
      <c r="F256" t="s">
        <v>365</v>
      </c>
      <c r="G256">
        <v>10.863674</v>
      </c>
      <c r="H256" s="20">
        <f>IF(AND(A256=A255,F256=F255,F256="Winter wheat"),G256*0.9*'BAU Management details'!$F$46,
IF(AND(OR(A256&lt;&gt;A255,F256&lt;&gt;F255),F256="Winter wheat"),G256*'BAU Management details'!$F$46,
IF(F256="Oilseed Rape",G256*'BAU Management details'!$F$47)))</f>
        <v>38.022858999999997</v>
      </c>
      <c r="I256" t="s">
        <v>348</v>
      </c>
      <c r="J256">
        <v>10</v>
      </c>
      <c r="K256" t="s">
        <v>532</v>
      </c>
      <c r="L256" t="s">
        <v>751</v>
      </c>
      <c r="M256">
        <v>2.9</v>
      </c>
      <c r="N256" t="s">
        <v>349</v>
      </c>
      <c r="O256" t="s">
        <v>350</v>
      </c>
      <c r="P256">
        <v>7.7</v>
      </c>
      <c r="Q256" t="s">
        <v>728</v>
      </c>
      <c r="R256" t="s">
        <v>351</v>
      </c>
      <c r="S256">
        <v>220</v>
      </c>
      <c r="T256" s="47" t="s">
        <v>735</v>
      </c>
      <c r="U256" t="s">
        <v>368</v>
      </c>
      <c r="V256" t="s">
        <v>364</v>
      </c>
      <c r="W256" s="47" t="s">
        <v>736</v>
      </c>
      <c r="X256" s="47">
        <v>0</v>
      </c>
      <c r="Y256" s="47" t="s">
        <v>736</v>
      </c>
      <c r="Z256" s="47">
        <v>0</v>
      </c>
      <c r="AA256" s="47" t="s">
        <v>736</v>
      </c>
      <c r="AB256" s="47">
        <v>0</v>
      </c>
      <c r="AC256" s="47">
        <v>0</v>
      </c>
      <c r="AD256" s="47">
        <v>0</v>
      </c>
      <c r="AE256" s="47" t="s">
        <v>731</v>
      </c>
      <c r="AF256" s="47">
        <v>0</v>
      </c>
      <c r="AG256" s="47" t="s">
        <v>731</v>
      </c>
      <c r="AH256" s="47">
        <v>0</v>
      </c>
      <c r="AI256" s="47" t="s">
        <v>735</v>
      </c>
      <c r="AJ256">
        <v>1</v>
      </c>
      <c r="AK256">
        <v>100</v>
      </c>
    </row>
    <row r="257" spans="1:37" x14ac:dyDescent="0.2">
      <c r="A257" t="s">
        <v>1031</v>
      </c>
      <c r="B257" t="s">
        <v>361</v>
      </c>
      <c r="C257">
        <v>2019</v>
      </c>
      <c r="D257">
        <v>4</v>
      </c>
      <c r="E257" t="s">
        <v>1035</v>
      </c>
      <c r="F257" t="s">
        <v>362</v>
      </c>
      <c r="G257">
        <v>10.863674</v>
      </c>
      <c r="H257" s="20">
        <f>IF(AND(A257=A256,F257=F256,F257="Winter wheat"),G257*0.9*'BAU Management details'!$F$46,
IF(AND(OR(A257&lt;&gt;A256,F257&lt;&gt;F256),F257="Winter wheat"),G257*'BAU Management details'!$F$46,
IF(F257="Oilseed Rape",G257*'BAU Management details'!$F$47)))</f>
        <v>93.427596399999999</v>
      </c>
      <c r="I257" t="s">
        <v>348</v>
      </c>
      <c r="J257">
        <v>10</v>
      </c>
      <c r="K257" t="s">
        <v>362</v>
      </c>
      <c r="L257" t="s">
        <v>751</v>
      </c>
      <c r="M257">
        <v>2.9</v>
      </c>
      <c r="N257" t="s">
        <v>349</v>
      </c>
      <c r="O257" t="s">
        <v>350</v>
      </c>
      <c r="P257">
        <v>7.7</v>
      </c>
      <c r="Q257" t="s">
        <v>728</v>
      </c>
      <c r="R257" t="s">
        <v>351</v>
      </c>
      <c r="S257">
        <v>220</v>
      </c>
      <c r="T257" s="47" t="s">
        <v>729</v>
      </c>
      <c r="U257" t="s">
        <v>366</v>
      </c>
      <c r="V257" t="s">
        <v>367</v>
      </c>
      <c r="W257" s="47" t="s">
        <v>736</v>
      </c>
      <c r="X257" s="47">
        <v>0</v>
      </c>
      <c r="Y257" s="47" t="s">
        <v>730</v>
      </c>
      <c r="Z257" s="47">
        <v>0</v>
      </c>
      <c r="AA257" s="47" t="s">
        <v>731</v>
      </c>
      <c r="AB257" s="47">
        <v>0</v>
      </c>
      <c r="AC257" s="47" t="s">
        <v>731</v>
      </c>
      <c r="AD257" s="47" t="s">
        <v>731</v>
      </c>
      <c r="AE257" s="47" t="s">
        <v>731</v>
      </c>
      <c r="AF257" s="47">
        <v>0</v>
      </c>
      <c r="AG257" s="47">
        <v>0</v>
      </c>
      <c r="AH257" s="47">
        <v>0</v>
      </c>
      <c r="AI257" s="47" t="s">
        <v>729</v>
      </c>
      <c r="AJ257">
        <v>1</v>
      </c>
      <c r="AK257">
        <v>100</v>
      </c>
    </row>
    <row r="258" spans="1:37" x14ac:dyDescent="0.2">
      <c r="A258" t="s">
        <v>1031</v>
      </c>
      <c r="B258" t="s">
        <v>361</v>
      </c>
      <c r="C258">
        <v>2020</v>
      </c>
      <c r="D258">
        <v>5</v>
      </c>
      <c r="E258" t="s">
        <v>1036</v>
      </c>
      <c r="F258" t="s">
        <v>362</v>
      </c>
      <c r="G258">
        <v>10.863674</v>
      </c>
      <c r="H258" s="20">
        <f>IF(AND(A258=A257,F258=F257,F258="Winter wheat"),G258*0.9*'BAU Management details'!$F$46,
IF(AND(OR(A258&lt;&gt;A257,F258&lt;&gt;F257),F258="Winter wheat"),G258*'BAU Management details'!$F$46,
IF(F258="Oilseed Rape",G258*'BAU Management details'!$F$47)))</f>
        <v>84.084836759999988</v>
      </c>
      <c r="I258" t="s">
        <v>348</v>
      </c>
      <c r="J258">
        <v>10</v>
      </c>
      <c r="K258" t="s">
        <v>362</v>
      </c>
      <c r="L258" t="s">
        <v>751</v>
      </c>
      <c r="M258">
        <v>2.9</v>
      </c>
      <c r="N258" t="s">
        <v>349</v>
      </c>
      <c r="O258" t="s">
        <v>350</v>
      </c>
      <c r="P258">
        <v>7.7</v>
      </c>
      <c r="Q258" t="s">
        <v>728</v>
      </c>
      <c r="R258" t="s">
        <v>351</v>
      </c>
      <c r="S258">
        <v>220</v>
      </c>
      <c r="T258" s="47" t="s">
        <v>729</v>
      </c>
      <c r="U258" t="s">
        <v>733</v>
      </c>
      <c r="V258" t="s">
        <v>369</v>
      </c>
      <c r="W258" s="47" t="s">
        <v>736</v>
      </c>
      <c r="X258" s="47">
        <v>0</v>
      </c>
      <c r="Y258" s="47" t="s">
        <v>730</v>
      </c>
      <c r="Z258" s="47">
        <v>0</v>
      </c>
      <c r="AA258" s="47" t="s">
        <v>731</v>
      </c>
      <c r="AB258" s="47">
        <v>0</v>
      </c>
      <c r="AC258" s="47">
        <v>0</v>
      </c>
      <c r="AD258" s="47">
        <v>0</v>
      </c>
      <c r="AE258" s="47" t="s">
        <v>731</v>
      </c>
      <c r="AF258" s="47">
        <v>0</v>
      </c>
      <c r="AG258" s="47">
        <v>0</v>
      </c>
      <c r="AH258" s="47">
        <v>0</v>
      </c>
      <c r="AI258" s="47" t="s">
        <v>729</v>
      </c>
      <c r="AJ258">
        <v>1</v>
      </c>
      <c r="AK258">
        <v>100</v>
      </c>
    </row>
    <row r="259" spans="1:37" x14ac:dyDescent="0.2">
      <c r="A259" t="s">
        <v>1031</v>
      </c>
      <c r="B259" t="s">
        <v>361</v>
      </c>
      <c r="C259">
        <v>2021</v>
      </c>
      <c r="D259">
        <v>6</v>
      </c>
      <c r="E259" t="s">
        <v>1037</v>
      </c>
      <c r="F259" t="s">
        <v>365</v>
      </c>
      <c r="G259">
        <v>10.863674</v>
      </c>
      <c r="H259" s="20">
        <f>IF(AND(A259=A258,F259=F258,F259="Winter wheat"),G259*0.9*'BAU Management details'!$F$46,
IF(AND(OR(A259&lt;&gt;A258,F259&lt;&gt;F258),F259="Winter wheat"),G259*'BAU Management details'!$F$46,
IF(F259="Oilseed Rape",G259*'BAU Management details'!$F$47)))</f>
        <v>38.022858999999997</v>
      </c>
      <c r="I259" t="s">
        <v>348</v>
      </c>
      <c r="J259">
        <v>10</v>
      </c>
      <c r="K259" t="s">
        <v>532</v>
      </c>
      <c r="L259" t="s">
        <v>751</v>
      </c>
      <c r="M259">
        <v>2.9</v>
      </c>
      <c r="N259" t="s">
        <v>349</v>
      </c>
      <c r="O259" t="s">
        <v>350</v>
      </c>
      <c r="P259">
        <v>7.7</v>
      </c>
      <c r="Q259" t="s">
        <v>728</v>
      </c>
      <c r="R259" t="s">
        <v>351</v>
      </c>
      <c r="S259">
        <v>220</v>
      </c>
      <c r="T259" s="47" t="s">
        <v>735</v>
      </c>
      <c r="U259" t="s">
        <v>368</v>
      </c>
      <c r="V259" t="s">
        <v>364</v>
      </c>
      <c r="W259" s="47" t="s">
        <v>736</v>
      </c>
      <c r="X259" s="47">
        <v>0</v>
      </c>
      <c r="Y259" s="47" t="s">
        <v>736</v>
      </c>
      <c r="Z259" s="47">
        <v>0</v>
      </c>
      <c r="AA259" s="47" t="s">
        <v>736</v>
      </c>
      <c r="AB259" s="47">
        <v>0</v>
      </c>
      <c r="AC259" s="47">
        <v>0</v>
      </c>
      <c r="AD259" s="47">
        <v>0</v>
      </c>
      <c r="AE259" s="47" t="s">
        <v>731</v>
      </c>
      <c r="AF259" s="47">
        <v>0</v>
      </c>
      <c r="AG259" s="47" t="s">
        <v>731</v>
      </c>
      <c r="AH259" s="47">
        <v>0</v>
      </c>
      <c r="AI259" s="47" t="s">
        <v>735</v>
      </c>
      <c r="AJ259">
        <v>1</v>
      </c>
      <c r="AK259">
        <v>100</v>
      </c>
    </row>
    <row r="260" spans="1:37" x14ac:dyDescent="0.2">
      <c r="A260" t="s">
        <v>1038</v>
      </c>
      <c r="B260" t="s">
        <v>361</v>
      </c>
      <c r="C260">
        <v>2016</v>
      </c>
      <c r="D260">
        <v>1</v>
      </c>
      <c r="E260" t="s">
        <v>1039</v>
      </c>
      <c r="F260" t="s">
        <v>362</v>
      </c>
      <c r="G260">
        <v>8.9783449999999991</v>
      </c>
      <c r="H260" s="20">
        <f>IF(AND(A260=A259,F260=F259,F260="Winter wheat"),G260*0.9*'BAU Management details'!$F$46,
IF(AND(OR(A260&lt;&gt;A259,F260&lt;&gt;F259),F260="Winter wheat"),G260*'BAU Management details'!$F$46,
IF(F260="Oilseed Rape",G260*'BAU Management details'!$F$47)))</f>
        <v>77.21376699999999</v>
      </c>
      <c r="I260" t="s">
        <v>348</v>
      </c>
      <c r="J260">
        <v>10</v>
      </c>
      <c r="K260" t="s">
        <v>362</v>
      </c>
      <c r="L260" t="s">
        <v>727</v>
      </c>
      <c r="M260">
        <v>4.2</v>
      </c>
      <c r="N260" t="s">
        <v>349</v>
      </c>
      <c r="O260" t="s">
        <v>742</v>
      </c>
      <c r="P260">
        <v>7.3</v>
      </c>
      <c r="Q260" t="s">
        <v>743</v>
      </c>
      <c r="R260" t="s">
        <v>351</v>
      </c>
      <c r="S260">
        <v>220</v>
      </c>
      <c r="T260" s="47" t="s">
        <v>729</v>
      </c>
      <c r="U260" t="s">
        <v>366</v>
      </c>
      <c r="V260" t="s">
        <v>364</v>
      </c>
      <c r="W260" s="47" t="s">
        <v>736</v>
      </c>
      <c r="X260" s="47">
        <v>0</v>
      </c>
      <c r="Y260" s="47" t="s">
        <v>730</v>
      </c>
      <c r="Z260" s="47">
        <v>0</v>
      </c>
      <c r="AA260" s="47" t="s">
        <v>731</v>
      </c>
      <c r="AB260" s="47">
        <v>0</v>
      </c>
      <c r="AC260" s="47" t="s">
        <v>731</v>
      </c>
      <c r="AD260" s="47" t="s">
        <v>731</v>
      </c>
      <c r="AE260" s="47" t="s">
        <v>731</v>
      </c>
      <c r="AF260" s="47">
        <v>0</v>
      </c>
      <c r="AG260" s="47">
        <v>0</v>
      </c>
      <c r="AH260" s="47">
        <v>0</v>
      </c>
      <c r="AI260" s="47" t="s">
        <v>729</v>
      </c>
      <c r="AJ260">
        <v>1</v>
      </c>
      <c r="AK260">
        <v>100</v>
      </c>
    </row>
    <row r="261" spans="1:37" x14ac:dyDescent="0.2">
      <c r="A261" t="s">
        <v>1038</v>
      </c>
      <c r="B261" t="s">
        <v>361</v>
      </c>
      <c r="C261">
        <v>2017</v>
      </c>
      <c r="D261">
        <v>2</v>
      </c>
      <c r="E261" t="s">
        <v>1040</v>
      </c>
      <c r="F261" t="s">
        <v>362</v>
      </c>
      <c r="G261">
        <v>8.9783449999999991</v>
      </c>
      <c r="H261" s="20">
        <f>IF(AND(A261=A260,F261=F260,F261="Winter wheat"),G261*0.9*'BAU Management details'!$F$46,
IF(AND(OR(A261&lt;&gt;A260,F261&lt;&gt;F260),F261="Winter wheat"),G261*'BAU Management details'!$F$46,
IF(F261="Oilseed Rape",G261*'BAU Management details'!$F$47)))</f>
        <v>69.492390299999983</v>
      </c>
      <c r="I261" t="s">
        <v>348</v>
      </c>
      <c r="J261">
        <v>10</v>
      </c>
      <c r="K261" t="s">
        <v>362</v>
      </c>
      <c r="L261" t="s">
        <v>727</v>
      </c>
      <c r="M261">
        <v>4.2</v>
      </c>
      <c r="N261" t="s">
        <v>349</v>
      </c>
      <c r="O261" t="s">
        <v>742</v>
      </c>
      <c r="P261">
        <v>7.3</v>
      </c>
      <c r="Q261" t="s">
        <v>743</v>
      </c>
      <c r="R261" t="s">
        <v>351</v>
      </c>
      <c r="S261">
        <v>220</v>
      </c>
      <c r="T261" s="47" t="s">
        <v>729</v>
      </c>
      <c r="U261" t="s">
        <v>733</v>
      </c>
      <c r="V261" t="s">
        <v>364</v>
      </c>
      <c r="W261" s="47" t="s">
        <v>736</v>
      </c>
      <c r="X261" s="47">
        <v>0</v>
      </c>
      <c r="Y261" s="47" t="s">
        <v>730</v>
      </c>
      <c r="Z261" s="47">
        <v>0</v>
      </c>
      <c r="AA261" s="47" t="s">
        <v>731</v>
      </c>
      <c r="AB261" s="47">
        <v>0</v>
      </c>
      <c r="AC261" s="47">
        <v>0</v>
      </c>
      <c r="AD261" s="47">
        <v>0</v>
      </c>
      <c r="AE261" s="47" t="s">
        <v>731</v>
      </c>
      <c r="AF261" s="47">
        <v>0</v>
      </c>
      <c r="AG261" s="47">
        <v>0</v>
      </c>
      <c r="AH261" s="47">
        <v>0</v>
      </c>
      <c r="AI261" s="47" t="s">
        <v>729</v>
      </c>
      <c r="AJ261">
        <v>1</v>
      </c>
      <c r="AK261">
        <v>100</v>
      </c>
    </row>
    <row r="262" spans="1:37" x14ac:dyDescent="0.2">
      <c r="A262" t="s">
        <v>1038</v>
      </c>
      <c r="B262" t="s">
        <v>361</v>
      </c>
      <c r="C262">
        <v>2018</v>
      </c>
      <c r="D262">
        <v>3</v>
      </c>
      <c r="E262" t="s">
        <v>1041</v>
      </c>
      <c r="F262" t="s">
        <v>365</v>
      </c>
      <c r="G262">
        <v>8.9783449999999991</v>
      </c>
      <c r="H262" s="20">
        <f>IF(AND(A262=A261,F262=F261,F262="Winter wheat"),G262*0.9*'BAU Management details'!$F$46,
IF(AND(OR(A262&lt;&gt;A261,F262&lt;&gt;F261),F262="Winter wheat"),G262*'BAU Management details'!$F$46,
IF(F262="Oilseed Rape",G262*'BAU Management details'!$F$47)))</f>
        <v>31.424207499999998</v>
      </c>
      <c r="I262" t="s">
        <v>348</v>
      </c>
      <c r="J262">
        <v>10</v>
      </c>
      <c r="K262" t="s">
        <v>532</v>
      </c>
      <c r="L262" t="s">
        <v>727</v>
      </c>
      <c r="M262">
        <v>4.2</v>
      </c>
      <c r="N262" t="s">
        <v>349</v>
      </c>
      <c r="O262" t="s">
        <v>742</v>
      </c>
      <c r="P262">
        <v>7.3</v>
      </c>
      <c r="Q262" t="s">
        <v>743</v>
      </c>
      <c r="R262" t="s">
        <v>351</v>
      </c>
      <c r="S262">
        <v>220</v>
      </c>
      <c r="T262" s="47" t="s">
        <v>735</v>
      </c>
      <c r="U262" t="s">
        <v>368</v>
      </c>
      <c r="V262" t="s">
        <v>364</v>
      </c>
      <c r="W262" s="47" t="s">
        <v>736</v>
      </c>
      <c r="X262" s="47">
        <v>0</v>
      </c>
      <c r="Y262" s="47" t="s">
        <v>736</v>
      </c>
      <c r="Z262" s="47">
        <v>0</v>
      </c>
      <c r="AA262" s="47" t="s">
        <v>736</v>
      </c>
      <c r="AB262" s="47">
        <v>0</v>
      </c>
      <c r="AC262" s="47">
        <v>0</v>
      </c>
      <c r="AD262" s="47">
        <v>0</v>
      </c>
      <c r="AE262" s="47" t="s">
        <v>731</v>
      </c>
      <c r="AF262" s="47">
        <v>0</v>
      </c>
      <c r="AG262" s="47" t="s">
        <v>731</v>
      </c>
      <c r="AH262" s="47">
        <v>0</v>
      </c>
      <c r="AI262" s="47" t="s">
        <v>735</v>
      </c>
      <c r="AJ262">
        <v>1</v>
      </c>
      <c r="AK262">
        <v>100</v>
      </c>
    </row>
    <row r="263" spans="1:37" x14ac:dyDescent="0.2">
      <c r="A263" t="s">
        <v>1038</v>
      </c>
      <c r="B263" t="s">
        <v>361</v>
      </c>
      <c r="C263">
        <v>2019</v>
      </c>
      <c r="D263">
        <v>4</v>
      </c>
      <c r="E263" t="s">
        <v>1042</v>
      </c>
      <c r="F263" t="s">
        <v>362</v>
      </c>
      <c r="G263">
        <v>8.9783449999999991</v>
      </c>
      <c r="H263" s="20">
        <f>IF(AND(A263=A262,F263=F262,F263="Winter wheat"),G263*0.9*'BAU Management details'!$F$46,
IF(AND(OR(A263&lt;&gt;A262,F263&lt;&gt;F262),F263="Winter wheat"),G263*'BAU Management details'!$F$46,
IF(F263="Oilseed Rape",G263*'BAU Management details'!$F$47)))</f>
        <v>77.21376699999999</v>
      </c>
      <c r="I263" t="s">
        <v>348</v>
      </c>
      <c r="J263">
        <v>10</v>
      </c>
      <c r="K263" t="s">
        <v>362</v>
      </c>
      <c r="L263" t="s">
        <v>727</v>
      </c>
      <c r="M263">
        <v>4.2</v>
      </c>
      <c r="N263" t="s">
        <v>349</v>
      </c>
      <c r="O263" t="s">
        <v>742</v>
      </c>
      <c r="P263">
        <v>7.3</v>
      </c>
      <c r="Q263" t="s">
        <v>743</v>
      </c>
      <c r="R263" t="s">
        <v>351</v>
      </c>
      <c r="S263">
        <v>220</v>
      </c>
      <c r="T263" s="47" t="s">
        <v>729</v>
      </c>
      <c r="U263" t="s">
        <v>366</v>
      </c>
      <c r="V263" t="s">
        <v>364</v>
      </c>
      <c r="W263" s="47" t="s">
        <v>736</v>
      </c>
      <c r="X263" s="47">
        <v>0</v>
      </c>
      <c r="Y263" s="47" t="s">
        <v>730</v>
      </c>
      <c r="Z263" s="47">
        <v>0</v>
      </c>
      <c r="AA263" s="47" t="s">
        <v>731</v>
      </c>
      <c r="AB263" s="47">
        <v>0</v>
      </c>
      <c r="AC263" s="47" t="s">
        <v>731</v>
      </c>
      <c r="AD263" s="47" t="s">
        <v>731</v>
      </c>
      <c r="AE263" s="47" t="s">
        <v>731</v>
      </c>
      <c r="AF263" s="47">
        <v>0</v>
      </c>
      <c r="AG263" s="47">
        <v>0</v>
      </c>
      <c r="AH263" s="47">
        <v>0</v>
      </c>
      <c r="AI263" s="47" t="s">
        <v>729</v>
      </c>
      <c r="AJ263">
        <v>1</v>
      </c>
      <c r="AK263">
        <v>100</v>
      </c>
    </row>
    <row r="264" spans="1:37" x14ac:dyDescent="0.2">
      <c r="A264" t="s">
        <v>1038</v>
      </c>
      <c r="B264" t="s">
        <v>361</v>
      </c>
      <c r="C264">
        <v>2020</v>
      </c>
      <c r="D264">
        <v>5</v>
      </c>
      <c r="E264" t="s">
        <v>1043</v>
      </c>
      <c r="F264" t="s">
        <v>362</v>
      </c>
      <c r="G264">
        <v>8.9783449999999991</v>
      </c>
      <c r="H264" s="20">
        <f>IF(AND(A264=A263,F264=F263,F264="Winter wheat"),G264*0.9*'BAU Management details'!$F$46,
IF(AND(OR(A264&lt;&gt;A263,F264&lt;&gt;F263),F264="Winter wheat"),G264*'BAU Management details'!$F$46,
IF(F264="Oilseed Rape",G264*'BAU Management details'!$F$47)))</f>
        <v>69.492390299999983</v>
      </c>
      <c r="I264" t="s">
        <v>348</v>
      </c>
      <c r="J264">
        <v>10</v>
      </c>
      <c r="K264" t="s">
        <v>362</v>
      </c>
      <c r="L264" t="s">
        <v>727</v>
      </c>
      <c r="M264">
        <v>4.2</v>
      </c>
      <c r="N264" t="s">
        <v>349</v>
      </c>
      <c r="O264" t="s">
        <v>742</v>
      </c>
      <c r="P264">
        <v>7.3</v>
      </c>
      <c r="Q264" t="s">
        <v>743</v>
      </c>
      <c r="R264" t="s">
        <v>351</v>
      </c>
      <c r="S264">
        <v>220</v>
      </c>
      <c r="T264" s="47" t="s">
        <v>729</v>
      </c>
      <c r="U264" t="s">
        <v>733</v>
      </c>
      <c r="V264" t="s">
        <v>364</v>
      </c>
      <c r="W264" s="47" t="s">
        <v>736</v>
      </c>
      <c r="X264" s="47">
        <v>0</v>
      </c>
      <c r="Y264" s="47" t="s">
        <v>730</v>
      </c>
      <c r="Z264" s="47">
        <v>0</v>
      </c>
      <c r="AA264" s="47" t="s">
        <v>731</v>
      </c>
      <c r="AB264" s="47">
        <v>0</v>
      </c>
      <c r="AC264" s="47">
        <v>0</v>
      </c>
      <c r="AD264" s="47">
        <v>0</v>
      </c>
      <c r="AE264" s="47" t="s">
        <v>731</v>
      </c>
      <c r="AF264" s="47">
        <v>0</v>
      </c>
      <c r="AG264" s="47">
        <v>0</v>
      </c>
      <c r="AH264" s="47">
        <v>0</v>
      </c>
      <c r="AI264" s="47" t="s">
        <v>729</v>
      </c>
      <c r="AJ264">
        <v>1</v>
      </c>
      <c r="AK264">
        <v>100</v>
      </c>
    </row>
    <row r="265" spans="1:37" x14ac:dyDescent="0.2">
      <c r="A265" t="s">
        <v>1038</v>
      </c>
      <c r="B265" t="s">
        <v>361</v>
      </c>
      <c r="C265">
        <v>2021</v>
      </c>
      <c r="D265">
        <v>6</v>
      </c>
      <c r="E265" t="s">
        <v>1044</v>
      </c>
      <c r="F265" t="s">
        <v>365</v>
      </c>
      <c r="G265">
        <v>8.9783449999999991</v>
      </c>
      <c r="H265" s="20">
        <f>IF(AND(A265=A264,F265=F264,F265="Winter wheat"),G265*0.9*'BAU Management details'!$F$46,
IF(AND(OR(A265&lt;&gt;A264,F265&lt;&gt;F264),F265="Winter wheat"),G265*'BAU Management details'!$F$46,
IF(F265="Oilseed Rape",G265*'BAU Management details'!$F$47)))</f>
        <v>31.424207499999998</v>
      </c>
      <c r="I265" t="s">
        <v>348</v>
      </c>
      <c r="J265">
        <v>10</v>
      </c>
      <c r="K265" t="s">
        <v>532</v>
      </c>
      <c r="L265" t="s">
        <v>727</v>
      </c>
      <c r="M265">
        <v>4.2</v>
      </c>
      <c r="N265" t="s">
        <v>349</v>
      </c>
      <c r="O265" t="s">
        <v>742</v>
      </c>
      <c r="P265">
        <v>7.3</v>
      </c>
      <c r="Q265" t="s">
        <v>743</v>
      </c>
      <c r="R265" t="s">
        <v>351</v>
      </c>
      <c r="S265">
        <v>220</v>
      </c>
      <c r="T265" s="47" t="s">
        <v>735</v>
      </c>
      <c r="U265" t="s">
        <v>368</v>
      </c>
      <c r="V265" t="s">
        <v>364</v>
      </c>
      <c r="W265" s="47" t="s">
        <v>736</v>
      </c>
      <c r="X265" s="47">
        <v>0</v>
      </c>
      <c r="Y265" s="47" t="s">
        <v>736</v>
      </c>
      <c r="Z265" s="47">
        <v>0</v>
      </c>
      <c r="AA265" s="47" t="s">
        <v>736</v>
      </c>
      <c r="AB265" s="47">
        <v>0</v>
      </c>
      <c r="AC265" s="47">
        <v>0</v>
      </c>
      <c r="AD265" s="47">
        <v>0</v>
      </c>
      <c r="AE265" s="47" t="s">
        <v>731</v>
      </c>
      <c r="AF265" s="47">
        <v>0</v>
      </c>
      <c r="AG265" s="47" t="s">
        <v>731</v>
      </c>
      <c r="AH265" s="47">
        <v>0</v>
      </c>
      <c r="AI265" s="47" t="s">
        <v>735</v>
      </c>
      <c r="AJ265">
        <v>1</v>
      </c>
      <c r="AK265">
        <v>100</v>
      </c>
    </row>
    <row r="266" spans="1:37" x14ac:dyDescent="0.2">
      <c r="A266" t="s">
        <v>1045</v>
      </c>
      <c r="B266" t="s">
        <v>361</v>
      </c>
      <c r="C266">
        <v>2016</v>
      </c>
      <c r="D266">
        <v>1</v>
      </c>
      <c r="E266" t="s">
        <v>1046</v>
      </c>
      <c r="F266" t="s">
        <v>362</v>
      </c>
      <c r="G266">
        <v>9.5059109999999993</v>
      </c>
      <c r="H266" s="20">
        <f>IF(AND(A266=A265,F266=F265,F266="Winter wheat"),G266*0.9*'BAU Management details'!$F$46,
IF(AND(OR(A266&lt;&gt;A265,F266&lt;&gt;F265),F266="Winter wheat"),G266*'BAU Management details'!$F$46,
IF(F266="Oilseed Rape",G266*'BAU Management details'!$F$47)))</f>
        <v>81.75083459999999</v>
      </c>
      <c r="I266" t="s">
        <v>348</v>
      </c>
      <c r="J266">
        <v>10</v>
      </c>
      <c r="K266" t="s">
        <v>362</v>
      </c>
      <c r="L266" t="s">
        <v>727</v>
      </c>
      <c r="M266">
        <v>4.2</v>
      </c>
      <c r="N266" t="s">
        <v>349</v>
      </c>
      <c r="O266" t="s">
        <v>742</v>
      </c>
      <c r="P266">
        <v>7.3</v>
      </c>
      <c r="Q266" t="s">
        <v>743</v>
      </c>
      <c r="R266" t="s">
        <v>351</v>
      </c>
      <c r="S266">
        <v>220</v>
      </c>
      <c r="T266" s="47" t="s">
        <v>729</v>
      </c>
      <c r="U266" t="s">
        <v>366</v>
      </c>
      <c r="V266" t="s">
        <v>364</v>
      </c>
      <c r="W266" s="47" t="s">
        <v>736</v>
      </c>
      <c r="X266" s="47">
        <v>0</v>
      </c>
      <c r="Y266" s="47" t="s">
        <v>730</v>
      </c>
      <c r="Z266" s="47">
        <v>0</v>
      </c>
      <c r="AA266" s="47" t="s">
        <v>731</v>
      </c>
      <c r="AB266" s="47">
        <v>0</v>
      </c>
      <c r="AC266" s="47" t="s">
        <v>731</v>
      </c>
      <c r="AD266" s="47" t="s">
        <v>731</v>
      </c>
      <c r="AE266" s="47" t="s">
        <v>731</v>
      </c>
      <c r="AF266" s="47">
        <v>0</v>
      </c>
      <c r="AG266" s="47">
        <v>0</v>
      </c>
      <c r="AH266" s="47">
        <v>0</v>
      </c>
      <c r="AI266" s="47" t="s">
        <v>729</v>
      </c>
      <c r="AJ266">
        <v>1</v>
      </c>
      <c r="AK266">
        <v>100</v>
      </c>
    </row>
    <row r="267" spans="1:37" x14ac:dyDescent="0.2">
      <c r="A267" t="s">
        <v>1045</v>
      </c>
      <c r="B267" t="s">
        <v>361</v>
      </c>
      <c r="C267">
        <v>2017</v>
      </c>
      <c r="D267">
        <v>2</v>
      </c>
      <c r="E267" t="s">
        <v>1047</v>
      </c>
      <c r="F267" t="s">
        <v>362</v>
      </c>
      <c r="G267">
        <v>9.5059109999999993</v>
      </c>
      <c r="H267" s="20">
        <f>IF(AND(A267=A266,F267=F266,F267="Winter wheat"),G267*0.9*'BAU Management details'!$F$46,
IF(AND(OR(A267&lt;&gt;A266,F267&lt;&gt;F266),F267="Winter wheat"),G267*'BAU Management details'!$F$46,
IF(F267="Oilseed Rape",G267*'BAU Management details'!$F$47)))</f>
        <v>73.575751139999994</v>
      </c>
      <c r="I267" t="s">
        <v>348</v>
      </c>
      <c r="J267">
        <v>10</v>
      </c>
      <c r="K267" t="s">
        <v>362</v>
      </c>
      <c r="L267" t="s">
        <v>727</v>
      </c>
      <c r="M267">
        <v>4.2</v>
      </c>
      <c r="N267" t="s">
        <v>349</v>
      </c>
      <c r="O267" t="s">
        <v>742</v>
      </c>
      <c r="P267">
        <v>7.3</v>
      </c>
      <c r="Q267" t="s">
        <v>743</v>
      </c>
      <c r="R267" t="s">
        <v>351</v>
      </c>
      <c r="S267">
        <v>220</v>
      </c>
      <c r="T267" s="47" t="s">
        <v>729</v>
      </c>
      <c r="U267" t="s">
        <v>733</v>
      </c>
      <c r="V267" t="s">
        <v>364</v>
      </c>
      <c r="W267" s="47" t="s">
        <v>736</v>
      </c>
      <c r="X267" s="47">
        <v>0</v>
      </c>
      <c r="Y267" s="47" t="s">
        <v>730</v>
      </c>
      <c r="Z267" s="47">
        <v>0</v>
      </c>
      <c r="AA267" s="47" t="s">
        <v>731</v>
      </c>
      <c r="AB267" s="47">
        <v>0</v>
      </c>
      <c r="AC267" s="47">
        <v>0</v>
      </c>
      <c r="AD267" s="47">
        <v>0</v>
      </c>
      <c r="AE267" s="47" t="s">
        <v>731</v>
      </c>
      <c r="AF267" s="47">
        <v>0</v>
      </c>
      <c r="AG267" s="47">
        <v>0</v>
      </c>
      <c r="AH267" s="47">
        <v>0</v>
      </c>
      <c r="AI267" s="47" t="s">
        <v>729</v>
      </c>
      <c r="AJ267">
        <v>1</v>
      </c>
      <c r="AK267">
        <v>100</v>
      </c>
    </row>
    <row r="268" spans="1:37" x14ac:dyDescent="0.2">
      <c r="A268" t="s">
        <v>1045</v>
      </c>
      <c r="B268" t="s">
        <v>361</v>
      </c>
      <c r="C268">
        <v>2018</v>
      </c>
      <c r="D268">
        <v>3</v>
      </c>
      <c r="E268" t="s">
        <v>1048</v>
      </c>
      <c r="F268" t="s">
        <v>365</v>
      </c>
      <c r="G268">
        <v>9.5059109999999993</v>
      </c>
      <c r="H268" s="20">
        <f>IF(AND(A268=A267,F268=F267,F268="Winter wheat"),G268*0.9*'BAU Management details'!$F$46,
IF(AND(OR(A268&lt;&gt;A267,F268&lt;&gt;F267),F268="Winter wheat"),G268*'BAU Management details'!$F$46,
IF(F268="Oilseed Rape",G268*'BAU Management details'!$F$47)))</f>
        <v>33.270688499999999</v>
      </c>
      <c r="I268" t="s">
        <v>348</v>
      </c>
      <c r="J268">
        <v>10</v>
      </c>
      <c r="K268" t="s">
        <v>532</v>
      </c>
      <c r="L268" t="s">
        <v>727</v>
      </c>
      <c r="M268">
        <v>4.2</v>
      </c>
      <c r="N268" t="s">
        <v>349</v>
      </c>
      <c r="O268" t="s">
        <v>742</v>
      </c>
      <c r="P268">
        <v>7.3</v>
      </c>
      <c r="Q268" t="s">
        <v>743</v>
      </c>
      <c r="R268" t="s">
        <v>351</v>
      </c>
      <c r="S268">
        <v>220</v>
      </c>
      <c r="T268" s="47" t="s">
        <v>735</v>
      </c>
      <c r="U268" t="s">
        <v>368</v>
      </c>
      <c r="V268" t="s">
        <v>364</v>
      </c>
      <c r="W268" s="47" t="s">
        <v>736</v>
      </c>
      <c r="X268" s="47">
        <v>0</v>
      </c>
      <c r="Y268" s="47" t="s">
        <v>736</v>
      </c>
      <c r="Z268" s="47">
        <v>0</v>
      </c>
      <c r="AA268" s="47" t="s">
        <v>736</v>
      </c>
      <c r="AB268" s="47">
        <v>0</v>
      </c>
      <c r="AC268" s="47">
        <v>0</v>
      </c>
      <c r="AD268" s="47">
        <v>0</v>
      </c>
      <c r="AE268" s="47" t="s">
        <v>731</v>
      </c>
      <c r="AF268" s="47">
        <v>0</v>
      </c>
      <c r="AG268" s="47" t="s">
        <v>731</v>
      </c>
      <c r="AH268" s="47">
        <v>0</v>
      </c>
      <c r="AI268" s="47" t="s">
        <v>735</v>
      </c>
      <c r="AJ268">
        <v>1</v>
      </c>
      <c r="AK268">
        <v>100</v>
      </c>
    </row>
    <row r="269" spans="1:37" x14ac:dyDescent="0.2">
      <c r="A269" t="s">
        <v>1045</v>
      </c>
      <c r="B269" t="s">
        <v>361</v>
      </c>
      <c r="C269">
        <v>2019</v>
      </c>
      <c r="D269">
        <v>4</v>
      </c>
      <c r="E269" t="s">
        <v>1049</v>
      </c>
      <c r="F269" t="s">
        <v>362</v>
      </c>
      <c r="G269">
        <v>9.5059109999999993</v>
      </c>
      <c r="H269" s="20">
        <f>IF(AND(A269=A268,F269=F268,F269="Winter wheat"),G269*0.9*'BAU Management details'!$F$46,
IF(AND(OR(A269&lt;&gt;A268,F269&lt;&gt;F268),F269="Winter wheat"),G269*'BAU Management details'!$F$46,
IF(F269="Oilseed Rape",G269*'BAU Management details'!$F$47)))</f>
        <v>81.75083459999999</v>
      </c>
      <c r="I269" t="s">
        <v>348</v>
      </c>
      <c r="J269">
        <v>10</v>
      </c>
      <c r="K269" t="s">
        <v>362</v>
      </c>
      <c r="L269" t="s">
        <v>727</v>
      </c>
      <c r="M269">
        <v>4.2</v>
      </c>
      <c r="N269" t="s">
        <v>349</v>
      </c>
      <c r="O269" t="s">
        <v>742</v>
      </c>
      <c r="P269">
        <v>7.3</v>
      </c>
      <c r="Q269" t="s">
        <v>743</v>
      </c>
      <c r="R269" t="s">
        <v>351</v>
      </c>
      <c r="S269">
        <v>220</v>
      </c>
      <c r="T269" s="47" t="s">
        <v>729</v>
      </c>
      <c r="U269" t="s">
        <v>366</v>
      </c>
      <c r="V269" t="s">
        <v>364</v>
      </c>
      <c r="W269" s="47" t="s">
        <v>736</v>
      </c>
      <c r="X269" s="47">
        <v>0</v>
      </c>
      <c r="Y269" s="47" t="s">
        <v>730</v>
      </c>
      <c r="Z269" s="47">
        <v>0</v>
      </c>
      <c r="AA269" s="47" t="s">
        <v>731</v>
      </c>
      <c r="AB269" s="47">
        <v>0</v>
      </c>
      <c r="AC269" s="47" t="s">
        <v>731</v>
      </c>
      <c r="AD269" s="47" t="s">
        <v>731</v>
      </c>
      <c r="AE269" s="47" t="s">
        <v>731</v>
      </c>
      <c r="AF269" s="47">
        <v>0</v>
      </c>
      <c r="AG269" s="47">
        <v>0</v>
      </c>
      <c r="AH269" s="47">
        <v>0</v>
      </c>
      <c r="AI269" s="47" t="s">
        <v>729</v>
      </c>
      <c r="AJ269">
        <v>1</v>
      </c>
      <c r="AK269">
        <v>100</v>
      </c>
    </row>
    <row r="270" spans="1:37" x14ac:dyDescent="0.2">
      <c r="A270" t="s">
        <v>1045</v>
      </c>
      <c r="B270" t="s">
        <v>361</v>
      </c>
      <c r="C270">
        <v>2020</v>
      </c>
      <c r="D270">
        <v>5</v>
      </c>
      <c r="E270" t="s">
        <v>1050</v>
      </c>
      <c r="F270" t="s">
        <v>362</v>
      </c>
      <c r="G270">
        <v>9.5059109999999993</v>
      </c>
      <c r="H270" s="20">
        <f>IF(AND(A270=A269,F270=F269,F270="Winter wheat"),G270*0.9*'BAU Management details'!$F$46,
IF(AND(OR(A270&lt;&gt;A269,F270&lt;&gt;F269),F270="Winter wheat"),G270*'BAU Management details'!$F$46,
IF(F270="Oilseed Rape",G270*'BAU Management details'!$F$47)))</f>
        <v>73.575751139999994</v>
      </c>
      <c r="I270" t="s">
        <v>348</v>
      </c>
      <c r="J270">
        <v>10</v>
      </c>
      <c r="K270" t="s">
        <v>362</v>
      </c>
      <c r="L270" t="s">
        <v>727</v>
      </c>
      <c r="M270">
        <v>4.2</v>
      </c>
      <c r="N270" t="s">
        <v>349</v>
      </c>
      <c r="O270" t="s">
        <v>742</v>
      </c>
      <c r="P270">
        <v>7.3</v>
      </c>
      <c r="Q270" t="s">
        <v>743</v>
      </c>
      <c r="R270" t="s">
        <v>351</v>
      </c>
      <c r="S270">
        <v>220</v>
      </c>
      <c r="T270" s="47" t="s">
        <v>729</v>
      </c>
      <c r="U270" t="s">
        <v>733</v>
      </c>
      <c r="V270" t="s">
        <v>364</v>
      </c>
      <c r="W270" s="47" t="s">
        <v>736</v>
      </c>
      <c r="X270" s="47">
        <v>0</v>
      </c>
      <c r="Y270" s="47" t="s">
        <v>730</v>
      </c>
      <c r="Z270" s="47">
        <v>0</v>
      </c>
      <c r="AA270" s="47" t="s">
        <v>731</v>
      </c>
      <c r="AB270" s="47">
        <v>0</v>
      </c>
      <c r="AC270" s="47">
        <v>0</v>
      </c>
      <c r="AD270" s="47">
        <v>0</v>
      </c>
      <c r="AE270" s="47" t="s">
        <v>731</v>
      </c>
      <c r="AF270" s="47">
        <v>0</v>
      </c>
      <c r="AG270" s="47">
        <v>0</v>
      </c>
      <c r="AH270" s="47">
        <v>0</v>
      </c>
      <c r="AI270" s="47" t="s">
        <v>729</v>
      </c>
      <c r="AJ270">
        <v>1</v>
      </c>
      <c r="AK270">
        <v>100</v>
      </c>
    </row>
    <row r="271" spans="1:37" x14ac:dyDescent="0.2">
      <c r="A271" t="s">
        <v>1045</v>
      </c>
      <c r="B271" t="s">
        <v>361</v>
      </c>
      <c r="C271">
        <v>2021</v>
      </c>
      <c r="D271">
        <v>6</v>
      </c>
      <c r="E271" t="s">
        <v>1051</v>
      </c>
      <c r="F271" t="s">
        <v>365</v>
      </c>
      <c r="G271">
        <v>9.5059109999999993</v>
      </c>
      <c r="H271" s="20">
        <f>IF(AND(A271=A270,F271=F270,F271="Winter wheat"),G271*0.9*'BAU Management details'!$F$46,
IF(AND(OR(A271&lt;&gt;A270,F271&lt;&gt;F270),F271="Winter wheat"),G271*'BAU Management details'!$F$46,
IF(F271="Oilseed Rape",G271*'BAU Management details'!$F$47)))</f>
        <v>33.270688499999999</v>
      </c>
      <c r="I271" t="s">
        <v>348</v>
      </c>
      <c r="J271">
        <v>10</v>
      </c>
      <c r="K271" t="s">
        <v>532</v>
      </c>
      <c r="L271" t="s">
        <v>727</v>
      </c>
      <c r="M271">
        <v>4.2</v>
      </c>
      <c r="N271" t="s">
        <v>349</v>
      </c>
      <c r="O271" t="s">
        <v>742</v>
      </c>
      <c r="P271">
        <v>7.3</v>
      </c>
      <c r="Q271" t="s">
        <v>743</v>
      </c>
      <c r="R271" t="s">
        <v>351</v>
      </c>
      <c r="S271">
        <v>220</v>
      </c>
      <c r="T271" s="47" t="s">
        <v>735</v>
      </c>
      <c r="U271" t="s">
        <v>368</v>
      </c>
      <c r="V271" t="s">
        <v>364</v>
      </c>
      <c r="W271" s="47" t="s">
        <v>736</v>
      </c>
      <c r="X271" s="47">
        <v>0</v>
      </c>
      <c r="Y271" s="47" t="s">
        <v>736</v>
      </c>
      <c r="Z271" s="47">
        <v>0</v>
      </c>
      <c r="AA271" s="47" t="s">
        <v>736</v>
      </c>
      <c r="AB271" s="47">
        <v>0</v>
      </c>
      <c r="AC271" s="47">
        <v>0</v>
      </c>
      <c r="AD271" s="47">
        <v>0</v>
      </c>
      <c r="AE271" s="47" t="s">
        <v>731</v>
      </c>
      <c r="AF271" s="47">
        <v>0</v>
      </c>
      <c r="AG271" s="47" t="s">
        <v>731</v>
      </c>
      <c r="AH271" s="47">
        <v>0</v>
      </c>
      <c r="AI271" s="47" t="s">
        <v>735</v>
      </c>
      <c r="AJ271">
        <v>1</v>
      </c>
      <c r="AK271">
        <v>100</v>
      </c>
    </row>
    <row r="272" spans="1:37" x14ac:dyDescent="0.2">
      <c r="A272" t="s">
        <v>1052</v>
      </c>
      <c r="B272" t="s">
        <v>361</v>
      </c>
      <c r="C272">
        <v>2016</v>
      </c>
      <c r="D272">
        <v>1</v>
      </c>
      <c r="E272" t="s">
        <v>1053</v>
      </c>
      <c r="F272" t="s">
        <v>362</v>
      </c>
      <c r="G272">
        <v>7.2422199999999997</v>
      </c>
      <c r="H272" s="20">
        <f>IF(AND(A272=A271,F272=F271,F272="Winter wheat"),G272*0.9*'BAU Management details'!$F$46,
IF(AND(OR(A272&lt;&gt;A271,F272&lt;&gt;F271),F272="Winter wheat"),G272*'BAU Management details'!$F$46,
IF(F272="Oilseed Rape",G272*'BAU Management details'!$F$47)))</f>
        <v>62.283091999999996</v>
      </c>
      <c r="I272" t="s">
        <v>348</v>
      </c>
      <c r="J272">
        <v>10</v>
      </c>
      <c r="K272" t="s">
        <v>362</v>
      </c>
      <c r="L272" t="s">
        <v>751</v>
      </c>
      <c r="M272">
        <v>1.1000000000000001</v>
      </c>
      <c r="N272" t="s">
        <v>349</v>
      </c>
      <c r="O272" t="s">
        <v>350</v>
      </c>
      <c r="P272">
        <v>6.4</v>
      </c>
      <c r="Q272" t="s">
        <v>743</v>
      </c>
      <c r="R272" t="s">
        <v>351</v>
      </c>
      <c r="S272">
        <v>220</v>
      </c>
      <c r="T272" s="47" t="s">
        <v>729</v>
      </c>
      <c r="U272" t="s">
        <v>366</v>
      </c>
      <c r="V272" t="s">
        <v>367</v>
      </c>
      <c r="W272" s="47" t="s">
        <v>736</v>
      </c>
      <c r="X272" s="47">
        <v>0</v>
      </c>
      <c r="Y272" s="47" t="s">
        <v>730</v>
      </c>
      <c r="Z272" s="47">
        <v>0</v>
      </c>
      <c r="AA272" s="47" t="s">
        <v>731</v>
      </c>
      <c r="AB272" s="47">
        <v>0</v>
      </c>
      <c r="AC272" s="47" t="s">
        <v>731</v>
      </c>
      <c r="AD272" s="47" t="s">
        <v>731</v>
      </c>
      <c r="AE272" s="47" t="s">
        <v>731</v>
      </c>
      <c r="AF272" s="47">
        <v>0</v>
      </c>
      <c r="AG272" s="47">
        <v>0</v>
      </c>
      <c r="AH272" s="47">
        <v>0</v>
      </c>
      <c r="AI272" s="47" t="s">
        <v>729</v>
      </c>
      <c r="AJ272">
        <v>1</v>
      </c>
      <c r="AK272">
        <v>100</v>
      </c>
    </row>
    <row r="273" spans="1:37" x14ac:dyDescent="0.2">
      <c r="A273" t="s">
        <v>1052</v>
      </c>
      <c r="B273" t="s">
        <v>361</v>
      </c>
      <c r="C273">
        <v>2017</v>
      </c>
      <c r="D273">
        <v>2</v>
      </c>
      <c r="E273" t="s">
        <v>1054</v>
      </c>
      <c r="F273" t="s">
        <v>362</v>
      </c>
      <c r="G273">
        <v>7.2422199999999997</v>
      </c>
      <c r="H273" s="20">
        <f>IF(AND(A273=A272,F273=F272,F273="Winter wheat"),G273*0.9*'BAU Management details'!$F$46,
IF(AND(OR(A273&lt;&gt;A272,F273&lt;&gt;F272),F273="Winter wheat"),G273*'BAU Management details'!$F$46,
IF(F273="Oilseed Rape",G273*'BAU Management details'!$F$47)))</f>
        <v>56.054782799999991</v>
      </c>
      <c r="I273" t="s">
        <v>348</v>
      </c>
      <c r="J273">
        <v>10</v>
      </c>
      <c r="K273" t="s">
        <v>362</v>
      </c>
      <c r="L273" t="s">
        <v>751</v>
      </c>
      <c r="M273">
        <v>1.1000000000000001</v>
      </c>
      <c r="N273" t="s">
        <v>349</v>
      </c>
      <c r="O273" t="s">
        <v>350</v>
      </c>
      <c r="P273">
        <v>6.4</v>
      </c>
      <c r="Q273" t="s">
        <v>743</v>
      </c>
      <c r="R273" t="s">
        <v>351</v>
      </c>
      <c r="S273">
        <v>220</v>
      </c>
      <c r="T273" s="47" t="s">
        <v>729</v>
      </c>
      <c r="U273" t="s">
        <v>733</v>
      </c>
      <c r="V273" t="s">
        <v>369</v>
      </c>
      <c r="W273" s="47" t="s">
        <v>736</v>
      </c>
      <c r="X273" s="47">
        <v>0</v>
      </c>
      <c r="Y273" s="47" t="s">
        <v>730</v>
      </c>
      <c r="Z273" s="47">
        <v>0</v>
      </c>
      <c r="AA273" s="47" t="s">
        <v>731</v>
      </c>
      <c r="AB273" s="47">
        <v>0</v>
      </c>
      <c r="AC273" s="47">
        <v>0</v>
      </c>
      <c r="AD273" s="47">
        <v>0</v>
      </c>
      <c r="AE273" s="47" t="s">
        <v>731</v>
      </c>
      <c r="AF273" s="47">
        <v>0</v>
      </c>
      <c r="AG273" s="47">
        <v>0</v>
      </c>
      <c r="AH273" s="47">
        <v>0</v>
      </c>
      <c r="AI273" s="47" t="s">
        <v>729</v>
      </c>
      <c r="AJ273">
        <v>1</v>
      </c>
      <c r="AK273">
        <v>100</v>
      </c>
    </row>
    <row r="274" spans="1:37" x14ac:dyDescent="0.2">
      <c r="A274" t="s">
        <v>1052</v>
      </c>
      <c r="B274" t="s">
        <v>361</v>
      </c>
      <c r="C274">
        <v>2018</v>
      </c>
      <c r="D274">
        <v>3</v>
      </c>
      <c r="E274" t="s">
        <v>1055</v>
      </c>
      <c r="F274" t="s">
        <v>365</v>
      </c>
      <c r="G274">
        <v>7.2422199999999997</v>
      </c>
      <c r="H274" s="20">
        <f>IF(AND(A274=A273,F274=F273,F274="Winter wheat"),G274*0.9*'BAU Management details'!$F$46,
IF(AND(OR(A274&lt;&gt;A273,F274&lt;&gt;F273),F274="Winter wheat"),G274*'BAU Management details'!$F$46,
IF(F274="Oilseed Rape",G274*'BAU Management details'!$F$47)))</f>
        <v>25.347769999999997</v>
      </c>
      <c r="I274" t="s">
        <v>348</v>
      </c>
      <c r="J274">
        <v>10</v>
      </c>
      <c r="K274" t="s">
        <v>532</v>
      </c>
      <c r="L274" t="s">
        <v>751</v>
      </c>
      <c r="M274">
        <v>1.1000000000000001</v>
      </c>
      <c r="N274" t="s">
        <v>349</v>
      </c>
      <c r="O274" t="s">
        <v>350</v>
      </c>
      <c r="P274">
        <v>6.4</v>
      </c>
      <c r="Q274" t="s">
        <v>743</v>
      </c>
      <c r="R274" t="s">
        <v>351</v>
      </c>
      <c r="S274">
        <v>220</v>
      </c>
      <c r="T274" s="47" t="s">
        <v>735</v>
      </c>
      <c r="U274" t="s">
        <v>368</v>
      </c>
      <c r="V274" t="s">
        <v>364</v>
      </c>
      <c r="W274" s="47" t="s">
        <v>736</v>
      </c>
      <c r="X274" s="47">
        <v>0</v>
      </c>
      <c r="Y274" s="47" t="s">
        <v>736</v>
      </c>
      <c r="Z274" s="47">
        <v>0</v>
      </c>
      <c r="AA274" s="47" t="s">
        <v>736</v>
      </c>
      <c r="AB274" s="47">
        <v>0</v>
      </c>
      <c r="AC274" s="47">
        <v>0</v>
      </c>
      <c r="AD274" s="47">
        <v>0</v>
      </c>
      <c r="AE274" s="47" t="s">
        <v>731</v>
      </c>
      <c r="AF274" s="47">
        <v>0</v>
      </c>
      <c r="AG274" s="47" t="s">
        <v>731</v>
      </c>
      <c r="AH274" s="47">
        <v>0</v>
      </c>
      <c r="AI274" s="47" t="s">
        <v>735</v>
      </c>
      <c r="AJ274">
        <v>1</v>
      </c>
      <c r="AK274">
        <v>100</v>
      </c>
    </row>
    <row r="275" spans="1:37" x14ac:dyDescent="0.2">
      <c r="A275" t="s">
        <v>1052</v>
      </c>
      <c r="B275" t="s">
        <v>361</v>
      </c>
      <c r="C275">
        <v>2019</v>
      </c>
      <c r="D275">
        <v>4</v>
      </c>
      <c r="E275" t="s">
        <v>1056</v>
      </c>
      <c r="F275" t="s">
        <v>362</v>
      </c>
      <c r="G275">
        <v>7.2422199999999997</v>
      </c>
      <c r="H275" s="20">
        <f>IF(AND(A275=A274,F275=F274,F275="Winter wheat"),G275*0.9*'BAU Management details'!$F$46,
IF(AND(OR(A275&lt;&gt;A274,F275&lt;&gt;F274),F275="Winter wheat"),G275*'BAU Management details'!$F$46,
IF(F275="Oilseed Rape",G275*'BAU Management details'!$F$47)))</f>
        <v>62.283091999999996</v>
      </c>
      <c r="I275" t="s">
        <v>348</v>
      </c>
      <c r="J275">
        <v>10</v>
      </c>
      <c r="K275" t="s">
        <v>362</v>
      </c>
      <c r="L275" t="s">
        <v>751</v>
      </c>
      <c r="M275">
        <v>1.1000000000000001</v>
      </c>
      <c r="N275" t="s">
        <v>349</v>
      </c>
      <c r="O275" t="s">
        <v>350</v>
      </c>
      <c r="P275">
        <v>6.4</v>
      </c>
      <c r="Q275" t="s">
        <v>743</v>
      </c>
      <c r="R275" t="s">
        <v>351</v>
      </c>
      <c r="S275">
        <v>220</v>
      </c>
      <c r="T275" s="47" t="s">
        <v>729</v>
      </c>
      <c r="U275" t="s">
        <v>366</v>
      </c>
      <c r="V275" t="s">
        <v>367</v>
      </c>
      <c r="W275" s="47" t="s">
        <v>736</v>
      </c>
      <c r="X275" s="47">
        <v>0</v>
      </c>
      <c r="Y275" s="47" t="s">
        <v>730</v>
      </c>
      <c r="Z275" s="47">
        <v>0</v>
      </c>
      <c r="AA275" s="47" t="s">
        <v>731</v>
      </c>
      <c r="AB275" s="47">
        <v>0</v>
      </c>
      <c r="AC275" s="47" t="s">
        <v>731</v>
      </c>
      <c r="AD275" s="47" t="s">
        <v>731</v>
      </c>
      <c r="AE275" s="47" t="s">
        <v>731</v>
      </c>
      <c r="AF275" s="47">
        <v>0</v>
      </c>
      <c r="AG275" s="47">
        <v>0</v>
      </c>
      <c r="AH275" s="47">
        <v>0</v>
      </c>
      <c r="AI275" s="47" t="s">
        <v>729</v>
      </c>
      <c r="AJ275">
        <v>1</v>
      </c>
      <c r="AK275">
        <v>100</v>
      </c>
    </row>
    <row r="276" spans="1:37" x14ac:dyDescent="0.2">
      <c r="A276" t="s">
        <v>1052</v>
      </c>
      <c r="B276" t="s">
        <v>361</v>
      </c>
      <c r="C276">
        <v>2020</v>
      </c>
      <c r="D276">
        <v>5</v>
      </c>
      <c r="E276" t="s">
        <v>1057</v>
      </c>
      <c r="F276" t="s">
        <v>362</v>
      </c>
      <c r="G276">
        <v>7.2422199999999997</v>
      </c>
      <c r="H276" s="20">
        <f>IF(AND(A276=A275,F276=F275,F276="Winter wheat"),G276*0.9*'BAU Management details'!$F$46,
IF(AND(OR(A276&lt;&gt;A275,F276&lt;&gt;F275),F276="Winter wheat"),G276*'BAU Management details'!$F$46,
IF(F276="Oilseed Rape",G276*'BAU Management details'!$F$47)))</f>
        <v>56.054782799999991</v>
      </c>
      <c r="I276" t="s">
        <v>348</v>
      </c>
      <c r="J276">
        <v>10</v>
      </c>
      <c r="K276" t="s">
        <v>362</v>
      </c>
      <c r="L276" t="s">
        <v>751</v>
      </c>
      <c r="M276">
        <v>1.1000000000000001</v>
      </c>
      <c r="N276" t="s">
        <v>349</v>
      </c>
      <c r="O276" t="s">
        <v>350</v>
      </c>
      <c r="P276">
        <v>6.4</v>
      </c>
      <c r="Q276" t="s">
        <v>743</v>
      </c>
      <c r="R276" t="s">
        <v>351</v>
      </c>
      <c r="S276">
        <v>220</v>
      </c>
      <c r="T276" s="47" t="s">
        <v>729</v>
      </c>
      <c r="U276" t="s">
        <v>733</v>
      </c>
      <c r="V276" t="s">
        <v>369</v>
      </c>
      <c r="W276" s="47" t="s">
        <v>736</v>
      </c>
      <c r="X276" s="47">
        <v>0</v>
      </c>
      <c r="Y276" s="47" t="s">
        <v>730</v>
      </c>
      <c r="Z276" s="47">
        <v>0</v>
      </c>
      <c r="AA276" s="47" t="s">
        <v>731</v>
      </c>
      <c r="AB276" s="47">
        <v>0</v>
      </c>
      <c r="AC276" s="47">
        <v>0</v>
      </c>
      <c r="AD276" s="47">
        <v>0</v>
      </c>
      <c r="AE276" s="47" t="s">
        <v>731</v>
      </c>
      <c r="AF276" s="47">
        <v>0</v>
      </c>
      <c r="AG276" s="47">
        <v>0</v>
      </c>
      <c r="AH276" s="47">
        <v>0</v>
      </c>
      <c r="AI276" s="47" t="s">
        <v>729</v>
      </c>
      <c r="AJ276">
        <v>1</v>
      </c>
      <c r="AK276">
        <v>100</v>
      </c>
    </row>
    <row r="277" spans="1:37" x14ac:dyDescent="0.2">
      <c r="A277" t="s">
        <v>1052</v>
      </c>
      <c r="B277" t="s">
        <v>361</v>
      </c>
      <c r="C277">
        <v>2021</v>
      </c>
      <c r="D277">
        <v>6</v>
      </c>
      <c r="E277" t="s">
        <v>1058</v>
      </c>
      <c r="F277" t="s">
        <v>365</v>
      </c>
      <c r="G277">
        <v>7.2422199999999997</v>
      </c>
      <c r="H277" s="20">
        <f>IF(AND(A277=A276,F277=F276,F277="Winter wheat"),G277*0.9*'BAU Management details'!$F$46,
IF(AND(OR(A277&lt;&gt;A276,F277&lt;&gt;F276),F277="Winter wheat"),G277*'BAU Management details'!$F$46,
IF(F277="Oilseed Rape",G277*'BAU Management details'!$F$47)))</f>
        <v>25.347769999999997</v>
      </c>
      <c r="I277" t="s">
        <v>348</v>
      </c>
      <c r="J277">
        <v>10</v>
      </c>
      <c r="K277" t="s">
        <v>532</v>
      </c>
      <c r="L277" t="s">
        <v>751</v>
      </c>
      <c r="M277">
        <v>1.1000000000000001</v>
      </c>
      <c r="N277" t="s">
        <v>349</v>
      </c>
      <c r="O277" t="s">
        <v>350</v>
      </c>
      <c r="P277">
        <v>6.4</v>
      </c>
      <c r="Q277" t="s">
        <v>743</v>
      </c>
      <c r="R277" t="s">
        <v>351</v>
      </c>
      <c r="S277">
        <v>220</v>
      </c>
      <c r="T277" s="47" t="s">
        <v>735</v>
      </c>
      <c r="U277" t="s">
        <v>368</v>
      </c>
      <c r="V277" t="s">
        <v>364</v>
      </c>
      <c r="W277" s="47" t="s">
        <v>736</v>
      </c>
      <c r="X277" s="47">
        <v>0</v>
      </c>
      <c r="Y277" s="47" t="s">
        <v>736</v>
      </c>
      <c r="Z277" s="47">
        <v>0</v>
      </c>
      <c r="AA277" s="47" t="s">
        <v>736</v>
      </c>
      <c r="AB277" s="47">
        <v>0</v>
      </c>
      <c r="AC277" s="47">
        <v>0</v>
      </c>
      <c r="AD277" s="47">
        <v>0</v>
      </c>
      <c r="AE277" s="47" t="s">
        <v>731</v>
      </c>
      <c r="AF277" s="47">
        <v>0</v>
      </c>
      <c r="AG277" s="47" t="s">
        <v>731</v>
      </c>
      <c r="AH277" s="47">
        <v>0</v>
      </c>
      <c r="AI277" s="47" t="s">
        <v>735</v>
      </c>
      <c r="AJ277">
        <v>1</v>
      </c>
      <c r="AK277">
        <v>100</v>
      </c>
    </row>
    <row r="278" spans="1:37" x14ac:dyDescent="0.2">
      <c r="A278" t="s">
        <v>1059</v>
      </c>
      <c r="B278" t="s">
        <v>361</v>
      </c>
      <c r="C278">
        <v>2016</v>
      </c>
      <c r="D278">
        <v>1</v>
      </c>
      <c r="E278" t="s">
        <v>1060</v>
      </c>
      <c r="F278" t="s">
        <v>362</v>
      </c>
      <c r="G278">
        <v>4.2849899999999996</v>
      </c>
      <c r="H278" s="20">
        <f>IF(AND(A278=A277,F278=F277,F278="Winter wheat"),G278*0.9*'BAU Management details'!$F$46,
IF(AND(OR(A278&lt;&gt;A277,F278&lt;&gt;F277),F278="Winter wheat"),G278*'BAU Management details'!$F$46,
IF(F278="Oilseed Rape",G278*'BAU Management details'!$F$47)))</f>
        <v>36.850913999999996</v>
      </c>
      <c r="I278" t="s">
        <v>348</v>
      </c>
      <c r="J278">
        <v>10</v>
      </c>
      <c r="K278" t="s">
        <v>362</v>
      </c>
      <c r="L278" t="s">
        <v>727</v>
      </c>
      <c r="M278">
        <v>2.7</v>
      </c>
      <c r="N278" t="s">
        <v>349</v>
      </c>
      <c r="O278" t="s">
        <v>742</v>
      </c>
      <c r="P278">
        <v>6.8</v>
      </c>
      <c r="Q278" t="s">
        <v>743</v>
      </c>
      <c r="R278" t="s">
        <v>351</v>
      </c>
      <c r="S278">
        <v>220</v>
      </c>
      <c r="T278" s="47" t="s">
        <v>729</v>
      </c>
      <c r="U278" t="s">
        <v>366</v>
      </c>
      <c r="V278" t="s">
        <v>364</v>
      </c>
      <c r="W278" s="47" t="s">
        <v>736</v>
      </c>
      <c r="X278" s="47">
        <v>0</v>
      </c>
      <c r="Y278" s="47" t="s">
        <v>730</v>
      </c>
      <c r="Z278" s="47">
        <v>0</v>
      </c>
      <c r="AA278" s="47" t="s">
        <v>731</v>
      </c>
      <c r="AB278" s="47">
        <v>0</v>
      </c>
      <c r="AC278" s="47" t="s">
        <v>731</v>
      </c>
      <c r="AD278" s="47" t="s">
        <v>731</v>
      </c>
      <c r="AE278" s="47" t="s">
        <v>731</v>
      </c>
      <c r="AF278" s="47">
        <v>0</v>
      </c>
      <c r="AG278" s="47">
        <v>0</v>
      </c>
      <c r="AH278" s="47">
        <v>0</v>
      </c>
      <c r="AI278" s="47" t="s">
        <v>729</v>
      </c>
      <c r="AJ278">
        <v>1</v>
      </c>
      <c r="AK278">
        <v>100</v>
      </c>
    </row>
    <row r="279" spans="1:37" x14ac:dyDescent="0.2">
      <c r="A279" t="s">
        <v>1059</v>
      </c>
      <c r="B279" t="s">
        <v>361</v>
      </c>
      <c r="C279">
        <v>2017</v>
      </c>
      <c r="D279">
        <v>2</v>
      </c>
      <c r="E279" t="s">
        <v>1061</v>
      </c>
      <c r="F279" t="s">
        <v>362</v>
      </c>
      <c r="G279">
        <v>4.2849899999999996</v>
      </c>
      <c r="H279" s="20">
        <f>IF(AND(A279=A278,F279=F278,F279="Winter wheat"),G279*0.9*'BAU Management details'!$F$46,
IF(AND(OR(A279&lt;&gt;A278,F279&lt;&gt;F278),F279="Winter wheat"),G279*'BAU Management details'!$F$46,
IF(F279="Oilseed Rape",G279*'BAU Management details'!$F$47)))</f>
        <v>33.165822599999998</v>
      </c>
      <c r="I279" t="s">
        <v>348</v>
      </c>
      <c r="J279">
        <v>10</v>
      </c>
      <c r="K279" t="s">
        <v>362</v>
      </c>
      <c r="L279" t="s">
        <v>727</v>
      </c>
      <c r="M279">
        <v>2.7</v>
      </c>
      <c r="N279" t="s">
        <v>349</v>
      </c>
      <c r="O279" t="s">
        <v>742</v>
      </c>
      <c r="P279">
        <v>6.8</v>
      </c>
      <c r="Q279" t="s">
        <v>743</v>
      </c>
      <c r="R279" t="s">
        <v>351</v>
      </c>
      <c r="S279">
        <v>220</v>
      </c>
      <c r="T279" s="47" t="s">
        <v>729</v>
      </c>
      <c r="U279" t="s">
        <v>733</v>
      </c>
      <c r="V279" t="s">
        <v>364</v>
      </c>
      <c r="W279" s="47" t="s">
        <v>736</v>
      </c>
      <c r="X279" s="47">
        <v>0</v>
      </c>
      <c r="Y279" s="47" t="s">
        <v>730</v>
      </c>
      <c r="Z279" s="47">
        <v>0</v>
      </c>
      <c r="AA279" s="47" t="s">
        <v>731</v>
      </c>
      <c r="AB279" s="47">
        <v>0</v>
      </c>
      <c r="AC279" s="47">
        <v>0</v>
      </c>
      <c r="AD279" s="47">
        <v>0</v>
      </c>
      <c r="AE279" s="47" t="s">
        <v>731</v>
      </c>
      <c r="AF279" s="47">
        <v>0</v>
      </c>
      <c r="AG279" s="47">
        <v>0</v>
      </c>
      <c r="AH279" s="47">
        <v>0</v>
      </c>
      <c r="AI279" s="47" t="s">
        <v>729</v>
      </c>
      <c r="AJ279">
        <v>1</v>
      </c>
      <c r="AK279">
        <v>100</v>
      </c>
    </row>
    <row r="280" spans="1:37" x14ac:dyDescent="0.2">
      <c r="A280" t="s">
        <v>1059</v>
      </c>
      <c r="B280" t="s">
        <v>361</v>
      </c>
      <c r="C280">
        <v>2018</v>
      </c>
      <c r="D280">
        <v>3</v>
      </c>
      <c r="E280" t="s">
        <v>1062</v>
      </c>
      <c r="F280" t="s">
        <v>365</v>
      </c>
      <c r="G280">
        <v>4.2849899999999996</v>
      </c>
      <c r="H280" s="20">
        <f>IF(AND(A280=A279,F280=F279,F280="Winter wheat"),G280*0.9*'BAU Management details'!$F$46,
IF(AND(OR(A280&lt;&gt;A279,F280&lt;&gt;F279),F280="Winter wheat"),G280*'BAU Management details'!$F$46,
IF(F280="Oilseed Rape",G280*'BAU Management details'!$F$47)))</f>
        <v>14.997464999999998</v>
      </c>
      <c r="I280" t="s">
        <v>348</v>
      </c>
      <c r="J280">
        <v>10</v>
      </c>
      <c r="K280" t="s">
        <v>532</v>
      </c>
      <c r="L280" t="s">
        <v>727</v>
      </c>
      <c r="M280">
        <v>2.7</v>
      </c>
      <c r="N280" t="s">
        <v>349</v>
      </c>
      <c r="O280" t="s">
        <v>742</v>
      </c>
      <c r="P280">
        <v>6.8</v>
      </c>
      <c r="Q280" t="s">
        <v>743</v>
      </c>
      <c r="R280" t="s">
        <v>351</v>
      </c>
      <c r="S280">
        <v>220</v>
      </c>
      <c r="T280" s="47" t="s">
        <v>735</v>
      </c>
      <c r="U280" t="s">
        <v>368</v>
      </c>
      <c r="V280" t="s">
        <v>364</v>
      </c>
      <c r="W280" s="47" t="s">
        <v>736</v>
      </c>
      <c r="X280" s="47">
        <v>0</v>
      </c>
      <c r="Y280" s="47" t="s">
        <v>736</v>
      </c>
      <c r="Z280" s="47">
        <v>0</v>
      </c>
      <c r="AA280" s="47" t="s">
        <v>736</v>
      </c>
      <c r="AB280" s="47">
        <v>0</v>
      </c>
      <c r="AC280" s="47">
        <v>0</v>
      </c>
      <c r="AD280" s="47">
        <v>0</v>
      </c>
      <c r="AE280" s="47" t="s">
        <v>731</v>
      </c>
      <c r="AF280" s="47">
        <v>0</v>
      </c>
      <c r="AG280" s="47" t="s">
        <v>731</v>
      </c>
      <c r="AH280" s="47">
        <v>0</v>
      </c>
      <c r="AI280" s="47" t="s">
        <v>735</v>
      </c>
      <c r="AJ280">
        <v>1</v>
      </c>
      <c r="AK280">
        <v>100</v>
      </c>
    </row>
    <row r="281" spans="1:37" x14ac:dyDescent="0.2">
      <c r="A281" t="s">
        <v>1059</v>
      </c>
      <c r="B281" t="s">
        <v>361</v>
      </c>
      <c r="C281">
        <v>2019</v>
      </c>
      <c r="D281">
        <v>4</v>
      </c>
      <c r="E281" t="s">
        <v>1063</v>
      </c>
      <c r="F281" t="s">
        <v>362</v>
      </c>
      <c r="G281">
        <v>4.2849899999999996</v>
      </c>
      <c r="H281" s="20">
        <f>IF(AND(A281=A280,F281=F280,F281="Winter wheat"),G281*0.9*'BAU Management details'!$F$46,
IF(AND(OR(A281&lt;&gt;A280,F281&lt;&gt;F280),F281="Winter wheat"),G281*'BAU Management details'!$F$46,
IF(F281="Oilseed Rape",G281*'BAU Management details'!$F$47)))</f>
        <v>36.850913999999996</v>
      </c>
      <c r="I281" t="s">
        <v>348</v>
      </c>
      <c r="J281">
        <v>10</v>
      </c>
      <c r="K281" t="s">
        <v>362</v>
      </c>
      <c r="L281" t="s">
        <v>727</v>
      </c>
      <c r="M281">
        <v>2.7</v>
      </c>
      <c r="N281" t="s">
        <v>349</v>
      </c>
      <c r="O281" t="s">
        <v>742</v>
      </c>
      <c r="P281">
        <v>6.8</v>
      </c>
      <c r="Q281" t="s">
        <v>743</v>
      </c>
      <c r="R281" t="s">
        <v>351</v>
      </c>
      <c r="S281">
        <v>220</v>
      </c>
      <c r="T281" s="47" t="s">
        <v>729</v>
      </c>
      <c r="U281" t="s">
        <v>366</v>
      </c>
      <c r="V281" t="s">
        <v>364</v>
      </c>
      <c r="W281" s="47" t="s">
        <v>736</v>
      </c>
      <c r="X281" s="47">
        <v>0</v>
      </c>
      <c r="Y281" s="47" t="s">
        <v>730</v>
      </c>
      <c r="Z281" s="47">
        <v>0</v>
      </c>
      <c r="AA281" s="47" t="s">
        <v>731</v>
      </c>
      <c r="AB281" s="47">
        <v>0</v>
      </c>
      <c r="AC281" s="47" t="s">
        <v>731</v>
      </c>
      <c r="AD281" s="47" t="s">
        <v>731</v>
      </c>
      <c r="AE281" s="47" t="s">
        <v>731</v>
      </c>
      <c r="AF281" s="47">
        <v>0</v>
      </c>
      <c r="AG281" s="47">
        <v>0</v>
      </c>
      <c r="AH281" s="47">
        <v>0</v>
      </c>
      <c r="AI281" s="47" t="s">
        <v>729</v>
      </c>
      <c r="AJ281">
        <v>1</v>
      </c>
      <c r="AK281">
        <v>100</v>
      </c>
    </row>
    <row r="282" spans="1:37" x14ac:dyDescent="0.2">
      <c r="A282" t="s">
        <v>1059</v>
      </c>
      <c r="B282" t="s">
        <v>361</v>
      </c>
      <c r="C282">
        <v>2020</v>
      </c>
      <c r="D282">
        <v>5</v>
      </c>
      <c r="E282" t="s">
        <v>1064</v>
      </c>
      <c r="F282" t="s">
        <v>362</v>
      </c>
      <c r="G282">
        <v>4.2849899999999996</v>
      </c>
      <c r="H282" s="20">
        <f>IF(AND(A282=A281,F282=F281,F282="Winter wheat"),G282*0.9*'BAU Management details'!$F$46,
IF(AND(OR(A282&lt;&gt;A281,F282&lt;&gt;F281),F282="Winter wheat"),G282*'BAU Management details'!$F$46,
IF(F282="Oilseed Rape",G282*'BAU Management details'!$F$47)))</f>
        <v>33.165822599999998</v>
      </c>
      <c r="I282" t="s">
        <v>348</v>
      </c>
      <c r="J282">
        <v>10</v>
      </c>
      <c r="K282" t="s">
        <v>362</v>
      </c>
      <c r="L282" t="s">
        <v>727</v>
      </c>
      <c r="M282">
        <v>2.7</v>
      </c>
      <c r="N282" t="s">
        <v>349</v>
      </c>
      <c r="O282" t="s">
        <v>742</v>
      </c>
      <c r="P282">
        <v>6.8</v>
      </c>
      <c r="Q282" t="s">
        <v>743</v>
      </c>
      <c r="R282" t="s">
        <v>351</v>
      </c>
      <c r="S282">
        <v>220</v>
      </c>
      <c r="T282" s="47" t="s">
        <v>729</v>
      </c>
      <c r="U282" t="s">
        <v>733</v>
      </c>
      <c r="V282" t="s">
        <v>364</v>
      </c>
      <c r="W282" s="47" t="s">
        <v>736</v>
      </c>
      <c r="X282" s="47">
        <v>0</v>
      </c>
      <c r="Y282" s="47" t="s">
        <v>730</v>
      </c>
      <c r="Z282" s="47">
        <v>0</v>
      </c>
      <c r="AA282" s="47" t="s">
        <v>731</v>
      </c>
      <c r="AB282" s="47">
        <v>0</v>
      </c>
      <c r="AC282" s="47">
        <v>0</v>
      </c>
      <c r="AD282" s="47">
        <v>0</v>
      </c>
      <c r="AE282" s="47" t="s">
        <v>731</v>
      </c>
      <c r="AF282" s="47">
        <v>0</v>
      </c>
      <c r="AG282" s="47">
        <v>0</v>
      </c>
      <c r="AH282" s="47">
        <v>0</v>
      </c>
      <c r="AI282" s="47" t="s">
        <v>729</v>
      </c>
      <c r="AJ282">
        <v>1</v>
      </c>
      <c r="AK282">
        <v>100</v>
      </c>
    </row>
    <row r="283" spans="1:37" x14ac:dyDescent="0.2">
      <c r="A283" t="s">
        <v>1059</v>
      </c>
      <c r="B283" t="s">
        <v>361</v>
      </c>
      <c r="C283">
        <v>2021</v>
      </c>
      <c r="D283">
        <v>6</v>
      </c>
      <c r="E283" t="s">
        <v>1065</v>
      </c>
      <c r="F283" t="s">
        <v>365</v>
      </c>
      <c r="G283">
        <v>4.2849899999999996</v>
      </c>
      <c r="H283" s="20">
        <f>IF(AND(A283=A282,F283=F282,F283="Winter wheat"),G283*0.9*'BAU Management details'!$F$46,
IF(AND(OR(A283&lt;&gt;A282,F283&lt;&gt;F282),F283="Winter wheat"),G283*'BAU Management details'!$F$46,
IF(F283="Oilseed Rape",G283*'BAU Management details'!$F$47)))</f>
        <v>14.997464999999998</v>
      </c>
      <c r="I283" t="s">
        <v>348</v>
      </c>
      <c r="J283">
        <v>10</v>
      </c>
      <c r="K283" t="s">
        <v>532</v>
      </c>
      <c r="L283" t="s">
        <v>727</v>
      </c>
      <c r="M283">
        <v>2.7</v>
      </c>
      <c r="N283" t="s">
        <v>349</v>
      </c>
      <c r="O283" t="s">
        <v>742</v>
      </c>
      <c r="P283">
        <v>6.8</v>
      </c>
      <c r="Q283" t="s">
        <v>743</v>
      </c>
      <c r="R283" t="s">
        <v>351</v>
      </c>
      <c r="S283">
        <v>220</v>
      </c>
      <c r="T283" s="47" t="s">
        <v>735</v>
      </c>
      <c r="U283" t="s">
        <v>368</v>
      </c>
      <c r="V283" t="s">
        <v>364</v>
      </c>
      <c r="W283" s="47" t="s">
        <v>736</v>
      </c>
      <c r="X283" s="47">
        <v>0</v>
      </c>
      <c r="Y283" s="47" t="s">
        <v>736</v>
      </c>
      <c r="Z283" s="47">
        <v>0</v>
      </c>
      <c r="AA283" s="47" t="s">
        <v>736</v>
      </c>
      <c r="AB283" s="47">
        <v>0</v>
      </c>
      <c r="AC283" s="47">
        <v>0</v>
      </c>
      <c r="AD283" s="47">
        <v>0</v>
      </c>
      <c r="AE283" s="47" t="s">
        <v>731</v>
      </c>
      <c r="AF283" s="47">
        <v>0</v>
      </c>
      <c r="AG283" s="47" t="s">
        <v>731</v>
      </c>
      <c r="AH283" s="47">
        <v>0</v>
      </c>
      <c r="AI283" s="47" t="s">
        <v>735</v>
      </c>
      <c r="AJ283">
        <v>1</v>
      </c>
      <c r="AK283">
        <v>100</v>
      </c>
    </row>
    <row r="284" spans="1:37" x14ac:dyDescent="0.2">
      <c r="A284" t="s">
        <v>1066</v>
      </c>
      <c r="B284" t="s">
        <v>361</v>
      </c>
      <c r="C284">
        <v>2016</v>
      </c>
      <c r="D284">
        <v>1</v>
      </c>
      <c r="E284" t="s">
        <v>1067</v>
      </c>
      <c r="F284" t="s">
        <v>362</v>
      </c>
      <c r="G284">
        <v>4.675484</v>
      </c>
      <c r="H284" s="20">
        <f>IF(AND(A284=A283,F284=F283,F284="Winter wheat"),G284*0.9*'BAU Management details'!$F$46,
IF(AND(OR(A284&lt;&gt;A283,F284&lt;&gt;F283),F284="Winter wheat"),G284*'BAU Management details'!$F$46,
IF(F284="Oilseed Rape",G284*'BAU Management details'!$F$47)))</f>
        <v>40.209162399999997</v>
      </c>
      <c r="I284" t="s">
        <v>348</v>
      </c>
      <c r="J284">
        <v>10</v>
      </c>
      <c r="K284" t="s">
        <v>362</v>
      </c>
      <c r="L284" t="s">
        <v>751</v>
      </c>
      <c r="M284">
        <v>1.8</v>
      </c>
      <c r="N284" t="s">
        <v>349</v>
      </c>
      <c r="O284" t="s">
        <v>742</v>
      </c>
      <c r="P284">
        <v>6.7</v>
      </c>
      <c r="Q284" t="s">
        <v>743</v>
      </c>
      <c r="R284" t="s">
        <v>351</v>
      </c>
      <c r="S284">
        <v>220</v>
      </c>
      <c r="T284" s="47" t="s">
        <v>729</v>
      </c>
      <c r="U284" t="s">
        <v>366</v>
      </c>
      <c r="V284" t="s">
        <v>364</v>
      </c>
      <c r="W284" s="47" t="s">
        <v>736</v>
      </c>
      <c r="X284" s="47">
        <v>0</v>
      </c>
      <c r="Y284" s="47" t="s">
        <v>730</v>
      </c>
      <c r="Z284" s="47">
        <v>0</v>
      </c>
      <c r="AA284" s="47" t="s">
        <v>731</v>
      </c>
      <c r="AB284" s="47">
        <v>0</v>
      </c>
      <c r="AC284" s="47" t="s">
        <v>731</v>
      </c>
      <c r="AD284" s="47" t="s">
        <v>731</v>
      </c>
      <c r="AE284" s="47" t="s">
        <v>731</v>
      </c>
      <c r="AF284" s="47">
        <v>0</v>
      </c>
      <c r="AG284" s="47">
        <v>0</v>
      </c>
      <c r="AH284" s="47">
        <v>0</v>
      </c>
      <c r="AI284" s="47" t="s">
        <v>729</v>
      </c>
      <c r="AJ284">
        <v>1</v>
      </c>
      <c r="AK284">
        <v>100</v>
      </c>
    </row>
    <row r="285" spans="1:37" x14ac:dyDescent="0.2">
      <c r="A285" t="s">
        <v>1066</v>
      </c>
      <c r="B285" t="s">
        <v>361</v>
      </c>
      <c r="C285">
        <v>2017</v>
      </c>
      <c r="D285">
        <v>2</v>
      </c>
      <c r="E285" t="s">
        <v>1068</v>
      </c>
      <c r="F285" t="s">
        <v>362</v>
      </c>
      <c r="G285">
        <v>4.675484</v>
      </c>
      <c r="H285" s="20">
        <f>IF(AND(A285=A284,F285=F284,F285="Winter wheat"),G285*0.9*'BAU Management details'!$F$46,
IF(AND(OR(A285&lt;&gt;A284,F285&lt;&gt;F284),F285="Winter wheat"),G285*'BAU Management details'!$F$46,
IF(F285="Oilseed Rape",G285*'BAU Management details'!$F$47)))</f>
        <v>36.188246159999998</v>
      </c>
      <c r="I285" t="s">
        <v>348</v>
      </c>
      <c r="J285">
        <v>10</v>
      </c>
      <c r="K285" t="s">
        <v>362</v>
      </c>
      <c r="L285" t="s">
        <v>751</v>
      </c>
      <c r="M285">
        <v>1.8</v>
      </c>
      <c r="N285" t="s">
        <v>349</v>
      </c>
      <c r="O285" t="s">
        <v>742</v>
      </c>
      <c r="P285">
        <v>6.7</v>
      </c>
      <c r="Q285" t="s">
        <v>743</v>
      </c>
      <c r="R285" t="s">
        <v>351</v>
      </c>
      <c r="S285">
        <v>220</v>
      </c>
      <c r="T285" s="47" t="s">
        <v>729</v>
      </c>
      <c r="U285" t="s">
        <v>733</v>
      </c>
      <c r="V285" t="s">
        <v>364</v>
      </c>
      <c r="W285" s="47" t="s">
        <v>736</v>
      </c>
      <c r="X285" s="47">
        <v>0</v>
      </c>
      <c r="Y285" s="47" t="s">
        <v>730</v>
      </c>
      <c r="Z285" s="47">
        <v>0</v>
      </c>
      <c r="AA285" s="47" t="s">
        <v>731</v>
      </c>
      <c r="AB285" s="47">
        <v>0</v>
      </c>
      <c r="AC285" s="47">
        <v>0</v>
      </c>
      <c r="AD285" s="47">
        <v>0</v>
      </c>
      <c r="AE285" s="47" t="s">
        <v>731</v>
      </c>
      <c r="AF285" s="47">
        <v>0</v>
      </c>
      <c r="AG285" s="47">
        <v>0</v>
      </c>
      <c r="AH285" s="47">
        <v>0</v>
      </c>
      <c r="AI285" s="47" t="s">
        <v>729</v>
      </c>
      <c r="AJ285">
        <v>1</v>
      </c>
      <c r="AK285">
        <v>100</v>
      </c>
    </row>
    <row r="286" spans="1:37" x14ac:dyDescent="0.2">
      <c r="A286" t="s">
        <v>1066</v>
      </c>
      <c r="B286" t="s">
        <v>361</v>
      </c>
      <c r="C286">
        <v>2018</v>
      </c>
      <c r="D286">
        <v>3</v>
      </c>
      <c r="E286" t="s">
        <v>1069</v>
      </c>
      <c r="F286" t="s">
        <v>365</v>
      </c>
      <c r="G286">
        <v>4.675484</v>
      </c>
      <c r="H286" s="20">
        <f>IF(AND(A286=A285,F286=F285,F286="Winter wheat"),G286*0.9*'BAU Management details'!$F$46,
IF(AND(OR(A286&lt;&gt;A285,F286&lt;&gt;F285),F286="Winter wheat"),G286*'BAU Management details'!$F$46,
IF(F286="Oilseed Rape",G286*'BAU Management details'!$F$47)))</f>
        <v>16.364194000000001</v>
      </c>
      <c r="I286" t="s">
        <v>348</v>
      </c>
      <c r="J286">
        <v>10</v>
      </c>
      <c r="K286" t="s">
        <v>532</v>
      </c>
      <c r="L286" t="s">
        <v>751</v>
      </c>
      <c r="M286">
        <v>1.8</v>
      </c>
      <c r="N286" t="s">
        <v>349</v>
      </c>
      <c r="O286" t="s">
        <v>742</v>
      </c>
      <c r="P286">
        <v>6.7</v>
      </c>
      <c r="Q286" t="s">
        <v>743</v>
      </c>
      <c r="R286" t="s">
        <v>351</v>
      </c>
      <c r="S286">
        <v>220</v>
      </c>
      <c r="T286" s="47" t="s">
        <v>735</v>
      </c>
      <c r="U286" t="s">
        <v>368</v>
      </c>
      <c r="V286" t="s">
        <v>364</v>
      </c>
      <c r="W286" s="47" t="s">
        <v>736</v>
      </c>
      <c r="X286" s="47">
        <v>0</v>
      </c>
      <c r="Y286" s="47" t="s">
        <v>736</v>
      </c>
      <c r="Z286" s="47">
        <v>0</v>
      </c>
      <c r="AA286" s="47" t="s">
        <v>736</v>
      </c>
      <c r="AB286" s="47">
        <v>0</v>
      </c>
      <c r="AC286" s="47">
        <v>0</v>
      </c>
      <c r="AD286" s="47">
        <v>0</v>
      </c>
      <c r="AE286" s="47" t="s">
        <v>731</v>
      </c>
      <c r="AF286" s="47">
        <v>0</v>
      </c>
      <c r="AG286" s="47" t="s">
        <v>731</v>
      </c>
      <c r="AH286" s="47">
        <v>0</v>
      </c>
      <c r="AI286" s="47" t="s">
        <v>735</v>
      </c>
      <c r="AJ286">
        <v>1</v>
      </c>
      <c r="AK286">
        <v>100</v>
      </c>
    </row>
    <row r="287" spans="1:37" x14ac:dyDescent="0.2">
      <c r="A287" t="s">
        <v>1066</v>
      </c>
      <c r="B287" t="s">
        <v>361</v>
      </c>
      <c r="C287">
        <v>2019</v>
      </c>
      <c r="D287">
        <v>4</v>
      </c>
      <c r="E287" t="s">
        <v>1070</v>
      </c>
      <c r="F287" t="s">
        <v>362</v>
      </c>
      <c r="G287">
        <v>4.675484</v>
      </c>
      <c r="H287" s="20">
        <f>IF(AND(A287=A286,F287=F286,F287="Winter wheat"),G287*0.9*'BAU Management details'!$F$46,
IF(AND(OR(A287&lt;&gt;A286,F287&lt;&gt;F286),F287="Winter wheat"),G287*'BAU Management details'!$F$46,
IF(F287="Oilseed Rape",G287*'BAU Management details'!$F$47)))</f>
        <v>40.209162399999997</v>
      </c>
      <c r="I287" t="s">
        <v>348</v>
      </c>
      <c r="J287">
        <v>10</v>
      </c>
      <c r="K287" t="s">
        <v>362</v>
      </c>
      <c r="L287" t="s">
        <v>751</v>
      </c>
      <c r="M287">
        <v>1.8</v>
      </c>
      <c r="N287" t="s">
        <v>349</v>
      </c>
      <c r="O287" t="s">
        <v>742</v>
      </c>
      <c r="P287">
        <v>6.7</v>
      </c>
      <c r="Q287" t="s">
        <v>743</v>
      </c>
      <c r="R287" t="s">
        <v>351</v>
      </c>
      <c r="S287">
        <v>220</v>
      </c>
      <c r="T287" s="47" t="s">
        <v>729</v>
      </c>
      <c r="U287" t="s">
        <v>366</v>
      </c>
      <c r="V287" t="s">
        <v>364</v>
      </c>
      <c r="W287" s="47" t="s">
        <v>736</v>
      </c>
      <c r="X287" s="47">
        <v>0</v>
      </c>
      <c r="Y287" s="47" t="s">
        <v>730</v>
      </c>
      <c r="Z287" s="47">
        <v>0</v>
      </c>
      <c r="AA287" s="47" t="s">
        <v>731</v>
      </c>
      <c r="AB287" s="47">
        <v>0</v>
      </c>
      <c r="AC287" s="47" t="s">
        <v>731</v>
      </c>
      <c r="AD287" s="47" t="s">
        <v>731</v>
      </c>
      <c r="AE287" s="47" t="s">
        <v>731</v>
      </c>
      <c r="AF287" s="47">
        <v>0</v>
      </c>
      <c r="AG287" s="47">
        <v>0</v>
      </c>
      <c r="AH287" s="47">
        <v>0</v>
      </c>
      <c r="AI287" s="47" t="s">
        <v>729</v>
      </c>
      <c r="AJ287">
        <v>1</v>
      </c>
      <c r="AK287">
        <v>100</v>
      </c>
    </row>
    <row r="288" spans="1:37" x14ac:dyDescent="0.2">
      <c r="A288" t="s">
        <v>1066</v>
      </c>
      <c r="B288" t="s">
        <v>361</v>
      </c>
      <c r="C288">
        <v>2020</v>
      </c>
      <c r="D288">
        <v>5</v>
      </c>
      <c r="E288" t="s">
        <v>1071</v>
      </c>
      <c r="F288" t="s">
        <v>362</v>
      </c>
      <c r="G288">
        <v>4.675484</v>
      </c>
      <c r="H288" s="20">
        <f>IF(AND(A288=A287,F288=F287,F288="Winter wheat"),G288*0.9*'BAU Management details'!$F$46,
IF(AND(OR(A288&lt;&gt;A287,F288&lt;&gt;F287),F288="Winter wheat"),G288*'BAU Management details'!$F$46,
IF(F288="Oilseed Rape",G288*'BAU Management details'!$F$47)))</f>
        <v>36.188246159999998</v>
      </c>
      <c r="I288" t="s">
        <v>348</v>
      </c>
      <c r="J288">
        <v>10</v>
      </c>
      <c r="K288" t="s">
        <v>362</v>
      </c>
      <c r="L288" t="s">
        <v>751</v>
      </c>
      <c r="M288">
        <v>1.8</v>
      </c>
      <c r="N288" t="s">
        <v>349</v>
      </c>
      <c r="O288" t="s">
        <v>742</v>
      </c>
      <c r="P288">
        <v>6.7</v>
      </c>
      <c r="Q288" t="s">
        <v>743</v>
      </c>
      <c r="R288" t="s">
        <v>351</v>
      </c>
      <c r="S288">
        <v>220</v>
      </c>
      <c r="T288" s="47" t="s">
        <v>729</v>
      </c>
      <c r="U288" t="s">
        <v>733</v>
      </c>
      <c r="V288" t="s">
        <v>364</v>
      </c>
      <c r="W288" s="47" t="s">
        <v>736</v>
      </c>
      <c r="X288" s="47">
        <v>0</v>
      </c>
      <c r="Y288" s="47" t="s">
        <v>730</v>
      </c>
      <c r="Z288" s="47">
        <v>0</v>
      </c>
      <c r="AA288" s="47" t="s">
        <v>731</v>
      </c>
      <c r="AB288" s="47">
        <v>0</v>
      </c>
      <c r="AC288" s="47">
        <v>0</v>
      </c>
      <c r="AD288" s="47">
        <v>0</v>
      </c>
      <c r="AE288" s="47" t="s">
        <v>731</v>
      </c>
      <c r="AF288" s="47">
        <v>0</v>
      </c>
      <c r="AG288" s="47">
        <v>0</v>
      </c>
      <c r="AH288" s="47">
        <v>0</v>
      </c>
      <c r="AI288" s="47" t="s">
        <v>729</v>
      </c>
      <c r="AJ288">
        <v>1</v>
      </c>
      <c r="AK288">
        <v>100</v>
      </c>
    </row>
    <row r="289" spans="1:37" x14ac:dyDescent="0.2">
      <c r="A289" t="s">
        <v>1066</v>
      </c>
      <c r="B289" t="s">
        <v>361</v>
      </c>
      <c r="C289">
        <v>2021</v>
      </c>
      <c r="D289">
        <v>6</v>
      </c>
      <c r="E289" t="s">
        <v>1072</v>
      </c>
      <c r="F289" t="s">
        <v>365</v>
      </c>
      <c r="G289">
        <v>4.675484</v>
      </c>
      <c r="H289" s="20">
        <f>IF(AND(A289=A288,F289=F288,F289="Winter wheat"),G289*0.9*'BAU Management details'!$F$46,
IF(AND(OR(A289&lt;&gt;A288,F289&lt;&gt;F288),F289="Winter wheat"),G289*'BAU Management details'!$F$46,
IF(F289="Oilseed Rape",G289*'BAU Management details'!$F$47)))</f>
        <v>16.364194000000001</v>
      </c>
      <c r="I289" t="s">
        <v>348</v>
      </c>
      <c r="J289">
        <v>10</v>
      </c>
      <c r="K289" t="s">
        <v>532</v>
      </c>
      <c r="L289" t="s">
        <v>751</v>
      </c>
      <c r="M289">
        <v>1.8</v>
      </c>
      <c r="N289" t="s">
        <v>349</v>
      </c>
      <c r="O289" t="s">
        <v>742</v>
      </c>
      <c r="P289">
        <v>6.7</v>
      </c>
      <c r="Q289" t="s">
        <v>743</v>
      </c>
      <c r="R289" t="s">
        <v>351</v>
      </c>
      <c r="S289">
        <v>220</v>
      </c>
      <c r="T289" s="47" t="s">
        <v>735</v>
      </c>
      <c r="U289" t="s">
        <v>368</v>
      </c>
      <c r="V289" t="s">
        <v>364</v>
      </c>
      <c r="W289" s="47" t="s">
        <v>736</v>
      </c>
      <c r="X289" s="47">
        <v>0</v>
      </c>
      <c r="Y289" s="47" t="s">
        <v>736</v>
      </c>
      <c r="Z289" s="47">
        <v>0</v>
      </c>
      <c r="AA289" s="47" t="s">
        <v>736</v>
      </c>
      <c r="AB289" s="47">
        <v>0</v>
      </c>
      <c r="AC289" s="47">
        <v>0</v>
      </c>
      <c r="AD289" s="47">
        <v>0</v>
      </c>
      <c r="AE289" s="47" t="s">
        <v>731</v>
      </c>
      <c r="AF289" s="47">
        <v>0</v>
      </c>
      <c r="AG289" s="47" t="s">
        <v>731</v>
      </c>
      <c r="AH289" s="47">
        <v>0</v>
      </c>
      <c r="AI289" s="47" t="s">
        <v>735</v>
      </c>
      <c r="AJ289">
        <v>1</v>
      </c>
      <c r="AK289">
        <v>100</v>
      </c>
    </row>
    <row r="290" spans="1:37" x14ac:dyDescent="0.2">
      <c r="A290" t="s">
        <v>1073</v>
      </c>
      <c r="B290" t="s">
        <v>361</v>
      </c>
      <c r="C290">
        <v>2016</v>
      </c>
      <c r="D290">
        <v>1</v>
      </c>
      <c r="E290" t="s">
        <v>1074</v>
      </c>
      <c r="F290" t="s">
        <v>362</v>
      </c>
      <c r="G290">
        <v>12.081019</v>
      </c>
      <c r="H290" s="20">
        <f>IF(AND(A290=A289,F290=F289,F290="Winter wheat"),G290*0.9*'BAU Management details'!$F$46,
IF(AND(OR(A290&lt;&gt;A289,F290&lt;&gt;F289),F290="Winter wheat"),G290*'BAU Management details'!$F$46,
IF(F290="Oilseed Rape",G290*'BAU Management details'!$F$47)))</f>
        <v>103.8967634</v>
      </c>
      <c r="I290" t="s">
        <v>348</v>
      </c>
      <c r="J290">
        <v>10</v>
      </c>
      <c r="K290" t="s">
        <v>362</v>
      </c>
      <c r="L290" t="s">
        <v>751</v>
      </c>
      <c r="M290">
        <v>1.8</v>
      </c>
      <c r="N290" t="s">
        <v>349</v>
      </c>
      <c r="O290" t="s">
        <v>742</v>
      </c>
      <c r="P290">
        <v>6.7</v>
      </c>
      <c r="Q290" t="s">
        <v>743</v>
      </c>
      <c r="R290" t="s">
        <v>351</v>
      </c>
      <c r="S290">
        <v>220</v>
      </c>
      <c r="T290" s="47" t="s">
        <v>729</v>
      </c>
      <c r="U290" t="s">
        <v>366</v>
      </c>
      <c r="V290" t="s">
        <v>364</v>
      </c>
      <c r="W290" s="47" t="s">
        <v>736</v>
      </c>
      <c r="X290" s="47">
        <v>0</v>
      </c>
      <c r="Y290" s="47" t="s">
        <v>730</v>
      </c>
      <c r="Z290" s="47">
        <v>0</v>
      </c>
      <c r="AA290" s="47" t="s">
        <v>731</v>
      </c>
      <c r="AB290" s="47">
        <v>0</v>
      </c>
      <c r="AC290" s="47" t="s">
        <v>731</v>
      </c>
      <c r="AD290" s="47" t="s">
        <v>731</v>
      </c>
      <c r="AE290" s="47" t="s">
        <v>731</v>
      </c>
      <c r="AF290" s="47">
        <v>0</v>
      </c>
      <c r="AG290" s="47">
        <v>0</v>
      </c>
      <c r="AH290" s="47">
        <v>0</v>
      </c>
      <c r="AI290" s="47" t="s">
        <v>729</v>
      </c>
      <c r="AJ290">
        <v>1</v>
      </c>
      <c r="AK290">
        <v>100</v>
      </c>
    </row>
    <row r="291" spans="1:37" x14ac:dyDescent="0.2">
      <c r="A291" t="s">
        <v>1073</v>
      </c>
      <c r="B291" t="s">
        <v>361</v>
      </c>
      <c r="C291">
        <v>2017</v>
      </c>
      <c r="D291">
        <v>2</v>
      </c>
      <c r="E291" t="s">
        <v>1075</v>
      </c>
      <c r="F291" t="s">
        <v>362</v>
      </c>
      <c r="G291">
        <v>12.081019</v>
      </c>
      <c r="H291" s="20">
        <f>IF(AND(A291=A290,F291=F290,F291="Winter wheat"),G291*0.9*'BAU Management details'!$F$46,
IF(AND(OR(A291&lt;&gt;A290,F291&lt;&gt;F290),F291="Winter wheat"),G291*'BAU Management details'!$F$46,
IF(F291="Oilseed Rape",G291*'BAU Management details'!$F$47)))</f>
        <v>93.507087060000003</v>
      </c>
      <c r="I291" t="s">
        <v>348</v>
      </c>
      <c r="J291">
        <v>10</v>
      </c>
      <c r="K291" t="s">
        <v>362</v>
      </c>
      <c r="L291" t="s">
        <v>751</v>
      </c>
      <c r="M291">
        <v>1.8</v>
      </c>
      <c r="N291" t="s">
        <v>349</v>
      </c>
      <c r="O291" t="s">
        <v>742</v>
      </c>
      <c r="P291">
        <v>6.7</v>
      </c>
      <c r="Q291" t="s">
        <v>743</v>
      </c>
      <c r="R291" t="s">
        <v>351</v>
      </c>
      <c r="S291">
        <v>220</v>
      </c>
      <c r="T291" s="47" t="s">
        <v>729</v>
      </c>
      <c r="U291" t="s">
        <v>733</v>
      </c>
      <c r="V291" t="s">
        <v>364</v>
      </c>
      <c r="W291" s="47" t="s">
        <v>736</v>
      </c>
      <c r="X291" s="47">
        <v>0</v>
      </c>
      <c r="Y291" s="47" t="s">
        <v>730</v>
      </c>
      <c r="Z291" s="47">
        <v>0</v>
      </c>
      <c r="AA291" s="47" t="s">
        <v>731</v>
      </c>
      <c r="AB291" s="47">
        <v>0</v>
      </c>
      <c r="AC291" s="47">
        <v>0</v>
      </c>
      <c r="AD291" s="47">
        <v>0</v>
      </c>
      <c r="AE291" s="47" t="s">
        <v>731</v>
      </c>
      <c r="AF291" s="47">
        <v>0</v>
      </c>
      <c r="AG291" s="47">
        <v>0</v>
      </c>
      <c r="AH291" s="47">
        <v>0</v>
      </c>
      <c r="AI291" s="47" t="s">
        <v>729</v>
      </c>
      <c r="AJ291">
        <v>1</v>
      </c>
      <c r="AK291">
        <v>100</v>
      </c>
    </row>
    <row r="292" spans="1:37" x14ac:dyDescent="0.2">
      <c r="A292" t="s">
        <v>1073</v>
      </c>
      <c r="B292" t="s">
        <v>361</v>
      </c>
      <c r="C292">
        <v>2018</v>
      </c>
      <c r="D292">
        <v>3</v>
      </c>
      <c r="E292" t="s">
        <v>1076</v>
      </c>
      <c r="F292" t="s">
        <v>365</v>
      </c>
      <c r="G292">
        <v>12.081019</v>
      </c>
      <c r="H292" s="20">
        <f>IF(AND(A292=A291,F292=F291,F292="Winter wheat"),G292*0.9*'BAU Management details'!$F$46,
IF(AND(OR(A292&lt;&gt;A291,F292&lt;&gt;F291),F292="Winter wheat"),G292*'BAU Management details'!$F$46,
IF(F292="Oilseed Rape",G292*'BAU Management details'!$F$47)))</f>
        <v>42.283566499999999</v>
      </c>
      <c r="I292" t="s">
        <v>348</v>
      </c>
      <c r="J292">
        <v>10</v>
      </c>
      <c r="K292" t="s">
        <v>532</v>
      </c>
      <c r="L292" t="s">
        <v>751</v>
      </c>
      <c r="M292">
        <v>1.8</v>
      </c>
      <c r="N292" t="s">
        <v>349</v>
      </c>
      <c r="O292" t="s">
        <v>742</v>
      </c>
      <c r="P292">
        <v>6.7</v>
      </c>
      <c r="Q292" t="s">
        <v>743</v>
      </c>
      <c r="R292" t="s">
        <v>351</v>
      </c>
      <c r="S292">
        <v>220</v>
      </c>
      <c r="T292" s="47" t="s">
        <v>735</v>
      </c>
      <c r="U292" t="s">
        <v>368</v>
      </c>
      <c r="V292" t="s">
        <v>364</v>
      </c>
      <c r="W292" s="47" t="s">
        <v>736</v>
      </c>
      <c r="X292" s="47">
        <v>0</v>
      </c>
      <c r="Y292" s="47" t="s">
        <v>736</v>
      </c>
      <c r="Z292" s="47">
        <v>0</v>
      </c>
      <c r="AA292" s="47" t="s">
        <v>736</v>
      </c>
      <c r="AB292" s="47">
        <v>0</v>
      </c>
      <c r="AC292" s="47">
        <v>0</v>
      </c>
      <c r="AD292" s="47">
        <v>0</v>
      </c>
      <c r="AE292" s="47" t="s">
        <v>731</v>
      </c>
      <c r="AF292" s="47">
        <v>0</v>
      </c>
      <c r="AG292" s="47" t="s">
        <v>731</v>
      </c>
      <c r="AH292" s="47">
        <v>0</v>
      </c>
      <c r="AI292" s="47" t="s">
        <v>735</v>
      </c>
      <c r="AJ292">
        <v>1</v>
      </c>
      <c r="AK292">
        <v>100</v>
      </c>
    </row>
    <row r="293" spans="1:37" x14ac:dyDescent="0.2">
      <c r="A293" t="s">
        <v>1073</v>
      </c>
      <c r="B293" t="s">
        <v>361</v>
      </c>
      <c r="C293">
        <v>2019</v>
      </c>
      <c r="D293">
        <v>4</v>
      </c>
      <c r="E293" t="s">
        <v>1077</v>
      </c>
      <c r="F293" t="s">
        <v>362</v>
      </c>
      <c r="G293">
        <v>12.081019</v>
      </c>
      <c r="H293" s="20">
        <f>IF(AND(A293=A292,F293=F292,F293="Winter wheat"),G293*0.9*'BAU Management details'!$F$46,
IF(AND(OR(A293&lt;&gt;A292,F293&lt;&gt;F292),F293="Winter wheat"),G293*'BAU Management details'!$F$46,
IF(F293="Oilseed Rape",G293*'BAU Management details'!$F$47)))</f>
        <v>103.8967634</v>
      </c>
      <c r="I293" t="s">
        <v>348</v>
      </c>
      <c r="J293">
        <v>10</v>
      </c>
      <c r="K293" t="s">
        <v>362</v>
      </c>
      <c r="L293" t="s">
        <v>751</v>
      </c>
      <c r="M293">
        <v>1.8</v>
      </c>
      <c r="N293" t="s">
        <v>349</v>
      </c>
      <c r="O293" t="s">
        <v>742</v>
      </c>
      <c r="P293">
        <v>6.7</v>
      </c>
      <c r="Q293" t="s">
        <v>743</v>
      </c>
      <c r="R293" t="s">
        <v>351</v>
      </c>
      <c r="S293">
        <v>220</v>
      </c>
      <c r="T293" s="47" t="s">
        <v>729</v>
      </c>
      <c r="U293" t="s">
        <v>366</v>
      </c>
      <c r="V293" t="s">
        <v>364</v>
      </c>
      <c r="W293" s="47" t="s">
        <v>736</v>
      </c>
      <c r="X293" s="47">
        <v>0</v>
      </c>
      <c r="Y293" s="47" t="s">
        <v>730</v>
      </c>
      <c r="Z293" s="47">
        <v>0</v>
      </c>
      <c r="AA293" s="47" t="s">
        <v>731</v>
      </c>
      <c r="AB293" s="47">
        <v>0</v>
      </c>
      <c r="AC293" s="47" t="s">
        <v>731</v>
      </c>
      <c r="AD293" s="47" t="s">
        <v>731</v>
      </c>
      <c r="AE293" s="47" t="s">
        <v>731</v>
      </c>
      <c r="AF293" s="47">
        <v>0</v>
      </c>
      <c r="AG293" s="47">
        <v>0</v>
      </c>
      <c r="AH293" s="47">
        <v>0</v>
      </c>
      <c r="AI293" s="47" t="s">
        <v>729</v>
      </c>
      <c r="AJ293">
        <v>1</v>
      </c>
      <c r="AK293">
        <v>100</v>
      </c>
    </row>
    <row r="294" spans="1:37" x14ac:dyDescent="0.2">
      <c r="A294" t="s">
        <v>1073</v>
      </c>
      <c r="B294" t="s">
        <v>361</v>
      </c>
      <c r="C294">
        <v>2020</v>
      </c>
      <c r="D294">
        <v>5</v>
      </c>
      <c r="E294" t="s">
        <v>1078</v>
      </c>
      <c r="F294" t="s">
        <v>362</v>
      </c>
      <c r="G294">
        <v>12.081019</v>
      </c>
      <c r="H294" s="20">
        <f>IF(AND(A294=A293,F294=F293,F294="Winter wheat"),G294*0.9*'BAU Management details'!$F$46,
IF(AND(OR(A294&lt;&gt;A293,F294&lt;&gt;F293),F294="Winter wheat"),G294*'BAU Management details'!$F$46,
IF(F294="Oilseed Rape",G294*'BAU Management details'!$F$47)))</f>
        <v>93.507087060000003</v>
      </c>
      <c r="I294" t="s">
        <v>348</v>
      </c>
      <c r="J294">
        <v>10</v>
      </c>
      <c r="K294" t="s">
        <v>362</v>
      </c>
      <c r="L294" t="s">
        <v>751</v>
      </c>
      <c r="M294">
        <v>1.8</v>
      </c>
      <c r="N294" t="s">
        <v>349</v>
      </c>
      <c r="O294" t="s">
        <v>742</v>
      </c>
      <c r="P294">
        <v>6.7</v>
      </c>
      <c r="Q294" t="s">
        <v>743</v>
      </c>
      <c r="R294" t="s">
        <v>351</v>
      </c>
      <c r="S294">
        <v>220</v>
      </c>
      <c r="T294" s="47" t="s">
        <v>729</v>
      </c>
      <c r="U294" t="s">
        <v>733</v>
      </c>
      <c r="V294" t="s">
        <v>364</v>
      </c>
      <c r="W294" s="47" t="s">
        <v>736</v>
      </c>
      <c r="X294" s="47">
        <v>0</v>
      </c>
      <c r="Y294" s="47" t="s">
        <v>730</v>
      </c>
      <c r="Z294" s="47">
        <v>0</v>
      </c>
      <c r="AA294" s="47" t="s">
        <v>731</v>
      </c>
      <c r="AB294" s="47">
        <v>0</v>
      </c>
      <c r="AC294" s="47">
        <v>0</v>
      </c>
      <c r="AD294" s="47">
        <v>0</v>
      </c>
      <c r="AE294" s="47" t="s">
        <v>731</v>
      </c>
      <c r="AF294" s="47">
        <v>0</v>
      </c>
      <c r="AG294" s="47">
        <v>0</v>
      </c>
      <c r="AH294" s="47">
        <v>0</v>
      </c>
      <c r="AI294" s="47" t="s">
        <v>729</v>
      </c>
      <c r="AJ294">
        <v>1</v>
      </c>
      <c r="AK294">
        <v>100</v>
      </c>
    </row>
    <row r="295" spans="1:37" x14ac:dyDescent="0.2">
      <c r="A295" t="s">
        <v>1073</v>
      </c>
      <c r="B295" t="s">
        <v>361</v>
      </c>
      <c r="C295">
        <v>2021</v>
      </c>
      <c r="D295">
        <v>6</v>
      </c>
      <c r="E295" t="s">
        <v>1079</v>
      </c>
      <c r="F295" t="s">
        <v>365</v>
      </c>
      <c r="G295">
        <v>12.081019</v>
      </c>
      <c r="H295" s="20">
        <f>IF(AND(A295=A294,F295=F294,F295="Winter wheat"),G295*0.9*'BAU Management details'!$F$46,
IF(AND(OR(A295&lt;&gt;A294,F295&lt;&gt;F294),F295="Winter wheat"),G295*'BAU Management details'!$F$46,
IF(F295="Oilseed Rape",G295*'BAU Management details'!$F$47)))</f>
        <v>42.283566499999999</v>
      </c>
      <c r="I295" t="s">
        <v>348</v>
      </c>
      <c r="J295">
        <v>10</v>
      </c>
      <c r="K295" t="s">
        <v>532</v>
      </c>
      <c r="L295" t="s">
        <v>751</v>
      </c>
      <c r="M295">
        <v>1.8</v>
      </c>
      <c r="N295" t="s">
        <v>349</v>
      </c>
      <c r="O295" t="s">
        <v>742</v>
      </c>
      <c r="P295">
        <v>6.7</v>
      </c>
      <c r="Q295" t="s">
        <v>743</v>
      </c>
      <c r="R295" t="s">
        <v>351</v>
      </c>
      <c r="S295">
        <v>220</v>
      </c>
      <c r="T295" s="47" t="s">
        <v>735</v>
      </c>
      <c r="U295" t="s">
        <v>368</v>
      </c>
      <c r="V295" t="s">
        <v>364</v>
      </c>
      <c r="W295" s="47" t="s">
        <v>736</v>
      </c>
      <c r="X295" s="47">
        <v>0</v>
      </c>
      <c r="Y295" s="47" t="s">
        <v>736</v>
      </c>
      <c r="Z295" s="47">
        <v>0</v>
      </c>
      <c r="AA295" s="47" t="s">
        <v>736</v>
      </c>
      <c r="AB295" s="47">
        <v>0</v>
      </c>
      <c r="AC295" s="47">
        <v>0</v>
      </c>
      <c r="AD295" s="47">
        <v>0</v>
      </c>
      <c r="AE295" s="47" t="s">
        <v>731</v>
      </c>
      <c r="AF295" s="47">
        <v>0</v>
      </c>
      <c r="AG295" s="47" t="s">
        <v>731</v>
      </c>
      <c r="AH295" s="47">
        <v>0</v>
      </c>
      <c r="AI295" s="47" t="s">
        <v>735</v>
      </c>
      <c r="AJ295">
        <v>1</v>
      </c>
      <c r="AK295">
        <v>100</v>
      </c>
    </row>
    <row r="296" spans="1:37" x14ac:dyDescent="0.2">
      <c r="A296" t="s">
        <v>1080</v>
      </c>
      <c r="B296" t="s">
        <v>361</v>
      </c>
      <c r="C296">
        <v>2016</v>
      </c>
      <c r="D296">
        <v>1</v>
      </c>
      <c r="E296" t="s">
        <v>1081</v>
      </c>
      <c r="F296" t="s">
        <v>362</v>
      </c>
      <c r="G296">
        <v>11.059297000000001</v>
      </c>
      <c r="H296" s="20">
        <f>IF(AND(A296=A295,F296=F295,F296="Winter wheat"),G296*0.9*'BAU Management details'!$F$46,
IF(AND(OR(A296&lt;&gt;A295,F296&lt;&gt;F295),F296="Winter wheat"),G296*'BAU Management details'!$F$46,
IF(F296="Oilseed Rape",G296*'BAU Management details'!$F$47)))</f>
        <v>95.109954200000004</v>
      </c>
      <c r="I296" t="s">
        <v>348</v>
      </c>
      <c r="J296">
        <v>10</v>
      </c>
      <c r="K296" t="s">
        <v>362</v>
      </c>
      <c r="L296" t="s">
        <v>727</v>
      </c>
      <c r="M296">
        <v>2.7</v>
      </c>
      <c r="N296" t="s">
        <v>349</v>
      </c>
      <c r="O296" t="s">
        <v>742</v>
      </c>
      <c r="P296">
        <v>6.8</v>
      </c>
      <c r="Q296" t="s">
        <v>743</v>
      </c>
      <c r="R296" t="s">
        <v>351</v>
      </c>
      <c r="S296">
        <v>220</v>
      </c>
      <c r="T296" s="47" t="s">
        <v>729</v>
      </c>
      <c r="U296" t="s">
        <v>366</v>
      </c>
      <c r="V296" t="s">
        <v>364</v>
      </c>
      <c r="W296" s="47" t="s">
        <v>736</v>
      </c>
      <c r="X296" s="47">
        <v>0</v>
      </c>
      <c r="Y296" s="47" t="s">
        <v>730</v>
      </c>
      <c r="Z296" s="47">
        <v>0</v>
      </c>
      <c r="AA296" s="47" t="s">
        <v>731</v>
      </c>
      <c r="AB296" s="47">
        <v>0</v>
      </c>
      <c r="AC296" s="47" t="s">
        <v>731</v>
      </c>
      <c r="AD296" s="47" t="s">
        <v>731</v>
      </c>
      <c r="AE296" s="47" t="s">
        <v>731</v>
      </c>
      <c r="AF296" s="47">
        <v>0</v>
      </c>
      <c r="AG296" s="47">
        <v>0</v>
      </c>
      <c r="AH296" s="47">
        <v>0</v>
      </c>
      <c r="AI296" s="47" t="s">
        <v>729</v>
      </c>
      <c r="AJ296">
        <v>1</v>
      </c>
      <c r="AK296">
        <v>100</v>
      </c>
    </row>
    <row r="297" spans="1:37" x14ac:dyDescent="0.2">
      <c r="A297" t="s">
        <v>1080</v>
      </c>
      <c r="B297" t="s">
        <v>361</v>
      </c>
      <c r="C297">
        <v>2017</v>
      </c>
      <c r="D297">
        <v>2</v>
      </c>
      <c r="E297" t="s">
        <v>1082</v>
      </c>
      <c r="F297" t="s">
        <v>362</v>
      </c>
      <c r="G297">
        <v>11.059297000000001</v>
      </c>
      <c r="H297" s="20">
        <f>IF(AND(A297=A296,F297=F296,F297="Winter wheat"),G297*0.9*'BAU Management details'!$F$46,
IF(AND(OR(A297&lt;&gt;A296,F297&lt;&gt;F296),F297="Winter wheat"),G297*'BAU Management details'!$F$46,
IF(F297="Oilseed Rape",G297*'BAU Management details'!$F$47)))</f>
        <v>85.598958780000018</v>
      </c>
      <c r="I297" t="s">
        <v>348</v>
      </c>
      <c r="J297">
        <v>10</v>
      </c>
      <c r="K297" t="s">
        <v>362</v>
      </c>
      <c r="L297" t="s">
        <v>727</v>
      </c>
      <c r="M297">
        <v>2.7</v>
      </c>
      <c r="N297" t="s">
        <v>349</v>
      </c>
      <c r="O297" t="s">
        <v>742</v>
      </c>
      <c r="P297">
        <v>6.8</v>
      </c>
      <c r="Q297" t="s">
        <v>743</v>
      </c>
      <c r="R297" t="s">
        <v>351</v>
      </c>
      <c r="S297">
        <v>220</v>
      </c>
      <c r="T297" s="47" t="s">
        <v>729</v>
      </c>
      <c r="U297" t="s">
        <v>733</v>
      </c>
      <c r="V297" t="s">
        <v>364</v>
      </c>
      <c r="W297" s="47" t="s">
        <v>736</v>
      </c>
      <c r="X297" s="47">
        <v>0</v>
      </c>
      <c r="Y297" s="47" t="s">
        <v>730</v>
      </c>
      <c r="Z297" s="47">
        <v>0</v>
      </c>
      <c r="AA297" s="47" t="s">
        <v>731</v>
      </c>
      <c r="AB297" s="47">
        <v>0</v>
      </c>
      <c r="AC297" s="47">
        <v>0</v>
      </c>
      <c r="AD297" s="47">
        <v>0</v>
      </c>
      <c r="AE297" s="47" t="s">
        <v>731</v>
      </c>
      <c r="AF297" s="47">
        <v>0</v>
      </c>
      <c r="AG297" s="47">
        <v>0</v>
      </c>
      <c r="AH297" s="47">
        <v>0</v>
      </c>
      <c r="AI297" s="47" t="s">
        <v>729</v>
      </c>
      <c r="AJ297">
        <v>1</v>
      </c>
      <c r="AK297">
        <v>100</v>
      </c>
    </row>
    <row r="298" spans="1:37" x14ac:dyDescent="0.2">
      <c r="A298" t="s">
        <v>1080</v>
      </c>
      <c r="B298" t="s">
        <v>361</v>
      </c>
      <c r="C298">
        <v>2018</v>
      </c>
      <c r="D298">
        <v>3</v>
      </c>
      <c r="E298" t="s">
        <v>1083</v>
      </c>
      <c r="F298" t="s">
        <v>365</v>
      </c>
      <c r="G298">
        <v>11.059297000000001</v>
      </c>
      <c r="H298" s="20">
        <f>IF(AND(A298=A297,F298=F297,F298="Winter wheat"),G298*0.9*'BAU Management details'!$F$46,
IF(AND(OR(A298&lt;&gt;A297,F298&lt;&gt;F297),F298="Winter wheat"),G298*'BAU Management details'!$F$46,
IF(F298="Oilseed Rape",G298*'BAU Management details'!$F$47)))</f>
        <v>38.707539500000003</v>
      </c>
      <c r="I298" t="s">
        <v>348</v>
      </c>
      <c r="J298">
        <v>10</v>
      </c>
      <c r="K298" t="s">
        <v>532</v>
      </c>
      <c r="L298" t="s">
        <v>727</v>
      </c>
      <c r="M298">
        <v>2.7</v>
      </c>
      <c r="N298" t="s">
        <v>349</v>
      </c>
      <c r="O298" t="s">
        <v>742</v>
      </c>
      <c r="P298">
        <v>6.8</v>
      </c>
      <c r="Q298" t="s">
        <v>743</v>
      </c>
      <c r="R298" t="s">
        <v>351</v>
      </c>
      <c r="S298">
        <v>220</v>
      </c>
      <c r="T298" s="47" t="s">
        <v>735</v>
      </c>
      <c r="U298" t="s">
        <v>368</v>
      </c>
      <c r="V298" t="s">
        <v>364</v>
      </c>
      <c r="W298" s="47" t="s">
        <v>736</v>
      </c>
      <c r="X298" s="47">
        <v>0</v>
      </c>
      <c r="Y298" s="47" t="s">
        <v>736</v>
      </c>
      <c r="Z298" s="47">
        <v>0</v>
      </c>
      <c r="AA298" s="47" t="s">
        <v>736</v>
      </c>
      <c r="AB298" s="47">
        <v>0</v>
      </c>
      <c r="AC298" s="47">
        <v>0</v>
      </c>
      <c r="AD298" s="47">
        <v>0</v>
      </c>
      <c r="AE298" s="47" t="s">
        <v>731</v>
      </c>
      <c r="AF298" s="47">
        <v>0</v>
      </c>
      <c r="AG298" s="47" t="s">
        <v>731</v>
      </c>
      <c r="AH298" s="47">
        <v>0</v>
      </c>
      <c r="AI298" s="47" t="s">
        <v>735</v>
      </c>
      <c r="AJ298">
        <v>1</v>
      </c>
      <c r="AK298">
        <v>100</v>
      </c>
    </row>
    <row r="299" spans="1:37" x14ac:dyDescent="0.2">
      <c r="A299" t="s">
        <v>1080</v>
      </c>
      <c r="B299" t="s">
        <v>361</v>
      </c>
      <c r="C299">
        <v>2019</v>
      </c>
      <c r="D299">
        <v>4</v>
      </c>
      <c r="E299" t="s">
        <v>1084</v>
      </c>
      <c r="F299" t="s">
        <v>362</v>
      </c>
      <c r="G299">
        <v>11.059297000000001</v>
      </c>
      <c r="H299" s="20">
        <f>IF(AND(A299=A298,F299=F298,F299="Winter wheat"),G299*0.9*'BAU Management details'!$F$46,
IF(AND(OR(A299&lt;&gt;A298,F299&lt;&gt;F298),F299="Winter wheat"),G299*'BAU Management details'!$F$46,
IF(F299="Oilseed Rape",G299*'BAU Management details'!$F$47)))</f>
        <v>95.109954200000004</v>
      </c>
      <c r="I299" t="s">
        <v>348</v>
      </c>
      <c r="J299">
        <v>10</v>
      </c>
      <c r="K299" t="s">
        <v>362</v>
      </c>
      <c r="L299" t="s">
        <v>727</v>
      </c>
      <c r="M299">
        <v>2.7</v>
      </c>
      <c r="N299" t="s">
        <v>349</v>
      </c>
      <c r="O299" t="s">
        <v>742</v>
      </c>
      <c r="P299">
        <v>6.8</v>
      </c>
      <c r="Q299" t="s">
        <v>743</v>
      </c>
      <c r="R299" t="s">
        <v>351</v>
      </c>
      <c r="S299">
        <v>220</v>
      </c>
      <c r="T299" s="47" t="s">
        <v>729</v>
      </c>
      <c r="U299" t="s">
        <v>366</v>
      </c>
      <c r="V299" t="s">
        <v>364</v>
      </c>
      <c r="W299" s="47" t="s">
        <v>736</v>
      </c>
      <c r="X299" s="47">
        <v>0</v>
      </c>
      <c r="Y299" s="47" t="s">
        <v>730</v>
      </c>
      <c r="Z299" s="47">
        <v>0</v>
      </c>
      <c r="AA299" s="47" t="s">
        <v>731</v>
      </c>
      <c r="AB299" s="47">
        <v>0</v>
      </c>
      <c r="AC299" s="47" t="s">
        <v>731</v>
      </c>
      <c r="AD299" s="47" t="s">
        <v>731</v>
      </c>
      <c r="AE299" s="47" t="s">
        <v>731</v>
      </c>
      <c r="AF299" s="47">
        <v>0</v>
      </c>
      <c r="AG299" s="47">
        <v>0</v>
      </c>
      <c r="AH299" s="47">
        <v>0</v>
      </c>
      <c r="AI299" s="47" t="s">
        <v>729</v>
      </c>
      <c r="AJ299">
        <v>1</v>
      </c>
      <c r="AK299">
        <v>100</v>
      </c>
    </row>
    <row r="300" spans="1:37" x14ac:dyDescent="0.2">
      <c r="A300" t="s">
        <v>1080</v>
      </c>
      <c r="B300" t="s">
        <v>361</v>
      </c>
      <c r="C300">
        <v>2020</v>
      </c>
      <c r="D300">
        <v>5</v>
      </c>
      <c r="E300" t="s">
        <v>1085</v>
      </c>
      <c r="F300" t="s">
        <v>362</v>
      </c>
      <c r="G300">
        <v>11.059297000000001</v>
      </c>
      <c r="H300" s="20">
        <f>IF(AND(A300=A299,F300=F299,F300="Winter wheat"),G300*0.9*'BAU Management details'!$F$46,
IF(AND(OR(A300&lt;&gt;A299,F300&lt;&gt;F299),F300="Winter wheat"),G300*'BAU Management details'!$F$46,
IF(F300="Oilseed Rape",G300*'BAU Management details'!$F$47)))</f>
        <v>85.598958780000018</v>
      </c>
      <c r="I300" t="s">
        <v>348</v>
      </c>
      <c r="J300">
        <v>10</v>
      </c>
      <c r="K300" t="s">
        <v>362</v>
      </c>
      <c r="L300" t="s">
        <v>727</v>
      </c>
      <c r="M300">
        <v>2.7</v>
      </c>
      <c r="N300" t="s">
        <v>349</v>
      </c>
      <c r="O300" t="s">
        <v>742</v>
      </c>
      <c r="P300">
        <v>6.8</v>
      </c>
      <c r="Q300" t="s">
        <v>743</v>
      </c>
      <c r="R300" t="s">
        <v>351</v>
      </c>
      <c r="S300">
        <v>220</v>
      </c>
      <c r="T300" s="47" t="s">
        <v>729</v>
      </c>
      <c r="U300" t="s">
        <v>733</v>
      </c>
      <c r="V300" t="s">
        <v>364</v>
      </c>
      <c r="W300" s="47" t="s">
        <v>736</v>
      </c>
      <c r="X300" s="47">
        <v>0</v>
      </c>
      <c r="Y300" s="47" t="s">
        <v>730</v>
      </c>
      <c r="Z300" s="47">
        <v>0</v>
      </c>
      <c r="AA300" s="47" t="s">
        <v>731</v>
      </c>
      <c r="AB300" s="47">
        <v>0</v>
      </c>
      <c r="AC300" s="47">
        <v>0</v>
      </c>
      <c r="AD300" s="47">
        <v>0</v>
      </c>
      <c r="AE300" s="47" t="s">
        <v>731</v>
      </c>
      <c r="AF300" s="47">
        <v>0</v>
      </c>
      <c r="AG300" s="47">
        <v>0</v>
      </c>
      <c r="AH300" s="47">
        <v>0</v>
      </c>
      <c r="AI300" s="47" t="s">
        <v>729</v>
      </c>
      <c r="AJ300">
        <v>1</v>
      </c>
      <c r="AK300">
        <v>100</v>
      </c>
    </row>
    <row r="301" spans="1:37" x14ac:dyDescent="0.2">
      <c r="A301" t="s">
        <v>1080</v>
      </c>
      <c r="B301" t="s">
        <v>361</v>
      </c>
      <c r="C301">
        <v>2021</v>
      </c>
      <c r="D301">
        <v>6</v>
      </c>
      <c r="E301" t="s">
        <v>1086</v>
      </c>
      <c r="F301" t="s">
        <v>365</v>
      </c>
      <c r="G301">
        <v>11.059297000000001</v>
      </c>
      <c r="H301" s="20">
        <f>IF(AND(A301=A300,F301=F300,F301="Winter wheat"),G301*0.9*'BAU Management details'!$F$46,
IF(AND(OR(A301&lt;&gt;A300,F301&lt;&gt;F300),F301="Winter wheat"),G301*'BAU Management details'!$F$46,
IF(F301="Oilseed Rape",G301*'BAU Management details'!$F$47)))</f>
        <v>38.707539500000003</v>
      </c>
      <c r="I301" t="s">
        <v>348</v>
      </c>
      <c r="J301">
        <v>10</v>
      </c>
      <c r="K301" t="s">
        <v>532</v>
      </c>
      <c r="L301" t="s">
        <v>727</v>
      </c>
      <c r="M301">
        <v>2.7</v>
      </c>
      <c r="N301" t="s">
        <v>349</v>
      </c>
      <c r="O301" t="s">
        <v>742</v>
      </c>
      <c r="P301">
        <v>6.8</v>
      </c>
      <c r="Q301" t="s">
        <v>743</v>
      </c>
      <c r="R301" t="s">
        <v>351</v>
      </c>
      <c r="S301">
        <v>220</v>
      </c>
      <c r="T301" s="47" t="s">
        <v>735</v>
      </c>
      <c r="U301" t="s">
        <v>368</v>
      </c>
      <c r="V301" t="s">
        <v>364</v>
      </c>
      <c r="W301" s="47" t="s">
        <v>736</v>
      </c>
      <c r="X301" s="47">
        <v>0</v>
      </c>
      <c r="Y301" s="47" t="s">
        <v>736</v>
      </c>
      <c r="Z301" s="47">
        <v>0</v>
      </c>
      <c r="AA301" s="47" t="s">
        <v>736</v>
      </c>
      <c r="AB301" s="47">
        <v>0</v>
      </c>
      <c r="AC301" s="47">
        <v>0</v>
      </c>
      <c r="AD301" s="47">
        <v>0</v>
      </c>
      <c r="AE301" s="47" t="s">
        <v>731</v>
      </c>
      <c r="AF301" s="47">
        <v>0</v>
      </c>
      <c r="AG301" s="47" t="s">
        <v>731</v>
      </c>
      <c r="AH301" s="47">
        <v>0</v>
      </c>
      <c r="AI301" s="47" t="s">
        <v>735</v>
      </c>
      <c r="AJ301">
        <v>1</v>
      </c>
      <c r="AK301">
        <v>100</v>
      </c>
    </row>
    <row r="302" spans="1:37" x14ac:dyDescent="0.2">
      <c r="A302" t="s">
        <v>1087</v>
      </c>
      <c r="B302" t="s">
        <v>361</v>
      </c>
      <c r="C302">
        <v>2016</v>
      </c>
      <c r="D302">
        <v>1</v>
      </c>
      <c r="E302" t="s">
        <v>1088</v>
      </c>
      <c r="F302" t="s">
        <v>362</v>
      </c>
      <c r="G302">
        <v>8.4498049999999996</v>
      </c>
      <c r="H302" s="20">
        <f>IF(AND(A302=A301,F302=F301,F302="Winter wheat"),G302*0.9*'BAU Management details'!$F$46,
IF(AND(OR(A302&lt;&gt;A301,F302&lt;&gt;F301),F302="Winter wheat"),G302*'BAU Management details'!$F$46,
IF(F302="Oilseed Rape",G302*'BAU Management details'!$F$47)))</f>
        <v>72.668322999999987</v>
      </c>
      <c r="I302" t="s">
        <v>348</v>
      </c>
      <c r="J302">
        <v>10</v>
      </c>
      <c r="K302" t="s">
        <v>362</v>
      </c>
      <c r="L302" t="s">
        <v>727</v>
      </c>
      <c r="M302">
        <v>2.7</v>
      </c>
      <c r="N302" t="s">
        <v>349</v>
      </c>
      <c r="O302" t="s">
        <v>742</v>
      </c>
      <c r="P302">
        <v>6.8</v>
      </c>
      <c r="Q302" t="s">
        <v>743</v>
      </c>
      <c r="R302" t="s">
        <v>351</v>
      </c>
      <c r="S302">
        <v>220</v>
      </c>
      <c r="T302" s="47" t="s">
        <v>729</v>
      </c>
      <c r="U302" t="s">
        <v>366</v>
      </c>
      <c r="V302" t="s">
        <v>364</v>
      </c>
      <c r="W302" s="47" t="s">
        <v>736</v>
      </c>
      <c r="X302" s="47">
        <v>0</v>
      </c>
      <c r="Y302" s="47" t="s">
        <v>730</v>
      </c>
      <c r="Z302" s="47">
        <v>0</v>
      </c>
      <c r="AA302" s="47" t="s">
        <v>731</v>
      </c>
      <c r="AB302" s="47">
        <v>0</v>
      </c>
      <c r="AC302" s="47" t="s">
        <v>731</v>
      </c>
      <c r="AD302" s="47" t="s">
        <v>731</v>
      </c>
      <c r="AE302" s="47" t="s">
        <v>731</v>
      </c>
      <c r="AF302" s="47">
        <v>0</v>
      </c>
      <c r="AG302" s="47">
        <v>0</v>
      </c>
      <c r="AH302" s="47">
        <v>0</v>
      </c>
      <c r="AI302" s="47" t="s">
        <v>729</v>
      </c>
      <c r="AJ302">
        <v>1</v>
      </c>
      <c r="AK302">
        <v>100</v>
      </c>
    </row>
    <row r="303" spans="1:37" x14ac:dyDescent="0.2">
      <c r="A303" t="s">
        <v>1087</v>
      </c>
      <c r="B303" t="s">
        <v>361</v>
      </c>
      <c r="C303">
        <v>2017</v>
      </c>
      <c r="D303">
        <v>2</v>
      </c>
      <c r="E303" t="s">
        <v>1089</v>
      </c>
      <c r="F303" t="s">
        <v>362</v>
      </c>
      <c r="G303">
        <v>8.4498049999999996</v>
      </c>
      <c r="H303" s="20">
        <f>IF(AND(A303=A302,F303=F302,F303="Winter wheat"),G303*0.9*'BAU Management details'!$F$46,
IF(AND(OR(A303&lt;&gt;A302,F303&lt;&gt;F302),F303="Winter wheat"),G303*'BAU Management details'!$F$46,
IF(F303="Oilseed Rape",G303*'BAU Management details'!$F$47)))</f>
        <v>65.401490699999997</v>
      </c>
      <c r="I303" t="s">
        <v>348</v>
      </c>
      <c r="J303">
        <v>10</v>
      </c>
      <c r="K303" t="s">
        <v>362</v>
      </c>
      <c r="L303" t="s">
        <v>727</v>
      </c>
      <c r="M303">
        <v>2.7</v>
      </c>
      <c r="N303" t="s">
        <v>349</v>
      </c>
      <c r="O303" t="s">
        <v>742</v>
      </c>
      <c r="P303">
        <v>6.8</v>
      </c>
      <c r="Q303" t="s">
        <v>743</v>
      </c>
      <c r="R303" t="s">
        <v>351</v>
      </c>
      <c r="S303">
        <v>220</v>
      </c>
      <c r="T303" s="47" t="s">
        <v>729</v>
      </c>
      <c r="U303" t="s">
        <v>733</v>
      </c>
      <c r="V303" t="s">
        <v>364</v>
      </c>
      <c r="W303" s="47" t="s">
        <v>736</v>
      </c>
      <c r="X303" s="47">
        <v>0</v>
      </c>
      <c r="Y303" s="47" t="s">
        <v>730</v>
      </c>
      <c r="Z303" s="47">
        <v>0</v>
      </c>
      <c r="AA303" s="47" t="s">
        <v>731</v>
      </c>
      <c r="AB303" s="47">
        <v>0</v>
      </c>
      <c r="AC303" s="47">
        <v>0</v>
      </c>
      <c r="AD303" s="47">
        <v>0</v>
      </c>
      <c r="AE303" s="47" t="s">
        <v>731</v>
      </c>
      <c r="AF303" s="47">
        <v>0</v>
      </c>
      <c r="AG303" s="47">
        <v>0</v>
      </c>
      <c r="AH303" s="47">
        <v>0</v>
      </c>
      <c r="AI303" s="47" t="s">
        <v>729</v>
      </c>
      <c r="AJ303">
        <v>1</v>
      </c>
      <c r="AK303">
        <v>100</v>
      </c>
    </row>
    <row r="304" spans="1:37" x14ac:dyDescent="0.2">
      <c r="A304" t="s">
        <v>1087</v>
      </c>
      <c r="B304" t="s">
        <v>361</v>
      </c>
      <c r="C304">
        <v>2018</v>
      </c>
      <c r="D304">
        <v>3</v>
      </c>
      <c r="E304" t="s">
        <v>1090</v>
      </c>
      <c r="F304" t="s">
        <v>365</v>
      </c>
      <c r="G304">
        <v>8.4498049999999996</v>
      </c>
      <c r="H304" s="20">
        <f>IF(AND(A304=A303,F304=F303,F304="Winter wheat"),G304*0.9*'BAU Management details'!$F$46,
IF(AND(OR(A304&lt;&gt;A303,F304&lt;&gt;F303),F304="Winter wheat"),G304*'BAU Management details'!$F$46,
IF(F304="Oilseed Rape",G304*'BAU Management details'!$F$47)))</f>
        <v>29.574317499999999</v>
      </c>
      <c r="I304" t="s">
        <v>348</v>
      </c>
      <c r="J304">
        <v>10</v>
      </c>
      <c r="K304" t="s">
        <v>532</v>
      </c>
      <c r="L304" t="s">
        <v>727</v>
      </c>
      <c r="M304">
        <v>2.7</v>
      </c>
      <c r="N304" t="s">
        <v>349</v>
      </c>
      <c r="O304" t="s">
        <v>742</v>
      </c>
      <c r="P304">
        <v>6.8</v>
      </c>
      <c r="Q304" t="s">
        <v>743</v>
      </c>
      <c r="R304" t="s">
        <v>351</v>
      </c>
      <c r="S304">
        <v>220</v>
      </c>
      <c r="T304" s="47" t="s">
        <v>735</v>
      </c>
      <c r="U304" t="s">
        <v>368</v>
      </c>
      <c r="V304" t="s">
        <v>364</v>
      </c>
      <c r="W304" s="47" t="s">
        <v>736</v>
      </c>
      <c r="X304" s="47">
        <v>0</v>
      </c>
      <c r="Y304" s="47" t="s">
        <v>736</v>
      </c>
      <c r="Z304" s="47">
        <v>0</v>
      </c>
      <c r="AA304" s="47" t="s">
        <v>736</v>
      </c>
      <c r="AB304" s="47">
        <v>0</v>
      </c>
      <c r="AC304" s="47">
        <v>0</v>
      </c>
      <c r="AD304" s="47">
        <v>0</v>
      </c>
      <c r="AE304" s="47" t="s">
        <v>731</v>
      </c>
      <c r="AF304" s="47">
        <v>0</v>
      </c>
      <c r="AG304" s="47" t="s">
        <v>731</v>
      </c>
      <c r="AH304" s="47">
        <v>0</v>
      </c>
      <c r="AI304" s="47" t="s">
        <v>735</v>
      </c>
      <c r="AJ304">
        <v>1</v>
      </c>
      <c r="AK304">
        <v>100</v>
      </c>
    </row>
    <row r="305" spans="1:37" x14ac:dyDescent="0.2">
      <c r="A305" t="s">
        <v>1087</v>
      </c>
      <c r="B305" t="s">
        <v>361</v>
      </c>
      <c r="C305">
        <v>2019</v>
      </c>
      <c r="D305">
        <v>4</v>
      </c>
      <c r="E305" t="s">
        <v>1091</v>
      </c>
      <c r="F305" t="s">
        <v>362</v>
      </c>
      <c r="G305">
        <v>8.4498049999999996</v>
      </c>
      <c r="H305" s="20">
        <f>IF(AND(A305=A304,F305=F304,F305="Winter wheat"),G305*0.9*'BAU Management details'!$F$46,
IF(AND(OR(A305&lt;&gt;A304,F305&lt;&gt;F304),F305="Winter wheat"),G305*'BAU Management details'!$F$46,
IF(F305="Oilseed Rape",G305*'BAU Management details'!$F$47)))</f>
        <v>72.668322999999987</v>
      </c>
      <c r="I305" t="s">
        <v>348</v>
      </c>
      <c r="J305">
        <v>10</v>
      </c>
      <c r="K305" t="s">
        <v>362</v>
      </c>
      <c r="L305" t="s">
        <v>727</v>
      </c>
      <c r="M305">
        <v>2.7</v>
      </c>
      <c r="N305" t="s">
        <v>349</v>
      </c>
      <c r="O305" t="s">
        <v>742</v>
      </c>
      <c r="P305">
        <v>6.8</v>
      </c>
      <c r="Q305" t="s">
        <v>743</v>
      </c>
      <c r="R305" t="s">
        <v>351</v>
      </c>
      <c r="S305">
        <v>220</v>
      </c>
      <c r="T305" s="47" t="s">
        <v>729</v>
      </c>
      <c r="U305" t="s">
        <v>366</v>
      </c>
      <c r="V305" t="s">
        <v>364</v>
      </c>
      <c r="W305" s="47" t="s">
        <v>736</v>
      </c>
      <c r="X305" s="47">
        <v>0</v>
      </c>
      <c r="Y305" s="47" t="s">
        <v>730</v>
      </c>
      <c r="Z305" s="47">
        <v>0</v>
      </c>
      <c r="AA305" s="47" t="s">
        <v>731</v>
      </c>
      <c r="AB305" s="47">
        <v>0</v>
      </c>
      <c r="AC305" s="47" t="s">
        <v>731</v>
      </c>
      <c r="AD305" s="47" t="s">
        <v>731</v>
      </c>
      <c r="AE305" s="47" t="s">
        <v>731</v>
      </c>
      <c r="AF305" s="47">
        <v>0</v>
      </c>
      <c r="AG305" s="47">
        <v>0</v>
      </c>
      <c r="AH305" s="47">
        <v>0</v>
      </c>
      <c r="AI305" s="47" t="s">
        <v>729</v>
      </c>
      <c r="AJ305">
        <v>1</v>
      </c>
      <c r="AK305">
        <v>100</v>
      </c>
    </row>
    <row r="306" spans="1:37" x14ac:dyDescent="0.2">
      <c r="A306" t="s">
        <v>1087</v>
      </c>
      <c r="B306" t="s">
        <v>361</v>
      </c>
      <c r="C306">
        <v>2020</v>
      </c>
      <c r="D306">
        <v>5</v>
      </c>
      <c r="E306" t="s">
        <v>1092</v>
      </c>
      <c r="F306" t="s">
        <v>362</v>
      </c>
      <c r="G306">
        <v>8.4498049999999996</v>
      </c>
      <c r="H306" s="20">
        <f>IF(AND(A306=A305,F306=F305,F306="Winter wheat"),G306*0.9*'BAU Management details'!$F$46,
IF(AND(OR(A306&lt;&gt;A305,F306&lt;&gt;F305),F306="Winter wheat"),G306*'BAU Management details'!$F$46,
IF(F306="Oilseed Rape",G306*'BAU Management details'!$F$47)))</f>
        <v>65.401490699999997</v>
      </c>
      <c r="I306" t="s">
        <v>348</v>
      </c>
      <c r="J306">
        <v>10</v>
      </c>
      <c r="K306" t="s">
        <v>362</v>
      </c>
      <c r="L306" t="s">
        <v>727</v>
      </c>
      <c r="M306">
        <v>2.7</v>
      </c>
      <c r="N306" t="s">
        <v>349</v>
      </c>
      <c r="O306" t="s">
        <v>742</v>
      </c>
      <c r="P306">
        <v>6.8</v>
      </c>
      <c r="Q306" t="s">
        <v>743</v>
      </c>
      <c r="R306" t="s">
        <v>351</v>
      </c>
      <c r="S306">
        <v>220</v>
      </c>
      <c r="T306" s="47" t="s">
        <v>729</v>
      </c>
      <c r="U306" t="s">
        <v>733</v>
      </c>
      <c r="V306" t="s">
        <v>364</v>
      </c>
      <c r="W306" s="47" t="s">
        <v>736</v>
      </c>
      <c r="X306" s="47">
        <v>0</v>
      </c>
      <c r="Y306" s="47" t="s">
        <v>730</v>
      </c>
      <c r="Z306" s="47">
        <v>0</v>
      </c>
      <c r="AA306" s="47" t="s">
        <v>731</v>
      </c>
      <c r="AB306" s="47">
        <v>0</v>
      </c>
      <c r="AC306" s="47">
        <v>0</v>
      </c>
      <c r="AD306" s="47">
        <v>0</v>
      </c>
      <c r="AE306" s="47" t="s">
        <v>731</v>
      </c>
      <c r="AF306" s="47">
        <v>0</v>
      </c>
      <c r="AG306" s="47">
        <v>0</v>
      </c>
      <c r="AH306" s="47">
        <v>0</v>
      </c>
      <c r="AI306" s="47" t="s">
        <v>729</v>
      </c>
      <c r="AJ306">
        <v>1</v>
      </c>
      <c r="AK306">
        <v>100</v>
      </c>
    </row>
    <row r="307" spans="1:37" x14ac:dyDescent="0.2">
      <c r="A307" t="s">
        <v>1087</v>
      </c>
      <c r="B307" t="s">
        <v>361</v>
      </c>
      <c r="C307">
        <v>2021</v>
      </c>
      <c r="D307">
        <v>6</v>
      </c>
      <c r="E307" t="s">
        <v>1093</v>
      </c>
      <c r="F307" t="s">
        <v>365</v>
      </c>
      <c r="G307">
        <v>8.4498049999999996</v>
      </c>
      <c r="H307" s="20">
        <f>IF(AND(A307=A306,F307=F306,F307="Winter wheat"),G307*0.9*'BAU Management details'!$F$46,
IF(AND(OR(A307&lt;&gt;A306,F307&lt;&gt;F306),F307="Winter wheat"),G307*'BAU Management details'!$F$46,
IF(F307="Oilseed Rape",G307*'BAU Management details'!$F$47)))</f>
        <v>29.574317499999999</v>
      </c>
      <c r="I307" t="s">
        <v>348</v>
      </c>
      <c r="J307">
        <v>10</v>
      </c>
      <c r="K307" t="s">
        <v>532</v>
      </c>
      <c r="L307" t="s">
        <v>727</v>
      </c>
      <c r="M307">
        <v>2.7</v>
      </c>
      <c r="N307" t="s">
        <v>349</v>
      </c>
      <c r="O307" t="s">
        <v>742</v>
      </c>
      <c r="P307">
        <v>6.8</v>
      </c>
      <c r="Q307" t="s">
        <v>743</v>
      </c>
      <c r="R307" t="s">
        <v>351</v>
      </c>
      <c r="S307">
        <v>220</v>
      </c>
      <c r="T307" s="47" t="s">
        <v>735</v>
      </c>
      <c r="U307" t="s">
        <v>368</v>
      </c>
      <c r="V307" t="s">
        <v>364</v>
      </c>
      <c r="W307" s="47" t="s">
        <v>736</v>
      </c>
      <c r="X307" s="47">
        <v>0</v>
      </c>
      <c r="Y307" s="47" t="s">
        <v>736</v>
      </c>
      <c r="Z307" s="47">
        <v>0</v>
      </c>
      <c r="AA307" s="47" t="s">
        <v>736</v>
      </c>
      <c r="AB307" s="47">
        <v>0</v>
      </c>
      <c r="AC307" s="47">
        <v>0</v>
      </c>
      <c r="AD307" s="47">
        <v>0</v>
      </c>
      <c r="AE307" s="47" t="s">
        <v>731</v>
      </c>
      <c r="AF307" s="47">
        <v>0</v>
      </c>
      <c r="AG307" s="47" t="s">
        <v>731</v>
      </c>
      <c r="AH307" s="47">
        <v>0</v>
      </c>
      <c r="AI307" s="47" t="s">
        <v>735</v>
      </c>
      <c r="AJ307">
        <v>1</v>
      </c>
      <c r="AK307">
        <v>100</v>
      </c>
    </row>
    <row r="308" spans="1:37" x14ac:dyDescent="0.2">
      <c r="A308" t="s">
        <v>1094</v>
      </c>
      <c r="B308" t="s">
        <v>361</v>
      </c>
      <c r="C308">
        <v>2016</v>
      </c>
      <c r="D308">
        <v>1</v>
      </c>
      <c r="E308" t="s">
        <v>1095</v>
      </c>
      <c r="F308" t="s">
        <v>362</v>
      </c>
      <c r="G308">
        <v>4.1297420000000002</v>
      </c>
      <c r="H308" s="20">
        <f>IF(AND(A308=A307,F308=F307,F308="Winter wheat"),G308*0.9*'BAU Management details'!$F$46,
IF(AND(OR(A308&lt;&gt;A307,F308&lt;&gt;F307),F308="Winter wheat"),G308*'BAU Management details'!$F$46,
IF(F308="Oilseed Rape",G308*'BAU Management details'!$F$47)))</f>
        <v>35.515781199999999</v>
      </c>
      <c r="I308" t="s">
        <v>348</v>
      </c>
      <c r="J308">
        <v>10</v>
      </c>
      <c r="K308" t="s">
        <v>362</v>
      </c>
      <c r="L308" t="s">
        <v>751</v>
      </c>
      <c r="M308">
        <v>2.8</v>
      </c>
      <c r="N308" t="s">
        <v>349</v>
      </c>
      <c r="O308" t="s">
        <v>350</v>
      </c>
      <c r="P308">
        <v>6.5</v>
      </c>
      <c r="Q308" t="s">
        <v>743</v>
      </c>
      <c r="R308" t="s">
        <v>351</v>
      </c>
      <c r="S308">
        <v>220</v>
      </c>
      <c r="T308" s="47" t="s">
        <v>729</v>
      </c>
      <c r="U308" t="s">
        <v>366</v>
      </c>
      <c r="V308" t="s">
        <v>367</v>
      </c>
      <c r="W308" s="47" t="s">
        <v>736</v>
      </c>
      <c r="X308" s="47">
        <v>0</v>
      </c>
      <c r="Y308" s="47" t="s">
        <v>730</v>
      </c>
      <c r="Z308" s="47">
        <v>0</v>
      </c>
      <c r="AA308" s="47" t="s">
        <v>731</v>
      </c>
      <c r="AB308" s="47">
        <v>0</v>
      </c>
      <c r="AC308" s="47" t="s">
        <v>731</v>
      </c>
      <c r="AD308" s="47" t="s">
        <v>731</v>
      </c>
      <c r="AE308" s="47" t="s">
        <v>731</v>
      </c>
      <c r="AF308" s="47">
        <v>0</v>
      </c>
      <c r="AG308" s="47">
        <v>0</v>
      </c>
      <c r="AH308" s="47">
        <v>0</v>
      </c>
      <c r="AI308" s="47" t="s">
        <v>729</v>
      </c>
      <c r="AJ308">
        <v>1</v>
      </c>
      <c r="AK308">
        <v>100</v>
      </c>
    </row>
    <row r="309" spans="1:37" x14ac:dyDescent="0.2">
      <c r="A309" t="s">
        <v>1094</v>
      </c>
      <c r="B309" t="s">
        <v>361</v>
      </c>
      <c r="C309">
        <v>2017</v>
      </c>
      <c r="D309">
        <v>2</v>
      </c>
      <c r="E309" t="s">
        <v>1096</v>
      </c>
      <c r="F309" t="s">
        <v>362</v>
      </c>
      <c r="G309">
        <v>4.1297420000000002</v>
      </c>
      <c r="H309" s="20">
        <f>IF(AND(A309=A308,F309=F308,F309="Winter wheat"),G309*0.9*'BAU Management details'!$F$46,
IF(AND(OR(A309&lt;&gt;A308,F309&lt;&gt;F308),F309="Winter wheat"),G309*'BAU Management details'!$F$46,
IF(F309="Oilseed Rape",G309*'BAU Management details'!$F$47)))</f>
        <v>31.964203080000001</v>
      </c>
      <c r="I309" t="s">
        <v>348</v>
      </c>
      <c r="J309">
        <v>10</v>
      </c>
      <c r="K309" t="s">
        <v>362</v>
      </c>
      <c r="L309" t="s">
        <v>751</v>
      </c>
      <c r="M309">
        <v>2.8</v>
      </c>
      <c r="N309" t="s">
        <v>349</v>
      </c>
      <c r="O309" t="s">
        <v>350</v>
      </c>
      <c r="P309">
        <v>6.5</v>
      </c>
      <c r="Q309" t="s">
        <v>743</v>
      </c>
      <c r="R309" t="s">
        <v>351</v>
      </c>
      <c r="S309">
        <v>220</v>
      </c>
      <c r="T309" s="47" t="s">
        <v>729</v>
      </c>
      <c r="U309" t="s">
        <v>733</v>
      </c>
      <c r="V309" t="s">
        <v>369</v>
      </c>
      <c r="W309" s="47" t="s">
        <v>736</v>
      </c>
      <c r="X309" s="47">
        <v>0</v>
      </c>
      <c r="Y309" s="47" t="s">
        <v>730</v>
      </c>
      <c r="Z309" s="47">
        <v>0</v>
      </c>
      <c r="AA309" s="47" t="s">
        <v>731</v>
      </c>
      <c r="AB309" s="47">
        <v>0</v>
      </c>
      <c r="AC309" s="47">
        <v>0</v>
      </c>
      <c r="AD309" s="47">
        <v>0</v>
      </c>
      <c r="AE309" s="47" t="s">
        <v>731</v>
      </c>
      <c r="AF309" s="47">
        <v>0</v>
      </c>
      <c r="AG309" s="47">
        <v>0</v>
      </c>
      <c r="AH309" s="47">
        <v>0</v>
      </c>
      <c r="AI309" s="47" t="s">
        <v>729</v>
      </c>
      <c r="AJ309">
        <v>1</v>
      </c>
      <c r="AK309">
        <v>100</v>
      </c>
    </row>
    <row r="310" spans="1:37" x14ac:dyDescent="0.2">
      <c r="A310" t="s">
        <v>1094</v>
      </c>
      <c r="B310" t="s">
        <v>361</v>
      </c>
      <c r="C310">
        <v>2018</v>
      </c>
      <c r="D310">
        <v>3</v>
      </c>
      <c r="E310" t="s">
        <v>1097</v>
      </c>
      <c r="F310" t="s">
        <v>365</v>
      </c>
      <c r="G310">
        <v>4.1297420000000002</v>
      </c>
      <c r="H310" s="20">
        <f>IF(AND(A310=A309,F310=F309,F310="Winter wheat"),G310*0.9*'BAU Management details'!$F$46,
IF(AND(OR(A310&lt;&gt;A309,F310&lt;&gt;F309),F310="Winter wheat"),G310*'BAU Management details'!$F$46,
IF(F310="Oilseed Rape",G310*'BAU Management details'!$F$47)))</f>
        <v>14.454097000000001</v>
      </c>
      <c r="I310" t="s">
        <v>348</v>
      </c>
      <c r="J310">
        <v>10</v>
      </c>
      <c r="K310" t="s">
        <v>532</v>
      </c>
      <c r="L310" t="s">
        <v>751</v>
      </c>
      <c r="M310">
        <v>2.8</v>
      </c>
      <c r="N310" t="s">
        <v>349</v>
      </c>
      <c r="O310" t="s">
        <v>350</v>
      </c>
      <c r="P310">
        <v>6.5</v>
      </c>
      <c r="Q310" t="s">
        <v>743</v>
      </c>
      <c r="R310" t="s">
        <v>351</v>
      </c>
      <c r="S310">
        <v>220</v>
      </c>
      <c r="T310" s="47" t="s">
        <v>735</v>
      </c>
      <c r="U310" t="s">
        <v>368</v>
      </c>
      <c r="V310" t="s">
        <v>364</v>
      </c>
      <c r="W310" s="47" t="s">
        <v>736</v>
      </c>
      <c r="X310" s="47">
        <v>0</v>
      </c>
      <c r="Y310" s="47" t="s">
        <v>736</v>
      </c>
      <c r="Z310" s="47">
        <v>0</v>
      </c>
      <c r="AA310" s="47" t="s">
        <v>736</v>
      </c>
      <c r="AB310" s="47">
        <v>0</v>
      </c>
      <c r="AC310" s="47">
        <v>0</v>
      </c>
      <c r="AD310" s="47">
        <v>0</v>
      </c>
      <c r="AE310" s="47" t="s">
        <v>731</v>
      </c>
      <c r="AF310" s="47">
        <v>0</v>
      </c>
      <c r="AG310" s="47" t="s">
        <v>731</v>
      </c>
      <c r="AH310" s="47">
        <v>0</v>
      </c>
      <c r="AI310" s="47" t="s">
        <v>735</v>
      </c>
      <c r="AJ310">
        <v>1</v>
      </c>
      <c r="AK310">
        <v>100</v>
      </c>
    </row>
    <row r="311" spans="1:37" x14ac:dyDescent="0.2">
      <c r="A311" t="s">
        <v>1094</v>
      </c>
      <c r="B311" t="s">
        <v>361</v>
      </c>
      <c r="C311">
        <v>2019</v>
      </c>
      <c r="D311">
        <v>4</v>
      </c>
      <c r="E311" t="s">
        <v>1098</v>
      </c>
      <c r="F311" t="s">
        <v>362</v>
      </c>
      <c r="G311">
        <v>4.1297420000000002</v>
      </c>
      <c r="H311" s="20">
        <f>IF(AND(A311=A310,F311=F310,F311="Winter wheat"),G311*0.9*'BAU Management details'!$F$46,
IF(AND(OR(A311&lt;&gt;A310,F311&lt;&gt;F310),F311="Winter wheat"),G311*'BAU Management details'!$F$46,
IF(F311="Oilseed Rape",G311*'BAU Management details'!$F$47)))</f>
        <v>35.515781199999999</v>
      </c>
      <c r="I311" t="s">
        <v>348</v>
      </c>
      <c r="J311">
        <v>10</v>
      </c>
      <c r="K311" t="s">
        <v>362</v>
      </c>
      <c r="L311" t="s">
        <v>751</v>
      </c>
      <c r="M311">
        <v>2.8</v>
      </c>
      <c r="N311" t="s">
        <v>349</v>
      </c>
      <c r="O311" t="s">
        <v>350</v>
      </c>
      <c r="P311">
        <v>6.5</v>
      </c>
      <c r="Q311" t="s">
        <v>743</v>
      </c>
      <c r="R311" t="s">
        <v>351</v>
      </c>
      <c r="S311">
        <v>220</v>
      </c>
      <c r="T311" s="47" t="s">
        <v>729</v>
      </c>
      <c r="U311" t="s">
        <v>366</v>
      </c>
      <c r="V311" t="s">
        <v>367</v>
      </c>
      <c r="W311" s="47" t="s">
        <v>736</v>
      </c>
      <c r="X311" s="47">
        <v>0</v>
      </c>
      <c r="Y311" s="47" t="s">
        <v>730</v>
      </c>
      <c r="Z311" s="47">
        <v>0</v>
      </c>
      <c r="AA311" s="47" t="s">
        <v>731</v>
      </c>
      <c r="AB311" s="47">
        <v>0</v>
      </c>
      <c r="AC311" s="47" t="s">
        <v>731</v>
      </c>
      <c r="AD311" s="47" t="s">
        <v>731</v>
      </c>
      <c r="AE311" s="47" t="s">
        <v>731</v>
      </c>
      <c r="AF311" s="47">
        <v>0</v>
      </c>
      <c r="AG311" s="47">
        <v>0</v>
      </c>
      <c r="AH311" s="47">
        <v>0</v>
      </c>
      <c r="AI311" s="47" t="s">
        <v>729</v>
      </c>
      <c r="AJ311">
        <v>1</v>
      </c>
      <c r="AK311">
        <v>100</v>
      </c>
    </row>
    <row r="312" spans="1:37" x14ac:dyDescent="0.2">
      <c r="A312" t="s">
        <v>1094</v>
      </c>
      <c r="B312" t="s">
        <v>361</v>
      </c>
      <c r="C312">
        <v>2020</v>
      </c>
      <c r="D312">
        <v>5</v>
      </c>
      <c r="E312" t="s">
        <v>1099</v>
      </c>
      <c r="F312" t="s">
        <v>362</v>
      </c>
      <c r="G312">
        <v>4.1297420000000002</v>
      </c>
      <c r="H312" s="20">
        <f>IF(AND(A312=A311,F312=F311,F312="Winter wheat"),G312*0.9*'BAU Management details'!$F$46,
IF(AND(OR(A312&lt;&gt;A311,F312&lt;&gt;F311),F312="Winter wheat"),G312*'BAU Management details'!$F$46,
IF(F312="Oilseed Rape",G312*'BAU Management details'!$F$47)))</f>
        <v>31.964203080000001</v>
      </c>
      <c r="I312" t="s">
        <v>348</v>
      </c>
      <c r="J312">
        <v>10</v>
      </c>
      <c r="K312" t="s">
        <v>362</v>
      </c>
      <c r="L312" t="s">
        <v>751</v>
      </c>
      <c r="M312">
        <v>2.8</v>
      </c>
      <c r="N312" t="s">
        <v>349</v>
      </c>
      <c r="O312" t="s">
        <v>350</v>
      </c>
      <c r="P312">
        <v>6.5</v>
      </c>
      <c r="Q312" t="s">
        <v>743</v>
      </c>
      <c r="R312" t="s">
        <v>351</v>
      </c>
      <c r="S312">
        <v>220</v>
      </c>
      <c r="T312" s="47" t="s">
        <v>729</v>
      </c>
      <c r="U312" t="s">
        <v>733</v>
      </c>
      <c r="V312" t="s">
        <v>369</v>
      </c>
      <c r="W312" s="47" t="s">
        <v>736</v>
      </c>
      <c r="X312" s="47">
        <v>0</v>
      </c>
      <c r="Y312" s="47" t="s">
        <v>730</v>
      </c>
      <c r="Z312" s="47">
        <v>0</v>
      </c>
      <c r="AA312" s="47" t="s">
        <v>731</v>
      </c>
      <c r="AB312" s="47">
        <v>0</v>
      </c>
      <c r="AC312" s="47">
        <v>0</v>
      </c>
      <c r="AD312" s="47">
        <v>0</v>
      </c>
      <c r="AE312" s="47" t="s">
        <v>731</v>
      </c>
      <c r="AF312" s="47">
        <v>0</v>
      </c>
      <c r="AG312" s="47">
        <v>0</v>
      </c>
      <c r="AH312" s="47">
        <v>0</v>
      </c>
      <c r="AI312" s="47" t="s">
        <v>729</v>
      </c>
      <c r="AJ312">
        <v>1</v>
      </c>
      <c r="AK312">
        <v>100</v>
      </c>
    </row>
    <row r="313" spans="1:37" x14ac:dyDescent="0.2">
      <c r="A313" t="s">
        <v>1094</v>
      </c>
      <c r="B313" t="s">
        <v>361</v>
      </c>
      <c r="C313">
        <v>2021</v>
      </c>
      <c r="D313">
        <v>6</v>
      </c>
      <c r="E313" t="s">
        <v>1100</v>
      </c>
      <c r="F313" t="s">
        <v>365</v>
      </c>
      <c r="G313">
        <v>4.1297420000000002</v>
      </c>
      <c r="H313" s="20">
        <f>IF(AND(A313=A312,F313=F312,F313="Winter wheat"),G313*0.9*'BAU Management details'!$F$46,
IF(AND(OR(A313&lt;&gt;A312,F313&lt;&gt;F312),F313="Winter wheat"),G313*'BAU Management details'!$F$46,
IF(F313="Oilseed Rape",G313*'BAU Management details'!$F$47)))</f>
        <v>14.454097000000001</v>
      </c>
      <c r="I313" t="s">
        <v>348</v>
      </c>
      <c r="J313">
        <v>10</v>
      </c>
      <c r="K313" t="s">
        <v>532</v>
      </c>
      <c r="L313" t="s">
        <v>751</v>
      </c>
      <c r="M313">
        <v>2.8</v>
      </c>
      <c r="N313" t="s">
        <v>349</v>
      </c>
      <c r="O313" t="s">
        <v>350</v>
      </c>
      <c r="P313">
        <v>6.5</v>
      </c>
      <c r="Q313" t="s">
        <v>743</v>
      </c>
      <c r="R313" t="s">
        <v>351</v>
      </c>
      <c r="S313">
        <v>220</v>
      </c>
      <c r="T313" s="47" t="s">
        <v>735</v>
      </c>
      <c r="U313" t="s">
        <v>368</v>
      </c>
      <c r="V313" t="s">
        <v>364</v>
      </c>
      <c r="W313" s="47" t="s">
        <v>736</v>
      </c>
      <c r="X313" s="47">
        <v>0</v>
      </c>
      <c r="Y313" s="47" t="s">
        <v>736</v>
      </c>
      <c r="Z313" s="47">
        <v>0</v>
      </c>
      <c r="AA313" s="47" t="s">
        <v>736</v>
      </c>
      <c r="AB313" s="47">
        <v>0</v>
      </c>
      <c r="AC313" s="47">
        <v>0</v>
      </c>
      <c r="AD313" s="47">
        <v>0</v>
      </c>
      <c r="AE313" s="47" t="s">
        <v>731</v>
      </c>
      <c r="AF313" s="47">
        <v>0</v>
      </c>
      <c r="AG313" s="47" t="s">
        <v>731</v>
      </c>
      <c r="AH313" s="47">
        <v>0</v>
      </c>
      <c r="AI313" s="47" t="s">
        <v>735</v>
      </c>
      <c r="AJ313">
        <v>1</v>
      </c>
      <c r="AK313">
        <v>100</v>
      </c>
    </row>
    <row r="314" spans="1:37" x14ac:dyDescent="0.2">
      <c r="A314" t="s">
        <v>1101</v>
      </c>
      <c r="B314" t="s">
        <v>361</v>
      </c>
      <c r="C314">
        <v>2016</v>
      </c>
      <c r="D314">
        <v>1</v>
      </c>
      <c r="E314" t="s">
        <v>1102</v>
      </c>
      <c r="F314" t="s">
        <v>362</v>
      </c>
      <c r="G314">
        <v>3.7578399999999998</v>
      </c>
      <c r="H314" s="20">
        <f>IF(AND(A314=A313,F314=F313,F314="Winter wheat"),G314*0.9*'BAU Management details'!$F$46,
IF(AND(OR(A314&lt;&gt;A313,F314&lt;&gt;F313),F314="Winter wheat"),G314*'BAU Management details'!$F$46,
IF(F314="Oilseed Rape",G314*'BAU Management details'!$F$47)))</f>
        <v>32.317423999999995</v>
      </c>
      <c r="I314" t="s">
        <v>348</v>
      </c>
      <c r="J314">
        <v>10</v>
      </c>
      <c r="K314" t="s">
        <v>362</v>
      </c>
      <c r="L314" t="s">
        <v>751</v>
      </c>
      <c r="M314">
        <v>2.8</v>
      </c>
      <c r="N314" t="s">
        <v>349</v>
      </c>
      <c r="O314" t="s">
        <v>350</v>
      </c>
      <c r="P314">
        <v>6.5</v>
      </c>
      <c r="Q314" t="s">
        <v>743</v>
      </c>
      <c r="R314" t="s">
        <v>351</v>
      </c>
      <c r="S314">
        <v>220</v>
      </c>
      <c r="T314" s="47" t="s">
        <v>729</v>
      </c>
      <c r="U314" t="s">
        <v>366</v>
      </c>
      <c r="V314" t="s">
        <v>367</v>
      </c>
      <c r="W314" s="47" t="s">
        <v>736</v>
      </c>
      <c r="X314" s="47">
        <v>0</v>
      </c>
      <c r="Y314" s="47" t="s">
        <v>730</v>
      </c>
      <c r="Z314" s="47">
        <v>0</v>
      </c>
      <c r="AA314" s="47" t="s">
        <v>731</v>
      </c>
      <c r="AB314" s="47">
        <v>0</v>
      </c>
      <c r="AC314" s="47" t="s">
        <v>731</v>
      </c>
      <c r="AD314" s="47" t="s">
        <v>731</v>
      </c>
      <c r="AE314" s="47" t="s">
        <v>731</v>
      </c>
      <c r="AF314" s="47">
        <v>0</v>
      </c>
      <c r="AG314" s="47">
        <v>0</v>
      </c>
      <c r="AH314" s="47">
        <v>0</v>
      </c>
      <c r="AI314" s="47" t="s">
        <v>729</v>
      </c>
      <c r="AJ314">
        <v>1</v>
      </c>
      <c r="AK314">
        <v>100</v>
      </c>
    </row>
    <row r="315" spans="1:37" x14ac:dyDescent="0.2">
      <c r="A315" t="s">
        <v>1101</v>
      </c>
      <c r="B315" t="s">
        <v>361</v>
      </c>
      <c r="C315">
        <v>2017</v>
      </c>
      <c r="D315">
        <v>2</v>
      </c>
      <c r="E315" t="s">
        <v>1103</v>
      </c>
      <c r="F315" t="s">
        <v>362</v>
      </c>
      <c r="G315">
        <v>3.7578399999999998</v>
      </c>
      <c r="H315" s="20">
        <f>IF(AND(A315=A314,F315=F314,F315="Winter wheat"),G315*0.9*'BAU Management details'!$F$46,
IF(AND(OR(A315&lt;&gt;A314,F315&lt;&gt;F314),F315="Winter wheat"),G315*'BAU Management details'!$F$46,
IF(F315="Oilseed Rape",G315*'BAU Management details'!$F$47)))</f>
        <v>29.085681599999997</v>
      </c>
      <c r="I315" t="s">
        <v>348</v>
      </c>
      <c r="J315">
        <v>10</v>
      </c>
      <c r="K315" t="s">
        <v>362</v>
      </c>
      <c r="L315" t="s">
        <v>751</v>
      </c>
      <c r="M315">
        <v>2.8</v>
      </c>
      <c r="N315" t="s">
        <v>349</v>
      </c>
      <c r="O315" t="s">
        <v>350</v>
      </c>
      <c r="P315">
        <v>6.5</v>
      </c>
      <c r="Q315" t="s">
        <v>743</v>
      </c>
      <c r="R315" t="s">
        <v>351</v>
      </c>
      <c r="S315">
        <v>220</v>
      </c>
      <c r="T315" s="47" t="s">
        <v>729</v>
      </c>
      <c r="U315" t="s">
        <v>733</v>
      </c>
      <c r="V315" t="s">
        <v>369</v>
      </c>
      <c r="W315" s="47" t="s">
        <v>736</v>
      </c>
      <c r="X315" s="47">
        <v>0</v>
      </c>
      <c r="Y315" s="47" t="s">
        <v>730</v>
      </c>
      <c r="Z315" s="47">
        <v>0</v>
      </c>
      <c r="AA315" s="47" t="s">
        <v>731</v>
      </c>
      <c r="AB315" s="47">
        <v>0</v>
      </c>
      <c r="AC315" s="47">
        <v>0</v>
      </c>
      <c r="AD315" s="47">
        <v>0</v>
      </c>
      <c r="AE315" s="47" t="s">
        <v>731</v>
      </c>
      <c r="AF315" s="47">
        <v>0</v>
      </c>
      <c r="AG315" s="47">
        <v>0</v>
      </c>
      <c r="AH315" s="47">
        <v>0</v>
      </c>
      <c r="AI315" s="47" t="s">
        <v>729</v>
      </c>
      <c r="AJ315">
        <v>1</v>
      </c>
      <c r="AK315">
        <v>100</v>
      </c>
    </row>
    <row r="316" spans="1:37" x14ac:dyDescent="0.2">
      <c r="A316" t="s">
        <v>1101</v>
      </c>
      <c r="B316" t="s">
        <v>361</v>
      </c>
      <c r="C316">
        <v>2018</v>
      </c>
      <c r="D316">
        <v>3</v>
      </c>
      <c r="E316" t="s">
        <v>1104</v>
      </c>
      <c r="F316" t="s">
        <v>365</v>
      </c>
      <c r="G316">
        <v>3.7578399999999998</v>
      </c>
      <c r="H316" s="20">
        <f>IF(AND(A316=A315,F316=F315,F316="Winter wheat"),G316*0.9*'BAU Management details'!$F$46,
IF(AND(OR(A316&lt;&gt;A315,F316&lt;&gt;F315),F316="Winter wheat"),G316*'BAU Management details'!$F$46,
IF(F316="Oilseed Rape",G316*'BAU Management details'!$F$47)))</f>
        <v>13.152439999999999</v>
      </c>
      <c r="I316" t="s">
        <v>348</v>
      </c>
      <c r="J316">
        <v>10</v>
      </c>
      <c r="K316" t="s">
        <v>532</v>
      </c>
      <c r="L316" t="s">
        <v>751</v>
      </c>
      <c r="M316">
        <v>2.8</v>
      </c>
      <c r="N316" t="s">
        <v>349</v>
      </c>
      <c r="O316" t="s">
        <v>350</v>
      </c>
      <c r="P316">
        <v>6.5</v>
      </c>
      <c r="Q316" t="s">
        <v>743</v>
      </c>
      <c r="R316" t="s">
        <v>351</v>
      </c>
      <c r="S316">
        <v>220</v>
      </c>
      <c r="T316" s="47" t="s">
        <v>735</v>
      </c>
      <c r="U316" t="s">
        <v>368</v>
      </c>
      <c r="V316" t="s">
        <v>364</v>
      </c>
      <c r="W316" s="47" t="s">
        <v>736</v>
      </c>
      <c r="X316" s="47">
        <v>0</v>
      </c>
      <c r="Y316" s="47" t="s">
        <v>736</v>
      </c>
      <c r="Z316" s="47">
        <v>0</v>
      </c>
      <c r="AA316" s="47" t="s">
        <v>736</v>
      </c>
      <c r="AB316" s="47">
        <v>0</v>
      </c>
      <c r="AC316" s="47">
        <v>0</v>
      </c>
      <c r="AD316" s="47">
        <v>0</v>
      </c>
      <c r="AE316" s="47" t="s">
        <v>731</v>
      </c>
      <c r="AF316" s="47">
        <v>0</v>
      </c>
      <c r="AG316" s="47" t="s">
        <v>731</v>
      </c>
      <c r="AH316" s="47">
        <v>0</v>
      </c>
      <c r="AI316" s="47" t="s">
        <v>735</v>
      </c>
      <c r="AJ316">
        <v>1</v>
      </c>
      <c r="AK316">
        <v>100</v>
      </c>
    </row>
    <row r="317" spans="1:37" x14ac:dyDescent="0.2">
      <c r="A317" t="s">
        <v>1101</v>
      </c>
      <c r="B317" t="s">
        <v>361</v>
      </c>
      <c r="C317">
        <v>2019</v>
      </c>
      <c r="D317">
        <v>4</v>
      </c>
      <c r="E317" t="s">
        <v>1105</v>
      </c>
      <c r="F317" t="s">
        <v>362</v>
      </c>
      <c r="G317">
        <v>3.7578399999999998</v>
      </c>
      <c r="H317" s="20">
        <f>IF(AND(A317=A316,F317=F316,F317="Winter wheat"),G317*0.9*'BAU Management details'!$F$46,
IF(AND(OR(A317&lt;&gt;A316,F317&lt;&gt;F316),F317="Winter wheat"),G317*'BAU Management details'!$F$46,
IF(F317="Oilseed Rape",G317*'BAU Management details'!$F$47)))</f>
        <v>32.317423999999995</v>
      </c>
      <c r="I317" t="s">
        <v>348</v>
      </c>
      <c r="J317">
        <v>10</v>
      </c>
      <c r="K317" t="s">
        <v>362</v>
      </c>
      <c r="L317" t="s">
        <v>751</v>
      </c>
      <c r="M317">
        <v>2.8</v>
      </c>
      <c r="N317" t="s">
        <v>349</v>
      </c>
      <c r="O317" t="s">
        <v>350</v>
      </c>
      <c r="P317">
        <v>6.5</v>
      </c>
      <c r="Q317" t="s">
        <v>743</v>
      </c>
      <c r="R317" t="s">
        <v>351</v>
      </c>
      <c r="S317">
        <v>220</v>
      </c>
      <c r="T317" s="47" t="s">
        <v>729</v>
      </c>
      <c r="U317" t="s">
        <v>366</v>
      </c>
      <c r="V317" t="s">
        <v>367</v>
      </c>
      <c r="W317" s="47" t="s">
        <v>736</v>
      </c>
      <c r="X317" s="47">
        <v>0</v>
      </c>
      <c r="Y317" s="47" t="s">
        <v>730</v>
      </c>
      <c r="Z317" s="47">
        <v>0</v>
      </c>
      <c r="AA317" s="47" t="s">
        <v>731</v>
      </c>
      <c r="AB317" s="47">
        <v>0</v>
      </c>
      <c r="AC317" s="47" t="s">
        <v>731</v>
      </c>
      <c r="AD317" s="47" t="s">
        <v>731</v>
      </c>
      <c r="AE317" s="47" t="s">
        <v>731</v>
      </c>
      <c r="AF317" s="47">
        <v>0</v>
      </c>
      <c r="AG317" s="47">
        <v>0</v>
      </c>
      <c r="AH317" s="47">
        <v>0</v>
      </c>
      <c r="AI317" s="47" t="s">
        <v>729</v>
      </c>
      <c r="AJ317">
        <v>1</v>
      </c>
      <c r="AK317">
        <v>100</v>
      </c>
    </row>
    <row r="318" spans="1:37" x14ac:dyDescent="0.2">
      <c r="A318" t="s">
        <v>1101</v>
      </c>
      <c r="B318" t="s">
        <v>361</v>
      </c>
      <c r="C318">
        <v>2020</v>
      </c>
      <c r="D318">
        <v>5</v>
      </c>
      <c r="E318" t="s">
        <v>1106</v>
      </c>
      <c r="F318" t="s">
        <v>362</v>
      </c>
      <c r="G318">
        <v>3.7578399999999998</v>
      </c>
      <c r="H318" s="20">
        <f>IF(AND(A318=A317,F318=F317,F318="Winter wheat"),G318*0.9*'BAU Management details'!$F$46,
IF(AND(OR(A318&lt;&gt;A317,F318&lt;&gt;F317),F318="Winter wheat"),G318*'BAU Management details'!$F$46,
IF(F318="Oilseed Rape",G318*'BAU Management details'!$F$47)))</f>
        <v>29.085681599999997</v>
      </c>
      <c r="I318" t="s">
        <v>348</v>
      </c>
      <c r="J318">
        <v>10</v>
      </c>
      <c r="K318" t="s">
        <v>362</v>
      </c>
      <c r="L318" t="s">
        <v>751</v>
      </c>
      <c r="M318">
        <v>2.8</v>
      </c>
      <c r="N318" t="s">
        <v>349</v>
      </c>
      <c r="O318" t="s">
        <v>350</v>
      </c>
      <c r="P318">
        <v>6.5</v>
      </c>
      <c r="Q318" t="s">
        <v>743</v>
      </c>
      <c r="R318" t="s">
        <v>351</v>
      </c>
      <c r="S318">
        <v>220</v>
      </c>
      <c r="T318" s="47" t="s">
        <v>729</v>
      </c>
      <c r="U318" t="s">
        <v>733</v>
      </c>
      <c r="V318" t="s">
        <v>369</v>
      </c>
      <c r="W318" s="47" t="s">
        <v>736</v>
      </c>
      <c r="X318" s="47">
        <v>0</v>
      </c>
      <c r="Y318" s="47" t="s">
        <v>730</v>
      </c>
      <c r="Z318" s="47">
        <v>0</v>
      </c>
      <c r="AA318" s="47" t="s">
        <v>731</v>
      </c>
      <c r="AB318" s="47">
        <v>0</v>
      </c>
      <c r="AC318" s="47">
        <v>0</v>
      </c>
      <c r="AD318" s="47">
        <v>0</v>
      </c>
      <c r="AE318" s="47" t="s">
        <v>731</v>
      </c>
      <c r="AF318" s="47">
        <v>0</v>
      </c>
      <c r="AG318" s="47">
        <v>0</v>
      </c>
      <c r="AH318" s="47">
        <v>0</v>
      </c>
      <c r="AI318" s="47" t="s">
        <v>729</v>
      </c>
      <c r="AJ318">
        <v>1</v>
      </c>
      <c r="AK318">
        <v>100</v>
      </c>
    </row>
    <row r="319" spans="1:37" x14ac:dyDescent="0.2">
      <c r="A319" t="s">
        <v>1101</v>
      </c>
      <c r="B319" t="s">
        <v>361</v>
      </c>
      <c r="C319">
        <v>2021</v>
      </c>
      <c r="D319">
        <v>6</v>
      </c>
      <c r="E319" t="s">
        <v>1107</v>
      </c>
      <c r="F319" t="s">
        <v>365</v>
      </c>
      <c r="G319">
        <v>3.7578399999999998</v>
      </c>
      <c r="H319" s="20">
        <f>IF(AND(A319=A318,F319=F318,F319="Winter wheat"),G319*0.9*'BAU Management details'!$F$46,
IF(AND(OR(A319&lt;&gt;A318,F319&lt;&gt;F318),F319="Winter wheat"),G319*'BAU Management details'!$F$46,
IF(F319="Oilseed Rape",G319*'BAU Management details'!$F$47)))</f>
        <v>13.152439999999999</v>
      </c>
      <c r="I319" t="s">
        <v>348</v>
      </c>
      <c r="J319">
        <v>10</v>
      </c>
      <c r="K319" t="s">
        <v>532</v>
      </c>
      <c r="L319" t="s">
        <v>751</v>
      </c>
      <c r="M319">
        <v>2.8</v>
      </c>
      <c r="N319" t="s">
        <v>349</v>
      </c>
      <c r="O319" t="s">
        <v>350</v>
      </c>
      <c r="P319">
        <v>6.5</v>
      </c>
      <c r="Q319" t="s">
        <v>743</v>
      </c>
      <c r="R319" t="s">
        <v>351</v>
      </c>
      <c r="S319">
        <v>220</v>
      </c>
      <c r="T319" s="47" t="s">
        <v>735</v>
      </c>
      <c r="U319" t="s">
        <v>368</v>
      </c>
      <c r="V319" t="s">
        <v>364</v>
      </c>
      <c r="W319" s="47" t="s">
        <v>736</v>
      </c>
      <c r="X319" s="47">
        <v>0</v>
      </c>
      <c r="Y319" s="47" t="s">
        <v>736</v>
      </c>
      <c r="Z319" s="47">
        <v>0</v>
      </c>
      <c r="AA319" s="47" t="s">
        <v>736</v>
      </c>
      <c r="AB319" s="47">
        <v>0</v>
      </c>
      <c r="AC319" s="47">
        <v>0</v>
      </c>
      <c r="AD319" s="47">
        <v>0</v>
      </c>
      <c r="AE319" s="47" t="s">
        <v>731</v>
      </c>
      <c r="AF319" s="47">
        <v>0</v>
      </c>
      <c r="AG319" s="47" t="s">
        <v>731</v>
      </c>
      <c r="AH319" s="47">
        <v>0</v>
      </c>
      <c r="AI319" s="47" t="s">
        <v>735</v>
      </c>
      <c r="AJ319">
        <v>1</v>
      </c>
      <c r="AK319">
        <v>100</v>
      </c>
    </row>
    <row r="320" spans="1:37" x14ac:dyDescent="0.2">
      <c r="A320" t="s">
        <v>1108</v>
      </c>
      <c r="B320" t="s">
        <v>361</v>
      </c>
      <c r="C320">
        <v>2016</v>
      </c>
      <c r="D320">
        <v>1</v>
      </c>
      <c r="E320" t="s">
        <v>1109</v>
      </c>
      <c r="F320" t="s">
        <v>362</v>
      </c>
      <c r="G320">
        <v>8.547879</v>
      </c>
      <c r="H320" s="20">
        <f>IF(AND(A320=A319,F320=F319,F320="Winter wheat"),G320*0.9*'BAU Management details'!$F$46,
IF(AND(OR(A320&lt;&gt;A319,F320&lt;&gt;F319),F320="Winter wheat"),G320*'BAU Management details'!$F$46,
IF(F320="Oilseed Rape",G320*'BAU Management details'!$F$47)))</f>
        <v>73.511759400000003</v>
      </c>
      <c r="I320" t="s">
        <v>348</v>
      </c>
      <c r="J320">
        <v>10</v>
      </c>
      <c r="K320" t="s">
        <v>362</v>
      </c>
      <c r="L320" t="s">
        <v>751</v>
      </c>
      <c r="M320">
        <v>1.8</v>
      </c>
      <c r="N320" t="s">
        <v>349</v>
      </c>
      <c r="O320" t="s">
        <v>742</v>
      </c>
      <c r="P320">
        <v>6.7</v>
      </c>
      <c r="Q320" t="s">
        <v>743</v>
      </c>
      <c r="R320" t="s">
        <v>351</v>
      </c>
      <c r="S320">
        <v>220</v>
      </c>
      <c r="T320" s="47" t="s">
        <v>729</v>
      </c>
      <c r="U320" t="s">
        <v>366</v>
      </c>
      <c r="V320" t="s">
        <v>367</v>
      </c>
      <c r="W320" s="47" t="s">
        <v>736</v>
      </c>
      <c r="X320" s="47">
        <v>0</v>
      </c>
      <c r="Y320" s="47" t="s">
        <v>730</v>
      </c>
      <c r="Z320" s="47">
        <v>0</v>
      </c>
      <c r="AA320" s="47" t="s">
        <v>731</v>
      </c>
      <c r="AB320" s="47">
        <v>0</v>
      </c>
      <c r="AC320" s="47" t="s">
        <v>731</v>
      </c>
      <c r="AD320" s="47" t="s">
        <v>731</v>
      </c>
      <c r="AE320" s="47" t="s">
        <v>731</v>
      </c>
      <c r="AF320" s="47">
        <v>0</v>
      </c>
      <c r="AG320" s="47">
        <v>0</v>
      </c>
      <c r="AH320" s="47">
        <v>0</v>
      </c>
      <c r="AI320" s="47" t="s">
        <v>729</v>
      </c>
      <c r="AJ320">
        <v>1</v>
      </c>
      <c r="AK320">
        <v>100</v>
      </c>
    </row>
    <row r="321" spans="1:37" x14ac:dyDescent="0.2">
      <c r="A321" t="s">
        <v>1108</v>
      </c>
      <c r="B321" t="s">
        <v>361</v>
      </c>
      <c r="C321">
        <v>2017</v>
      </c>
      <c r="D321">
        <v>2</v>
      </c>
      <c r="E321" t="s">
        <v>1110</v>
      </c>
      <c r="F321" t="s">
        <v>362</v>
      </c>
      <c r="G321">
        <v>8.547879</v>
      </c>
      <c r="H321" s="20">
        <f>IF(AND(A321=A320,F321=F320,F321="Winter wheat"),G321*0.9*'BAU Management details'!$F$46,
IF(AND(OR(A321&lt;&gt;A320,F321&lt;&gt;F320),F321="Winter wheat"),G321*'BAU Management details'!$F$46,
IF(F321="Oilseed Rape",G321*'BAU Management details'!$F$47)))</f>
        <v>66.160583459999998</v>
      </c>
      <c r="I321" t="s">
        <v>348</v>
      </c>
      <c r="J321">
        <v>10</v>
      </c>
      <c r="K321" t="s">
        <v>362</v>
      </c>
      <c r="L321" t="s">
        <v>751</v>
      </c>
      <c r="M321">
        <v>1.8</v>
      </c>
      <c r="N321" t="s">
        <v>349</v>
      </c>
      <c r="O321" t="s">
        <v>742</v>
      </c>
      <c r="P321">
        <v>6.7</v>
      </c>
      <c r="Q321" t="s">
        <v>743</v>
      </c>
      <c r="R321" t="s">
        <v>351</v>
      </c>
      <c r="S321">
        <v>220</v>
      </c>
      <c r="T321" s="47" t="s">
        <v>729</v>
      </c>
      <c r="U321" t="s">
        <v>733</v>
      </c>
      <c r="V321" t="s">
        <v>369</v>
      </c>
      <c r="W321" s="47" t="s">
        <v>736</v>
      </c>
      <c r="X321" s="47">
        <v>0</v>
      </c>
      <c r="Y321" s="47" t="s">
        <v>730</v>
      </c>
      <c r="Z321" s="47">
        <v>0</v>
      </c>
      <c r="AA321" s="47" t="s">
        <v>731</v>
      </c>
      <c r="AB321" s="47">
        <v>0</v>
      </c>
      <c r="AC321" s="47">
        <v>0</v>
      </c>
      <c r="AD321" s="47">
        <v>0</v>
      </c>
      <c r="AE321" s="47" t="s">
        <v>731</v>
      </c>
      <c r="AF321" s="47">
        <v>0</v>
      </c>
      <c r="AG321" s="47">
        <v>0</v>
      </c>
      <c r="AH321" s="47">
        <v>0</v>
      </c>
      <c r="AI321" s="47" t="s">
        <v>729</v>
      </c>
      <c r="AJ321">
        <v>1</v>
      </c>
      <c r="AK321">
        <v>100</v>
      </c>
    </row>
    <row r="322" spans="1:37" x14ac:dyDescent="0.2">
      <c r="A322" t="s">
        <v>1108</v>
      </c>
      <c r="B322" t="s">
        <v>361</v>
      </c>
      <c r="C322">
        <v>2018</v>
      </c>
      <c r="D322">
        <v>3</v>
      </c>
      <c r="E322" t="s">
        <v>1111</v>
      </c>
      <c r="F322" t="s">
        <v>365</v>
      </c>
      <c r="G322">
        <v>8.547879</v>
      </c>
      <c r="H322" s="20">
        <f>IF(AND(A322=A321,F322=F321,F322="Winter wheat"),G322*0.9*'BAU Management details'!$F$46,
IF(AND(OR(A322&lt;&gt;A321,F322&lt;&gt;F321),F322="Winter wheat"),G322*'BAU Management details'!$F$46,
IF(F322="Oilseed Rape",G322*'BAU Management details'!$F$47)))</f>
        <v>29.917576499999999</v>
      </c>
      <c r="I322" t="s">
        <v>348</v>
      </c>
      <c r="J322">
        <v>10</v>
      </c>
      <c r="K322" t="s">
        <v>532</v>
      </c>
      <c r="L322" t="s">
        <v>751</v>
      </c>
      <c r="M322">
        <v>1.8</v>
      </c>
      <c r="N322" t="s">
        <v>349</v>
      </c>
      <c r="O322" t="s">
        <v>742</v>
      </c>
      <c r="P322">
        <v>6.7</v>
      </c>
      <c r="Q322" t="s">
        <v>743</v>
      </c>
      <c r="R322" t="s">
        <v>351</v>
      </c>
      <c r="S322">
        <v>220</v>
      </c>
      <c r="T322" s="47" t="s">
        <v>735</v>
      </c>
      <c r="U322" t="s">
        <v>368</v>
      </c>
      <c r="V322" t="s">
        <v>364</v>
      </c>
      <c r="W322" s="47" t="s">
        <v>736</v>
      </c>
      <c r="X322" s="47">
        <v>0</v>
      </c>
      <c r="Y322" s="47" t="s">
        <v>736</v>
      </c>
      <c r="Z322" s="47">
        <v>0</v>
      </c>
      <c r="AA322" s="47" t="s">
        <v>736</v>
      </c>
      <c r="AB322" s="47">
        <v>0</v>
      </c>
      <c r="AC322" s="47">
        <v>0</v>
      </c>
      <c r="AD322" s="47">
        <v>0</v>
      </c>
      <c r="AE322" s="47" t="s">
        <v>731</v>
      </c>
      <c r="AF322" s="47">
        <v>0</v>
      </c>
      <c r="AG322" s="47" t="s">
        <v>731</v>
      </c>
      <c r="AH322" s="47">
        <v>0</v>
      </c>
      <c r="AI322" s="47" t="s">
        <v>735</v>
      </c>
      <c r="AJ322">
        <v>1</v>
      </c>
      <c r="AK322">
        <v>100</v>
      </c>
    </row>
    <row r="323" spans="1:37" x14ac:dyDescent="0.2">
      <c r="A323" t="s">
        <v>1108</v>
      </c>
      <c r="B323" t="s">
        <v>361</v>
      </c>
      <c r="C323">
        <v>2019</v>
      </c>
      <c r="D323">
        <v>4</v>
      </c>
      <c r="E323" t="s">
        <v>1112</v>
      </c>
      <c r="F323" t="s">
        <v>362</v>
      </c>
      <c r="G323">
        <v>8.547879</v>
      </c>
      <c r="H323" s="20">
        <f>IF(AND(A323=A322,F323=F322,F323="Winter wheat"),G323*0.9*'BAU Management details'!$F$46,
IF(AND(OR(A323&lt;&gt;A322,F323&lt;&gt;F322),F323="Winter wheat"),G323*'BAU Management details'!$F$46,
IF(F323="Oilseed Rape",G323*'BAU Management details'!$F$47)))</f>
        <v>73.511759400000003</v>
      </c>
      <c r="I323" t="s">
        <v>348</v>
      </c>
      <c r="J323">
        <v>10</v>
      </c>
      <c r="K323" t="s">
        <v>362</v>
      </c>
      <c r="L323" t="s">
        <v>751</v>
      </c>
      <c r="M323">
        <v>1.8</v>
      </c>
      <c r="N323" t="s">
        <v>349</v>
      </c>
      <c r="O323" t="s">
        <v>742</v>
      </c>
      <c r="P323">
        <v>6.7</v>
      </c>
      <c r="Q323" t="s">
        <v>743</v>
      </c>
      <c r="R323" t="s">
        <v>351</v>
      </c>
      <c r="S323">
        <v>220</v>
      </c>
      <c r="T323" s="47" t="s">
        <v>729</v>
      </c>
      <c r="U323" t="s">
        <v>366</v>
      </c>
      <c r="V323" t="s">
        <v>367</v>
      </c>
      <c r="W323" s="47" t="s">
        <v>736</v>
      </c>
      <c r="X323" s="47">
        <v>0</v>
      </c>
      <c r="Y323" s="47" t="s">
        <v>730</v>
      </c>
      <c r="Z323" s="47">
        <v>0</v>
      </c>
      <c r="AA323" s="47" t="s">
        <v>731</v>
      </c>
      <c r="AB323" s="47">
        <v>0</v>
      </c>
      <c r="AC323" s="47" t="s">
        <v>731</v>
      </c>
      <c r="AD323" s="47" t="s">
        <v>731</v>
      </c>
      <c r="AE323" s="47" t="s">
        <v>731</v>
      </c>
      <c r="AF323" s="47">
        <v>0</v>
      </c>
      <c r="AG323" s="47">
        <v>0</v>
      </c>
      <c r="AH323" s="47">
        <v>0</v>
      </c>
      <c r="AI323" s="47" t="s">
        <v>729</v>
      </c>
      <c r="AJ323">
        <v>1</v>
      </c>
      <c r="AK323">
        <v>100</v>
      </c>
    </row>
    <row r="324" spans="1:37" x14ac:dyDescent="0.2">
      <c r="A324" t="s">
        <v>1108</v>
      </c>
      <c r="B324" t="s">
        <v>361</v>
      </c>
      <c r="C324">
        <v>2020</v>
      </c>
      <c r="D324">
        <v>5</v>
      </c>
      <c r="E324" t="s">
        <v>1113</v>
      </c>
      <c r="F324" t="s">
        <v>362</v>
      </c>
      <c r="G324">
        <v>8.547879</v>
      </c>
      <c r="H324" s="20">
        <f>IF(AND(A324=A323,F324=F323,F324="Winter wheat"),G324*0.9*'BAU Management details'!$F$46,
IF(AND(OR(A324&lt;&gt;A323,F324&lt;&gt;F323),F324="Winter wheat"),G324*'BAU Management details'!$F$46,
IF(F324="Oilseed Rape",G324*'BAU Management details'!$F$47)))</f>
        <v>66.160583459999998</v>
      </c>
      <c r="I324" t="s">
        <v>348</v>
      </c>
      <c r="J324">
        <v>10</v>
      </c>
      <c r="K324" t="s">
        <v>362</v>
      </c>
      <c r="L324" t="s">
        <v>751</v>
      </c>
      <c r="M324">
        <v>1.8</v>
      </c>
      <c r="N324" t="s">
        <v>349</v>
      </c>
      <c r="O324" t="s">
        <v>742</v>
      </c>
      <c r="P324">
        <v>6.7</v>
      </c>
      <c r="Q324" t="s">
        <v>743</v>
      </c>
      <c r="R324" t="s">
        <v>351</v>
      </c>
      <c r="S324">
        <v>220</v>
      </c>
      <c r="T324" s="47" t="s">
        <v>729</v>
      </c>
      <c r="U324" t="s">
        <v>733</v>
      </c>
      <c r="V324" t="s">
        <v>369</v>
      </c>
      <c r="W324" s="47" t="s">
        <v>736</v>
      </c>
      <c r="X324" s="47">
        <v>0</v>
      </c>
      <c r="Y324" s="47" t="s">
        <v>730</v>
      </c>
      <c r="Z324" s="47">
        <v>0</v>
      </c>
      <c r="AA324" s="47" t="s">
        <v>731</v>
      </c>
      <c r="AB324" s="47">
        <v>0</v>
      </c>
      <c r="AC324" s="47">
        <v>0</v>
      </c>
      <c r="AD324" s="47">
        <v>0</v>
      </c>
      <c r="AE324" s="47" t="s">
        <v>731</v>
      </c>
      <c r="AF324" s="47">
        <v>0</v>
      </c>
      <c r="AG324" s="47">
        <v>0</v>
      </c>
      <c r="AH324" s="47">
        <v>0</v>
      </c>
      <c r="AI324" s="47" t="s">
        <v>729</v>
      </c>
      <c r="AJ324">
        <v>1</v>
      </c>
      <c r="AK324">
        <v>100</v>
      </c>
    </row>
    <row r="325" spans="1:37" x14ac:dyDescent="0.2">
      <c r="A325" t="s">
        <v>1108</v>
      </c>
      <c r="B325" t="s">
        <v>361</v>
      </c>
      <c r="C325">
        <v>2021</v>
      </c>
      <c r="D325">
        <v>6</v>
      </c>
      <c r="E325" t="s">
        <v>1114</v>
      </c>
      <c r="F325" t="s">
        <v>365</v>
      </c>
      <c r="G325">
        <v>8.547879</v>
      </c>
      <c r="H325" s="20">
        <f>IF(AND(A325=A324,F325=F324,F325="Winter wheat"),G325*0.9*'BAU Management details'!$F$46,
IF(AND(OR(A325&lt;&gt;A324,F325&lt;&gt;F324),F325="Winter wheat"),G325*'BAU Management details'!$F$46,
IF(F325="Oilseed Rape",G325*'BAU Management details'!$F$47)))</f>
        <v>29.917576499999999</v>
      </c>
      <c r="I325" t="s">
        <v>348</v>
      </c>
      <c r="J325">
        <v>10</v>
      </c>
      <c r="K325" t="s">
        <v>532</v>
      </c>
      <c r="L325" t="s">
        <v>751</v>
      </c>
      <c r="M325">
        <v>1.8</v>
      </c>
      <c r="N325" t="s">
        <v>349</v>
      </c>
      <c r="O325" t="s">
        <v>742</v>
      </c>
      <c r="P325">
        <v>6.7</v>
      </c>
      <c r="Q325" t="s">
        <v>743</v>
      </c>
      <c r="R325" t="s">
        <v>351</v>
      </c>
      <c r="S325">
        <v>220</v>
      </c>
      <c r="T325" s="47" t="s">
        <v>735</v>
      </c>
      <c r="U325" t="s">
        <v>368</v>
      </c>
      <c r="V325" t="s">
        <v>364</v>
      </c>
      <c r="W325" s="47" t="s">
        <v>736</v>
      </c>
      <c r="X325" s="47">
        <v>0</v>
      </c>
      <c r="Y325" s="47" t="s">
        <v>736</v>
      </c>
      <c r="Z325" s="47">
        <v>0</v>
      </c>
      <c r="AA325" s="47" t="s">
        <v>736</v>
      </c>
      <c r="AB325" s="47">
        <v>0</v>
      </c>
      <c r="AC325" s="47">
        <v>0</v>
      </c>
      <c r="AD325" s="47">
        <v>0</v>
      </c>
      <c r="AE325" s="47" t="s">
        <v>731</v>
      </c>
      <c r="AF325" s="47">
        <v>0</v>
      </c>
      <c r="AG325" s="47" t="s">
        <v>731</v>
      </c>
      <c r="AH325" s="47">
        <v>0</v>
      </c>
      <c r="AI325" s="47" t="s">
        <v>735</v>
      </c>
      <c r="AJ325">
        <v>1</v>
      </c>
      <c r="AK325">
        <v>100</v>
      </c>
    </row>
    <row r="326" spans="1:37" x14ac:dyDescent="0.2">
      <c r="A326" t="s">
        <v>1115</v>
      </c>
      <c r="B326" t="s">
        <v>361</v>
      </c>
      <c r="C326">
        <v>2016</v>
      </c>
      <c r="D326">
        <v>1</v>
      </c>
      <c r="E326" t="s">
        <v>1116</v>
      </c>
      <c r="F326" t="s">
        <v>362</v>
      </c>
      <c r="G326">
        <v>6.5476840000000003</v>
      </c>
      <c r="H326" s="20">
        <f>IF(AND(A326=A325,F326=F325,F326="Winter wheat"),G326*0.9*'BAU Management details'!$F$46,
IF(AND(OR(A326&lt;&gt;A325,F326&lt;&gt;F325),F326="Winter wheat"),G326*'BAU Management details'!$F$46,
IF(F326="Oilseed Rape",G326*'BAU Management details'!$F$47)))</f>
        <v>56.310082399999999</v>
      </c>
      <c r="I326" t="s">
        <v>348</v>
      </c>
      <c r="J326">
        <v>10</v>
      </c>
      <c r="K326" t="s">
        <v>362</v>
      </c>
      <c r="L326" t="s">
        <v>751</v>
      </c>
      <c r="M326">
        <v>2.2000000000000002</v>
      </c>
      <c r="N326" t="s">
        <v>349</v>
      </c>
      <c r="O326" t="s">
        <v>742</v>
      </c>
      <c r="P326">
        <v>6.7</v>
      </c>
      <c r="Q326" t="s">
        <v>743</v>
      </c>
      <c r="R326" t="s">
        <v>351</v>
      </c>
      <c r="S326">
        <v>220</v>
      </c>
      <c r="T326" s="47" t="s">
        <v>729</v>
      </c>
      <c r="U326" t="s">
        <v>366</v>
      </c>
      <c r="V326" t="s">
        <v>364</v>
      </c>
      <c r="W326" s="47" t="s">
        <v>736</v>
      </c>
      <c r="X326" s="47">
        <v>0</v>
      </c>
      <c r="Y326" s="47" t="s">
        <v>730</v>
      </c>
      <c r="Z326" s="47">
        <v>0</v>
      </c>
      <c r="AA326" s="47" t="s">
        <v>731</v>
      </c>
      <c r="AB326" s="47">
        <v>0</v>
      </c>
      <c r="AC326" s="47" t="s">
        <v>731</v>
      </c>
      <c r="AD326" s="47" t="s">
        <v>731</v>
      </c>
      <c r="AE326" s="47" t="s">
        <v>731</v>
      </c>
      <c r="AF326" s="47">
        <v>0</v>
      </c>
      <c r="AG326" s="47">
        <v>0</v>
      </c>
      <c r="AH326" s="47">
        <v>0</v>
      </c>
      <c r="AI326" s="47" t="s">
        <v>729</v>
      </c>
      <c r="AJ326">
        <v>1</v>
      </c>
      <c r="AK326">
        <v>100</v>
      </c>
    </row>
    <row r="327" spans="1:37" x14ac:dyDescent="0.2">
      <c r="A327" t="s">
        <v>1115</v>
      </c>
      <c r="B327" t="s">
        <v>361</v>
      </c>
      <c r="C327">
        <v>2017</v>
      </c>
      <c r="D327">
        <v>2</v>
      </c>
      <c r="E327" t="s">
        <v>1117</v>
      </c>
      <c r="F327" t="s">
        <v>362</v>
      </c>
      <c r="G327">
        <v>6.5476840000000003</v>
      </c>
      <c r="H327" s="20">
        <f>IF(AND(A327=A326,F327=F326,F327="Winter wheat"),G327*0.9*'BAU Management details'!$F$46,
IF(AND(OR(A327&lt;&gt;A326,F327&lt;&gt;F326),F327="Winter wheat"),G327*'BAU Management details'!$F$46,
IF(F327="Oilseed Rape",G327*'BAU Management details'!$F$47)))</f>
        <v>50.679074159999999</v>
      </c>
      <c r="I327" t="s">
        <v>348</v>
      </c>
      <c r="J327">
        <v>10</v>
      </c>
      <c r="K327" t="s">
        <v>362</v>
      </c>
      <c r="L327" t="s">
        <v>751</v>
      </c>
      <c r="M327">
        <v>2.2000000000000002</v>
      </c>
      <c r="N327" t="s">
        <v>349</v>
      </c>
      <c r="O327" t="s">
        <v>742</v>
      </c>
      <c r="P327">
        <v>6.7</v>
      </c>
      <c r="Q327" t="s">
        <v>743</v>
      </c>
      <c r="R327" t="s">
        <v>351</v>
      </c>
      <c r="S327">
        <v>220</v>
      </c>
      <c r="T327" s="47" t="s">
        <v>729</v>
      </c>
      <c r="U327" t="s">
        <v>733</v>
      </c>
      <c r="V327" t="s">
        <v>364</v>
      </c>
      <c r="W327" s="47" t="s">
        <v>736</v>
      </c>
      <c r="X327" s="47">
        <v>0</v>
      </c>
      <c r="Y327" s="47" t="s">
        <v>730</v>
      </c>
      <c r="Z327" s="47">
        <v>0</v>
      </c>
      <c r="AA327" s="47" t="s">
        <v>731</v>
      </c>
      <c r="AB327" s="47">
        <v>0</v>
      </c>
      <c r="AC327" s="47">
        <v>0</v>
      </c>
      <c r="AD327" s="47">
        <v>0</v>
      </c>
      <c r="AE327" s="47" t="s">
        <v>731</v>
      </c>
      <c r="AF327" s="47">
        <v>0</v>
      </c>
      <c r="AG327" s="47">
        <v>0</v>
      </c>
      <c r="AH327" s="47">
        <v>0</v>
      </c>
      <c r="AI327" s="47" t="s">
        <v>729</v>
      </c>
      <c r="AJ327">
        <v>1</v>
      </c>
      <c r="AK327">
        <v>100</v>
      </c>
    </row>
    <row r="328" spans="1:37" x14ac:dyDescent="0.2">
      <c r="A328" t="s">
        <v>1115</v>
      </c>
      <c r="B328" t="s">
        <v>361</v>
      </c>
      <c r="C328">
        <v>2018</v>
      </c>
      <c r="D328">
        <v>3</v>
      </c>
      <c r="E328" t="s">
        <v>1118</v>
      </c>
      <c r="F328" t="s">
        <v>365</v>
      </c>
      <c r="G328">
        <v>6.5476840000000003</v>
      </c>
      <c r="H328" s="20">
        <f>IF(AND(A328=A327,F328=F327,F328="Winter wheat"),G328*0.9*'BAU Management details'!$F$46,
IF(AND(OR(A328&lt;&gt;A327,F328&lt;&gt;F327),F328="Winter wheat"),G328*'BAU Management details'!$F$46,
IF(F328="Oilseed Rape",G328*'BAU Management details'!$F$47)))</f>
        <v>22.916893999999999</v>
      </c>
      <c r="I328" t="s">
        <v>348</v>
      </c>
      <c r="J328">
        <v>10</v>
      </c>
      <c r="K328" t="s">
        <v>532</v>
      </c>
      <c r="L328" t="s">
        <v>751</v>
      </c>
      <c r="M328">
        <v>2.2000000000000002</v>
      </c>
      <c r="N328" t="s">
        <v>349</v>
      </c>
      <c r="O328" t="s">
        <v>742</v>
      </c>
      <c r="P328">
        <v>6.7</v>
      </c>
      <c r="Q328" t="s">
        <v>743</v>
      </c>
      <c r="R328" t="s">
        <v>351</v>
      </c>
      <c r="S328">
        <v>220</v>
      </c>
      <c r="T328" s="47" t="s">
        <v>735</v>
      </c>
      <c r="U328" t="s">
        <v>368</v>
      </c>
      <c r="V328" t="s">
        <v>364</v>
      </c>
      <c r="W328" s="47" t="s">
        <v>736</v>
      </c>
      <c r="X328" s="47">
        <v>0</v>
      </c>
      <c r="Y328" s="47" t="s">
        <v>736</v>
      </c>
      <c r="Z328" s="47">
        <v>0</v>
      </c>
      <c r="AA328" s="47" t="s">
        <v>736</v>
      </c>
      <c r="AB328" s="47">
        <v>0</v>
      </c>
      <c r="AC328" s="47">
        <v>0</v>
      </c>
      <c r="AD328" s="47">
        <v>0</v>
      </c>
      <c r="AE328" s="47" t="s">
        <v>731</v>
      </c>
      <c r="AF328" s="47">
        <v>0</v>
      </c>
      <c r="AG328" s="47" t="s">
        <v>731</v>
      </c>
      <c r="AH328" s="47">
        <v>0</v>
      </c>
      <c r="AI328" s="47" t="s">
        <v>735</v>
      </c>
      <c r="AJ328">
        <v>1</v>
      </c>
      <c r="AK328">
        <v>100</v>
      </c>
    </row>
    <row r="329" spans="1:37" x14ac:dyDescent="0.2">
      <c r="A329" t="s">
        <v>1115</v>
      </c>
      <c r="B329" t="s">
        <v>361</v>
      </c>
      <c r="C329">
        <v>2019</v>
      </c>
      <c r="D329">
        <v>4</v>
      </c>
      <c r="E329" t="s">
        <v>1119</v>
      </c>
      <c r="F329" t="s">
        <v>362</v>
      </c>
      <c r="G329">
        <v>6.5476840000000003</v>
      </c>
      <c r="H329" s="20">
        <f>IF(AND(A329=A328,F329=F328,F329="Winter wheat"),G329*0.9*'BAU Management details'!$F$46,
IF(AND(OR(A329&lt;&gt;A328,F329&lt;&gt;F328),F329="Winter wheat"),G329*'BAU Management details'!$F$46,
IF(F329="Oilseed Rape",G329*'BAU Management details'!$F$47)))</f>
        <v>56.310082399999999</v>
      </c>
      <c r="I329" t="s">
        <v>348</v>
      </c>
      <c r="J329">
        <v>10</v>
      </c>
      <c r="K329" t="s">
        <v>362</v>
      </c>
      <c r="L329" t="s">
        <v>751</v>
      </c>
      <c r="M329">
        <v>2.2000000000000002</v>
      </c>
      <c r="N329" t="s">
        <v>349</v>
      </c>
      <c r="O329" t="s">
        <v>742</v>
      </c>
      <c r="P329">
        <v>6.7</v>
      </c>
      <c r="Q329" t="s">
        <v>743</v>
      </c>
      <c r="R329" t="s">
        <v>351</v>
      </c>
      <c r="S329">
        <v>220</v>
      </c>
      <c r="T329" s="47" t="s">
        <v>729</v>
      </c>
      <c r="U329" t="s">
        <v>366</v>
      </c>
      <c r="V329" t="s">
        <v>364</v>
      </c>
      <c r="W329" s="47" t="s">
        <v>736</v>
      </c>
      <c r="X329" s="47">
        <v>0</v>
      </c>
      <c r="Y329" s="47" t="s">
        <v>730</v>
      </c>
      <c r="Z329" s="47">
        <v>0</v>
      </c>
      <c r="AA329" s="47" t="s">
        <v>731</v>
      </c>
      <c r="AB329" s="47">
        <v>0</v>
      </c>
      <c r="AC329" s="47" t="s">
        <v>731</v>
      </c>
      <c r="AD329" s="47" t="s">
        <v>731</v>
      </c>
      <c r="AE329" s="47" t="s">
        <v>731</v>
      </c>
      <c r="AF329" s="47">
        <v>0</v>
      </c>
      <c r="AG329" s="47">
        <v>0</v>
      </c>
      <c r="AH329" s="47">
        <v>0</v>
      </c>
      <c r="AI329" s="47" t="s">
        <v>729</v>
      </c>
      <c r="AJ329">
        <v>1</v>
      </c>
      <c r="AK329">
        <v>100</v>
      </c>
    </row>
    <row r="330" spans="1:37" x14ac:dyDescent="0.2">
      <c r="A330" t="s">
        <v>1115</v>
      </c>
      <c r="B330" t="s">
        <v>361</v>
      </c>
      <c r="C330">
        <v>2020</v>
      </c>
      <c r="D330">
        <v>5</v>
      </c>
      <c r="E330" t="s">
        <v>1120</v>
      </c>
      <c r="F330" t="s">
        <v>362</v>
      </c>
      <c r="G330">
        <v>6.5476840000000003</v>
      </c>
      <c r="H330" s="20">
        <f>IF(AND(A330=A329,F330=F329,F330="Winter wheat"),G330*0.9*'BAU Management details'!$F$46,
IF(AND(OR(A330&lt;&gt;A329,F330&lt;&gt;F329),F330="Winter wheat"),G330*'BAU Management details'!$F$46,
IF(F330="Oilseed Rape",G330*'BAU Management details'!$F$47)))</f>
        <v>50.679074159999999</v>
      </c>
      <c r="I330" t="s">
        <v>348</v>
      </c>
      <c r="J330">
        <v>10</v>
      </c>
      <c r="K330" t="s">
        <v>362</v>
      </c>
      <c r="L330" t="s">
        <v>751</v>
      </c>
      <c r="M330">
        <v>2.2000000000000002</v>
      </c>
      <c r="N330" t="s">
        <v>349</v>
      </c>
      <c r="O330" t="s">
        <v>742</v>
      </c>
      <c r="P330">
        <v>6.7</v>
      </c>
      <c r="Q330" t="s">
        <v>743</v>
      </c>
      <c r="R330" t="s">
        <v>351</v>
      </c>
      <c r="S330">
        <v>220</v>
      </c>
      <c r="T330" s="47" t="s">
        <v>729</v>
      </c>
      <c r="U330" t="s">
        <v>733</v>
      </c>
      <c r="V330" t="s">
        <v>364</v>
      </c>
      <c r="W330" s="47" t="s">
        <v>736</v>
      </c>
      <c r="X330" s="47">
        <v>0</v>
      </c>
      <c r="Y330" s="47" t="s">
        <v>730</v>
      </c>
      <c r="Z330" s="47">
        <v>0</v>
      </c>
      <c r="AA330" s="47" t="s">
        <v>731</v>
      </c>
      <c r="AB330" s="47">
        <v>0</v>
      </c>
      <c r="AC330" s="47">
        <v>0</v>
      </c>
      <c r="AD330" s="47">
        <v>0</v>
      </c>
      <c r="AE330" s="47" t="s">
        <v>731</v>
      </c>
      <c r="AF330" s="47">
        <v>0</v>
      </c>
      <c r="AG330" s="47">
        <v>0</v>
      </c>
      <c r="AH330" s="47">
        <v>0</v>
      </c>
      <c r="AI330" s="47" t="s">
        <v>729</v>
      </c>
      <c r="AJ330">
        <v>1</v>
      </c>
      <c r="AK330">
        <v>100</v>
      </c>
    </row>
    <row r="331" spans="1:37" x14ac:dyDescent="0.2">
      <c r="A331" t="s">
        <v>1115</v>
      </c>
      <c r="B331" t="s">
        <v>361</v>
      </c>
      <c r="C331">
        <v>2021</v>
      </c>
      <c r="D331">
        <v>6</v>
      </c>
      <c r="E331" t="s">
        <v>1121</v>
      </c>
      <c r="F331" t="s">
        <v>365</v>
      </c>
      <c r="G331">
        <v>6.5476840000000003</v>
      </c>
      <c r="H331" s="20">
        <f>IF(AND(A331=A330,F331=F330,F331="Winter wheat"),G331*0.9*'BAU Management details'!$F$46,
IF(AND(OR(A331&lt;&gt;A330,F331&lt;&gt;F330),F331="Winter wheat"),G331*'BAU Management details'!$F$46,
IF(F331="Oilseed Rape",G331*'BAU Management details'!$F$47)))</f>
        <v>22.916893999999999</v>
      </c>
      <c r="I331" t="s">
        <v>348</v>
      </c>
      <c r="J331">
        <v>10</v>
      </c>
      <c r="K331" t="s">
        <v>532</v>
      </c>
      <c r="L331" t="s">
        <v>751</v>
      </c>
      <c r="M331">
        <v>2.2000000000000002</v>
      </c>
      <c r="N331" t="s">
        <v>349</v>
      </c>
      <c r="O331" t="s">
        <v>742</v>
      </c>
      <c r="P331">
        <v>6.7</v>
      </c>
      <c r="Q331" t="s">
        <v>743</v>
      </c>
      <c r="R331" t="s">
        <v>351</v>
      </c>
      <c r="S331">
        <v>220</v>
      </c>
      <c r="T331" s="47" t="s">
        <v>735</v>
      </c>
      <c r="U331" t="s">
        <v>368</v>
      </c>
      <c r="V331" t="s">
        <v>364</v>
      </c>
      <c r="W331" s="47" t="s">
        <v>736</v>
      </c>
      <c r="X331" s="47">
        <v>0</v>
      </c>
      <c r="Y331" s="47" t="s">
        <v>736</v>
      </c>
      <c r="Z331" s="47">
        <v>0</v>
      </c>
      <c r="AA331" s="47" t="s">
        <v>736</v>
      </c>
      <c r="AB331" s="47">
        <v>0</v>
      </c>
      <c r="AC331" s="47">
        <v>0</v>
      </c>
      <c r="AD331" s="47">
        <v>0</v>
      </c>
      <c r="AE331" s="47" t="s">
        <v>731</v>
      </c>
      <c r="AF331" s="47">
        <v>0</v>
      </c>
      <c r="AG331" s="47" t="s">
        <v>731</v>
      </c>
      <c r="AH331" s="47">
        <v>0</v>
      </c>
      <c r="AI331" s="47" t="s">
        <v>735</v>
      </c>
      <c r="AJ331">
        <v>1</v>
      </c>
      <c r="AK331">
        <v>100</v>
      </c>
    </row>
    <row r="332" spans="1:37" x14ac:dyDescent="0.2">
      <c r="A332" t="s">
        <v>1122</v>
      </c>
      <c r="B332" t="s">
        <v>361</v>
      </c>
      <c r="C332">
        <v>2016</v>
      </c>
      <c r="D332">
        <v>1</v>
      </c>
      <c r="E332" t="s">
        <v>1123</v>
      </c>
      <c r="F332" t="s">
        <v>362</v>
      </c>
      <c r="G332">
        <v>10.646997000000001</v>
      </c>
      <c r="H332" s="20">
        <f>IF(AND(A332=A331,F332=F331,F332="Winter wheat"),G332*0.9*'BAU Management details'!$F$46,
IF(AND(OR(A332&lt;&gt;A331,F332&lt;&gt;F331),F332="Winter wheat"),G332*'BAU Management details'!$F$46,
IF(F332="Oilseed Rape",G332*'BAU Management details'!$F$47)))</f>
        <v>91.564174199999997</v>
      </c>
      <c r="I332" t="s">
        <v>348</v>
      </c>
      <c r="J332">
        <v>10</v>
      </c>
      <c r="K332" t="s">
        <v>362</v>
      </c>
      <c r="L332" t="s">
        <v>751</v>
      </c>
      <c r="M332">
        <v>2.2000000000000002</v>
      </c>
      <c r="N332" t="s">
        <v>349</v>
      </c>
      <c r="O332" t="s">
        <v>742</v>
      </c>
      <c r="P332">
        <v>6.7</v>
      </c>
      <c r="Q332" t="s">
        <v>743</v>
      </c>
      <c r="R332" t="s">
        <v>351</v>
      </c>
      <c r="S332">
        <v>220</v>
      </c>
      <c r="T332" s="47" t="s">
        <v>729</v>
      </c>
      <c r="U332" t="s">
        <v>366</v>
      </c>
      <c r="V332" t="s">
        <v>364</v>
      </c>
      <c r="W332" s="47" t="s">
        <v>736</v>
      </c>
      <c r="X332" s="47">
        <v>0</v>
      </c>
      <c r="Y332" s="47" t="s">
        <v>730</v>
      </c>
      <c r="Z332" s="47">
        <v>0</v>
      </c>
      <c r="AA332" s="47" t="s">
        <v>731</v>
      </c>
      <c r="AB332" s="47">
        <v>0</v>
      </c>
      <c r="AC332" s="47" t="s">
        <v>731</v>
      </c>
      <c r="AD332" s="47" t="s">
        <v>731</v>
      </c>
      <c r="AE332" s="47" t="s">
        <v>731</v>
      </c>
      <c r="AF332" s="47">
        <v>0</v>
      </c>
      <c r="AG332" s="47">
        <v>0</v>
      </c>
      <c r="AH332" s="47">
        <v>0</v>
      </c>
      <c r="AI332" s="47" t="s">
        <v>729</v>
      </c>
      <c r="AJ332">
        <v>1</v>
      </c>
      <c r="AK332">
        <v>100</v>
      </c>
    </row>
    <row r="333" spans="1:37" x14ac:dyDescent="0.2">
      <c r="A333" t="s">
        <v>1122</v>
      </c>
      <c r="B333" t="s">
        <v>361</v>
      </c>
      <c r="C333">
        <v>2017</v>
      </c>
      <c r="D333">
        <v>2</v>
      </c>
      <c r="E333" t="s">
        <v>1124</v>
      </c>
      <c r="F333" t="s">
        <v>362</v>
      </c>
      <c r="G333">
        <v>10.646997000000001</v>
      </c>
      <c r="H333" s="20">
        <f>IF(AND(A333=A332,F333=F332,F333="Winter wheat"),G333*0.9*'BAU Management details'!$F$46,
IF(AND(OR(A333&lt;&gt;A332,F333&lt;&gt;F332),F333="Winter wheat"),G333*'BAU Management details'!$F$46,
IF(F333="Oilseed Rape",G333*'BAU Management details'!$F$47)))</f>
        <v>82.40775678</v>
      </c>
      <c r="I333" t="s">
        <v>348</v>
      </c>
      <c r="J333">
        <v>10</v>
      </c>
      <c r="K333" t="s">
        <v>362</v>
      </c>
      <c r="L333" t="s">
        <v>751</v>
      </c>
      <c r="M333">
        <v>2.2000000000000002</v>
      </c>
      <c r="N333" t="s">
        <v>349</v>
      </c>
      <c r="O333" t="s">
        <v>742</v>
      </c>
      <c r="P333">
        <v>6.7</v>
      </c>
      <c r="Q333" t="s">
        <v>743</v>
      </c>
      <c r="R333" t="s">
        <v>351</v>
      </c>
      <c r="S333">
        <v>220</v>
      </c>
      <c r="T333" s="47" t="s">
        <v>729</v>
      </c>
      <c r="U333" t="s">
        <v>733</v>
      </c>
      <c r="V333" t="s">
        <v>364</v>
      </c>
      <c r="W333" s="47" t="s">
        <v>736</v>
      </c>
      <c r="X333" s="47">
        <v>0</v>
      </c>
      <c r="Y333" s="47" t="s">
        <v>730</v>
      </c>
      <c r="Z333" s="47">
        <v>0</v>
      </c>
      <c r="AA333" s="47" t="s">
        <v>731</v>
      </c>
      <c r="AB333" s="47">
        <v>0</v>
      </c>
      <c r="AC333" s="47">
        <v>0</v>
      </c>
      <c r="AD333" s="47">
        <v>0</v>
      </c>
      <c r="AE333" s="47" t="s">
        <v>731</v>
      </c>
      <c r="AF333" s="47">
        <v>0</v>
      </c>
      <c r="AG333" s="47">
        <v>0</v>
      </c>
      <c r="AH333" s="47">
        <v>0</v>
      </c>
      <c r="AI333" s="47" t="s">
        <v>729</v>
      </c>
      <c r="AJ333">
        <v>1</v>
      </c>
      <c r="AK333">
        <v>100</v>
      </c>
    </row>
    <row r="334" spans="1:37" x14ac:dyDescent="0.2">
      <c r="A334" t="s">
        <v>1122</v>
      </c>
      <c r="B334" t="s">
        <v>361</v>
      </c>
      <c r="C334">
        <v>2018</v>
      </c>
      <c r="D334">
        <v>3</v>
      </c>
      <c r="E334" t="s">
        <v>1125</v>
      </c>
      <c r="F334" t="s">
        <v>365</v>
      </c>
      <c r="G334">
        <v>10.646997000000001</v>
      </c>
      <c r="H334" s="20">
        <f>IF(AND(A334=A333,F334=F333,F334="Winter wheat"),G334*0.9*'BAU Management details'!$F$46,
IF(AND(OR(A334&lt;&gt;A333,F334&lt;&gt;F333),F334="Winter wheat"),G334*'BAU Management details'!$F$46,
IF(F334="Oilseed Rape",G334*'BAU Management details'!$F$47)))</f>
        <v>37.264489500000003</v>
      </c>
      <c r="I334" t="s">
        <v>348</v>
      </c>
      <c r="J334">
        <v>10</v>
      </c>
      <c r="K334" t="s">
        <v>532</v>
      </c>
      <c r="L334" t="s">
        <v>751</v>
      </c>
      <c r="M334">
        <v>2.2000000000000002</v>
      </c>
      <c r="N334" t="s">
        <v>349</v>
      </c>
      <c r="O334" t="s">
        <v>742</v>
      </c>
      <c r="P334">
        <v>6.7</v>
      </c>
      <c r="Q334" t="s">
        <v>743</v>
      </c>
      <c r="R334" t="s">
        <v>351</v>
      </c>
      <c r="S334">
        <v>220</v>
      </c>
      <c r="T334" s="47" t="s">
        <v>735</v>
      </c>
      <c r="U334" t="s">
        <v>368</v>
      </c>
      <c r="V334" t="s">
        <v>364</v>
      </c>
      <c r="W334" s="47" t="s">
        <v>736</v>
      </c>
      <c r="X334" s="47">
        <v>0</v>
      </c>
      <c r="Y334" s="47" t="s">
        <v>736</v>
      </c>
      <c r="Z334" s="47">
        <v>0</v>
      </c>
      <c r="AA334" s="47" t="s">
        <v>736</v>
      </c>
      <c r="AB334" s="47">
        <v>0</v>
      </c>
      <c r="AC334" s="47">
        <v>0</v>
      </c>
      <c r="AD334" s="47">
        <v>0</v>
      </c>
      <c r="AE334" s="47" t="s">
        <v>731</v>
      </c>
      <c r="AF334" s="47">
        <v>0</v>
      </c>
      <c r="AG334" s="47" t="s">
        <v>731</v>
      </c>
      <c r="AH334" s="47">
        <v>0</v>
      </c>
      <c r="AI334" s="47" t="s">
        <v>735</v>
      </c>
      <c r="AJ334">
        <v>1</v>
      </c>
      <c r="AK334">
        <v>100</v>
      </c>
    </row>
    <row r="335" spans="1:37" x14ac:dyDescent="0.2">
      <c r="A335" t="s">
        <v>1122</v>
      </c>
      <c r="B335" t="s">
        <v>361</v>
      </c>
      <c r="C335">
        <v>2019</v>
      </c>
      <c r="D335">
        <v>4</v>
      </c>
      <c r="E335" t="s">
        <v>1126</v>
      </c>
      <c r="F335" t="s">
        <v>362</v>
      </c>
      <c r="G335">
        <v>10.646997000000001</v>
      </c>
      <c r="H335" s="20">
        <f>IF(AND(A335=A334,F335=F334,F335="Winter wheat"),G335*0.9*'BAU Management details'!$F$46,
IF(AND(OR(A335&lt;&gt;A334,F335&lt;&gt;F334),F335="Winter wheat"),G335*'BAU Management details'!$F$46,
IF(F335="Oilseed Rape",G335*'BAU Management details'!$F$47)))</f>
        <v>91.564174199999997</v>
      </c>
      <c r="I335" t="s">
        <v>348</v>
      </c>
      <c r="J335">
        <v>10</v>
      </c>
      <c r="K335" t="s">
        <v>362</v>
      </c>
      <c r="L335" t="s">
        <v>751</v>
      </c>
      <c r="M335">
        <v>2.2000000000000002</v>
      </c>
      <c r="N335" t="s">
        <v>349</v>
      </c>
      <c r="O335" t="s">
        <v>742</v>
      </c>
      <c r="P335">
        <v>6.7</v>
      </c>
      <c r="Q335" t="s">
        <v>743</v>
      </c>
      <c r="R335" t="s">
        <v>351</v>
      </c>
      <c r="S335">
        <v>220</v>
      </c>
      <c r="T335" s="47" t="s">
        <v>729</v>
      </c>
      <c r="U335" t="s">
        <v>366</v>
      </c>
      <c r="V335" t="s">
        <v>364</v>
      </c>
      <c r="W335" s="47" t="s">
        <v>736</v>
      </c>
      <c r="X335" s="47">
        <v>0</v>
      </c>
      <c r="Y335" s="47" t="s">
        <v>730</v>
      </c>
      <c r="Z335" s="47">
        <v>0</v>
      </c>
      <c r="AA335" s="47" t="s">
        <v>731</v>
      </c>
      <c r="AB335" s="47">
        <v>0</v>
      </c>
      <c r="AC335" s="47" t="s">
        <v>731</v>
      </c>
      <c r="AD335" s="47" t="s">
        <v>731</v>
      </c>
      <c r="AE335" s="47" t="s">
        <v>731</v>
      </c>
      <c r="AF335" s="47">
        <v>0</v>
      </c>
      <c r="AG335" s="47">
        <v>0</v>
      </c>
      <c r="AH335" s="47">
        <v>0</v>
      </c>
      <c r="AI335" s="47" t="s">
        <v>729</v>
      </c>
      <c r="AJ335">
        <v>1</v>
      </c>
      <c r="AK335">
        <v>100</v>
      </c>
    </row>
    <row r="336" spans="1:37" x14ac:dyDescent="0.2">
      <c r="A336" t="s">
        <v>1122</v>
      </c>
      <c r="B336" t="s">
        <v>361</v>
      </c>
      <c r="C336">
        <v>2020</v>
      </c>
      <c r="D336">
        <v>5</v>
      </c>
      <c r="E336" t="s">
        <v>1127</v>
      </c>
      <c r="F336" t="s">
        <v>362</v>
      </c>
      <c r="G336">
        <v>10.646997000000001</v>
      </c>
      <c r="H336" s="20">
        <f>IF(AND(A336=A335,F336=F335,F336="Winter wheat"),G336*0.9*'BAU Management details'!$F$46,
IF(AND(OR(A336&lt;&gt;A335,F336&lt;&gt;F335),F336="Winter wheat"),G336*'BAU Management details'!$F$46,
IF(F336="Oilseed Rape",G336*'BAU Management details'!$F$47)))</f>
        <v>82.40775678</v>
      </c>
      <c r="I336" t="s">
        <v>348</v>
      </c>
      <c r="J336">
        <v>10</v>
      </c>
      <c r="K336" t="s">
        <v>362</v>
      </c>
      <c r="L336" t="s">
        <v>751</v>
      </c>
      <c r="M336">
        <v>2.2000000000000002</v>
      </c>
      <c r="N336" t="s">
        <v>349</v>
      </c>
      <c r="O336" t="s">
        <v>742</v>
      </c>
      <c r="P336">
        <v>6.7</v>
      </c>
      <c r="Q336" t="s">
        <v>743</v>
      </c>
      <c r="R336" t="s">
        <v>351</v>
      </c>
      <c r="S336">
        <v>220</v>
      </c>
      <c r="T336" s="47" t="s">
        <v>729</v>
      </c>
      <c r="U336" t="s">
        <v>733</v>
      </c>
      <c r="V336" t="s">
        <v>364</v>
      </c>
      <c r="W336" s="47" t="s">
        <v>736</v>
      </c>
      <c r="X336" s="47">
        <v>0</v>
      </c>
      <c r="Y336" s="47" t="s">
        <v>730</v>
      </c>
      <c r="Z336" s="47">
        <v>0</v>
      </c>
      <c r="AA336" s="47" t="s">
        <v>731</v>
      </c>
      <c r="AB336" s="47">
        <v>0</v>
      </c>
      <c r="AC336" s="47">
        <v>0</v>
      </c>
      <c r="AD336" s="47">
        <v>0</v>
      </c>
      <c r="AE336" s="47" t="s">
        <v>731</v>
      </c>
      <c r="AF336" s="47">
        <v>0</v>
      </c>
      <c r="AG336" s="47">
        <v>0</v>
      </c>
      <c r="AH336" s="47">
        <v>0</v>
      </c>
      <c r="AI336" s="47" t="s">
        <v>729</v>
      </c>
      <c r="AJ336">
        <v>1</v>
      </c>
      <c r="AK336">
        <v>100</v>
      </c>
    </row>
    <row r="337" spans="1:37" x14ac:dyDescent="0.2">
      <c r="A337" t="s">
        <v>1122</v>
      </c>
      <c r="B337" t="s">
        <v>361</v>
      </c>
      <c r="C337">
        <v>2021</v>
      </c>
      <c r="D337">
        <v>6</v>
      </c>
      <c r="E337" t="s">
        <v>1128</v>
      </c>
      <c r="F337" t="s">
        <v>365</v>
      </c>
      <c r="G337">
        <v>10.646997000000001</v>
      </c>
      <c r="H337" s="20">
        <f>IF(AND(A337=A336,F337=F336,F337="Winter wheat"),G337*0.9*'BAU Management details'!$F$46,
IF(AND(OR(A337&lt;&gt;A336,F337&lt;&gt;F336),F337="Winter wheat"),G337*'BAU Management details'!$F$46,
IF(F337="Oilseed Rape",G337*'BAU Management details'!$F$47)))</f>
        <v>37.264489500000003</v>
      </c>
      <c r="I337" t="s">
        <v>348</v>
      </c>
      <c r="J337">
        <v>10</v>
      </c>
      <c r="K337" t="s">
        <v>532</v>
      </c>
      <c r="L337" t="s">
        <v>751</v>
      </c>
      <c r="M337">
        <v>2.2000000000000002</v>
      </c>
      <c r="N337" t="s">
        <v>349</v>
      </c>
      <c r="O337" t="s">
        <v>742</v>
      </c>
      <c r="P337">
        <v>6.7</v>
      </c>
      <c r="Q337" t="s">
        <v>743</v>
      </c>
      <c r="R337" t="s">
        <v>351</v>
      </c>
      <c r="S337">
        <v>220</v>
      </c>
      <c r="T337" s="47" t="s">
        <v>735</v>
      </c>
      <c r="U337" t="s">
        <v>368</v>
      </c>
      <c r="V337" t="s">
        <v>364</v>
      </c>
      <c r="W337" s="47" t="s">
        <v>736</v>
      </c>
      <c r="X337" s="47">
        <v>0</v>
      </c>
      <c r="Y337" s="47" t="s">
        <v>736</v>
      </c>
      <c r="Z337" s="47">
        <v>0</v>
      </c>
      <c r="AA337" s="47" t="s">
        <v>736</v>
      </c>
      <c r="AB337" s="47">
        <v>0</v>
      </c>
      <c r="AC337" s="47">
        <v>0</v>
      </c>
      <c r="AD337" s="47">
        <v>0</v>
      </c>
      <c r="AE337" s="47" t="s">
        <v>731</v>
      </c>
      <c r="AF337" s="47">
        <v>0</v>
      </c>
      <c r="AG337" s="47" t="s">
        <v>731</v>
      </c>
      <c r="AH337" s="47">
        <v>0</v>
      </c>
      <c r="AI337" s="47" t="s">
        <v>735</v>
      </c>
      <c r="AJ337">
        <v>1</v>
      </c>
      <c r="AK337">
        <v>100</v>
      </c>
    </row>
    <row r="338" spans="1:37" x14ac:dyDescent="0.2">
      <c r="A338" t="s">
        <v>1129</v>
      </c>
      <c r="B338" t="s">
        <v>361</v>
      </c>
      <c r="C338">
        <v>2016</v>
      </c>
      <c r="D338">
        <v>1</v>
      </c>
      <c r="E338" t="s">
        <v>1130</v>
      </c>
      <c r="F338" t="s">
        <v>362</v>
      </c>
      <c r="G338">
        <v>3.764078</v>
      </c>
      <c r="H338" s="20">
        <f>IF(AND(A338=A337,F338=F337,F338="Winter wheat"),G338*0.9*'BAU Management details'!$F$46,
IF(AND(OR(A338&lt;&gt;A337,F338&lt;&gt;F337),F338="Winter wheat"),G338*'BAU Management details'!$F$46,
IF(F338="Oilseed Rape",G338*'BAU Management details'!$F$47)))</f>
        <v>32.371070799999998</v>
      </c>
      <c r="I338" t="s">
        <v>348</v>
      </c>
      <c r="J338">
        <v>10</v>
      </c>
      <c r="K338" t="s">
        <v>362</v>
      </c>
      <c r="L338" t="s">
        <v>751</v>
      </c>
      <c r="M338">
        <v>2.9</v>
      </c>
      <c r="N338" t="s">
        <v>349</v>
      </c>
      <c r="O338" t="s">
        <v>350</v>
      </c>
      <c r="P338">
        <v>7.7</v>
      </c>
      <c r="Q338" t="s">
        <v>728</v>
      </c>
      <c r="R338" t="s">
        <v>351</v>
      </c>
      <c r="S338">
        <v>220</v>
      </c>
      <c r="T338" s="47" t="s">
        <v>729</v>
      </c>
      <c r="U338" t="s">
        <v>366</v>
      </c>
      <c r="V338" t="s">
        <v>364</v>
      </c>
      <c r="W338" s="47" t="s">
        <v>736</v>
      </c>
      <c r="X338" s="47">
        <v>0</v>
      </c>
      <c r="Y338" s="47" t="s">
        <v>730</v>
      </c>
      <c r="Z338" s="47">
        <v>0</v>
      </c>
      <c r="AA338" s="47" t="s">
        <v>731</v>
      </c>
      <c r="AB338" s="47">
        <v>0</v>
      </c>
      <c r="AC338" s="47" t="s">
        <v>731</v>
      </c>
      <c r="AD338" s="47" t="s">
        <v>731</v>
      </c>
      <c r="AE338" s="47" t="s">
        <v>731</v>
      </c>
      <c r="AF338" s="47">
        <v>0</v>
      </c>
      <c r="AG338" s="47">
        <v>0</v>
      </c>
      <c r="AH338" s="47">
        <v>0</v>
      </c>
      <c r="AI338" s="47" t="s">
        <v>729</v>
      </c>
      <c r="AJ338">
        <v>1</v>
      </c>
      <c r="AK338">
        <v>100</v>
      </c>
    </row>
    <row r="339" spans="1:37" x14ac:dyDescent="0.2">
      <c r="A339" t="s">
        <v>1129</v>
      </c>
      <c r="B339" t="s">
        <v>361</v>
      </c>
      <c r="C339">
        <v>2017</v>
      </c>
      <c r="D339">
        <v>2</v>
      </c>
      <c r="E339" t="s">
        <v>1131</v>
      </c>
      <c r="F339" t="s">
        <v>362</v>
      </c>
      <c r="G339">
        <v>3.764078</v>
      </c>
      <c r="H339" s="20">
        <f>IF(AND(A339=A338,F339=F338,F339="Winter wheat"),G339*0.9*'BAU Management details'!$F$46,
IF(AND(OR(A339&lt;&gt;A338,F339&lt;&gt;F338),F339="Winter wheat"),G339*'BAU Management details'!$F$46,
IF(F339="Oilseed Rape",G339*'BAU Management details'!$F$47)))</f>
        <v>29.133963720000001</v>
      </c>
      <c r="I339" t="s">
        <v>348</v>
      </c>
      <c r="J339">
        <v>10</v>
      </c>
      <c r="K339" t="s">
        <v>362</v>
      </c>
      <c r="L339" t="s">
        <v>751</v>
      </c>
      <c r="M339">
        <v>2.9</v>
      </c>
      <c r="N339" t="s">
        <v>349</v>
      </c>
      <c r="O339" t="s">
        <v>350</v>
      </c>
      <c r="P339">
        <v>7.7</v>
      </c>
      <c r="Q339" t="s">
        <v>728</v>
      </c>
      <c r="R339" t="s">
        <v>351</v>
      </c>
      <c r="S339">
        <v>220</v>
      </c>
      <c r="T339" s="47" t="s">
        <v>729</v>
      </c>
      <c r="U339" t="s">
        <v>733</v>
      </c>
      <c r="V339" t="s">
        <v>364</v>
      </c>
      <c r="W339" s="47" t="s">
        <v>736</v>
      </c>
      <c r="X339" s="47">
        <v>0</v>
      </c>
      <c r="Y339" s="47" t="s">
        <v>730</v>
      </c>
      <c r="Z339" s="47">
        <v>0</v>
      </c>
      <c r="AA339" s="47" t="s">
        <v>731</v>
      </c>
      <c r="AB339" s="47">
        <v>0</v>
      </c>
      <c r="AC339" s="47">
        <v>0</v>
      </c>
      <c r="AD339" s="47">
        <v>0</v>
      </c>
      <c r="AE339" s="47" t="s">
        <v>731</v>
      </c>
      <c r="AF339" s="47">
        <v>0</v>
      </c>
      <c r="AG339" s="47">
        <v>0</v>
      </c>
      <c r="AH339" s="47">
        <v>0</v>
      </c>
      <c r="AI339" s="47" t="s">
        <v>729</v>
      </c>
      <c r="AJ339">
        <v>1</v>
      </c>
      <c r="AK339">
        <v>100</v>
      </c>
    </row>
    <row r="340" spans="1:37" x14ac:dyDescent="0.2">
      <c r="A340" t="s">
        <v>1129</v>
      </c>
      <c r="B340" t="s">
        <v>361</v>
      </c>
      <c r="C340">
        <v>2018</v>
      </c>
      <c r="D340">
        <v>3</v>
      </c>
      <c r="E340" t="s">
        <v>1132</v>
      </c>
      <c r="F340" t="s">
        <v>365</v>
      </c>
      <c r="G340">
        <v>3.764078</v>
      </c>
      <c r="H340" s="20">
        <f>IF(AND(A340=A339,F340=F339,F340="Winter wheat"),G340*0.9*'BAU Management details'!$F$46,
IF(AND(OR(A340&lt;&gt;A339,F340&lt;&gt;F339),F340="Winter wheat"),G340*'BAU Management details'!$F$46,
IF(F340="Oilseed Rape",G340*'BAU Management details'!$F$47)))</f>
        <v>13.174272999999999</v>
      </c>
      <c r="I340" t="s">
        <v>348</v>
      </c>
      <c r="J340">
        <v>10</v>
      </c>
      <c r="K340" t="s">
        <v>532</v>
      </c>
      <c r="L340" t="s">
        <v>751</v>
      </c>
      <c r="M340">
        <v>2.9</v>
      </c>
      <c r="N340" t="s">
        <v>349</v>
      </c>
      <c r="O340" t="s">
        <v>350</v>
      </c>
      <c r="P340">
        <v>7.7</v>
      </c>
      <c r="Q340" t="s">
        <v>728</v>
      </c>
      <c r="R340" t="s">
        <v>351</v>
      </c>
      <c r="S340">
        <v>220</v>
      </c>
      <c r="T340" s="47" t="s">
        <v>735</v>
      </c>
      <c r="U340" t="s">
        <v>368</v>
      </c>
      <c r="V340" t="s">
        <v>364</v>
      </c>
      <c r="W340" s="47" t="s">
        <v>736</v>
      </c>
      <c r="X340" s="47">
        <v>0</v>
      </c>
      <c r="Y340" s="47" t="s">
        <v>736</v>
      </c>
      <c r="Z340" s="47">
        <v>0</v>
      </c>
      <c r="AA340" s="47" t="s">
        <v>736</v>
      </c>
      <c r="AB340" s="47">
        <v>0</v>
      </c>
      <c r="AC340" s="47">
        <v>0</v>
      </c>
      <c r="AD340" s="47">
        <v>0</v>
      </c>
      <c r="AE340" s="47" t="s">
        <v>731</v>
      </c>
      <c r="AF340" s="47">
        <v>0</v>
      </c>
      <c r="AG340" s="47" t="s">
        <v>731</v>
      </c>
      <c r="AH340" s="47">
        <v>0</v>
      </c>
      <c r="AI340" s="47" t="s">
        <v>735</v>
      </c>
      <c r="AJ340">
        <v>1</v>
      </c>
      <c r="AK340">
        <v>100</v>
      </c>
    </row>
    <row r="341" spans="1:37" x14ac:dyDescent="0.2">
      <c r="A341" t="s">
        <v>1129</v>
      </c>
      <c r="B341" t="s">
        <v>361</v>
      </c>
      <c r="C341">
        <v>2019</v>
      </c>
      <c r="D341">
        <v>4</v>
      </c>
      <c r="E341" t="s">
        <v>1133</v>
      </c>
      <c r="F341" t="s">
        <v>362</v>
      </c>
      <c r="G341">
        <v>3.764078</v>
      </c>
      <c r="H341" s="20">
        <f>IF(AND(A341=A340,F341=F340,F341="Winter wheat"),G341*0.9*'BAU Management details'!$F$46,
IF(AND(OR(A341&lt;&gt;A340,F341&lt;&gt;F340),F341="Winter wheat"),G341*'BAU Management details'!$F$46,
IF(F341="Oilseed Rape",G341*'BAU Management details'!$F$47)))</f>
        <v>32.371070799999998</v>
      </c>
      <c r="I341" t="s">
        <v>348</v>
      </c>
      <c r="J341">
        <v>10</v>
      </c>
      <c r="K341" t="s">
        <v>362</v>
      </c>
      <c r="L341" t="s">
        <v>751</v>
      </c>
      <c r="M341">
        <v>2.9</v>
      </c>
      <c r="N341" t="s">
        <v>349</v>
      </c>
      <c r="O341" t="s">
        <v>350</v>
      </c>
      <c r="P341">
        <v>7.7</v>
      </c>
      <c r="Q341" t="s">
        <v>728</v>
      </c>
      <c r="R341" t="s">
        <v>351</v>
      </c>
      <c r="S341">
        <v>220</v>
      </c>
      <c r="T341" s="47" t="s">
        <v>729</v>
      </c>
      <c r="U341" t="s">
        <v>366</v>
      </c>
      <c r="V341" t="s">
        <v>364</v>
      </c>
      <c r="W341" s="47" t="s">
        <v>736</v>
      </c>
      <c r="X341" s="47">
        <v>0</v>
      </c>
      <c r="Y341" s="47" t="s">
        <v>730</v>
      </c>
      <c r="Z341" s="47">
        <v>0</v>
      </c>
      <c r="AA341" s="47" t="s">
        <v>731</v>
      </c>
      <c r="AB341" s="47">
        <v>0</v>
      </c>
      <c r="AC341" s="47" t="s">
        <v>731</v>
      </c>
      <c r="AD341" s="47" t="s">
        <v>731</v>
      </c>
      <c r="AE341" s="47" t="s">
        <v>731</v>
      </c>
      <c r="AF341" s="47">
        <v>0</v>
      </c>
      <c r="AG341" s="47">
        <v>0</v>
      </c>
      <c r="AH341" s="47">
        <v>0</v>
      </c>
      <c r="AI341" s="47" t="s">
        <v>729</v>
      </c>
      <c r="AJ341">
        <v>1</v>
      </c>
      <c r="AK341">
        <v>100</v>
      </c>
    </row>
    <row r="342" spans="1:37" x14ac:dyDescent="0.2">
      <c r="A342" t="s">
        <v>1129</v>
      </c>
      <c r="B342" t="s">
        <v>361</v>
      </c>
      <c r="C342">
        <v>2020</v>
      </c>
      <c r="D342">
        <v>5</v>
      </c>
      <c r="E342" t="s">
        <v>1134</v>
      </c>
      <c r="F342" t="s">
        <v>362</v>
      </c>
      <c r="G342">
        <v>3.764078</v>
      </c>
      <c r="H342" s="20">
        <f>IF(AND(A342=A341,F342=F341,F342="Winter wheat"),G342*0.9*'BAU Management details'!$F$46,
IF(AND(OR(A342&lt;&gt;A341,F342&lt;&gt;F341),F342="Winter wheat"),G342*'BAU Management details'!$F$46,
IF(F342="Oilseed Rape",G342*'BAU Management details'!$F$47)))</f>
        <v>29.133963720000001</v>
      </c>
      <c r="I342" t="s">
        <v>348</v>
      </c>
      <c r="J342">
        <v>10</v>
      </c>
      <c r="K342" t="s">
        <v>362</v>
      </c>
      <c r="L342" t="s">
        <v>751</v>
      </c>
      <c r="M342">
        <v>2.9</v>
      </c>
      <c r="N342" t="s">
        <v>349</v>
      </c>
      <c r="O342" t="s">
        <v>350</v>
      </c>
      <c r="P342">
        <v>7.7</v>
      </c>
      <c r="Q342" t="s">
        <v>728</v>
      </c>
      <c r="R342" t="s">
        <v>351</v>
      </c>
      <c r="S342">
        <v>220</v>
      </c>
      <c r="T342" s="47" t="s">
        <v>729</v>
      </c>
      <c r="U342" t="s">
        <v>733</v>
      </c>
      <c r="V342" t="s">
        <v>364</v>
      </c>
      <c r="W342" s="47" t="s">
        <v>736</v>
      </c>
      <c r="X342" s="47">
        <v>0</v>
      </c>
      <c r="Y342" s="47" t="s">
        <v>730</v>
      </c>
      <c r="Z342" s="47">
        <v>0</v>
      </c>
      <c r="AA342" s="47" t="s">
        <v>731</v>
      </c>
      <c r="AB342" s="47">
        <v>0</v>
      </c>
      <c r="AC342" s="47">
        <v>0</v>
      </c>
      <c r="AD342" s="47">
        <v>0</v>
      </c>
      <c r="AE342" s="47" t="s">
        <v>731</v>
      </c>
      <c r="AF342" s="47">
        <v>0</v>
      </c>
      <c r="AG342" s="47">
        <v>0</v>
      </c>
      <c r="AH342" s="47">
        <v>0</v>
      </c>
      <c r="AI342" s="47" t="s">
        <v>729</v>
      </c>
      <c r="AJ342">
        <v>1</v>
      </c>
      <c r="AK342">
        <v>100</v>
      </c>
    </row>
    <row r="343" spans="1:37" x14ac:dyDescent="0.2">
      <c r="A343" t="s">
        <v>1129</v>
      </c>
      <c r="B343" t="s">
        <v>361</v>
      </c>
      <c r="C343">
        <v>2021</v>
      </c>
      <c r="D343">
        <v>6</v>
      </c>
      <c r="E343" t="s">
        <v>1135</v>
      </c>
      <c r="F343" t="s">
        <v>365</v>
      </c>
      <c r="G343">
        <v>3.764078</v>
      </c>
      <c r="H343" s="20">
        <f>IF(AND(A343=A342,F343=F342,F343="Winter wheat"),G343*0.9*'BAU Management details'!$F$46,
IF(AND(OR(A343&lt;&gt;A342,F343&lt;&gt;F342),F343="Winter wheat"),G343*'BAU Management details'!$F$46,
IF(F343="Oilseed Rape",G343*'BAU Management details'!$F$47)))</f>
        <v>13.174272999999999</v>
      </c>
      <c r="I343" t="s">
        <v>348</v>
      </c>
      <c r="J343">
        <v>10</v>
      </c>
      <c r="K343" t="s">
        <v>532</v>
      </c>
      <c r="L343" t="s">
        <v>751</v>
      </c>
      <c r="M343">
        <v>2.9</v>
      </c>
      <c r="N343" t="s">
        <v>349</v>
      </c>
      <c r="O343" t="s">
        <v>350</v>
      </c>
      <c r="P343">
        <v>7.7</v>
      </c>
      <c r="Q343" t="s">
        <v>728</v>
      </c>
      <c r="R343" t="s">
        <v>351</v>
      </c>
      <c r="S343">
        <v>220</v>
      </c>
      <c r="T343" s="47" t="s">
        <v>735</v>
      </c>
      <c r="U343" t="s">
        <v>368</v>
      </c>
      <c r="V343" t="s">
        <v>364</v>
      </c>
      <c r="W343" s="47" t="s">
        <v>736</v>
      </c>
      <c r="X343" s="47">
        <v>0</v>
      </c>
      <c r="Y343" s="47" t="s">
        <v>736</v>
      </c>
      <c r="Z343" s="47">
        <v>0</v>
      </c>
      <c r="AA343" s="47" t="s">
        <v>736</v>
      </c>
      <c r="AB343" s="47">
        <v>0</v>
      </c>
      <c r="AC343" s="47">
        <v>0</v>
      </c>
      <c r="AD343" s="47">
        <v>0</v>
      </c>
      <c r="AE343" s="47" t="s">
        <v>731</v>
      </c>
      <c r="AF343" s="47">
        <v>0</v>
      </c>
      <c r="AG343" s="47" t="s">
        <v>731</v>
      </c>
      <c r="AH343" s="47">
        <v>0</v>
      </c>
      <c r="AI343" s="47" t="s">
        <v>735</v>
      </c>
      <c r="AJ343">
        <v>1</v>
      </c>
      <c r="AK343">
        <v>100</v>
      </c>
    </row>
    <row r="344" spans="1:37" x14ac:dyDescent="0.2">
      <c r="A344" t="s">
        <v>1136</v>
      </c>
      <c r="B344" t="s">
        <v>361</v>
      </c>
      <c r="C344">
        <v>2016</v>
      </c>
      <c r="D344">
        <v>1</v>
      </c>
      <c r="E344" t="s">
        <v>1137</v>
      </c>
      <c r="F344" t="s">
        <v>362</v>
      </c>
      <c r="G344">
        <v>6.5805199999999999</v>
      </c>
      <c r="H344" s="20">
        <f>IF(AND(A344=A343,F344=F343,F344="Winter wheat"),G344*0.9*'BAU Management details'!$F$46,
IF(AND(OR(A344&lt;&gt;A343,F344&lt;&gt;F343),F344="Winter wheat"),G344*'BAU Management details'!$F$46,
IF(F344="Oilseed Rape",G344*'BAU Management details'!$F$47)))</f>
        <v>56.592471999999994</v>
      </c>
      <c r="I344" t="s">
        <v>348</v>
      </c>
      <c r="J344">
        <v>10</v>
      </c>
      <c r="K344" t="s">
        <v>362</v>
      </c>
      <c r="L344" t="s">
        <v>727</v>
      </c>
      <c r="M344">
        <v>5.8</v>
      </c>
      <c r="N344" t="s">
        <v>349</v>
      </c>
      <c r="O344" t="s">
        <v>742</v>
      </c>
      <c r="P344">
        <v>7.6</v>
      </c>
      <c r="Q344" t="s">
        <v>728</v>
      </c>
      <c r="R344" t="s">
        <v>351</v>
      </c>
      <c r="S344">
        <v>220</v>
      </c>
      <c r="T344" s="47" t="s">
        <v>729</v>
      </c>
      <c r="U344" t="s">
        <v>366</v>
      </c>
      <c r="V344" t="s">
        <v>364</v>
      </c>
      <c r="W344" s="47" t="s">
        <v>736</v>
      </c>
      <c r="X344" s="47">
        <v>0</v>
      </c>
      <c r="Y344" s="47" t="s">
        <v>730</v>
      </c>
      <c r="Z344" s="47">
        <v>0</v>
      </c>
      <c r="AA344" s="47" t="s">
        <v>731</v>
      </c>
      <c r="AB344" s="47">
        <v>0</v>
      </c>
      <c r="AC344" s="47" t="s">
        <v>731</v>
      </c>
      <c r="AD344" s="47" t="s">
        <v>731</v>
      </c>
      <c r="AE344" s="47" t="s">
        <v>731</v>
      </c>
      <c r="AF344" s="47">
        <v>0</v>
      </c>
      <c r="AG344" s="47">
        <v>0</v>
      </c>
      <c r="AH344" s="47">
        <v>0</v>
      </c>
      <c r="AI344" s="47" t="s">
        <v>729</v>
      </c>
      <c r="AJ344">
        <v>1</v>
      </c>
      <c r="AK344">
        <v>100</v>
      </c>
    </row>
    <row r="345" spans="1:37" x14ac:dyDescent="0.2">
      <c r="A345" t="s">
        <v>1136</v>
      </c>
      <c r="B345" t="s">
        <v>361</v>
      </c>
      <c r="C345">
        <v>2017</v>
      </c>
      <c r="D345">
        <v>2</v>
      </c>
      <c r="E345" t="s">
        <v>1138</v>
      </c>
      <c r="F345" t="s">
        <v>362</v>
      </c>
      <c r="G345">
        <v>6.5805199999999999</v>
      </c>
      <c r="H345" s="20">
        <f>IF(AND(A345=A344,F345=F344,F345="Winter wheat"),G345*0.9*'BAU Management details'!$F$46,
IF(AND(OR(A345&lt;&gt;A344,F345&lt;&gt;F344),F345="Winter wheat"),G345*'BAU Management details'!$F$46,
IF(F345="Oilseed Rape",G345*'BAU Management details'!$F$47)))</f>
        <v>50.933224799999998</v>
      </c>
      <c r="I345" t="s">
        <v>348</v>
      </c>
      <c r="J345">
        <v>10</v>
      </c>
      <c r="K345" t="s">
        <v>362</v>
      </c>
      <c r="L345" t="s">
        <v>727</v>
      </c>
      <c r="M345">
        <v>5.8</v>
      </c>
      <c r="N345" t="s">
        <v>349</v>
      </c>
      <c r="O345" t="s">
        <v>742</v>
      </c>
      <c r="P345">
        <v>7.6</v>
      </c>
      <c r="Q345" t="s">
        <v>728</v>
      </c>
      <c r="R345" t="s">
        <v>351</v>
      </c>
      <c r="S345">
        <v>220</v>
      </c>
      <c r="T345" s="47" t="s">
        <v>729</v>
      </c>
      <c r="U345" t="s">
        <v>733</v>
      </c>
      <c r="V345" t="s">
        <v>364</v>
      </c>
      <c r="W345" s="47" t="s">
        <v>736</v>
      </c>
      <c r="X345" s="47">
        <v>0</v>
      </c>
      <c r="Y345" s="47" t="s">
        <v>730</v>
      </c>
      <c r="Z345" s="47">
        <v>0</v>
      </c>
      <c r="AA345" s="47" t="s">
        <v>731</v>
      </c>
      <c r="AB345" s="47">
        <v>0</v>
      </c>
      <c r="AC345" s="47">
        <v>0</v>
      </c>
      <c r="AD345" s="47">
        <v>0</v>
      </c>
      <c r="AE345" s="47" t="s">
        <v>731</v>
      </c>
      <c r="AF345" s="47">
        <v>0</v>
      </c>
      <c r="AG345" s="47">
        <v>0</v>
      </c>
      <c r="AH345" s="47">
        <v>0</v>
      </c>
      <c r="AI345" s="47" t="s">
        <v>729</v>
      </c>
      <c r="AJ345">
        <v>1</v>
      </c>
      <c r="AK345">
        <v>100</v>
      </c>
    </row>
    <row r="346" spans="1:37" x14ac:dyDescent="0.2">
      <c r="A346" t="s">
        <v>1136</v>
      </c>
      <c r="B346" t="s">
        <v>361</v>
      </c>
      <c r="C346">
        <v>2018</v>
      </c>
      <c r="D346">
        <v>3</v>
      </c>
      <c r="E346" t="s">
        <v>1139</v>
      </c>
      <c r="F346" t="s">
        <v>365</v>
      </c>
      <c r="G346">
        <v>6.5805199999999999</v>
      </c>
      <c r="H346" s="20">
        <f>IF(AND(A346=A345,F346=F345,F346="Winter wheat"),G346*0.9*'BAU Management details'!$F$46,
IF(AND(OR(A346&lt;&gt;A345,F346&lt;&gt;F345),F346="Winter wheat"),G346*'BAU Management details'!$F$46,
IF(F346="Oilseed Rape",G346*'BAU Management details'!$F$47)))</f>
        <v>23.03182</v>
      </c>
      <c r="I346" t="s">
        <v>348</v>
      </c>
      <c r="J346">
        <v>10</v>
      </c>
      <c r="K346" t="s">
        <v>532</v>
      </c>
      <c r="L346" t="s">
        <v>727</v>
      </c>
      <c r="M346">
        <v>5.8</v>
      </c>
      <c r="N346" t="s">
        <v>349</v>
      </c>
      <c r="O346" t="s">
        <v>742</v>
      </c>
      <c r="P346">
        <v>7.6</v>
      </c>
      <c r="Q346" t="s">
        <v>728</v>
      </c>
      <c r="R346" t="s">
        <v>351</v>
      </c>
      <c r="S346">
        <v>220</v>
      </c>
      <c r="T346" s="47" t="s">
        <v>735</v>
      </c>
      <c r="U346" t="s">
        <v>368</v>
      </c>
      <c r="V346" t="s">
        <v>364</v>
      </c>
      <c r="W346" s="47" t="s">
        <v>736</v>
      </c>
      <c r="X346" s="47">
        <v>0</v>
      </c>
      <c r="Y346" s="47" t="s">
        <v>736</v>
      </c>
      <c r="Z346" s="47">
        <v>0</v>
      </c>
      <c r="AA346" s="47" t="s">
        <v>736</v>
      </c>
      <c r="AB346" s="47">
        <v>0</v>
      </c>
      <c r="AC346" s="47">
        <v>0</v>
      </c>
      <c r="AD346" s="47">
        <v>0</v>
      </c>
      <c r="AE346" s="47" t="s">
        <v>731</v>
      </c>
      <c r="AF346" s="47">
        <v>0</v>
      </c>
      <c r="AG346" s="47" t="s">
        <v>731</v>
      </c>
      <c r="AH346" s="47">
        <v>0</v>
      </c>
      <c r="AI346" s="47" t="s">
        <v>735</v>
      </c>
      <c r="AJ346">
        <v>1</v>
      </c>
      <c r="AK346">
        <v>100</v>
      </c>
    </row>
    <row r="347" spans="1:37" x14ac:dyDescent="0.2">
      <c r="A347" t="s">
        <v>1136</v>
      </c>
      <c r="B347" t="s">
        <v>361</v>
      </c>
      <c r="C347">
        <v>2019</v>
      </c>
      <c r="D347">
        <v>4</v>
      </c>
      <c r="E347" t="s">
        <v>1140</v>
      </c>
      <c r="F347" t="s">
        <v>362</v>
      </c>
      <c r="G347">
        <v>6.5805199999999999</v>
      </c>
      <c r="H347" s="20">
        <f>IF(AND(A347=A346,F347=F346,F347="Winter wheat"),G347*0.9*'BAU Management details'!$F$46,
IF(AND(OR(A347&lt;&gt;A346,F347&lt;&gt;F346),F347="Winter wheat"),G347*'BAU Management details'!$F$46,
IF(F347="Oilseed Rape",G347*'BAU Management details'!$F$47)))</f>
        <v>56.592471999999994</v>
      </c>
      <c r="I347" t="s">
        <v>348</v>
      </c>
      <c r="J347">
        <v>10</v>
      </c>
      <c r="K347" t="s">
        <v>362</v>
      </c>
      <c r="L347" t="s">
        <v>727</v>
      </c>
      <c r="M347">
        <v>5.8</v>
      </c>
      <c r="N347" t="s">
        <v>349</v>
      </c>
      <c r="O347" t="s">
        <v>742</v>
      </c>
      <c r="P347">
        <v>7.6</v>
      </c>
      <c r="Q347" t="s">
        <v>728</v>
      </c>
      <c r="R347" t="s">
        <v>351</v>
      </c>
      <c r="S347">
        <v>220</v>
      </c>
      <c r="T347" s="47" t="s">
        <v>729</v>
      </c>
      <c r="U347" t="s">
        <v>366</v>
      </c>
      <c r="V347" t="s">
        <v>364</v>
      </c>
      <c r="W347" s="47" t="s">
        <v>736</v>
      </c>
      <c r="X347" s="47">
        <v>0</v>
      </c>
      <c r="Y347" s="47" t="s">
        <v>730</v>
      </c>
      <c r="Z347" s="47">
        <v>0</v>
      </c>
      <c r="AA347" s="47" t="s">
        <v>731</v>
      </c>
      <c r="AB347" s="47">
        <v>0</v>
      </c>
      <c r="AC347" s="47" t="s">
        <v>731</v>
      </c>
      <c r="AD347" s="47" t="s">
        <v>731</v>
      </c>
      <c r="AE347" s="47" t="s">
        <v>731</v>
      </c>
      <c r="AF347" s="47">
        <v>0</v>
      </c>
      <c r="AG347" s="47">
        <v>0</v>
      </c>
      <c r="AH347" s="47">
        <v>0</v>
      </c>
      <c r="AI347" s="47" t="s">
        <v>729</v>
      </c>
      <c r="AJ347">
        <v>1</v>
      </c>
      <c r="AK347">
        <v>100</v>
      </c>
    </row>
    <row r="348" spans="1:37" x14ac:dyDescent="0.2">
      <c r="A348" t="s">
        <v>1136</v>
      </c>
      <c r="B348" t="s">
        <v>361</v>
      </c>
      <c r="C348">
        <v>2020</v>
      </c>
      <c r="D348">
        <v>5</v>
      </c>
      <c r="E348" t="s">
        <v>1141</v>
      </c>
      <c r="F348" t="s">
        <v>362</v>
      </c>
      <c r="G348">
        <v>6.5805199999999999</v>
      </c>
      <c r="H348" s="20">
        <f>IF(AND(A348=A347,F348=F347,F348="Winter wheat"),G348*0.9*'BAU Management details'!$F$46,
IF(AND(OR(A348&lt;&gt;A347,F348&lt;&gt;F347),F348="Winter wheat"),G348*'BAU Management details'!$F$46,
IF(F348="Oilseed Rape",G348*'BAU Management details'!$F$47)))</f>
        <v>50.933224799999998</v>
      </c>
      <c r="I348" t="s">
        <v>348</v>
      </c>
      <c r="J348">
        <v>10</v>
      </c>
      <c r="K348" t="s">
        <v>362</v>
      </c>
      <c r="L348" t="s">
        <v>727</v>
      </c>
      <c r="M348">
        <v>5.8</v>
      </c>
      <c r="N348" t="s">
        <v>349</v>
      </c>
      <c r="O348" t="s">
        <v>742</v>
      </c>
      <c r="P348">
        <v>7.6</v>
      </c>
      <c r="Q348" t="s">
        <v>728</v>
      </c>
      <c r="R348" t="s">
        <v>351</v>
      </c>
      <c r="S348">
        <v>220</v>
      </c>
      <c r="T348" s="47" t="s">
        <v>729</v>
      </c>
      <c r="U348" t="s">
        <v>733</v>
      </c>
      <c r="V348" t="s">
        <v>364</v>
      </c>
      <c r="W348" s="47" t="s">
        <v>736</v>
      </c>
      <c r="X348" s="47">
        <v>0</v>
      </c>
      <c r="Y348" s="47" t="s">
        <v>730</v>
      </c>
      <c r="Z348" s="47">
        <v>0</v>
      </c>
      <c r="AA348" s="47" t="s">
        <v>731</v>
      </c>
      <c r="AB348" s="47">
        <v>0</v>
      </c>
      <c r="AC348" s="47">
        <v>0</v>
      </c>
      <c r="AD348" s="47">
        <v>0</v>
      </c>
      <c r="AE348" s="47" t="s">
        <v>731</v>
      </c>
      <c r="AF348" s="47">
        <v>0</v>
      </c>
      <c r="AG348" s="47">
        <v>0</v>
      </c>
      <c r="AH348" s="47">
        <v>0</v>
      </c>
      <c r="AI348" s="47" t="s">
        <v>729</v>
      </c>
      <c r="AJ348">
        <v>1</v>
      </c>
      <c r="AK348">
        <v>100</v>
      </c>
    </row>
    <row r="349" spans="1:37" x14ac:dyDescent="0.2">
      <c r="A349" t="s">
        <v>1136</v>
      </c>
      <c r="B349" t="s">
        <v>361</v>
      </c>
      <c r="C349">
        <v>2021</v>
      </c>
      <c r="D349">
        <v>6</v>
      </c>
      <c r="E349" t="s">
        <v>1142</v>
      </c>
      <c r="F349" t="s">
        <v>365</v>
      </c>
      <c r="G349">
        <v>6.5805199999999999</v>
      </c>
      <c r="H349" s="20">
        <f>IF(AND(A349=A348,F349=F348,F349="Winter wheat"),G349*0.9*'BAU Management details'!$F$46,
IF(AND(OR(A349&lt;&gt;A348,F349&lt;&gt;F348),F349="Winter wheat"),G349*'BAU Management details'!$F$46,
IF(F349="Oilseed Rape",G349*'BAU Management details'!$F$47)))</f>
        <v>23.03182</v>
      </c>
      <c r="I349" t="s">
        <v>348</v>
      </c>
      <c r="J349">
        <v>10</v>
      </c>
      <c r="K349" t="s">
        <v>532</v>
      </c>
      <c r="L349" t="s">
        <v>727</v>
      </c>
      <c r="M349">
        <v>5.8</v>
      </c>
      <c r="N349" t="s">
        <v>349</v>
      </c>
      <c r="O349" t="s">
        <v>742</v>
      </c>
      <c r="P349">
        <v>7.6</v>
      </c>
      <c r="Q349" t="s">
        <v>728</v>
      </c>
      <c r="R349" t="s">
        <v>351</v>
      </c>
      <c r="S349">
        <v>220</v>
      </c>
      <c r="T349" s="47" t="s">
        <v>735</v>
      </c>
      <c r="U349" t="s">
        <v>368</v>
      </c>
      <c r="V349" t="s">
        <v>364</v>
      </c>
      <c r="W349" s="47" t="s">
        <v>736</v>
      </c>
      <c r="X349" s="47">
        <v>0</v>
      </c>
      <c r="Y349" s="47" t="s">
        <v>736</v>
      </c>
      <c r="Z349" s="47">
        <v>0</v>
      </c>
      <c r="AA349" s="47" t="s">
        <v>736</v>
      </c>
      <c r="AB349" s="47">
        <v>0</v>
      </c>
      <c r="AC349" s="47">
        <v>0</v>
      </c>
      <c r="AD349" s="47">
        <v>0</v>
      </c>
      <c r="AE349" s="47" t="s">
        <v>731</v>
      </c>
      <c r="AF349" s="47">
        <v>0</v>
      </c>
      <c r="AG349" s="47" t="s">
        <v>731</v>
      </c>
      <c r="AH349" s="47">
        <v>0</v>
      </c>
      <c r="AI349" s="47" t="s">
        <v>735</v>
      </c>
      <c r="AJ349">
        <v>1</v>
      </c>
      <c r="AK349">
        <v>100</v>
      </c>
    </row>
    <row r="350" spans="1:37" x14ac:dyDescent="0.2">
      <c r="A350" t="s">
        <v>1143</v>
      </c>
      <c r="B350" t="s">
        <v>361</v>
      </c>
      <c r="C350">
        <v>2016</v>
      </c>
      <c r="D350">
        <v>1</v>
      </c>
      <c r="E350" t="s">
        <v>1144</v>
      </c>
      <c r="F350" t="s">
        <v>362</v>
      </c>
      <c r="G350">
        <v>8.2560939999999992</v>
      </c>
      <c r="H350" s="20">
        <f>IF(AND(A350=A349,F350=F349,F350="Winter wheat"),G350*0.9*'BAU Management details'!$F$46,
IF(AND(OR(A350&lt;&gt;A349,F350&lt;&gt;F349),F350="Winter wheat"),G350*'BAU Management details'!$F$46,
IF(F350="Oilseed Rape",G350*'BAU Management details'!$F$47)))</f>
        <v>71.002408399999993</v>
      </c>
      <c r="I350" t="s">
        <v>348</v>
      </c>
      <c r="J350">
        <v>10</v>
      </c>
      <c r="K350" t="s">
        <v>362</v>
      </c>
      <c r="L350" t="s">
        <v>751</v>
      </c>
      <c r="M350">
        <v>4.4000000000000004</v>
      </c>
      <c r="N350" t="s">
        <v>349</v>
      </c>
      <c r="O350" t="s">
        <v>350</v>
      </c>
      <c r="P350">
        <v>7.7</v>
      </c>
      <c r="Q350" t="s">
        <v>728</v>
      </c>
      <c r="R350" t="s">
        <v>351</v>
      </c>
      <c r="S350">
        <v>220</v>
      </c>
      <c r="T350" s="47" t="s">
        <v>729</v>
      </c>
      <c r="U350" t="s">
        <v>366</v>
      </c>
      <c r="V350" t="s">
        <v>367</v>
      </c>
      <c r="W350" s="47" t="s">
        <v>736</v>
      </c>
      <c r="X350" s="47">
        <v>0</v>
      </c>
      <c r="Y350" s="47" t="s">
        <v>730</v>
      </c>
      <c r="Z350" s="47">
        <v>0</v>
      </c>
      <c r="AA350" s="47" t="s">
        <v>731</v>
      </c>
      <c r="AB350" s="47">
        <v>0</v>
      </c>
      <c r="AC350" s="47" t="s">
        <v>731</v>
      </c>
      <c r="AD350" s="47" t="s">
        <v>731</v>
      </c>
      <c r="AE350" s="47" t="s">
        <v>731</v>
      </c>
      <c r="AF350" s="47">
        <v>0</v>
      </c>
      <c r="AG350" s="47">
        <v>0</v>
      </c>
      <c r="AH350" s="47">
        <v>0</v>
      </c>
      <c r="AI350" s="47" t="s">
        <v>729</v>
      </c>
      <c r="AJ350">
        <v>1</v>
      </c>
      <c r="AK350">
        <v>100</v>
      </c>
    </row>
    <row r="351" spans="1:37" x14ac:dyDescent="0.2">
      <c r="A351" t="s">
        <v>1143</v>
      </c>
      <c r="B351" t="s">
        <v>361</v>
      </c>
      <c r="C351">
        <v>2017</v>
      </c>
      <c r="D351">
        <v>2</v>
      </c>
      <c r="E351" t="s">
        <v>1145</v>
      </c>
      <c r="F351" t="s">
        <v>362</v>
      </c>
      <c r="G351">
        <v>8.2560939999999992</v>
      </c>
      <c r="H351" s="20">
        <f>IF(AND(A351=A350,F351=F350,F351="Winter wheat"),G351*0.9*'BAU Management details'!$F$46,
IF(AND(OR(A351&lt;&gt;A350,F351&lt;&gt;F350),F351="Winter wheat"),G351*'BAU Management details'!$F$46,
IF(F351="Oilseed Rape",G351*'BAU Management details'!$F$47)))</f>
        <v>63.902167559999995</v>
      </c>
      <c r="I351" t="s">
        <v>348</v>
      </c>
      <c r="J351">
        <v>10</v>
      </c>
      <c r="K351" t="s">
        <v>362</v>
      </c>
      <c r="L351" t="s">
        <v>751</v>
      </c>
      <c r="M351">
        <v>4.4000000000000004</v>
      </c>
      <c r="N351" t="s">
        <v>349</v>
      </c>
      <c r="O351" t="s">
        <v>350</v>
      </c>
      <c r="P351">
        <v>7.7</v>
      </c>
      <c r="Q351" t="s">
        <v>728</v>
      </c>
      <c r="R351" t="s">
        <v>351</v>
      </c>
      <c r="S351">
        <v>220</v>
      </c>
      <c r="T351" s="47" t="s">
        <v>729</v>
      </c>
      <c r="U351" t="s">
        <v>733</v>
      </c>
      <c r="V351" t="s">
        <v>369</v>
      </c>
      <c r="W351" s="47" t="s">
        <v>736</v>
      </c>
      <c r="X351" s="47">
        <v>0</v>
      </c>
      <c r="Y351" s="47" t="s">
        <v>730</v>
      </c>
      <c r="Z351" s="47">
        <v>0</v>
      </c>
      <c r="AA351" s="47" t="s">
        <v>731</v>
      </c>
      <c r="AB351" s="47">
        <v>0</v>
      </c>
      <c r="AC351" s="47">
        <v>0</v>
      </c>
      <c r="AD351" s="47">
        <v>0</v>
      </c>
      <c r="AE351" s="47" t="s">
        <v>731</v>
      </c>
      <c r="AF351" s="47">
        <v>0</v>
      </c>
      <c r="AG351" s="47">
        <v>0</v>
      </c>
      <c r="AH351" s="47">
        <v>0</v>
      </c>
      <c r="AI351" s="47" t="s">
        <v>729</v>
      </c>
      <c r="AJ351">
        <v>1</v>
      </c>
      <c r="AK351">
        <v>100</v>
      </c>
    </row>
    <row r="352" spans="1:37" x14ac:dyDescent="0.2">
      <c r="A352" t="s">
        <v>1143</v>
      </c>
      <c r="B352" t="s">
        <v>361</v>
      </c>
      <c r="C352">
        <v>2018</v>
      </c>
      <c r="D352">
        <v>3</v>
      </c>
      <c r="E352" t="s">
        <v>1146</v>
      </c>
      <c r="F352" t="s">
        <v>365</v>
      </c>
      <c r="G352">
        <v>8.2560939999999992</v>
      </c>
      <c r="H352" s="20">
        <f>IF(AND(A352=A351,F352=F351,F352="Winter wheat"),G352*0.9*'BAU Management details'!$F$46,
IF(AND(OR(A352&lt;&gt;A351,F352&lt;&gt;F351),F352="Winter wheat"),G352*'BAU Management details'!$F$46,
IF(F352="Oilseed Rape",G352*'BAU Management details'!$F$47)))</f>
        <v>28.896328999999998</v>
      </c>
      <c r="I352" t="s">
        <v>348</v>
      </c>
      <c r="J352">
        <v>10</v>
      </c>
      <c r="K352" t="s">
        <v>532</v>
      </c>
      <c r="L352" t="s">
        <v>751</v>
      </c>
      <c r="M352">
        <v>4.4000000000000004</v>
      </c>
      <c r="N352" t="s">
        <v>349</v>
      </c>
      <c r="O352" t="s">
        <v>350</v>
      </c>
      <c r="P352">
        <v>7.7</v>
      </c>
      <c r="Q352" t="s">
        <v>728</v>
      </c>
      <c r="R352" t="s">
        <v>351</v>
      </c>
      <c r="S352">
        <v>220</v>
      </c>
      <c r="T352" s="47" t="s">
        <v>735</v>
      </c>
      <c r="U352" t="s">
        <v>368</v>
      </c>
      <c r="V352" t="s">
        <v>364</v>
      </c>
      <c r="W352" s="47" t="s">
        <v>736</v>
      </c>
      <c r="X352" s="47">
        <v>0</v>
      </c>
      <c r="Y352" s="47" t="s">
        <v>736</v>
      </c>
      <c r="Z352" s="47">
        <v>0</v>
      </c>
      <c r="AA352" s="47" t="s">
        <v>736</v>
      </c>
      <c r="AB352" s="47">
        <v>0</v>
      </c>
      <c r="AC352" s="47">
        <v>0</v>
      </c>
      <c r="AD352" s="47">
        <v>0</v>
      </c>
      <c r="AE352" s="47" t="s">
        <v>731</v>
      </c>
      <c r="AF352" s="47">
        <v>0</v>
      </c>
      <c r="AG352" s="47" t="s">
        <v>731</v>
      </c>
      <c r="AH352" s="47">
        <v>0</v>
      </c>
      <c r="AI352" s="47" t="s">
        <v>735</v>
      </c>
      <c r="AJ352">
        <v>1</v>
      </c>
      <c r="AK352">
        <v>100</v>
      </c>
    </row>
    <row r="353" spans="1:37" x14ac:dyDescent="0.2">
      <c r="A353" t="s">
        <v>1143</v>
      </c>
      <c r="B353" t="s">
        <v>361</v>
      </c>
      <c r="C353">
        <v>2019</v>
      </c>
      <c r="D353">
        <v>4</v>
      </c>
      <c r="E353" t="s">
        <v>1147</v>
      </c>
      <c r="F353" t="s">
        <v>362</v>
      </c>
      <c r="G353">
        <v>8.2560939999999992</v>
      </c>
      <c r="H353" s="20">
        <f>IF(AND(A353=A352,F353=F352,F353="Winter wheat"),G353*0.9*'BAU Management details'!$F$46,
IF(AND(OR(A353&lt;&gt;A352,F353&lt;&gt;F352),F353="Winter wheat"),G353*'BAU Management details'!$F$46,
IF(F353="Oilseed Rape",G353*'BAU Management details'!$F$47)))</f>
        <v>71.002408399999993</v>
      </c>
      <c r="I353" t="s">
        <v>348</v>
      </c>
      <c r="J353">
        <v>10</v>
      </c>
      <c r="K353" t="s">
        <v>362</v>
      </c>
      <c r="L353" t="s">
        <v>751</v>
      </c>
      <c r="M353">
        <v>4.4000000000000004</v>
      </c>
      <c r="N353" t="s">
        <v>349</v>
      </c>
      <c r="O353" t="s">
        <v>350</v>
      </c>
      <c r="P353">
        <v>7.7</v>
      </c>
      <c r="Q353" t="s">
        <v>728</v>
      </c>
      <c r="R353" t="s">
        <v>351</v>
      </c>
      <c r="S353">
        <v>220</v>
      </c>
      <c r="T353" s="47" t="s">
        <v>729</v>
      </c>
      <c r="U353" t="s">
        <v>366</v>
      </c>
      <c r="V353" t="s">
        <v>367</v>
      </c>
      <c r="W353" s="47" t="s">
        <v>736</v>
      </c>
      <c r="X353" s="47">
        <v>0</v>
      </c>
      <c r="Y353" s="47" t="s">
        <v>730</v>
      </c>
      <c r="Z353" s="47">
        <v>0</v>
      </c>
      <c r="AA353" s="47" t="s">
        <v>731</v>
      </c>
      <c r="AB353" s="47">
        <v>0</v>
      </c>
      <c r="AC353" s="47" t="s">
        <v>731</v>
      </c>
      <c r="AD353" s="47" t="s">
        <v>731</v>
      </c>
      <c r="AE353" s="47" t="s">
        <v>731</v>
      </c>
      <c r="AF353" s="47">
        <v>0</v>
      </c>
      <c r="AG353" s="47">
        <v>0</v>
      </c>
      <c r="AH353" s="47">
        <v>0</v>
      </c>
      <c r="AI353" s="47" t="s">
        <v>729</v>
      </c>
      <c r="AJ353">
        <v>1</v>
      </c>
      <c r="AK353">
        <v>100</v>
      </c>
    </row>
    <row r="354" spans="1:37" x14ac:dyDescent="0.2">
      <c r="A354" t="s">
        <v>1143</v>
      </c>
      <c r="B354" t="s">
        <v>361</v>
      </c>
      <c r="C354">
        <v>2020</v>
      </c>
      <c r="D354">
        <v>5</v>
      </c>
      <c r="E354" t="s">
        <v>1148</v>
      </c>
      <c r="F354" t="s">
        <v>362</v>
      </c>
      <c r="G354">
        <v>8.2560939999999992</v>
      </c>
      <c r="H354" s="20">
        <f>IF(AND(A354=A353,F354=F353,F354="Winter wheat"),G354*0.9*'BAU Management details'!$F$46,
IF(AND(OR(A354&lt;&gt;A353,F354&lt;&gt;F353),F354="Winter wheat"),G354*'BAU Management details'!$F$46,
IF(F354="Oilseed Rape",G354*'BAU Management details'!$F$47)))</f>
        <v>63.902167559999995</v>
      </c>
      <c r="I354" t="s">
        <v>348</v>
      </c>
      <c r="J354">
        <v>10</v>
      </c>
      <c r="K354" t="s">
        <v>362</v>
      </c>
      <c r="L354" t="s">
        <v>751</v>
      </c>
      <c r="M354">
        <v>4.4000000000000004</v>
      </c>
      <c r="N354" t="s">
        <v>349</v>
      </c>
      <c r="O354" t="s">
        <v>350</v>
      </c>
      <c r="P354">
        <v>7.7</v>
      </c>
      <c r="Q354" t="s">
        <v>728</v>
      </c>
      <c r="R354" t="s">
        <v>351</v>
      </c>
      <c r="S354">
        <v>220</v>
      </c>
      <c r="T354" s="47" t="s">
        <v>729</v>
      </c>
      <c r="U354" t="s">
        <v>733</v>
      </c>
      <c r="V354" t="s">
        <v>369</v>
      </c>
      <c r="W354" s="47" t="s">
        <v>736</v>
      </c>
      <c r="X354" s="47">
        <v>0</v>
      </c>
      <c r="Y354" s="47" t="s">
        <v>730</v>
      </c>
      <c r="Z354" s="47">
        <v>0</v>
      </c>
      <c r="AA354" s="47" t="s">
        <v>731</v>
      </c>
      <c r="AB354" s="47">
        <v>0</v>
      </c>
      <c r="AC354" s="47">
        <v>0</v>
      </c>
      <c r="AD354" s="47">
        <v>0</v>
      </c>
      <c r="AE354" s="47" t="s">
        <v>731</v>
      </c>
      <c r="AF354" s="47">
        <v>0</v>
      </c>
      <c r="AG354" s="47">
        <v>0</v>
      </c>
      <c r="AH354" s="47">
        <v>0</v>
      </c>
      <c r="AI354" s="47" t="s">
        <v>729</v>
      </c>
      <c r="AJ354">
        <v>1</v>
      </c>
      <c r="AK354">
        <v>100</v>
      </c>
    </row>
    <row r="355" spans="1:37" x14ac:dyDescent="0.2">
      <c r="A355" t="s">
        <v>1143</v>
      </c>
      <c r="B355" t="s">
        <v>361</v>
      </c>
      <c r="C355">
        <v>2021</v>
      </c>
      <c r="D355">
        <v>6</v>
      </c>
      <c r="E355" t="s">
        <v>1149</v>
      </c>
      <c r="F355" t="s">
        <v>365</v>
      </c>
      <c r="G355">
        <v>8.2560939999999992</v>
      </c>
      <c r="H355" s="20">
        <f>IF(AND(A355=A354,F355=F354,F355="Winter wheat"),G355*0.9*'BAU Management details'!$F$46,
IF(AND(OR(A355&lt;&gt;A354,F355&lt;&gt;F354),F355="Winter wheat"),G355*'BAU Management details'!$F$46,
IF(F355="Oilseed Rape",G355*'BAU Management details'!$F$47)))</f>
        <v>28.896328999999998</v>
      </c>
      <c r="I355" t="s">
        <v>348</v>
      </c>
      <c r="J355">
        <v>10</v>
      </c>
      <c r="K355" t="s">
        <v>532</v>
      </c>
      <c r="L355" t="s">
        <v>751</v>
      </c>
      <c r="M355">
        <v>4.4000000000000004</v>
      </c>
      <c r="N355" t="s">
        <v>349</v>
      </c>
      <c r="O355" t="s">
        <v>350</v>
      </c>
      <c r="P355">
        <v>7.7</v>
      </c>
      <c r="Q355" t="s">
        <v>728</v>
      </c>
      <c r="R355" t="s">
        <v>351</v>
      </c>
      <c r="S355">
        <v>220</v>
      </c>
      <c r="T355" s="47" t="s">
        <v>735</v>
      </c>
      <c r="U355" t="s">
        <v>368</v>
      </c>
      <c r="V355" t="s">
        <v>364</v>
      </c>
      <c r="W355" s="47" t="s">
        <v>736</v>
      </c>
      <c r="X355" s="47">
        <v>0</v>
      </c>
      <c r="Y355" s="47" t="s">
        <v>736</v>
      </c>
      <c r="Z355" s="47">
        <v>0</v>
      </c>
      <c r="AA355" s="47" t="s">
        <v>736</v>
      </c>
      <c r="AB355" s="47">
        <v>0</v>
      </c>
      <c r="AC355" s="47">
        <v>0</v>
      </c>
      <c r="AD355" s="47">
        <v>0</v>
      </c>
      <c r="AE355" s="47" t="s">
        <v>731</v>
      </c>
      <c r="AF355" s="47">
        <v>0</v>
      </c>
      <c r="AG355" s="47" t="s">
        <v>731</v>
      </c>
      <c r="AH355" s="47">
        <v>0</v>
      </c>
      <c r="AI355" s="47" t="s">
        <v>735</v>
      </c>
      <c r="AJ355">
        <v>1</v>
      </c>
      <c r="AK355">
        <v>100</v>
      </c>
    </row>
    <row r="356" spans="1:37" x14ac:dyDescent="0.2">
      <c r="A356" t="s">
        <v>1150</v>
      </c>
      <c r="B356" t="s">
        <v>361</v>
      </c>
      <c r="C356">
        <v>2016</v>
      </c>
      <c r="D356">
        <v>1</v>
      </c>
      <c r="E356" t="s">
        <v>1151</v>
      </c>
      <c r="F356" t="s">
        <v>362</v>
      </c>
      <c r="G356">
        <v>8.6344480000000008</v>
      </c>
      <c r="H356" s="20">
        <f>IF(AND(A356=A355,F356=F355,F356="Winter wheat"),G356*0.9*'BAU Management details'!$F$46,
IF(AND(OR(A356&lt;&gt;A355,F356&lt;&gt;F355),F356="Winter wheat"),G356*'BAU Management details'!$F$46,
IF(F356="Oilseed Rape",G356*'BAU Management details'!$F$47)))</f>
        <v>74.256252799999999</v>
      </c>
      <c r="I356" t="s">
        <v>348</v>
      </c>
      <c r="J356">
        <v>10</v>
      </c>
      <c r="K356" t="s">
        <v>362</v>
      </c>
      <c r="L356" t="s">
        <v>751</v>
      </c>
      <c r="M356">
        <v>2.9</v>
      </c>
      <c r="N356" t="s">
        <v>349</v>
      </c>
      <c r="O356" t="s">
        <v>350</v>
      </c>
      <c r="P356">
        <v>7.7</v>
      </c>
      <c r="Q356" t="s">
        <v>728</v>
      </c>
      <c r="R356" t="s">
        <v>351</v>
      </c>
      <c r="S356">
        <v>220</v>
      </c>
      <c r="T356" s="47" t="s">
        <v>729</v>
      </c>
      <c r="U356" t="s">
        <v>366</v>
      </c>
      <c r="V356" t="s">
        <v>367</v>
      </c>
      <c r="W356" s="47" t="s">
        <v>736</v>
      </c>
      <c r="X356" s="47">
        <v>0</v>
      </c>
      <c r="Y356" s="47" t="s">
        <v>730</v>
      </c>
      <c r="Z356" s="47">
        <v>0</v>
      </c>
      <c r="AA356" s="47" t="s">
        <v>731</v>
      </c>
      <c r="AB356" s="47">
        <v>0</v>
      </c>
      <c r="AC356" s="47" t="s">
        <v>731</v>
      </c>
      <c r="AD356" s="47" t="s">
        <v>731</v>
      </c>
      <c r="AE356" s="47" t="s">
        <v>731</v>
      </c>
      <c r="AF356" s="47">
        <v>0</v>
      </c>
      <c r="AG356" s="47">
        <v>0</v>
      </c>
      <c r="AH356" s="47">
        <v>0</v>
      </c>
      <c r="AI356" s="47" t="s">
        <v>729</v>
      </c>
      <c r="AJ356">
        <v>1</v>
      </c>
      <c r="AK356">
        <v>100</v>
      </c>
    </row>
    <row r="357" spans="1:37" x14ac:dyDescent="0.2">
      <c r="A357" t="s">
        <v>1150</v>
      </c>
      <c r="B357" t="s">
        <v>361</v>
      </c>
      <c r="C357">
        <v>2017</v>
      </c>
      <c r="D357">
        <v>2</v>
      </c>
      <c r="E357" t="s">
        <v>1152</v>
      </c>
      <c r="F357" t="s">
        <v>362</v>
      </c>
      <c r="G357">
        <v>8.6344480000000008</v>
      </c>
      <c r="H357" s="20">
        <f>IF(AND(A357=A356,F357=F356,F357="Winter wheat"),G357*0.9*'BAU Management details'!$F$46,
IF(AND(OR(A357&lt;&gt;A356,F357&lt;&gt;F356),F357="Winter wheat"),G357*'BAU Management details'!$F$46,
IF(F357="Oilseed Rape",G357*'BAU Management details'!$F$47)))</f>
        <v>66.830627520000007</v>
      </c>
      <c r="I357" t="s">
        <v>348</v>
      </c>
      <c r="J357">
        <v>10</v>
      </c>
      <c r="K357" t="s">
        <v>362</v>
      </c>
      <c r="L357" t="s">
        <v>751</v>
      </c>
      <c r="M357">
        <v>2.9</v>
      </c>
      <c r="N357" t="s">
        <v>349</v>
      </c>
      <c r="O357" t="s">
        <v>350</v>
      </c>
      <c r="P357">
        <v>7.7</v>
      </c>
      <c r="Q357" t="s">
        <v>728</v>
      </c>
      <c r="R357" t="s">
        <v>351</v>
      </c>
      <c r="S357">
        <v>220</v>
      </c>
      <c r="T357" s="47" t="s">
        <v>729</v>
      </c>
      <c r="U357" t="s">
        <v>733</v>
      </c>
      <c r="V357" t="s">
        <v>369</v>
      </c>
      <c r="W357" s="47" t="s">
        <v>736</v>
      </c>
      <c r="X357" s="47">
        <v>0</v>
      </c>
      <c r="Y357" s="47" t="s">
        <v>730</v>
      </c>
      <c r="Z357" s="47">
        <v>0</v>
      </c>
      <c r="AA357" s="47" t="s">
        <v>731</v>
      </c>
      <c r="AB357" s="47">
        <v>0</v>
      </c>
      <c r="AC357" s="47">
        <v>0</v>
      </c>
      <c r="AD357" s="47">
        <v>0</v>
      </c>
      <c r="AE357" s="47" t="s">
        <v>731</v>
      </c>
      <c r="AF357" s="47">
        <v>0</v>
      </c>
      <c r="AG357" s="47">
        <v>0</v>
      </c>
      <c r="AH357" s="47">
        <v>0</v>
      </c>
      <c r="AI357" s="47" t="s">
        <v>729</v>
      </c>
      <c r="AJ357">
        <v>1</v>
      </c>
      <c r="AK357">
        <v>100</v>
      </c>
    </row>
    <row r="358" spans="1:37" x14ac:dyDescent="0.2">
      <c r="A358" t="s">
        <v>1150</v>
      </c>
      <c r="B358" t="s">
        <v>361</v>
      </c>
      <c r="C358">
        <v>2018</v>
      </c>
      <c r="D358">
        <v>3</v>
      </c>
      <c r="E358" t="s">
        <v>1153</v>
      </c>
      <c r="F358" t="s">
        <v>365</v>
      </c>
      <c r="G358">
        <v>8.6344480000000008</v>
      </c>
      <c r="H358" s="20">
        <f>IF(AND(A358=A357,F358=F357,F358="Winter wheat"),G358*0.9*'BAU Management details'!$F$46,
IF(AND(OR(A358&lt;&gt;A357,F358&lt;&gt;F357),F358="Winter wheat"),G358*'BAU Management details'!$F$46,
IF(F358="Oilseed Rape",G358*'BAU Management details'!$F$47)))</f>
        <v>30.220568000000004</v>
      </c>
      <c r="I358" t="s">
        <v>348</v>
      </c>
      <c r="J358">
        <v>10</v>
      </c>
      <c r="K358" t="s">
        <v>532</v>
      </c>
      <c r="L358" t="s">
        <v>751</v>
      </c>
      <c r="M358">
        <v>2.9</v>
      </c>
      <c r="N358" t="s">
        <v>349</v>
      </c>
      <c r="O358" t="s">
        <v>350</v>
      </c>
      <c r="P358">
        <v>7.7</v>
      </c>
      <c r="Q358" t="s">
        <v>728</v>
      </c>
      <c r="R358" t="s">
        <v>351</v>
      </c>
      <c r="S358">
        <v>220</v>
      </c>
      <c r="T358" s="47" t="s">
        <v>735</v>
      </c>
      <c r="U358" t="s">
        <v>368</v>
      </c>
      <c r="V358" t="s">
        <v>364</v>
      </c>
      <c r="W358" s="47" t="s">
        <v>736</v>
      </c>
      <c r="X358" s="47">
        <v>0</v>
      </c>
      <c r="Y358" s="47" t="s">
        <v>736</v>
      </c>
      <c r="Z358" s="47">
        <v>0</v>
      </c>
      <c r="AA358" s="47" t="s">
        <v>736</v>
      </c>
      <c r="AB358" s="47">
        <v>0</v>
      </c>
      <c r="AC358" s="47">
        <v>0</v>
      </c>
      <c r="AD358" s="47">
        <v>0</v>
      </c>
      <c r="AE358" s="47" t="s">
        <v>731</v>
      </c>
      <c r="AF358" s="47">
        <v>0</v>
      </c>
      <c r="AG358" s="47" t="s">
        <v>731</v>
      </c>
      <c r="AH358" s="47">
        <v>0</v>
      </c>
      <c r="AI358" s="47" t="s">
        <v>735</v>
      </c>
      <c r="AJ358">
        <v>1</v>
      </c>
      <c r="AK358">
        <v>100</v>
      </c>
    </row>
    <row r="359" spans="1:37" x14ac:dyDescent="0.2">
      <c r="A359" t="s">
        <v>1150</v>
      </c>
      <c r="B359" t="s">
        <v>361</v>
      </c>
      <c r="C359">
        <v>2019</v>
      </c>
      <c r="D359">
        <v>4</v>
      </c>
      <c r="E359" t="s">
        <v>1154</v>
      </c>
      <c r="F359" t="s">
        <v>362</v>
      </c>
      <c r="G359">
        <v>8.6344480000000008</v>
      </c>
      <c r="H359" s="20">
        <f>IF(AND(A359=A358,F359=F358,F359="Winter wheat"),G359*0.9*'BAU Management details'!$F$46,
IF(AND(OR(A359&lt;&gt;A358,F359&lt;&gt;F358),F359="Winter wheat"),G359*'BAU Management details'!$F$46,
IF(F359="Oilseed Rape",G359*'BAU Management details'!$F$47)))</f>
        <v>74.256252799999999</v>
      </c>
      <c r="I359" t="s">
        <v>348</v>
      </c>
      <c r="J359">
        <v>10</v>
      </c>
      <c r="K359" t="s">
        <v>362</v>
      </c>
      <c r="L359" t="s">
        <v>751</v>
      </c>
      <c r="M359">
        <v>2.9</v>
      </c>
      <c r="N359" t="s">
        <v>349</v>
      </c>
      <c r="O359" t="s">
        <v>350</v>
      </c>
      <c r="P359">
        <v>7.7</v>
      </c>
      <c r="Q359" t="s">
        <v>728</v>
      </c>
      <c r="R359" t="s">
        <v>351</v>
      </c>
      <c r="S359">
        <v>220</v>
      </c>
      <c r="T359" s="47" t="s">
        <v>729</v>
      </c>
      <c r="U359" t="s">
        <v>366</v>
      </c>
      <c r="V359" t="s">
        <v>367</v>
      </c>
      <c r="W359" s="47" t="s">
        <v>736</v>
      </c>
      <c r="X359" s="47">
        <v>0</v>
      </c>
      <c r="Y359" s="47" t="s">
        <v>730</v>
      </c>
      <c r="Z359" s="47">
        <v>0</v>
      </c>
      <c r="AA359" s="47" t="s">
        <v>731</v>
      </c>
      <c r="AB359" s="47">
        <v>0</v>
      </c>
      <c r="AC359" s="47" t="s">
        <v>731</v>
      </c>
      <c r="AD359" s="47" t="s">
        <v>731</v>
      </c>
      <c r="AE359" s="47" t="s">
        <v>731</v>
      </c>
      <c r="AF359" s="47">
        <v>0</v>
      </c>
      <c r="AG359" s="47">
        <v>0</v>
      </c>
      <c r="AH359" s="47">
        <v>0</v>
      </c>
      <c r="AI359" s="47" t="s">
        <v>729</v>
      </c>
      <c r="AJ359">
        <v>1</v>
      </c>
      <c r="AK359">
        <v>100</v>
      </c>
    </row>
    <row r="360" spans="1:37" x14ac:dyDescent="0.2">
      <c r="A360" t="s">
        <v>1150</v>
      </c>
      <c r="B360" t="s">
        <v>361</v>
      </c>
      <c r="C360">
        <v>2020</v>
      </c>
      <c r="D360">
        <v>5</v>
      </c>
      <c r="E360" t="s">
        <v>1155</v>
      </c>
      <c r="F360" t="s">
        <v>362</v>
      </c>
      <c r="G360">
        <v>8.6344480000000008</v>
      </c>
      <c r="H360" s="20">
        <f>IF(AND(A360=A359,F360=F359,F360="Winter wheat"),G360*0.9*'BAU Management details'!$F$46,
IF(AND(OR(A360&lt;&gt;A359,F360&lt;&gt;F359),F360="Winter wheat"),G360*'BAU Management details'!$F$46,
IF(F360="Oilseed Rape",G360*'BAU Management details'!$F$47)))</f>
        <v>66.830627520000007</v>
      </c>
      <c r="I360" t="s">
        <v>348</v>
      </c>
      <c r="J360">
        <v>10</v>
      </c>
      <c r="K360" t="s">
        <v>362</v>
      </c>
      <c r="L360" t="s">
        <v>751</v>
      </c>
      <c r="M360">
        <v>2.9</v>
      </c>
      <c r="N360" t="s">
        <v>349</v>
      </c>
      <c r="O360" t="s">
        <v>350</v>
      </c>
      <c r="P360">
        <v>7.7</v>
      </c>
      <c r="Q360" t="s">
        <v>728</v>
      </c>
      <c r="R360" t="s">
        <v>351</v>
      </c>
      <c r="S360">
        <v>220</v>
      </c>
      <c r="T360" s="47" t="s">
        <v>729</v>
      </c>
      <c r="U360" t="s">
        <v>733</v>
      </c>
      <c r="V360" t="s">
        <v>369</v>
      </c>
      <c r="W360" s="47" t="s">
        <v>736</v>
      </c>
      <c r="X360" s="47">
        <v>0</v>
      </c>
      <c r="Y360" s="47" t="s">
        <v>730</v>
      </c>
      <c r="Z360" s="47">
        <v>0</v>
      </c>
      <c r="AA360" s="47" t="s">
        <v>731</v>
      </c>
      <c r="AB360" s="47">
        <v>0</v>
      </c>
      <c r="AC360" s="47">
        <v>0</v>
      </c>
      <c r="AD360" s="47">
        <v>0</v>
      </c>
      <c r="AE360" s="47" t="s">
        <v>731</v>
      </c>
      <c r="AF360" s="47">
        <v>0</v>
      </c>
      <c r="AG360" s="47">
        <v>0</v>
      </c>
      <c r="AH360" s="47">
        <v>0</v>
      </c>
      <c r="AI360" s="47" t="s">
        <v>729</v>
      </c>
      <c r="AJ360">
        <v>1</v>
      </c>
      <c r="AK360">
        <v>100</v>
      </c>
    </row>
    <row r="361" spans="1:37" x14ac:dyDescent="0.2">
      <c r="A361" t="s">
        <v>1150</v>
      </c>
      <c r="B361" t="s">
        <v>361</v>
      </c>
      <c r="C361">
        <v>2021</v>
      </c>
      <c r="D361">
        <v>6</v>
      </c>
      <c r="E361" t="s">
        <v>1156</v>
      </c>
      <c r="F361" t="s">
        <v>365</v>
      </c>
      <c r="G361">
        <v>8.6344480000000008</v>
      </c>
      <c r="H361" s="20">
        <f>IF(AND(A361=A360,F361=F360,F361="Winter wheat"),G361*0.9*'BAU Management details'!$F$46,
IF(AND(OR(A361&lt;&gt;A360,F361&lt;&gt;F360),F361="Winter wheat"),G361*'BAU Management details'!$F$46,
IF(F361="Oilseed Rape",G361*'BAU Management details'!$F$47)))</f>
        <v>30.220568000000004</v>
      </c>
      <c r="I361" t="s">
        <v>348</v>
      </c>
      <c r="J361">
        <v>10</v>
      </c>
      <c r="K361" t="s">
        <v>532</v>
      </c>
      <c r="L361" t="s">
        <v>751</v>
      </c>
      <c r="M361">
        <v>2.9</v>
      </c>
      <c r="N361" t="s">
        <v>349</v>
      </c>
      <c r="O361" t="s">
        <v>350</v>
      </c>
      <c r="P361">
        <v>7.7</v>
      </c>
      <c r="Q361" t="s">
        <v>728</v>
      </c>
      <c r="R361" t="s">
        <v>351</v>
      </c>
      <c r="S361">
        <v>220</v>
      </c>
      <c r="T361" s="47" t="s">
        <v>735</v>
      </c>
      <c r="U361" t="s">
        <v>368</v>
      </c>
      <c r="V361" t="s">
        <v>364</v>
      </c>
      <c r="W361" s="47" t="s">
        <v>736</v>
      </c>
      <c r="X361" s="47">
        <v>0</v>
      </c>
      <c r="Y361" s="47" t="s">
        <v>736</v>
      </c>
      <c r="Z361" s="47">
        <v>0</v>
      </c>
      <c r="AA361" s="47" t="s">
        <v>736</v>
      </c>
      <c r="AB361" s="47">
        <v>0</v>
      </c>
      <c r="AC361" s="47">
        <v>0</v>
      </c>
      <c r="AD361" s="47">
        <v>0</v>
      </c>
      <c r="AE361" s="47" t="s">
        <v>731</v>
      </c>
      <c r="AF361" s="47">
        <v>0</v>
      </c>
      <c r="AG361" s="47" t="s">
        <v>731</v>
      </c>
      <c r="AH361" s="47">
        <v>0</v>
      </c>
      <c r="AI361" s="47" t="s">
        <v>735</v>
      </c>
      <c r="AJ361">
        <v>1</v>
      </c>
      <c r="AK361">
        <v>100</v>
      </c>
    </row>
    <row r="362" spans="1:37" x14ac:dyDescent="0.2">
      <c r="A362" t="s">
        <v>1157</v>
      </c>
      <c r="B362" t="s">
        <v>361</v>
      </c>
      <c r="C362">
        <v>2016</v>
      </c>
      <c r="D362">
        <v>1</v>
      </c>
      <c r="E362" t="s">
        <v>1158</v>
      </c>
      <c r="F362" t="s">
        <v>362</v>
      </c>
      <c r="G362">
        <v>4.2982480000000001</v>
      </c>
      <c r="H362" s="20">
        <f>IF(AND(A362=A361,F362=F361,F362="Winter wheat"),G362*0.9*'BAU Management details'!$F$46,
IF(AND(OR(A362&lt;&gt;A361,F362&lt;&gt;F361),F362="Winter wheat"),G362*'BAU Management details'!$F$46,
IF(F362="Oilseed Rape",G362*'BAU Management details'!$F$47)))</f>
        <v>36.9649328</v>
      </c>
      <c r="I362" t="s">
        <v>348</v>
      </c>
      <c r="J362">
        <v>10</v>
      </c>
      <c r="K362" t="s">
        <v>362</v>
      </c>
      <c r="L362" t="s">
        <v>751</v>
      </c>
      <c r="M362">
        <v>2.9</v>
      </c>
      <c r="N362" t="s">
        <v>349</v>
      </c>
      <c r="O362" t="s">
        <v>350</v>
      </c>
      <c r="P362">
        <v>7.7</v>
      </c>
      <c r="Q362" t="s">
        <v>728</v>
      </c>
      <c r="R362" t="s">
        <v>351</v>
      </c>
      <c r="S362">
        <v>220</v>
      </c>
      <c r="T362" s="47" t="s">
        <v>729</v>
      </c>
      <c r="U362" t="s">
        <v>366</v>
      </c>
      <c r="V362" t="s">
        <v>367</v>
      </c>
      <c r="W362" s="47" t="s">
        <v>736</v>
      </c>
      <c r="X362" s="47">
        <v>0</v>
      </c>
      <c r="Y362" s="47" t="s">
        <v>730</v>
      </c>
      <c r="Z362" s="47">
        <v>0</v>
      </c>
      <c r="AA362" s="47" t="s">
        <v>731</v>
      </c>
      <c r="AB362" s="47">
        <v>0</v>
      </c>
      <c r="AC362" s="47" t="s">
        <v>731</v>
      </c>
      <c r="AD362" s="47" t="s">
        <v>731</v>
      </c>
      <c r="AE362" s="47" t="s">
        <v>731</v>
      </c>
      <c r="AF362" s="47">
        <v>0</v>
      </c>
      <c r="AG362" s="47">
        <v>0</v>
      </c>
      <c r="AH362" s="47">
        <v>0</v>
      </c>
      <c r="AI362" s="47" t="s">
        <v>729</v>
      </c>
      <c r="AJ362">
        <v>1</v>
      </c>
      <c r="AK362">
        <v>100</v>
      </c>
    </row>
    <row r="363" spans="1:37" x14ac:dyDescent="0.2">
      <c r="A363" t="s">
        <v>1157</v>
      </c>
      <c r="B363" t="s">
        <v>361</v>
      </c>
      <c r="C363">
        <v>2017</v>
      </c>
      <c r="D363">
        <v>2</v>
      </c>
      <c r="E363" t="s">
        <v>1159</v>
      </c>
      <c r="F363" t="s">
        <v>362</v>
      </c>
      <c r="G363">
        <v>4.2982480000000001</v>
      </c>
      <c r="H363" s="20">
        <f>IF(AND(A363=A362,F363=F362,F363="Winter wheat"),G363*0.9*'BAU Management details'!$F$46,
IF(AND(OR(A363&lt;&gt;A362,F363&lt;&gt;F362),F363="Winter wheat"),G363*'BAU Management details'!$F$46,
IF(F363="Oilseed Rape",G363*'BAU Management details'!$F$47)))</f>
        <v>33.268439520000001</v>
      </c>
      <c r="I363" t="s">
        <v>348</v>
      </c>
      <c r="J363">
        <v>10</v>
      </c>
      <c r="K363" t="s">
        <v>362</v>
      </c>
      <c r="L363" t="s">
        <v>751</v>
      </c>
      <c r="M363">
        <v>2.9</v>
      </c>
      <c r="N363" t="s">
        <v>349</v>
      </c>
      <c r="O363" t="s">
        <v>350</v>
      </c>
      <c r="P363">
        <v>7.7</v>
      </c>
      <c r="Q363" t="s">
        <v>728</v>
      </c>
      <c r="R363" t="s">
        <v>351</v>
      </c>
      <c r="S363">
        <v>220</v>
      </c>
      <c r="T363" s="47" t="s">
        <v>729</v>
      </c>
      <c r="U363" t="s">
        <v>733</v>
      </c>
      <c r="V363" t="s">
        <v>369</v>
      </c>
      <c r="W363" s="47" t="s">
        <v>736</v>
      </c>
      <c r="X363" s="47">
        <v>0</v>
      </c>
      <c r="Y363" s="47" t="s">
        <v>730</v>
      </c>
      <c r="Z363" s="47">
        <v>0</v>
      </c>
      <c r="AA363" s="47" t="s">
        <v>731</v>
      </c>
      <c r="AB363" s="47">
        <v>0</v>
      </c>
      <c r="AC363" s="47">
        <v>0</v>
      </c>
      <c r="AD363" s="47">
        <v>0</v>
      </c>
      <c r="AE363" s="47" t="s">
        <v>731</v>
      </c>
      <c r="AF363" s="47">
        <v>0</v>
      </c>
      <c r="AG363" s="47">
        <v>0</v>
      </c>
      <c r="AH363" s="47">
        <v>0</v>
      </c>
      <c r="AI363" s="47" t="s">
        <v>729</v>
      </c>
      <c r="AJ363">
        <v>1</v>
      </c>
      <c r="AK363">
        <v>100</v>
      </c>
    </row>
    <row r="364" spans="1:37" x14ac:dyDescent="0.2">
      <c r="A364" t="s">
        <v>1157</v>
      </c>
      <c r="B364" t="s">
        <v>361</v>
      </c>
      <c r="C364">
        <v>2018</v>
      </c>
      <c r="D364">
        <v>3</v>
      </c>
      <c r="E364" t="s">
        <v>1160</v>
      </c>
      <c r="F364" t="s">
        <v>365</v>
      </c>
      <c r="G364">
        <v>4.2982480000000001</v>
      </c>
      <c r="H364" s="20">
        <f>IF(AND(A364=A363,F364=F363,F364="Winter wheat"),G364*0.9*'BAU Management details'!$F$46,
IF(AND(OR(A364&lt;&gt;A363,F364&lt;&gt;F363),F364="Winter wheat"),G364*'BAU Management details'!$F$46,
IF(F364="Oilseed Rape",G364*'BAU Management details'!$F$47)))</f>
        <v>15.043868</v>
      </c>
      <c r="I364" t="s">
        <v>348</v>
      </c>
      <c r="J364">
        <v>10</v>
      </c>
      <c r="K364" t="s">
        <v>532</v>
      </c>
      <c r="L364" t="s">
        <v>751</v>
      </c>
      <c r="M364">
        <v>2.9</v>
      </c>
      <c r="N364" t="s">
        <v>349</v>
      </c>
      <c r="O364" t="s">
        <v>350</v>
      </c>
      <c r="P364">
        <v>7.7</v>
      </c>
      <c r="Q364" t="s">
        <v>728</v>
      </c>
      <c r="R364" t="s">
        <v>351</v>
      </c>
      <c r="S364">
        <v>220</v>
      </c>
      <c r="T364" s="47" t="s">
        <v>735</v>
      </c>
      <c r="U364" t="s">
        <v>368</v>
      </c>
      <c r="V364" t="s">
        <v>364</v>
      </c>
      <c r="W364" s="47" t="s">
        <v>736</v>
      </c>
      <c r="X364" s="47">
        <v>0</v>
      </c>
      <c r="Y364" s="47" t="s">
        <v>736</v>
      </c>
      <c r="Z364" s="47">
        <v>0</v>
      </c>
      <c r="AA364" s="47" t="s">
        <v>736</v>
      </c>
      <c r="AB364" s="47">
        <v>0</v>
      </c>
      <c r="AC364" s="47">
        <v>0</v>
      </c>
      <c r="AD364" s="47">
        <v>0</v>
      </c>
      <c r="AE364" s="47" t="s">
        <v>731</v>
      </c>
      <c r="AF364" s="47">
        <v>0</v>
      </c>
      <c r="AG364" s="47" t="s">
        <v>731</v>
      </c>
      <c r="AH364" s="47">
        <v>0</v>
      </c>
      <c r="AI364" s="47" t="s">
        <v>735</v>
      </c>
      <c r="AJ364">
        <v>1</v>
      </c>
      <c r="AK364">
        <v>100</v>
      </c>
    </row>
    <row r="365" spans="1:37" x14ac:dyDescent="0.2">
      <c r="A365" t="s">
        <v>1157</v>
      </c>
      <c r="B365" t="s">
        <v>361</v>
      </c>
      <c r="C365">
        <v>2019</v>
      </c>
      <c r="D365">
        <v>4</v>
      </c>
      <c r="E365" t="s">
        <v>1161</v>
      </c>
      <c r="F365" t="s">
        <v>362</v>
      </c>
      <c r="G365">
        <v>4.2982480000000001</v>
      </c>
      <c r="H365" s="20">
        <f>IF(AND(A365=A364,F365=F364,F365="Winter wheat"),G365*0.9*'BAU Management details'!$F$46,
IF(AND(OR(A365&lt;&gt;A364,F365&lt;&gt;F364),F365="Winter wheat"),G365*'BAU Management details'!$F$46,
IF(F365="Oilseed Rape",G365*'BAU Management details'!$F$47)))</f>
        <v>36.9649328</v>
      </c>
      <c r="I365" t="s">
        <v>348</v>
      </c>
      <c r="J365">
        <v>10</v>
      </c>
      <c r="K365" t="s">
        <v>362</v>
      </c>
      <c r="L365" t="s">
        <v>751</v>
      </c>
      <c r="M365">
        <v>2.9</v>
      </c>
      <c r="N365" t="s">
        <v>349</v>
      </c>
      <c r="O365" t="s">
        <v>350</v>
      </c>
      <c r="P365">
        <v>7.7</v>
      </c>
      <c r="Q365" t="s">
        <v>728</v>
      </c>
      <c r="R365" t="s">
        <v>351</v>
      </c>
      <c r="S365">
        <v>220</v>
      </c>
      <c r="T365" s="47" t="s">
        <v>729</v>
      </c>
      <c r="U365" t="s">
        <v>366</v>
      </c>
      <c r="V365" t="s">
        <v>367</v>
      </c>
      <c r="W365" s="47" t="s">
        <v>736</v>
      </c>
      <c r="X365" s="47">
        <v>0</v>
      </c>
      <c r="Y365" s="47" t="s">
        <v>730</v>
      </c>
      <c r="Z365" s="47">
        <v>0</v>
      </c>
      <c r="AA365" s="47" t="s">
        <v>731</v>
      </c>
      <c r="AB365" s="47">
        <v>0</v>
      </c>
      <c r="AC365" s="47" t="s">
        <v>731</v>
      </c>
      <c r="AD365" s="47" t="s">
        <v>731</v>
      </c>
      <c r="AE365" s="47" t="s">
        <v>731</v>
      </c>
      <c r="AF365" s="47">
        <v>0</v>
      </c>
      <c r="AG365" s="47">
        <v>0</v>
      </c>
      <c r="AH365" s="47">
        <v>0</v>
      </c>
      <c r="AI365" s="47" t="s">
        <v>729</v>
      </c>
      <c r="AJ365">
        <v>1</v>
      </c>
      <c r="AK365">
        <v>100</v>
      </c>
    </row>
    <row r="366" spans="1:37" x14ac:dyDescent="0.2">
      <c r="A366" t="s">
        <v>1157</v>
      </c>
      <c r="B366" t="s">
        <v>361</v>
      </c>
      <c r="C366">
        <v>2020</v>
      </c>
      <c r="D366">
        <v>5</v>
      </c>
      <c r="E366" t="s">
        <v>1162</v>
      </c>
      <c r="F366" t="s">
        <v>362</v>
      </c>
      <c r="G366">
        <v>4.2982480000000001</v>
      </c>
      <c r="H366" s="20">
        <f>IF(AND(A366=A365,F366=F365,F366="Winter wheat"),G366*0.9*'BAU Management details'!$F$46,
IF(AND(OR(A366&lt;&gt;A365,F366&lt;&gt;F365),F366="Winter wheat"),G366*'BAU Management details'!$F$46,
IF(F366="Oilseed Rape",G366*'BAU Management details'!$F$47)))</f>
        <v>33.268439520000001</v>
      </c>
      <c r="I366" t="s">
        <v>348</v>
      </c>
      <c r="J366">
        <v>10</v>
      </c>
      <c r="K366" t="s">
        <v>362</v>
      </c>
      <c r="L366" t="s">
        <v>751</v>
      </c>
      <c r="M366">
        <v>2.9</v>
      </c>
      <c r="N366" t="s">
        <v>349</v>
      </c>
      <c r="O366" t="s">
        <v>350</v>
      </c>
      <c r="P366">
        <v>7.7</v>
      </c>
      <c r="Q366" t="s">
        <v>728</v>
      </c>
      <c r="R366" t="s">
        <v>351</v>
      </c>
      <c r="S366">
        <v>220</v>
      </c>
      <c r="T366" s="47" t="s">
        <v>729</v>
      </c>
      <c r="U366" t="s">
        <v>733</v>
      </c>
      <c r="V366" t="s">
        <v>369</v>
      </c>
      <c r="W366" s="47" t="s">
        <v>736</v>
      </c>
      <c r="X366" s="47">
        <v>0</v>
      </c>
      <c r="Y366" s="47" t="s">
        <v>730</v>
      </c>
      <c r="Z366" s="47">
        <v>0</v>
      </c>
      <c r="AA366" s="47" t="s">
        <v>731</v>
      </c>
      <c r="AB366" s="47">
        <v>0</v>
      </c>
      <c r="AC366" s="47">
        <v>0</v>
      </c>
      <c r="AD366" s="47">
        <v>0</v>
      </c>
      <c r="AE366" s="47" t="s">
        <v>731</v>
      </c>
      <c r="AF366" s="47">
        <v>0</v>
      </c>
      <c r="AG366" s="47">
        <v>0</v>
      </c>
      <c r="AH366" s="47">
        <v>0</v>
      </c>
      <c r="AI366" s="47" t="s">
        <v>729</v>
      </c>
      <c r="AJ366">
        <v>1</v>
      </c>
      <c r="AK366">
        <v>100</v>
      </c>
    </row>
    <row r="367" spans="1:37" x14ac:dyDescent="0.2">
      <c r="A367" t="s">
        <v>1157</v>
      </c>
      <c r="B367" t="s">
        <v>361</v>
      </c>
      <c r="C367">
        <v>2021</v>
      </c>
      <c r="D367">
        <v>6</v>
      </c>
      <c r="E367" t="s">
        <v>1163</v>
      </c>
      <c r="F367" t="s">
        <v>365</v>
      </c>
      <c r="G367">
        <v>4.2982480000000001</v>
      </c>
      <c r="H367" s="20">
        <f>IF(AND(A367=A366,F367=F366,F367="Winter wheat"),G367*0.9*'BAU Management details'!$F$46,
IF(AND(OR(A367&lt;&gt;A366,F367&lt;&gt;F366),F367="Winter wheat"),G367*'BAU Management details'!$F$46,
IF(F367="Oilseed Rape",G367*'BAU Management details'!$F$47)))</f>
        <v>15.043868</v>
      </c>
      <c r="I367" t="s">
        <v>348</v>
      </c>
      <c r="J367">
        <v>10</v>
      </c>
      <c r="K367" t="s">
        <v>532</v>
      </c>
      <c r="L367" t="s">
        <v>751</v>
      </c>
      <c r="M367">
        <v>2.9</v>
      </c>
      <c r="N367" t="s">
        <v>349</v>
      </c>
      <c r="O367" t="s">
        <v>350</v>
      </c>
      <c r="P367">
        <v>7.7</v>
      </c>
      <c r="Q367" t="s">
        <v>728</v>
      </c>
      <c r="R367" t="s">
        <v>351</v>
      </c>
      <c r="S367">
        <v>220</v>
      </c>
      <c r="T367" s="47" t="s">
        <v>735</v>
      </c>
      <c r="U367" t="s">
        <v>368</v>
      </c>
      <c r="V367" t="s">
        <v>364</v>
      </c>
      <c r="W367" s="47" t="s">
        <v>736</v>
      </c>
      <c r="X367" s="47">
        <v>0</v>
      </c>
      <c r="Y367" s="47" t="s">
        <v>736</v>
      </c>
      <c r="Z367" s="47">
        <v>0</v>
      </c>
      <c r="AA367" s="47" t="s">
        <v>736</v>
      </c>
      <c r="AB367" s="47">
        <v>0</v>
      </c>
      <c r="AC367" s="47">
        <v>0</v>
      </c>
      <c r="AD367" s="47">
        <v>0</v>
      </c>
      <c r="AE367" s="47" t="s">
        <v>731</v>
      </c>
      <c r="AF367" s="47">
        <v>0</v>
      </c>
      <c r="AG367" s="47" t="s">
        <v>731</v>
      </c>
      <c r="AH367" s="47">
        <v>0</v>
      </c>
      <c r="AI367" s="47" t="s">
        <v>735</v>
      </c>
      <c r="AJ367">
        <v>1</v>
      </c>
      <c r="AK367">
        <v>100</v>
      </c>
    </row>
    <row r="368" spans="1:37" x14ac:dyDescent="0.2">
      <c r="A368" t="s">
        <v>1164</v>
      </c>
      <c r="B368" t="s">
        <v>361</v>
      </c>
      <c r="C368">
        <v>2016</v>
      </c>
      <c r="D368">
        <v>1</v>
      </c>
      <c r="E368" t="s">
        <v>1165</v>
      </c>
      <c r="F368" t="s">
        <v>362</v>
      </c>
      <c r="G368">
        <v>5.3007099999999996</v>
      </c>
      <c r="H368" s="20">
        <f>IF(AND(A368=A367,F368=F367,F368="Winter wheat"),G368*0.9*'BAU Management details'!$F$46,
IF(AND(OR(A368&lt;&gt;A367,F368&lt;&gt;F367),F368="Winter wheat"),G368*'BAU Management details'!$F$46,
IF(F368="Oilseed Rape",G368*'BAU Management details'!$F$47)))</f>
        <v>45.586105999999994</v>
      </c>
      <c r="I368" t="s">
        <v>348</v>
      </c>
      <c r="J368">
        <v>10</v>
      </c>
      <c r="K368" t="s">
        <v>362</v>
      </c>
      <c r="L368" t="s">
        <v>727</v>
      </c>
      <c r="M368">
        <v>4.5999999999999996</v>
      </c>
      <c r="N368" t="s">
        <v>349</v>
      </c>
      <c r="O368" t="s">
        <v>742</v>
      </c>
      <c r="P368">
        <v>6.6</v>
      </c>
      <c r="Q368" t="s">
        <v>743</v>
      </c>
      <c r="R368" t="s">
        <v>351</v>
      </c>
      <c r="S368">
        <v>220</v>
      </c>
      <c r="T368" s="47" t="s">
        <v>729</v>
      </c>
      <c r="U368" t="s">
        <v>366</v>
      </c>
      <c r="V368" t="s">
        <v>367</v>
      </c>
      <c r="W368" s="47" t="s">
        <v>736</v>
      </c>
      <c r="X368" s="47">
        <v>0</v>
      </c>
      <c r="Y368" s="47" t="s">
        <v>730</v>
      </c>
      <c r="Z368" s="47">
        <v>0</v>
      </c>
      <c r="AA368" s="47" t="s">
        <v>731</v>
      </c>
      <c r="AB368" s="47">
        <v>0</v>
      </c>
      <c r="AC368" s="47" t="s">
        <v>731</v>
      </c>
      <c r="AD368" s="47" t="s">
        <v>731</v>
      </c>
      <c r="AE368" s="47" t="s">
        <v>731</v>
      </c>
      <c r="AF368" s="47">
        <v>0</v>
      </c>
      <c r="AG368" s="47">
        <v>0</v>
      </c>
      <c r="AH368" s="47">
        <v>0</v>
      </c>
      <c r="AI368" s="47" t="s">
        <v>729</v>
      </c>
      <c r="AJ368">
        <v>1</v>
      </c>
      <c r="AK368">
        <v>100</v>
      </c>
    </row>
    <row r="369" spans="1:37" x14ac:dyDescent="0.2">
      <c r="A369" t="s">
        <v>1164</v>
      </c>
      <c r="B369" t="s">
        <v>361</v>
      </c>
      <c r="C369">
        <v>2017</v>
      </c>
      <c r="D369">
        <v>2</v>
      </c>
      <c r="E369" t="s">
        <v>1166</v>
      </c>
      <c r="F369" t="s">
        <v>362</v>
      </c>
      <c r="G369">
        <v>5.3007099999999996</v>
      </c>
      <c r="H369" s="20">
        <f>IF(AND(A369=A368,F369=F368,F369="Winter wheat"),G369*0.9*'BAU Management details'!$F$46,
IF(AND(OR(A369&lt;&gt;A368,F369&lt;&gt;F368),F369="Winter wheat"),G369*'BAU Management details'!$F$46,
IF(F369="Oilseed Rape",G369*'BAU Management details'!$F$47)))</f>
        <v>41.027495399999999</v>
      </c>
      <c r="I369" t="s">
        <v>348</v>
      </c>
      <c r="J369">
        <v>10</v>
      </c>
      <c r="K369" t="s">
        <v>362</v>
      </c>
      <c r="L369" t="s">
        <v>727</v>
      </c>
      <c r="M369">
        <v>4.5999999999999996</v>
      </c>
      <c r="N369" t="s">
        <v>349</v>
      </c>
      <c r="O369" t="s">
        <v>742</v>
      </c>
      <c r="P369">
        <v>6.6</v>
      </c>
      <c r="Q369" t="s">
        <v>743</v>
      </c>
      <c r="R369" t="s">
        <v>351</v>
      </c>
      <c r="S369">
        <v>220</v>
      </c>
      <c r="T369" s="47" t="s">
        <v>729</v>
      </c>
      <c r="U369" t="s">
        <v>733</v>
      </c>
      <c r="V369" t="s">
        <v>369</v>
      </c>
      <c r="W369" s="47" t="s">
        <v>736</v>
      </c>
      <c r="X369" s="47">
        <v>0</v>
      </c>
      <c r="Y369" s="47" t="s">
        <v>730</v>
      </c>
      <c r="Z369" s="47">
        <v>0</v>
      </c>
      <c r="AA369" s="47" t="s">
        <v>731</v>
      </c>
      <c r="AB369" s="47">
        <v>0</v>
      </c>
      <c r="AC369" s="47">
        <v>0</v>
      </c>
      <c r="AD369" s="47">
        <v>0</v>
      </c>
      <c r="AE369" s="47" t="s">
        <v>731</v>
      </c>
      <c r="AF369" s="47">
        <v>0</v>
      </c>
      <c r="AG369" s="47">
        <v>0</v>
      </c>
      <c r="AH369" s="47">
        <v>0</v>
      </c>
      <c r="AI369" s="47" t="s">
        <v>729</v>
      </c>
      <c r="AJ369">
        <v>1</v>
      </c>
      <c r="AK369">
        <v>100</v>
      </c>
    </row>
    <row r="370" spans="1:37" x14ac:dyDescent="0.2">
      <c r="A370" t="s">
        <v>1164</v>
      </c>
      <c r="B370" t="s">
        <v>361</v>
      </c>
      <c r="C370">
        <v>2018</v>
      </c>
      <c r="D370">
        <v>3</v>
      </c>
      <c r="E370" t="s">
        <v>1167</v>
      </c>
      <c r="F370" t="s">
        <v>365</v>
      </c>
      <c r="G370">
        <v>5.3007099999999996</v>
      </c>
      <c r="H370" s="20">
        <f>IF(AND(A370=A369,F370=F369,F370="Winter wheat"),G370*0.9*'BAU Management details'!$F$46,
IF(AND(OR(A370&lt;&gt;A369,F370&lt;&gt;F369),F370="Winter wheat"),G370*'BAU Management details'!$F$46,
IF(F370="Oilseed Rape",G370*'BAU Management details'!$F$47)))</f>
        <v>18.552484999999997</v>
      </c>
      <c r="I370" t="s">
        <v>348</v>
      </c>
      <c r="J370">
        <v>10</v>
      </c>
      <c r="K370" t="s">
        <v>532</v>
      </c>
      <c r="L370" t="s">
        <v>727</v>
      </c>
      <c r="M370">
        <v>4.5999999999999996</v>
      </c>
      <c r="N370" t="s">
        <v>349</v>
      </c>
      <c r="O370" t="s">
        <v>742</v>
      </c>
      <c r="P370">
        <v>6.6</v>
      </c>
      <c r="Q370" t="s">
        <v>743</v>
      </c>
      <c r="R370" t="s">
        <v>351</v>
      </c>
      <c r="S370">
        <v>220</v>
      </c>
      <c r="T370" s="47" t="s">
        <v>735</v>
      </c>
      <c r="U370" t="s">
        <v>368</v>
      </c>
      <c r="V370" t="s">
        <v>364</v>
      </c>
      <c r="W370" s="47" t="s">
        <v>736</v>
      </c>
      <c r="X370" s="47">
        <v>0</v>
      </c>
      <c r="Y370" s="47" t="s">
        <v>736</v>
      </c>
      <c r="Z370" s="47">
        <v>0</v>
      </c>
      <c r="AA370" s="47" t="s">
        <v>736</v>
      </c>
      <c r="AB370" s="47">
        <v>0</v>
      </c>
      <c r="AC370" s="47">
        <v>0</v>
      </c>
      <c r="AD370" s="47">
        <v>0</v>
      </c>
      <c r="AE370" s="47" t="s">
        <v>731</v>
      </c>
      <c r="AF370" s="47">
        <v>0</v>
      </c>
      <c r="AG370" s="47" t="s">
        <v>731</v>
      </c>
      <c r="AH370" s="47">
        <v>0</v>
      </c>
      <c r="AI370" s="47" t="s">
        <v>735</v>
      </c>
      <c r="AJ370">
        <v>1</v>
      </c>
      <c r="AK370">
        <v>100</v>
      </c>
    </row>
    <row r="371" spans="1:37" x14ac:dyDescent="0.2">
      <c r="A371" t="s">
        <v>1164</v>
      </c>
      <c r="B371" t="s">
        <v>361</v>
      </c>
      <c r="C371">
        <v>2019</v>
      </c>
      <c r="D371">
        <v>4</v>
      </c>
      <c r="E371" t="s">
        <v>1168</v>
      </c>
      <c r="F371" t="s">
        <v>362</v>
      </c>
      <c r="G371">
        <v>5.3007099999999996</v>
      </c>
      <c r="H371" s="20">
        <f>IF(AND(A371=A370,F371=F370,F371="Winter wheat"),G371*0.9*'BAU Management details'!$F$46,
IF(AND(OR(A371&lt;&gt;A370,F371&lt;&gt;F370),F371="Winter wheat"),G371*'BAU Management details'!$F$46,
IF(F371="Oilseed Rape",G371*'BAU Management details'!$F$47)))</f>
        <v>45.586105999999994</v>
      </c>
      <c r="I371" t="s">
        <v>348</v>
      </c>
      <c r="J371">
        <v>10</v>
      </c>
      <c r="K371" t="s">
        <v>362</v>
      </c>
      <c r="L371" t="s">
        <v>727</v>
      </c>
      <c r="M371">
        <v>4.5999999999999996</v>
      </c>
      <c r="N371" t="s">
        <v>349</v>
      </c>
      <c r="O371" t="s">
        <v>742</v>
      </c>
      <c r="P371">
        <v>6.6</v>
      </c>
      <c r="Q371" t="s">
        <v>743</v>
      </c>
      <c r="R371" t="s">
        <v>351</v>
      </c>
      <c r="S371">
        <v>220</v>
      </c>
      <c r="T371" s="47" t="s">
        <v>729</v>
      </c>
      <c r="U371" t="s">
        <v>366</v>
      </c>
      <c r="V371" t="s">
        <v>367</v>
      </c>
      <c r="W371" s="47" t="s">
        <v>736</v>
      </c>
      <c r="X371" s="47">
        <v>0</v>
      </c>
      <c r="Y371" s="47" t="s">
        <v>730</v>
      </c>
      <c r="Z371" s="47">
        <v>0</v>
      </c>
      <c r="AA371" s="47" t="s">
        <v>731</v>
      </c>
      <c r="AB371" s="47">
        <v>0</v>
      </c>
      <c r="AC371" s="47" t="s">
        <v>731</v>
      </c>
      <c r="AD371" s="47" t="s">
        <v>731</v>
      </c>
      <c r="AE371" s="47" t="s">
        <v>731</v>
      </c>
      <c r="AF371" s="47">
        <v>0</v>
      </c>
      <c r="AG371" s="47">
        <v>0</v>
      </c>
      <c r="AH371" s="47">
        <v>0</v>
      </c>
      <c r="AI371" s="47" t="s">
        <v>729</v>
      </c>
      <c r="AJ371">
        <v>1</v>
      </c>
      <c r="AK371">
        <v>100</v>
      </c>
    </row>
    <row r="372" spans="1:37" x14ac:dyDescent="0.2">
      <c r="A372" t="s">
        <v>1164</v>
      </c>
      <c r="B372" t="s">
        <v>361</v>
      </c>
      <c r="C372">
        <v>2020</v>
      </c>
      <c r="D372">
        <v>5</v>
      </c>
      <c r="E372" t="s">
        <v>1169</v>
      </c>
      <c r="F372" t="s">
        <v>362</v>
      </c>
      <c r="G372">
        <v>5.3007099999999996</v>
      </c>
      <c r="H372" s="20">
        <f>IF(AND(A372=A371,F372=F371,F372="Winter wheat"),G372*0.9*'BAU Management details'!$F$46,
IF(AND(OR(A372&lt;&gt;A371,F372&lt;&gt;F371),F372="Winter wheat"),G372*'BAU Management details'!$F$46,
IF(F372="Oilseed Rape",G372*'BAU Management details'!$F$47)))</f>
        <v>41.027495399999999</v>
      </c>
      <c r="I372" t="s">
        <v>348</v>
      </c>
      <c r="J372">
        <v>10</v>
      </c>
      <c r="K372" t="s">
        <v>362</v>
      </c>
      <c r="L372" t="s">
        <v>727</v>
      </c>
      <c r="M372">
        <v>4.5999999999999996</v>
      </c>
      <c r="N372" t="s">
        <v>349</v>
      </c>
      <c r="O372" t="s">
        <v>742</v>
      </c>
      <c r="P372">
        <v>6.6</v>
      </c>
      <c r="Q372" t="s">
        <v>743</v>
      </c>
      <c r="R372" t="s">
        <v>351</v>
      </c>
      <c r="S372">
        <v>220</v>
      </c>
      <c r="T372" s="47" t="s">
        <v>729</v>
      </c>
      <c r="U372" t="s">
        <v>733</v>
      </c>
      <c r="V372" t="s">
        <v>369</v>
      </c>
      <c r="W372" s="47" t="s">
        <v>736</v>
      </c>
      <c r="X372" s="47">
        <v>0</v>
      </c>
      <c r="Y372" s="47" t="s">
        <v>730</v>
      </c>
      <c r="Z372" s="47">
        <v>0</v>
      </c>
      <c r="AA372" s="47" t="s">
        <v>731</v>
      </c>
      <c r="AB372" s="47">
        <v>0</v>
      </c>
      <c r="AC372" s="47">
        <v>0</v>
      </c>
      <c r="AD372" s="47">
        <v>0</v>
      </c>
      <c r="AE372" s="47" t="s">
        <v>731</v>
      </c>
      <c r="AF372" s="47">
        <v>0</v>
      </c>
      <c r="AG372" s="47">
        <v>0</v>
      </c>
      <c r="AH372" s="47">
        <v>0</v>
      </c>
      <c r="AI372" s="47" t="s">
        <v>729</v>
      </c>
      <c r="AJ372">
        <v>1</v>
      </c>
      <c r="AK372">
        <v>100</v>
      </c>
    </row>
    <row r="373" spans="1:37" x14ac:dyDescent="0.2">
      <c r="A373" t="s">
        <v>1164</v>
      </c>
      <c r="B373" t="s">
        <v>361</v>
      </c>
      <c r="C373">
        <v>2021</v>
      </c>
      <c r="D373">
        <v>6</v>
      </c>
      <c r="E373" t="s">
        <v>1170</v>
      </c>
      <c r="F373" t="s">
        <v>365</v>
      </c>
      <c r="G373">
        <v>5.3007099999999996</v>
      </c>
      <c r="H373" s="20">
        <f>IF(AND(A373=A372,F373=F372,F373="Winter wheat"),G373*0.9*'BAU Management details'!$F$46,
IF(AND(OR(A373&lt;&gt;A372,F373&lt;&gt;F372),F373="Winter wheat"),G373*'BAU Management details'!$F$46,
IF(F373="Oilseed Rape",G373*'BAU Management details'!$F$47)))</f>
        <v>18.552484999999997</v>
      </c>
      <c r="I373" t="s">
        <v>348</v>
      </c>
      <c r="J373">
        <v>10</v>
      </c>
      <c r="K373" t="s">
        <v>532</v>
      </c>
      <c r="L373" t="s">
        <v>727</v>
      </c>
      <c r="M373">
        <v>4.5999999999999996</v>
      </c>
      <c r="N373" t="s">
        <v>349</v>
      </c>
      <c r="O373" t="s">
        <v>742</v>
      </c>
      <c r="P373">
        <v>6.6</v>
      </c>
      <c r="Q373" t="s">
        <v>743</v>
      </c>
      <c r="R373" t="s">
        <v>351</v>
      </c>
      <c r="S373">
        <v>220</v>
      </c>
      <c r="T373" s="47" t="s">
        <v>735</v>
      </c>
      <c r="U373" t="s">
        <v>368</v>
      </c>
      <c r="V373" t="s">
        <v>364</v>
      </c>
      <c r="W373" s="47" t="s">
        <v>736</v>
      </c>
      <c r="X373" s="47">
        <v>0</v>
      </c>
      <c r="Y373" s="47" t="s">
        <v>736</v>
      </c>
      <c r="Z373" s="47">
        <v>0</v>
      </c>
      <c r="AA373" s="47" t="s">
        <v>736</v>
      </c>
      <c r="AB373" s="47">
        <v>0</v>
      </c>
      <c r="AC373" s="47">
        <v>0</v>
      </c>
      <c r="AD373" s="47">
        <v>0</v>
      </c>
      <c r="AE373" s="47" t="s">
        <v>731</v>
      </c>
      <c r="AF373" s="47">
        <v>0</v>
      </c>
      <c r="AG373" s="47" t="s">
        <v>731</v>
      </c>
      <c r="AH373" s="47">
        <v>0</v>
      </c>
      <c r="AI373" s="47" t="s">
        <v>735</v>
      </c>
      <c r="AJ373">
        <v>1</v>
      </c>
      <c r="AK373">
        <v>100</v>
      </c>
    </row>
    <row r="374" spans="1:37" x14ac:dyDescent="0.2">
      <c r="A374" t="s">
        <v>1171</v>
      </c>
      <c r="B374" t="s">
        <v>361</v>
      </c>
      <c r="C374">
        <v>2016</v>
      </c>
      <c r="D374">
        <v>1</v>
      </c>
      <c r="E374" t="s">
        <v>1172</v>
      </c>
      <c r="F374" t="s">
        <v>362</v>
      </c>
      <c r="G374">
        <v>4.3077209999999999</v>
      </c>
      <c r="H374" s="20">
        <f>IF(AND(A374=A373,F374=F373,F374="Winter wheat"),G374*0.9*'BAU Management details'!$F$46,
IF(AND(OR(A374&lt;&gt;A373,F374&lt;&gt;F373),F374="Winter wheat"),G374*'BAU Management details'!$F$46,
IF(F374="Oilseed Rape",G374*'BAU Management details'!$F$47)))</f>
        <v>37.046400599999998</v>
      </c>
      <c r="I374" t="s">
        <v>348</v>
      </c>
      <c r="J374">
        <v>10</v>
      </c>
      <c r="K374" t="s">
        <v>362</v>
      </c>
      <c r="L374" t="s">
        <v>727</v>
      </c>
      <c r="M374">
        <v>2.7</v>
      </c>
      <c r="N374" t="s">
        <v>349</v>
      </c>
      <c r="O374" t="s">
        <v>742</v>
      </c>
      <c r="P374">
        <v>6.8</v>
      </c>
      <c r="Q374" t="s">
        <v>743</v>
      </c>
      <c r="R374" t="s">
        <v>351</v>
      </c>
      <c r="S374">
        <v>220</v>
      </c>
      <c r="T374" s="47" t="s">
        <v>729</v>
      </c>
      <c r="U374" t="s">
        <v>366</v>
      </c>
      <c r="V374" t="s">
        <v>364</v>
      </c>
      <c r="W374" s="47" t="s">
        <v>736</v>
      </c>
      <c r="X374" s="47">
        <v>0</v>
      </c>
      <c r="Y374" s="47" t="s">
        <v>730</v>
      </c>
      <c r="Z374" s="47">
        <v>0</v>
      </c>
      <c r="AA374" s="47" t="s">
        <v>731</v>
      </c>
      <c r="AB374" s="47">
        <v>0</v>
      </c>
      <c r="AC374" s="47" t="s">
        <v>731</v>
      </c>
      <c r="AD374" s="47" t="s">
        <v>731</v>
      </c>
      <c r="AE374" s="47" t="s">
        <v>731</v>
      </c>
      <c r="AF374" s="47">
        <v>0</v>
      </c>
      <c r="AG374" s="47">
        <v>0</v>
      </c>
      <c r="AH374" s="47">
        <v>0</v>
      </c>
      <c r="AI374" s="47" t="s">
        <v>729</v>
      </c>
      <c r="AJ374">
        <v>1</v>
      </c>
      <c r="AK374">
        <v>100</v>
      </c>
    </row>
    <row r="375" spans="1:37" x14ac:dyDescent="0.2">
      <c r="A375" t="s">
        <v>1171</v>
      </c>
      <c r="B375" t="s">
        <v>361</v>
      </c>
      <c r="C375">
        <v>2017</v>
      </c>
      <c r="D375">
        <v>2</v>
      </c>
      <c r="E375" t="s">
        <v>1173</v>
      </c>
      <c r="F375" t="s">
        <v>362</v>
      </c>
      <c r="G375">
        <v>4.3077209999999999</v>
      </c>
      <c r="H375" s="20">
        <f>IF(AND(A375=A374,F375=F374,F375="Winter wheat"),G375*0.9*'BAU Management details'!$F$46,
IF(AND(OR(A375&lt;&gt;A374,F375&lt;&gt;F374),F375="Winter wheat"),G375*'BAU Management details'!$F$46,
IF(F375="Oilseed Rape",G375*'BAU Management details'!$F$47)))</f>
        <v>33.341760539999996</v>
      </c>
      <c r="I375" t="s">
        <v>348</v>
      </c>
      <c r="J375">
        <v>10</v>
      </c>
      <c r="K375" t="s">
        <v>362</v>
      </c>
      <c r="L375" t="s">
        <v>727</v>
      </c>
      <c r="M375">
        <v>2.7</v>
      </c>
      <c r="N375" t="s">
        <v>349</v>
      </c>
      <c r="O375" t="s">
        <v>742</v>
      </c>
      <c r="P375">
        <v>6.8</v>
      </c>
      <c r="Q375" t="s">
        <v>743</v>
      </c>
      <c r="R375" t="s">
        <v>351</v>
      </c>
      <c r="S375">
        <v>220</v>
      </c>
      <c r="T375" s="47" t="s">
        <v>729</v>
      </c>
      <c r="U375" t="s">
        <v>733</v>
      </c>
      <c r="V375" t="s">
        <v>364</v>
      </c>
      <c r="W375" s="47" t="s">
        <v>736</v>
      </c>
      <c r="X375" s="47">
        <v>0</v>
      </c>
      <c r="Y375" s="47" t="s">
        <v>730</v>
      </c>
      <c r="Z375" s="47">
        <v>0</v>
      </c>
      <c r="AA375" s="47" t="s">
        <v>731</v>
      </c>
      <c r="AB375" s="47">
        <v>0</v>
      </c>
      <c r="AC375" s="47">
        <v>0</v>
      </c>
      <c r="AD375" s="47">
        <v>0</v>
      </c>
      <c r="AE375" s="47" t="s">
        <v>731</v>
      </c>
      <c r="AF375" s="47">
        <v>0</v>
      </c>
      <c r="AG375" s="47">
        <v>0</v>
      </c>
      <c r="AH375" s="47">
        <v>0</v>
      </c>
      <c r="AI375" s="47" t="s">
        <v>729</v>
      </c>
      <c r="AJ375">
        <v>1</v>
      </c>
      <c r="AK375">
        <v>100</v>
      </c>
    </row>
    <row r="376" spans="1:37" x14ac:dyDescent="0.2">
      <c r="A376" t="s">
        <v>1171</v>
      </c>
      <c r="B376" t="s">
        <v>361</v>
      </c>
      <c r="C376">
        <v>2018</v>
      </c>
      <c r="D376">
        <v>3</v>
      </c>
      <c r="E376" t="s">
        <v>1174</v>
      </c>
      <c r="F376" t="s">
        <v>365</v>
      </c>
      <c r="G376">
        <v>4.3077209999999999</v>
      </c>
      <c r="H376" s="20">
        <f>IF(AND(A376=A375,F376=F375,F376="Winter wheat"),G376*0.9*'BAU Management details'!$F$46,
IF(AND(OR(A376&lt;&gt;A375,F376&lt;&gt;F375),F376="Winter wheat"),G376*'BAU Management details'!$F$46,
IF(F376="Oilseed Rape",G376*'BAU Management details'!$F$47)))</f>
        <v>15.077023499999999</v>
      </c>
      <c r="I376" t="s">
        <v>348</v>
      </c>
      <c r="J376">
        <v>10</v>
      </c>
      <c r="K376" t="s">
        <v>532</v>
      </c>
      <c r="L376" t="s">
        <v>727</v>
      </c>
      <c r="M376">
        <v>2.7</v>
      </c>
      <c r="N376" t="s">
        <v>349</v>
      </c>
      <c r="O376" t="s">
        <v>742</v>
      </c>
      <c r="P376">
        <v>6.8</v>
      </c>
      <c r="Q376" t="s">
        <v>743</v>
      </c>
      <c r="R376" t="s">
        <v>351</v>
      </c>
      <c r="S376">
        <v>220</v>
      </c>
      <c r="T376" s="47" t="s">
        <v>735</v>
      </c>
      <c r="U376" t="s">
        <v>368</v>
      </c>
      <c r="V376" t="s">
        <v>364</v>
      </c>
      <c r="W376" s="47" t="s">
        <v>736</v>
      </c>
      <c r="X376" s="47">
        <v>0</v>
      </c>
      <c r="Y376" s="47" t="s">
        <v>736</v>
      </c>
      <c r="Z376" s="47">
        <v>0</v>
      </c>
      <c r="AA376" s="47" t="s">
        <v>736</v>
      </c>
      <c r="AB376" s="47">
        <v>0</v>
      </c>
      <c r="AC376" s="47">
        <v>0</v>
      </c>
      <c r="AD376" s="47">
        <v>0</v>
      </c>
      <c r="AE376" s="47" t="s">
        <v>731</v>
      </c>
      <c r="AF376" s="47">
        <v>0</v>
      </c>
      <c r="AG376" s="47" t="s">
        <v>731</v>
      </c>
      <c r="AH376" s="47">
        <v>0</v>
      </c>
      <c r="AI376" s="47" t="s">
        <v>735</v>
      </c>
      <c r="AJ376">
        <v>1</v>
      </c>
      <c r="AK376">
        <v>100</v>
      </c>
    </row>
    <row r="377" spans="1:37" x14ac:dyDescent="0.2">
      <c r="A377" t="s">
        <v>1171</v>
      </c>
      <c r="B377" t="s">
        <v>361</v>
      </c>
      <c r="C377">
        <v>2019</v>
      </c>
      <c r="D377">
        <v>4</v>
      </c>
      <c r="E377" t="s">
        <v>1175</v>
      </c>
      <c r="F377" t="s">
        <v>362</v>
      </c>
      <c r="G377">
        <v>4.3077209999999999</v>
      </c>
      <c r="H377" s="20">
        <f>IF(AND(A377=A376,F377=F376,F377="Winter wheat"),G377*0.9*'BAU Management details'!$F$46,
IF(AND(OR(A377&lt;&gt;A376,F377&lt;&gt;F376),F377="Winter wheat"),G377*'BAU Management details'!$F$46,
IF(F377="Oilseed Rape",G377*'BAU Management details'!$F$47)))</f>
        <v>37.046400599999998</v>
      </c>
      <c r="I377" t="s">
        <v>348</v>
      </c>
      <c r="J377">
        <v>10</v>
      </c>
      <c r="K377" t="s">
        <v>362</v>
      </c>
      <c r="L377" t="s">
        <v>727</v>
      </c>
      <c r="M377">
        <v>2.7</v>
      </c>
      <c r="N377" t="s">
        <v>349</v>
      </c>
      <c r="O377" t="s">
        <v>742</v>
      </c>
      <c r="P377">
        <v>6.8</v>
      </c>
      <c r="Q377" t="s">
        <v>743</v>
      </c>
      <c r="R377" t="s">
        <v>351</v>
      </c>
      <c r="S377">
        <v>220</v>
      </c>
      <c r="T377" s="47" t="s">
        <v>729</v>
      </c>
      <c r="U377" t="s">
        <v>366</v>
      </c>
      <c r="V377" t="s">
        <v>364</v>
      </c>
      <c r="W377" s="47" t="s">
        <v>736</v>
      </c>
      <c r="X377" s="47">
        <v>0</v>
      </c>
      <c r="Y377" s="47" t="s">
        <v>730</v>
      </c>
      <c r="Z377" s="47">
        <v>0</v>
      </c>
      <c r="AA377" s="47" t="s">
        <v>731</v>
      </c>
      <c r="AB377" s="47">
        <v>0</v>
      </c>
      <c r="AC377" s="47" t="s">
        <v>731</v>
      </c>
      <c r="AD377" s="47" t="s">
        <v>731</v>
      </c>
      <c r="AE377" s="47" t="s">
        <v>731</v>
      </c>
      <c r="AF377" s="47">
        <v>0</v>
      </c>
      <c r="AG377" s="47">
        <v>0</v>
      </c>
      <c r="AH377" s="47">
        <v>0</v>
      </c>
      <c r="AI377" s="47" t="s">
        <v>729</v>
      </c>
      <c r="AJ377">
        <v>1</v>
      </c>
      <c r="AK377">
        <v>100</v>
      </c>
    </row>
    <row r="378" spans="1:37" x14ac:dyDescent="0.2">
      <c r="A378" t="s">
        <v>1171</v>
      </c>
      <c r="B378" t="s">
        <v>361</v>
      </c>
      <c r="C378">
        <v>2020</v>
      </c>
      <c r="D378">
        <v>5</v>
      </c>
      <c r="E378" t="s">
        <v>1176</v>
      </c>
      <c r="F378" t="s">
        <v>362</v>
      </c>
      <c r="G378">
        <v>4.3077209999999999</v>
      </c>
      <c r="H378" s="20">
        <f>IF(AND(A378=A377,F378=F377,F378="Winter wheat"),G378*0.9*'BAU Management details'!$F$46,
IF(AND(OR(A378&lt;&gt;A377,F378&lt;&gt;F377),F378="Winter wheat"),G378*'BAU Management details'!$F$46,
IF(F378="Oilseed Rape",G378*'BAU Management details'!$F$47)))</f>
        <v>33.341760539999996</v>
      </c>
      <c r="I378" t="s">
        <v>348</v>
      </c>
      <c r="J378">
        <v>10</v>
      </c>
      <c r="K378" t="s">
        <v>362</v>
      </c>
      <c r="L378" t="s">
        <v>727</v>
      </c>
      <c r="M378">
        <v>2.7</v>
      </c>
      <c r="N378" t="s">
        <v>349</v>
      </c>
      <c r="O378" t="s">
        <v>742</v>
      </c>
      <c r="P378">
        <v>6.8</v>
      </c>
      <c r="Q378" t="s">
        <v>743</v>
      </c>
      <c r="R378" t="s">
        <v>351</v>
      </c>
      <c r="S378">
        <v>220</v>
      </c>
      <c r="T378" s="47" t="s">
        <v>729</v>
      </c>
      <c r="U378" t="s">
        <v>733</v>
      </c>
      <c r="V378" t="s">
        <v>364</v>
      </c>
      <c r="W378" s="47" t="s">
        <v>736</v>
      </c>
      <c r="X378" s="47">
        <v>0</v>
      </c>
      <c r="Y378" s="47" t="s">
        <v>730</v>
      </c>
      <c r="Z378" s="47">
        <v>0</v>
      </c>
      <c r="AA378" s="47" t="s">
        <v>731</v>
      </c>
      <c r="AB378" s="47">
        <v>0</v>
      </c>
      <c r="AC378" s="47">
        <v>0</v>
      </c>
      <c r="AD378" s="47">
        <v>0</v>
      </c>
      <c r="AE378" s="47" t="s">
        <v>731</v>
      </c>
      <c r="AF378" s="47">
        <v>0</v>
      </c>
      <c r="AG378" s="47">
        <v>0</v>
      </c>
      <c r="AH378" s="47">
        <v>0</v>
      </c>
      <c r="AI378" s="47" t="s">
        <v>729</v>
      </c>
      <c r="AJ378">
        <v>1</v>
      </c>
      <c r="AK378">
        <v>100</v>
      </c>
    </row>
    <row r="379" spans="1:37" x14ac:dyDescent="0.2">
      <c r="A379" t="s">
        <v>1171</v>
      </c>
      <c r="B379" t="s">
        <v>361</v>
      </c>
      <c r="C379">
        <v>2021</v>
      </c>
      <c r="D379">
        <v>6</v>
      </c>
      <c r="E379" t="s">
        <v>1177</v>
      </c>
      <c r="F379" t="s">
        <v>365</v>
      </c>
      <c r="G379">
        <v>4.3077209999999999</v>
      </c>
      <c r="H379" s="20">
        <f>IF(AND(A379=A378,F379=F378,F379="Winter wheat"),G379*0.9*'BAU Management details'!$F$46,
IF(AND(OR(A379&lt;&gt;A378,F379&lt;&gt;F378),F379="Winter wheat"),G379*'BAU Management details'!$F$46,
IF(F379="Oilseed Rape",G379*'BAU Management details'!$F$47)))</f>
        <v>15.077023499999999</v>
      </c>
      <c r="I379" t="s">
        <v>348</v>
      </c>
      <c r="J379">
        <v>10</v>
      </c>
      <c r="K379" t="s">
        <v>532</v>
      </c>
      <c r="L379" t="s">
        <v>727</v>
      </c>
      <c r="M379">
        <v>2.7</v>
      </c>
      <c r="N379" t="s">
        <v>349</v>
      </c>
      <c r="O379" t="s">
        <v>742</v>
      </c>
      <c r="P379">
        <v>6.8</v>
      </c>
      <c r="Q379" t="s">
        <v>743</v>
      </c>
      <c r="R379" t="s">
        <v>351</v>
      </c>
      <c r="S379">
        <v>220</v>
      </c>
      <c r="T379" s="47" t="s">
        <v>735</v>
      </c>
      <c r="U379" t="s">
        <v>368</v>
      </c>
      <c r="V379" t="s">
        <v>364</v>
      </c>
      <c r="W379" s="47" t="s">
        <v>736</v>
      </c>
      <c r="X379" s="47">
        <v>0</v>
      </c>
      <c r="Y379" s="47" t="s">
        <v>736</v>
      </c>
      <c r="Z379" s="47">
        <v>0</v>
      </c>
      <c r="AA379" s="47" t="s">
        <v>736</v>
      </c>
      <c r="AB379" s="47">
        <v>0</v>
      </c>
      <c r="AC379" s="47">
        <v>0</v>
      </c>
      <c r="AD379" s="47">
        <v>0</v>
      </c>
      <c r="AE379" s="47" t="s">
        <v>731</v>
      </c>
      <c r="AF379" s="47">
        <v>0</v>
      </c>
      <c r="AG379" s="47" t="s">
        <v>731</v>
      </c>
      <c r="AH379" s="47">
        <v>0</v>
      </c>
      <c r="AI379" s="47" t="s">
        <v>735</v>
      </c>
      <c r="AJ379">
        <v>1</v>
      </c>
      <c r="AK379">
        <v>100</v>
      </c>
    </row>
    <row r="380" spans="1:37" x14ac:dyDescent="0.2">
      <c r="A380" t="s">
        <v>1178</v>
      </c>
      <c r="B380" t="s">
        <v>361</v>
      </c>
      <c r="C380">
        <v>2016</v>
      </c>
      <c r="D380">
        <v>1</v>
      </c>
      <c r="E380" t="s">
        <v>1179</v>
      </c>
      <c r="F380" t="s">
        <v>362</v>
      </c>
      <c r="G380">
        <v>8.6927830000000004</v>
      </c>
      <c r="H380" s="20">
        <f>IF(AND(A380=A379,F380=F379,F380="Winter wheat"),G380*0.9*'BAU Management details'!$F$46,
IF(AND(OR(A380&lt;&gt;A379,F380&lt;&gt;F379),F380="Winter wheat"),G380*'BAU Management details'!$F$46,
IF(F380="Oilseed Rape",G380*'BAU Management details'!$F$47)))</f>
        <v>74.757933800000004</v>
      </c>
      <c r="I380" t="s">
        <v>348</v>
      </c>
      <c r="J380">
        <v>10</v>
      </c>
      <c r="K380" t="s">
        <v>362</v>
      </c>
      <c r="L380" t="s">
        <v>751</v>
      </c>
      <c r="M380">
        <v>2.5</v>
      </c>
      <c r="N380" t="s">
        <v>349</v>
      </c>
      <c r="O380" t="s">
        <v>350</v>
      </c>
      <c r="P380">
        <v>6.5</v>
      </c>
      <c r="Q380" t="s">
        <v>743</v>
      </c>
      <c r="R380" t="s">
        <v>351</v>
      </c>
      <c r="S380">
        <v>220</v>
      </c>
      <c r="T380" s="47" t="s">
        <v>729</v>
      </c>
      <c r="U380" t="s">
        <v>366</v>
      </c>
      <c r="V380" t="s">
        <v>367</v>
      </c>
      <c r="W380" s="47" t="s">
        <v>736</v>
      </c>
      <c r="X380" s="47">
        <v>0</v>
      </c>
      <c r="Y380" s="47" t="s">
        <v>730</v>
      </c>
      <c r="Z380" s="47">
        <v>0</v>
      </c>
      <c r="AA380" s="47" t="s">
        <v>731</v>
      </c>
      <c r="AB380" s="47">
        <v>0</v>
      </c>
      <c r="AC380" s="47" t="s">
        <v>731</v>
      </c>
      <c r="AD380" s="47" t="s">
        <v>731</v>
      </c>
      <c r="AE380" s="47" t="s">
        <v>731</v>
      </c>
      <c r="AF380" s="47">
        <v>0</v>
      </c>
      <c r="AG380" s="47">
        <v>0</v>
      </c>
      <c r="AH380" s="47">
        <v>0</v>
      </c>
      <c r="AI380" s="47" t="s">
        <v>729</v>
      </c>
      <c r="AJ380">
        <v>1</v>
      </c>
      <c r="AK380">
        <v>100</v>
      </c>
    </row>
    <row r="381" spans="1:37" x14ac:dyDescent="0.2">
      <c r="A381" t="s">
        <v>1178</v>
      </c>
      <c r="B381" t="s">
        <v>361</v>
      </c>
      <c r="C381">
        <v>2017</v>
      </c>
      <c r="D381">
        <v>2</v>
      </c>
      <c r="E381" t="s">
        <v>1180</v>
      </c>
      <c r="F381" t="s">
        <v>362</v>
      </c>
      <c r="G381">
        <v>8.6927830000000004</v>
      </c>
      <c r="H381" s="20">
        <f>IF(AND(A381=A380,F381=F380,F381="Winter wheat"),G381*0.9*'BAU Management details'!$F$46,
IF(AND(OR(A381&lt;&gt;A380,F381&lt;&gt;F380),F381="Winter wheat"),G381*'BAU Management details'!$F$46,
IF(F381="Oilseed Rape",G381*'BAU Management details'!$F$47)))</f>
        <v>67.282140420000005</v>
      </c>
      <c r="I381" t="s">
        <v>348</v>
      </c>
      <c r="J381">
        <v>10</v>
      </c>
      <c r="K381" t="s">
        <v>362</v>
      </c>
      <c r="L381" t="s">
        <v>751</v>
      </c>
      <c r="M381">
        <v>2.5</v>
      </c>
      <c r="N381" t="s">
        <v>349</v>
      </c>
      <c r="O381" t="s">
        <v>350</v>
      </c>
      <c r="P381">
        <v>6.5</v>
      </c>
      <c r="Q381" t="s">
        <v>743</v>
      </c>
      <c r="R381" t="s">
        <v>351</v>
      </c>
      <c r="S381">
        <v>220</v>
      </c>
      <c r="T381" s="47" t="s">
        <v>729</v>
      </c>
      <c r="U381" t="s">
        <v>733</v>
      </c>
      <c r="V381" t="s">
        <v>369</v>
      </c>
      <c r="W381" s="47" t="s">
        <v>736</v>
      </c>
      <c r="X381" s="47">
        <v>0</v>
      </c>
      <c r="Y381" s="47" t="s">
        <v>730</v>
      </c>
      <c r="Z381" s="47">
        <v>0</v>
      </c>
      <c r="AA381" s="47" t="s">
        <v>731</v>
      </c>
      <c r="AB381" s="47">
        <v>0</v>
      </c>
      <c r="AC381" s="47">
        <v>0</v>
      </c>
      <c r="AD381" s="47">
        <v>0</v>
      </c>
      <c r="AE381" s="47" t="s">
        <v>731</v>
      </c>
      <c r="AF381" s="47">
        <v>0</v>
      </c>
      <c r="AG381" s="47">
        <v>0</v>
      </c>
      <c r="AH381" s="47">
        <v>0</v>
      </c>
      <c r="AI381" s="47" t="s">
        <v>729</v>
      </c>
      <c r="AJ381">
        <v>1</v>
      </c>
      <c r="AK381">
        <v>100</v>
      </c>
    </row>
    <row r="382" spans="1:37" x14ac:dyDescent="0.2">
      <c r="A382" t="s">
        <v>1178</v>
      </c>
      <c r="B382" t="s">
        <v>361</v>
      </c>
      <c r="C382">
        <v>2018</v>
      </c>
      <c r="D382">
        <v>3</v>
      </c>
      <c r="E382" t="s">
        <v>1181</v>
      </c>
      <c r="F382" t="s">
        <v>365</v>
      </c>
      <c r="G382">
        <v>8.6927830000000004</v>
      </c>
      <c r="H382" s="20">
        <f>IF(AND(A382=A381,F382=F381,F382="Winter wheat"),G382*0.9*'BAU Management details'!$F$46,
IF(AND(OR(A382&lt;&gt;A381,F382&lt;&gt;F381),F382="Winter wheat"),G382*'BAU Management details'!$F$46,
IF(F382="Oilseed Rape",G382*'BAU Management details'!$F$47)))</f>
        <v>30.424740500000002</v>
      </c>
      <c r="I382" t="s">
        <v>348</v>
      </c>
      <c r="J382">
        <v>10</v>
      </c>
      <c r="K382" t="s">
        <v>532</v>
      </c>
      <c r="L382" t="s">
        <v>751</v>
      </c>
      <c r="M382">
        <v>2.5</v>
      </c>
      <c r="N382" t="s">
        <v>349</v>
      </c>
      <c r="O382" t="s">
        <v>350</v>
      </c>
      <c r="P382">
        <v>6.5</v>
      </c>
      <c r="Q382" t="s">
        <v>743</v>
      </c>
      <c r="R382" t="s">
        <v>351</v>
      </c>
      <c r="S382">
        <v>220</v>
      </c>
      <c r="T382" s="47" t="s">
        <v>735</v>
      </c>
      <c r="U382" t="s">
        <v>368</v>
      </c>
      <c r="V382" t="s">
        <v>364</v>
      </c>
      <c r="W382" s="47" t="s">
        <v>736</v>
      </c>
      <c r="X382" s="47">
        <v>0</v>
      </c>
      <c r="Y382" s="47" t="s">
        <v>736</v>
      </c>
      <c r="Z382" s="47">
        <v>0</v>
      </c>
      <c r="AA382" s="47" t="s">
        <v>736</v>
      </c>
      <c r="AB382" s="47">
        <v>0</v>
      </c>
      <c r="AC382" s="47">
        <v>0</v>
      </c>
      <c r="AD382" s="47">
        <v>0</v>
      </c>
      <c r="AE382" s="47" t="s">
        <v>731</v>
      </c>
      <c r="AF382" s="47">
        <v>0</v>
      </c>
      <c r="AG382" s="47" t="s">
        <v>731</v>
      </c>
      <c r="AH382" s="47">
        <v>0</v>
      </c>
      <c r="AI382" s="47" t="s">
        <v>735</v>
      </c>
      <c r="AJ382">
        <v>1</v>
      </c>
      <c r="AK382">
        <v>100</v>
      </c>
    </row>
    <row r="383" spans="1:37" x14ac:dyDescent="0.2">
      <c r="A383" t="s">
        <v>1178</v>
      </c>
      <c r="B383" t="s">
        <v>361</v>
      </c>
      <c r="C383">
        <v>2019</v>
      </c>
      <c r="D383">
        <v>4</v>
      </c>
      <c r="E383" t="s">
        <v>1182</v>
      </c>
      <c r="F383" t="s">
        <v>362</v>
      </c>
      <c r="G383">
        <v>8.6927830000000004</v>
      </c>
      <c r="H383" s="20">
        <f>IF(AND(A383=A382,F383=F382,F383="Winter wheat"),G383*0.9*'BAU Management details'!$F$46,
IF(AND(OR(A383&lt;&gt;A382,F383&lt;&gt;F382),F383="Winter wheat"),G383*'BAU Management details'!$F$46,
IF(F383="Oilseed Rape",G383*'BAU Management details'!$F$47)))</f>
        <v>74.757933800000004</v>
      </c>
      <c r="I383" t="s">
        <v>348</v>
      </c>
      <c r="J383">
        <v>10</v>
      </c>
      <c r="K383" t="s">
        <v>362</v>
      </c>
      <c r="L383" t="s">
        <v>751</v>
      </c>
      <c r="M383">
        <v>2.5</v>
      </c>
      <c r="N383" t="s">
        <v>349</v>
      </c>
      <c r="O383" t="s">
        <v>350</v>
      </c>
      <c r="P383">
        <v>6.5</v>
      </c>
      <c r="Q383" t="s">
        <v>743</v>
      </c>
      <c r="R383" t="s">
        <v>351</v>
      </c>
      <c r="S383">
        <v>220</v>
      </c>
      <c r="T383" s="47" t="s">
        <v>729</v>
      </c>
      <c r="U383" t="s">
        <v>366</v>
      </c>
      <c r="V383" t="s">
        <v>367</v>
      </c>
      <c r="W383" s="47" t="s">
        <v>736</v>
      </c>
      <c r="X383" s="47">
        <v>0</v>
      </c>
      <c r="Y383" s="47" t="s">
        <v>730</v>
      </c>
      <c r="Z383" s="47">
        <v>0</v>
      </c>
      <c r="AA383" s="47" t="s">
        <v>731</v>
      </c>
      <c r="AB383" s="47">
        <v>0</v>
      </c>
      <c r="AC383" s="47" t="s">
        <v>731</v>
      </c>
      <c r="AD383" s="47" t="s">
        <v>731</v>
      </c>
      <c r="AE383" s="47" t="s">
        <v>731</v>
      </c>
      <c r="AF383" s="47">
        <v>0</v>
      </c>
      <c r="AG383" s="47">
        <v>0</v>
      </c>
      <c r="AH383" s="47">
        <v>0</v>
      </c>
      <c r="AI383" s="47" t="s">
        <v>729</v>
      </c>
      <c r="AJ383">
        <v>1</v>
      </c>
      <c r="AK383">
        <v>100</v>
      </c>
    </row>
    <row r="384" spans="1:37" x14ac:dyDescent="0.2">
      <c r="A384" t="s">
        <v>1178</v>
      </c>
      <c r="B384" t="s">
        <v>361</v>
      </c>
      <c r="C384">
        <v>2020</v>
      </c>
      <c r="D384">
        <v>5</v>
      </c>
      <c r="E384" t="s">
        <v>1183</v>
      </c>
      <c r="F384" t="s">
        <v>362</v>
      </c>
      <c r="G384">
        <v>8.6927830000000004</v>
      </c>
      <c r="H384" s="20">
        <f>IF(AND(A384=A383,F384=F383,F384="Winter wheat"),G384*0.9*'BAU Management details'!$F$46,
IF(AND(OR(A384&lt;&gt;A383,F384&lt;&gt;F383),F384="Winter wheat"),G384*'BAU Management details'!$F$46,
IF(F384="Oilseed Rape",G384*'BAU Management details'!$F$47)))</f>
        <v>67.282140420000005</v>
      </c>
      <c r="I384" t="s">
        <v>348</v>
      </c>
      <c r="J384">
        <v>10</v>
      </c>
      <c r="K384" t="s">
        <v>362</v>
      </c>
      <c r="L384" t="s">
        <v>751</v>
      </c>
      <c r="M384">
        <v>2.5</v>
      </c>
      <c r="N384" t="s">
        <v>349</v>
      </c>
      <c r="O384" t="s">
        <v>350</v>
      </c>
      <c r="P384">
        <v>6.5</v>
      </c>
      <c r="Q384" t="s">
        <v>743</v>
      </c>
      <c r="R384" t="s">
        <v>351</v>
      </c>
      <c r="S384">
        <v>220</v>
      </c>
      <c r="T384" s="47" t="s">
        <v>729</v>
      </c>
      <c r="U384" t="s">
        <v>733</v>
      </c>
      <c r="V384" t="s">
        <v>369</v>
      </c>
      <c r="W384" s="47" t="s">
        <v>736</v>
      </c>
      <c r="X384" s="47">
        <v>0</v>
      </c>
      <c r="Y384" s="47" t="s">
        <v>730</v>
      </c>
      <c r="Z384" s="47">
        <v>0</v>
      </c>
      <c r="AA384" s="47" t="s">
        <v>731</v>
      </c>
      <c r="AB384" s="47">
        <v>0</v>
      </c>
      <c r="AC384" s="47">
        <v>0</v>
      </c>
      <c r="AD384" s="47">
        <v>0</v>
      </c>
      <c r="AE384" s="47" t="s">
        <v>731</v>
      </c>
      <c r="AF384" s="47">
        <v>0</v>
      </c>
      <c r="AG384" s="47">
        <v>0</v>
      </c>
      <c r="AH384" s="47">
        <v>0</v>
      </c>
      <c r="AI384" s="47" t="s">
        <v>729</v>
      </c>
      <c r="AJ384">
        <v>1</v>
      </c>
      <c r="AK384">
        <v>100</v>
      </c>
    </row>
    <row r="385" spans="1:37" x14ac:dyDescent="0.2">
      <c r="A385" t="s">
        <v>1178</v>
      </c>
      <c r="B385" t="s">
        <v>361</v>
      </c>
      <c r="C385">
        <v>2021</v>
      </c>
      <c r="D385">
        <v>6</v>
      </c>
      <c r="E385" t="s">
        <v>1184</v>
      </c>
      <c r="F385" t="s">
        <v>365</v>
      </c>
      <c r="G385">
        <v>8.6927830000000004</v>
      </c>
      <c r="H385" s="20">
        <f>IF(AND(A385=A384,F385=F384,F385="Winter wheat"),G385*0.9*'BAU Management details'!$F$46,
IF(AND(OR(A385&lt;&gt;A384,F385&lt;&gt;F384),F385="Winter wheat"),G385*'BAU Management details'!$F$46,
IF(F385="Oilseed Rape",G385*'BAU Management details'!$F$47)))</f>
        <v>30.424740500000002</v>
      </c>
      <c r="I385" t="s">
        <v>348</v>
      </c>
      <c r="J385">
        <v>10</v>
      </c>
      <c r="K385" t="s">
        <v>532</v>
      </c>
      <c r="L385" t="s">
        <v>751</v>
      </c>
      <c r="M385">
        <v>2.5</v>
      </c>
      <c r="N385" t="s">
        <v>349</v>
      </c>
      <c r="O385" t="s">
        <v>350</v>
      </c>
      <c r="P385">
        <v>6.5</v>
      </c>
      <c r="Q385" t="s">
        <v>743</v>
      </c>
      <c r="R385" t="s">
        <v>351</v>
      </c>
      <c r="S385">
        <v>220</v>
      </c>
      <c r="T385" s="47" t="s">
        <v>735</v>
      </c>
      <c r="U385" t="s">
        <v>368</v>
      </c>
      <c r="V385" t="s">
        <v>364</v>
      </c>
      <c r="W385" s="47" t="s">
        <v>736</v>
      </c>
      <c r="X385" s="47">
        <v>0</v>
      </c>
      <c r="Y385" s="47" t="s">
        <v>736</v>
      </c>
      <c r="Z385" s="47">
        <v>0</v>
      </c>
      <c r="AA385" s="47" t="s">
        <v>736</v>
      </c>
      <c r="AB385" s="47">
        <v>0</v>
      </c>
      <c r="AC385" s="47">
        <v>0</v>
      </c>
      <c r="AD385" s="47">
        <v>0</v>
      </c>
      <c r="AE385" s="47" t="s">
        <v>731</v>
      </c>
      <c r="AF385" s="47">
        <v>0</v>
      </c>
      <c r="AG385" s="47" t="s">
        <v>731</v>
      </c>
      <c r="AH385" s="47">
        <v>0</v>
      </c>
      <c r="AI385" s="47" t="s">
        <v>735</v>
      </c>
      <c r="AJ385">
        <v>1</v>
      </c>
      <c r="AK385">
        <v>100</v>
      </c>
    </row>
    <row r="386" spans="1:37" x14ac:dyDescent="0.2">
      <c r="A386" t="s">
        <v>1185</v>
      </c>
      <c r="B386" t="s">
        <v>361</v>
      </c>
      <c r="C386">
        <v>2016</v>
      </c>
      <c r="D386">
        <v>1</v>
      </c>
      <c r="E386" t="s">
        <v>1186</v>
      </c>
      <c r="F386" t="s">
        <v>362</v>
      </c>
      <c r="G386">
        <v>3.1162640000000001</v>
      </c>
      <c r="H386" s="20">
        <f>IF(AND(A386=A385,F386=F385,F386="Winter wheat"),G386*0.9*'BAU Management details'!$F$46,
IF(AND(OR(A386&lt;&gt;A385,F386&lt;&gt;F385),F386="Winter wheat"),G386*'BAU Management details'!$F$46,
IF(F386="Oilseed Rape",G386*'BAU Management details'!$F$47)))</f>
        <v>26.7998704</v>
      </c>
      <c r="I386" t="s">
        <v>348</v>
      </c>
      <c r="J386">
        <v>10</v>
      </c>
      <c r="K386" t="s">
        <v>362</v>
      </c>
      <c r="L386" t="s">
        <v>751</v>
      </c>
      <c r="M386">
        <v>2.5</v>
      </c>
      <c r="N386" t="s">
        <v>349</v>
      </c>
      <c r="O386" t="s">
        <v>350</v>
      </c>
      <c r="P386">
        <v>6.5</v>
      </c>
      <c r="Q386" t="s">
        <v>743</v>
      </c>
      <c r="R386" t="s">
        <v>351</v>
      </c>
      <c r="S386">
        <v>220</v>
      </c>
      <c r="T386" s="47" t="s">
        <v>729</v>
      </c>
      <c r="U386" t="s">
        <v>366</v>
      </c>
      <c r="V386" t="s">
        <v>367</v>
      </c>
      <c r="W386" s="47" t="s">
        <v>736</v>
      </c>
      <c r="X386" s="47">
        <v>0</v>
      </c>
      <c r="Y386" s="47" t="s">
        <v>730</v>
      </c>
      <c r="Z386" s="47">
        <v>0</v>
      </c>
      <c r="AA386" s="47" t="s">
        <v>731</v>
      </c>
      <c r="AB386" s="47">
        <v>0</v>
      </c>
      <c r="AC386" s="47" t="s">
        <v>731</v>
      </c>
      <c r="AD386" s="47" t="s">
        <v>731</v>
      </c>
      <c r="AE386" s="47" t="s">
        <v>731</v>
      </c>
      <c r="AF386" s="47">
        <v>0</v>
      </c>
      <c r="AG386" s="47">
        <v>0</v>
      </c>
      <c r="AH386" s="47">
        <v>0</v>
      </c>
      <c r="AI386" s="47" t="s">
        <v>729</v>
      </c>
      <c r="AJ386">
        <v>1</v>
      </c>
      <c r="AK386">
        <v>100</v>
      </c>
    </row>
    <row r="387" spans="1:37" x14ac:dyDescent="0.2">
      <c r="A387" t="s">
        <v>1185</v>
      </c>
      <c r="B387" t="s">
        <v>361</v>
      </c>
      <c r="C387">
        <v>2017</v>
      </c>
      <c r="D387">
        <v>2</v>
      </c>
      <c r="E387" t="s">
        <v>1187</v>
      </c>
      <c r="F387" t="s">
        <v>362</v>
      </c>
      <c r="G387">
        <v>3.1162640000000001</v>
      </c>
      <c r="H387" s="20">
        <f>IF(AND(A387=A386,F387=F386,F387="Winter wheat"),G387*0.9*'BAU Management details'!$F$46,
IF(AND(OR(A387&lt;&gt;A386,F387&lt;&gt;F386),F387="Winter wheat"),G387*'BAU Management details'!$F$46,
IF(F387="Oilseed Rape",G387*'BAU Management details'!$F$47)))</f>
        <v>24.119883360000003</v>
      </c>
      <c r="I387" t="s">
        <v>348</v>
      </c>
      <c r="J387">
        <v>10</v>
      </c>
      <c r="K387" t="s">
        <v>362</v>
      </c>
      <c r="L387" t="s">
        <v>751</v>
      </c>
      <c r="M387">
        <v>2.5</v>
      </c>
      <c r="N387" t="s">
        <v>349</v>
      </c>
      <c r="O387" t="s">
        <v>350</v>
      </c>
      <c r="P387">
        <v>6.5</v>
      </c>
      <c r="Q387" t="s">
        <v>743</v>
      </c>
      <c r="R387" t="s">
        <v>351</v>
      </c>
      <c r="S387">
        <v>220</v>
      </c>
      <c r="T387" s="47" t="s">
        <v>729</v>
      </c>
      <c r="U387" t="s">
        <v>733</v>
      </c>
      <c r="V387" t="s">
        <v>369</v>
      </c>
      <c r="W387" s="47" t="s">
        <v>736</v>
      </c>
      <c r="X387" s="47">
        <v>0</v>
      </c>
      <c r="Y387" s="47" t="s">
        <v>730</v>
      </c>
      <c r="Z387" s="47">
        <v>0</v>
      </c>
      <c r="AA387" s="47" t="s">
        <v>731</v>
      </c>
      <c r="AB387" s="47">
        <v>0</v>
      </c>
      <c r="AC387" s="47">
        <v>0</v>
      </c>
      <c r="AD387" s="47">
        <v>0</v>
      </c>
      <c r="AE387" s="47" t="s">
        <v>731</v>
      </c>
      <c r="AF387" s="47">
        <v>0</v>
      </c>
      <c r="AG387" s="47">
        <v>0</v>
      </c>
      <c r="AH387" s="47">
        <v>0</v>
      </c>
      <c r="AI387" s="47" t="s">
        <v>729</v>
      </c>
      <c r="AJ387">
        <v>1</v>
      </c>
      <c r="AK387">
        <v>100</v>
      </c>
    </row>
    <row r="388" spans="1:37" x14ac:dyDescent="0.2">
      <c r="A388" t="s">
        <v>1185</v>
      </c>
      <c r="B388" t="s">
        <v>361</v>
      </c>
      <c r="C388">
        <v>2018</v>
      </c>
      <c r="D388">
        <v>3</v>
      </c>
      <c r="E388" t="s">
        <v>1188</v>
      </c>
      <c r="F388" t="s">
        <v>365</v>
      </c>
      <c r="G388">
        <v>3.1162640000000001</v>
      </c>
      <c r="H388" s="20">
        <f>IF(AND(A388=A387,F388=F387,F388="Winter wheat"),G388*0.9*'BAU Management details'!$F$46,
IF(AND(OR(A388&lt;&gt;A387,F388&lt;&gt;F387),F388="Winter wheat"),G388*'BAU Management details'!$F$46,
IF(F388="Oilseed Rape",G388*'BAU Management details'!$F$47)))</f>
        <v>10.906924</v>
      </c>
      <c r="I388" t="s">
        <v>348</v>
      </c>
      <c r="J388">
        <v>10</v>
      </c>
      <c r="K388" t="s">
        <v>532</v>
      </c>
      <c r="L388" t="s">
        <v>751</v>
      </c>
      <c r="M388">
        <v>2.5</v>
      </c>
      <c r="N388" t="s">
        <v>349</v>
      </c>
      <c r="O388" t="s">
        <v>350</v>
      </c>
      <c r="P388">
        <v>6.5</v>
      </c>
      <c r="Q388" t="s">
        <v>743</v>
      </c>
      <c r="R388" t="s">
        <v>351</v>
      </c>
      <c r="S388">
        <v>220</v>
      </c>
      <c r="T388" s="47" t="s">
        <v>735</v>
      </c>
      <c r="U388" t="s">
        <v>368</v>
      </c>
      <c r="V388" t="s">
        <v>364</v>
      </c>
      <c r="W388" s="47" t="s">
        <v>736</v>
      </c>
      <c r="X388" s="47">
        <v>0</v>
      </c>
      <c r="Y388" s="47" t="s">
        <v>736</v>
      </c>
      <c r="Z388" s="47">
        <v>0</v>
      </c>
      <c r="AA388" s="47" t="s">
        <v>736</v>
      </c>
      <c r="AB388" s="47">
        <v>0</v>
      </c>
      <c r="AC388" s="47">
        <v>0</v>
      </c>
      <c r="AD388" s="47">
        <v>0</v>
      </c>
      <c r="AE388" s="47" t="s">
        <v>731</v>
      </c>
      <c r="AF388" s="47">
        <v>0</v>
      </c>
      <c r="AG388" s="47" t="s">
        <v>731</v>
      </c>
      <c r="AH388" s="47">
        <v>0</v>
      </c>
      <c r="AI388" s="47" t="s">
        <v>735</v>
      </c>
      <c r="AJ388">
        <v>1</v>
      </c>
      <c r="AK388">
        <v>100</v>
      </c>
    </row>
    <row r="389" spans="1:37" x14ac:dyDescent="0.2">
      <c r="A389" t="s">
        <v>1185</v>
      </c>
      <c r="B389" t="s">
        <v>361</v>
      </c>
      <c r="C389">
        <v>2019</v>
      </c>
      <c r="D389">
        <v>4</v>
      </c>
      <c r="E389" t="s">
        <v>1189</v>
      </c>
      <c r="F389" t="s">
        <v>362</v>
      </c>
      <c r="G389">
        <v>3.1162640000000001</v>
      </c>
      <c r="H389" s="20">
        <f>IF(AND(A389=A388,F389=F388,F389="Winter wheat"),G389*0.9*'BAU Management details'!$F$46,
IF(AND(OR(A389&lt;&gt;A388,F389&lt;&gt;F388),F389="Winter wheat"),G389*'BAU Management details'!$F$46,
IF(F389="Oilseed Rape",G389*'BAU Management details'!$F$47)))</f>
        <v>26.7998704</v>
      </c>
      <c r="I389" t="s">
        <v>348</v>
      </c>
      <c r="J389">
        <v>10</v>
      </c>
      <c r="K389" t="s">
        <v>362</v>
      </c>
      <c r="L389" t="s">
        <v>751</v>
      </c>
      <c r="M389">
        <v>2.5</v>
      </c>
      <c r="N389" t="s">
        <v>349</v>
      </c>
      <c r="O389" t="s">
        <v>350</v>
      </c>
      <c r="P389">
        <v>6.5</v>
      </c>
      <c r="Q389" t="s">
        <v>743</v>
      </c>
      <c r="R389" t="s">
        <v>351</v>
      </c>
      <c r="S389">
        <v>220</v>
      </c>
      <c r="T389" s="47" t="s">
        <v>729</v>
      </c>
      <c r="U389" t="s">
        <v>366</v>
      </c>
      <c r="V389" t="s">
        <v>367</v>
      </c>
      <c r="W389" s="47" t="s">
        <v>736</v>
      </c>
      <c r="X389" s="47">
        <v>0</v>
      </c>
      <c r="Y389" s="47" t="s">
        <v>730</v>
      </c>
      <c r="Z389" s="47">
        <v>0</v>
      </c>
      <c r="AA389" s="47" t="s">
        <v>731</v>
      </c>
      <c r="AB389" s="47">
        <v>0</v>
      </c>
      <c r="AC389" s="47" t="s">
        <v>731</v>
      </c>
      <c r="AD389" s="47" t="s">
        <v>731</v>
      </c>
      <c r="AE389" s="47" t="s">
        <v>731</v>
      </c>
      <c r="AF389" s="47">
        <v>0</v>
      </c>
      <c r="AG389" s="47">
        <v>0</v>
      </c>
      <c r="AH389" s="47">
        <v>0</v>
      </c>
      <c r="AI389" s="47" t="s">
        <v>729</v>
      </c>
      <c r="AJ389">
        <v>1</v>
      </c>
      <c r="AK389">
        <v>100</v>
      </c>
    </row>
    <row r="390" spans="1:37" x14ac:dyDescent="0.2">
      <c r="A390" t="s">
        <v>1185</v>
      </c>
      <c r="B390" t="s">
        <v>361</v>
      </c>
      <c r="C390">
        <v>2020</v>
      </c>
      <c r="D390">
        <v>5</v>
      </c>
      <c r="E390" t="s">
        <v>1190</v>
      </c>
      <c r="F390" t="s">
        <v>362</v>
      </c>
      <c r="G390">
        <v>3.1162640000000001</v>
      </c>
      <c r="H390" s="20">
        <f>IF(AND(A390=A389,F390=F389,F390="Winter wheat"),G390*0.9*'BAU Management details'!$F$46,
IF(AND(OR(A390&lt;&gt;A389,F390&lt;&gt;F389),F390="Winter wheat"),G390*'BAU Management details'!$F$46,
IF(F390="Oilseed Rape",G390*'BAU Management details'!$F$47)))</f>
        <v>24.119883360000003</v>
      </c>
      <c r="I390" t="s">
        <v>348</v>
      </c>
      <c r="J390">
        <v>10</v>
      </c>
      <c r="K390" t="s">
        <v>362</v>
      </c>
      <c r="L390" t="s">
        <v>751</v>
      </c>
      <c r="M390">
        <v>2.5</v>
      </c>
      <c r="N390" t="s">
        <v>349</v>
      </c>
      <c r="O390" t="s">
        <v>350</v>
      </c>
      <c r="P390">
        <v>6.5</v>
      </c>
      <c r="Q390" t="s">
        <v>743</v>
      </c>
      <c r="R390" t="s">
        <v>351</v>
      </c>
      <c r="S390">
        <v>220</v>
      </c>
      <c r="T390" s="47" t="s">
        <v>729</v>
      </c>
      <c r="U390" t="s">
        <v>733</v>
      </c>
      <c r="V390" t="s">
        <v>369</v>
      </c>
      <c r="W390" s="47" t="s">
        <v>736</v>
      </c>
      <c r="X390" s="47">
        <v>0</v>
      </c>
      <c r="Y390" s="47" t="s">
        <v>730</v>
      </c>
      <c r="Z390" s="47">
        <v>0</v>
      </c>
      <c r="AA390" s="47" t="s">
        <v>731</v>
      </c>
      <c r="AB390" s="47">
        <v>0</v>
      </c>
      <c r="AC390" s="47">
        <v>0</v>
      </c>
      <c r="AD390" s="47">
        <v>0</v>
      </c>
      <c r="AE390" s="47" t="s">
        <v>731</v>
      </c>
      <c r="AF390" s="47">
        <v>0</v>
      </c>
      <c r="AG390" s="47">
        <v>0</v>
      </c>
      <c r="AH390" s="47">
        <v>0</v>
      </c>
      <c r="AI390" s="47" t="s">
        <v>729</v>
      </c>
      <c r="AJ390">
        <v>1</v>
      </c>
      <c r="AK390">
        <v>100</v>
      </c>
    </row>
    <row r="391" spans="1:37" x14ac:dyDescent="0.2">
      <c r="A391" t="s">
        <v>1185</v>
      </c>
      <c r="B391" t="s">
        <v>361</v>
      </c>
      <c r="C391">
        <v>2021</v>
      </c>
      <c r="D391">
        <v>6</v>
      </c>
      <c r="E391" t="s">
        <v>1191</v>
      </c>
      <c r="F391" t="s">
        <v>365</v>
      </c>
      <c r="G391">
        <v>3.1162640000000001</v>
      </c>
      <c r="H391" s="20">
        <f>IF(AND(A391=A390,F391=F390,F391="Winter wheat"),G391*0.9*'BAU Management details'!$F$46,
IF(AND(OR(A391&lt;&gt;A390,F391&lt;&gt;F390),F391="Winter wheat"),G391*'BAU Management details'!$F$46,
IF(F391="Oilseed Rape",G391*'BAU Management details'!$F$47)))</f>
        <v>10.906924</v>
      </c>
      <c r="I391" t="s">
        <v>348</v>
      </c>
      <c r="J391">
        <v>10</v>
      </c>
      <c r="K391" t="s">
        <v>532</v>
      </c>
      <c r="L391" t="s">
        <v>751</v>
      </c>
      <c r="M391">
        <v>2.5</v>
      </c>
      <c r="N391" t="s">
        <v>349</v>
      </c>
      <c r="O391" t="s">
        <v>350</v>
      </c>
      <c r="P391">
        <v>6.5</v>
      </c>
      <c r="Q391" t="s">
        <v>743</v>
      </c>
      <c r="R391" t="s">
        <v>351</v>
      </c>
      <c r="S391">
        <v>220</v>
      </c>
      <c r="T391" s="47" t="s">
        <v>735</v>
      </c>
      <c r="U391" t="s">
        <v>368</v>
      </c>
      <c r="V391" t="s">
        <v>364</v>
      </c>
      <c r="W391" s="47" t="s">
        <v>736</v>
      </c>
      <c r="X391" s="47">
        <v>0</v>
      </c>
      <c r="Y391" s="47" t="s">
        <v>736</v>
      </c>
      <c r="Z391" s="47">
        <v>0</v>
      </c>
      <c r="AA391" s="47" t="s">
        <v>736</v>
      </c>
      <c r="AB391" s="47">
        <v>0</v>
      </c>
      <c r="AC391" s="47">
        <v>0</v>
      </c>
      <c r="AD391" s="47">
        <v>0</v>
      </c>
      <c r="AE391" s="47" t="s">
        <v>731</v>
      </c>
      <c r="AF391" s="47">
        <v>0</v>
      </c>
      <c r="AG391" s="47" t="s">
        <v>731</v>
      </c>
      <c r="AH391" s="47">
        <v>0</v>
      </c>
      <c r="AI391" s="47" t="s">
        <v>735</v>
      </c>
      <c r="AJ391">
        <v>1</v>
      </c>
      <c r="AK391">
        <v>100</v>
      </c>
    </row>
    <row r="392" spans="1:37" x14ac:dyDescent="0.2">
      <c r="A392" t="s">
        <v>1192</v>
      </c>
      <c r="B392" t="s">
        <v>361</v>
      </c>
      <c r="C392">
        <v>2016</v>
      </c>
      <c r="D392">
        <v>1</v>
      </c>
      <c r="E392" t="s">
        <v>1193</v>
      </c>
      <c r="F392" t="s">
        <v>362</v>
      </c>
      <c r="G392">
        <v>8.0466899999999999</v>
      </c>
      <c r="H392" s="20">
        <f>IF(AND(A392=A391,F392=F391,F392="Winter wheat"),G392*0.9*'BAU Management details'!$F$46,
IF(AND(OR(A392&lt;&gt;A391,F392&lt;&gt;F391),F392="Winter wheat"),G392*'BAU Management details'!$F$46,
IF(F392="Oilseed Rape",G392*'BAU Management details'!$F$47)))</f>
        <v>69.201533999999995</v>
      </c>
      <c r="I392" t="s">
        <v>348</v>
      </c>
      <c r="J392">
        <v>10</v>
      </c>
      <c r="K392" t="s">
        <v>362</v>
      </c>
      <c r="L392" t="s">
        <v>787</v>
      </c>
      <c r="M392">
        <v>6.2</v>
      </c>
      <c r="N392" t="s">
        <v>349</v>
      </c>
      <c r="O392" t="s">
        <v>350</v>
      </c>
      <c r="P392">
        <v>6.4</v>
      </c>
      <c r="Q392" t="s">
        <v>743</v>
      </c>
      <c r="R392" t="s">
        <v>351</v>
      </c>
      <c r="S392">
        <v>220</v>
      </c>
      <c r="T392" s="47" t="s">
        <v>729</v>
      </c>
      <c r="U392" t="s">
        <v>366</v>
      </c>
      <c r="V392" t="s">
        <v>364</v>
      </c>
      <c r="W392" s="47" t="s">
        <v>736</v>
      </c>
      <c r="X392" s="47">
        <v>0</v>
      </c>
      <c r="Y392" s="47" t="s">
        <v>730</v>
      </c>
      <c r="Z392" s="47">
        <v>0</v>
      </c>
      <c r="AA392" s="47" t="s">
        <v>731</v>
      </c>
      <c r="AB392" s="47">
        <v>0</v>
      </c>
      <c r="AC392" s="47" t="s">
        <v>731</v>
      </c>
      <c r="AD392" s="47" t="s">
        <v>731</v>
      </c>
      <c r="AE392" s="47" t="s">
        <v>731</v>
      </c>
      <c r="AF392" s="47">
        <v>0</v>
      </c>
      <c r="AG392" s="47">
        <v>0</v>
      </c>
      <c r="AH392" s="47">
        <v>0</v>
      </c>
      <c r="AI392" s="47" t="s">
        <v>729</v>
      </c>
      <c r="AJ392">
        <v>1</v>
      </c>
      <c r="AK392">
        <v>100</v>
      </c>
    </row>
    <row r="393" spans="1:37" x14ac:dyDescent="0.2">
      <c r="A393" t="s">
        <v>1192</v>
      </c>
      <c r="B393" t="s">
        <v>361</v>
      </c>
      <c r="C393">
        <v>2017</v>
      </c>
      <c r="D393">
        <v>2</v>
      </c>
      <c r="E393" t="s">
        <v>1194</v>
      </c>
      <c r="F393" t="s">
        <v>362</v>
      </c>
      <c r="G393">
        <v>8.0466899999999999</v>
      </c>
      <c r="H393" s="20">
        <f>IF(AND(A393=A392,F393=F392,F393="Winter wheat"),G393*0.9*'BAU Management details'!$F$46,
IF(AND(OR(A393&lt;&gt;A392,F393&lt;&gt;F392),F393="Winter wheat"),G393*'BAU Management details'!$F$46,
IF(F393="Oilseed Rape",G393*'BAU Management details'!$F$47)))</f>
        <v>62.281380599999999</v>
      </c>
      <c r="I393" t="s">
        <v>348</v>
      </c>
      <c r="J393">
        <v>10</v>
      </c>
      <c r="K393" t="s">
        <v>362</v>
      </c>
      <c r="L393" t="s">
        <v>787</v>
      </c>
      <c r="M393">
        <v>6.2</v>
      </c>
      <c r="N393" t="s">
        <v>349</v>
      </c>
      <c r="O393" t="s">
        <v>350</v>
      </c>
      <c r="P393">
        <v>6.4</v>
      </c>
      <c r="Q393" t="s">
        <v>743</v>
      </c>
      <c r="R393" t="s">
        <v>351</v>
      </c>
      <c r="S393">
        <v>220</v>
      </c>
      <c r="T393" s="47" t="s">
        <v>729</v>
      </c>
      <c r="U393" t="s">
        <v>733</v>
      </c>
      <c r="V393" t="s">
        <v>364</v>
      </c>
      <c r="W393" s="47" t="s">
        <v>736</v>
      </c>
      <c r="X393" s="47">
        <v>0</v>
      </c>
      <c r="Y393" s="47" t="s">
        <v>730</v>
      </c>
      <c r="Z393" s="47">
        <v>0</v>
      </c>
      <c r="AA393" s="47" t="s">
        <v>731</v>
      </c>
      <c r="AB393" s="47">
        <v>0</v>
      </c>
      <c r="AC393" s="47">
        <v>0</v>
      </c>
      <c r="AD393" s="47">
        <v>0</v>
      </c>
      <c r="AE393" s="47" t="s">
        <v>731</v>
      </c>
      <c r="AF393" s="47">
        <v>0</v>
      </c>
      <c r="AG393" s="47">
        <v>0</v>
      </c>
      <c r="AH393" s="47">
        <v>0</v>
      </c>
      <c r="AI393" s="47" t="s">
        <v>729</v>
      </c>
      <c r="AJ393">
        <v>1</v>
      </c>
      <c r="AK393">
        <v>100</v>
      </c>
    </row>
    <row r="394" spans="1:37" x14ac:dyDescent="0.2">
      <c r="A394" t="s">
        <v>1192</v>
      </c>
      <c r="B394" t="s">
        <v>361</v>
      </c>
      <c r="C394">
        <v>2018</v>
      </c>
      <c r="D394">
        <v>3</v>
      </c>
      <c r="E394" t="s">
        <v>1195</v>
      </c>
      <c r="F394" t="s">
        <v>365</v>
      </c>
      <c r="G394">
        <v>8.0466899999999999</v>
      </c>
      <c r="H394" s="20">
        <f>IF(AND(A394=A393,F394=F393,F394="Winter wheat"),G394*0.9*'BAU Management details'!$F$46,
IF(AND(OR(A394&lt;&gt;A393,F394&lt;&gt;F393),F394="Winter wheat"),G394*'BAU Management details'!$F$46,
IF(F394="Oilseed Rape",G394*'BAU Management details'!$F$47)))</f>
        <v>28.163415000000001</v>
      </c>
      <c r="I394" t="s">
        <v>348</v>
      </c>
      <c r="J394">
        <v>10</v>
      </c>
      <c r="K394" t="s">
        <v>532</v>
      </c>
      <c r="L394" t="s">
        <v>787</v>
      </c>
      <c r="M394">
        <v>6.2</v>
      </c>
      <c r="N394" t="s">
        <v>349</v>
      </c>
      <c r="O394" t="s">
        <v>350</v>
      </c>
      <c r="P394">
        <v>6.4</v>
      </c>
      <c r="Q394" t="s">
        <v>743</v>
      </c>
      <c r="R394" t="s">
        <v>351</v>
      </c>
      <c r="S394">
        <v>220</v>
      </c>
      <c r="T394" s="47" t="s">
        <v>735</v>
      </c>
      <c r="U394" t="s">
        <v>368</v>
      </c>
      <c r="V394" t="s">
        <v>364</v>
      </c>
      <c r="W394" s="47" t="s">
        <v>736</v>
      </c>
      <c r="X394" s="47">
        <v>0</v>
      </c>
      <c r="Y394" s="47" t="s">
        <v>736</v>
      </c>
      <c r="Z394" s="47">
        <v>0</v>
      </c>
      <c r="AA394" s="47" t="s">
        <v>736</v>
      </c>
      <c r="AB394" s="47">
        <v>0</v>
      </c>
      <c r="AC394" s="47">
        <v>0</v>
      </c>
      <c r="AD394" s="47">
        <v>0</v>
      </c>
      <c r="AE394" s="47" t="s">
        <v>731</v>
      </c>
      <c r="AF394" s="47">
        <v>0</v>
      </c>
      <c r="AG394" s="47" t="s">
        <v>731</v>
      </c>
      <c r="AH394" s="47">
        <v>0</v>
      </c>
      <c r="AI394" s="47" t="s">
        <v>735</v>
      </c>
      <c r="AJ394">
        <v>1</v>
      </c>
      <c r="AK394">
        <v>100</v>
      </c>
    </row>
    <row r="395" spans="1:37" x14ac:dyDescent="0.2">
      <c r="A395" t="s">
        <v>1192</v>
      </c>
      <c r="B395" t="s">
        <v>361</v>
      </c>
      <c r="C395">
        <v>2019</v>
      </c>
      <c r="D395">
        <v>4</v>
      </c>
      <c r="E395" t="s">
        <v>1196</v>
      </c>
      <c r="F395" t="s">
        <v>362</v>
      </c>
      <c r="G395">
        <v>8.0466899999999999</v>
      </c>
      <c r="H395" s="20">
        <f>IF(AND(A395=A394,F395=F394,F395="Winter wheat"),G395*0.9*'BAU Management details'!$F$46,
IF(AND(OR(A395&lt;&gt;A394,F395&lt;&gt;F394),F395="Winter wheat"),G395*'BAU Management details'!$F$46,
IF(F395="Oilseed Rape",G395*'BAU Management details'!$F$47)))</f>
        <v>69.201533999999995</v>
      </c>
      <c r="I395" t="s">
        <v>348</v>
      </c>
      <c r="J395">
        <v>10</v>
      </c>
      <c r="K395" t="s">
        <v>362</v>
      </c>
      <c r="L395" t="s">
        <v>787</v>
      </c>
      <c r="M395">
        <v>6.2</v>
      </c>
      <c r="N395" t="s">
        <v>349</v>
      </c>
      <c r="O395" t="s">
        <v>350</v>
      </c>
      <c r="P395">
        <v>6.4</v>
      </c>
      <c r="Q395" t="s">
        <v>743</v>
      </c>
      <c r="R395" t="s">
        <v>351</v>
      </c>
      <c r="S395">
        <v>220</v>
      </c>
      <c r="T395" s="47" t="s">
        <v>729</v>
      </c>
      <c r="U395" t="s">
        <v>366</v>
      </c>
      <c r="V395" t="s">
        <v>364</v>
      </c>
      <c r="W395" s="47" t="s">
        <v>736</v>
      </c>
      <c r="X395" s="47">
        <v>0</v>
      </c>
      <c r="Y395" s="47" t="s">
        <v>730</v>
      </c>
      <c r="Z395" s="47">
        <v>0</v>
      </c>
      <c r="AA395" s="47" t="s">
        <v>731</v>
      </c>
      <c r="AB395" s="47">
        <v>0</v>
      </c>
      <c r="AC395" s="47" t="s">
        <v>731</v>
      </c>
      <c r="AD395" s="47" t="s">
        <v>731</v>
      </c>
      <c r="AE395" s="47" t="s">
        <v>731</v>
      </c>
      <c r="AF395" s="47">
        <v>0</v>
      </c>
      <c r="AG395" s="47">
        <v>0</v>
      </c>
      <c r="AH395" s="47">
        <v>0</v>
      </c>
      <c r="AI395" s="47" t="s">
        <v>729</v>
      </c>
      <c r="AJ395">
        <v>1</v>
      </c>
      <c r="AK395">
        <v>100</v>
      </c>
    </row>
    <row r="396" spans="1:37" x14ac:dyDescent="0.2">
      <c r="A396" t="s">
        <v>1192</v>
      </c>
      <c r="B396" t="s">
        <v>361</v>
      </c>
      <c r="C396">
        <v>2020</v>
      </c>
      <c r="D396">
        <v>5</v>
      </c>
      <c r="E396" t="s">
        <v>1197</v>
      </c>
      <c r="F396" t="s">
        <v>362</v>
      </c>
      <c r="G396">
        <v>8.0466899999999999</v>
      </c>
      <c r="H396" s="20">
        <f>IF(AND(A396=A395,F396=F395,F396="Winter wheat"),G396*0.9*'BAU Management details'!$F$46,
IF(AND(OR(A396&lt;&gt;A395,F396&lt;&gt;F395),F396="Winter wheat"),G396*'BAU Management details'!$F$46,
IF(F396="Oilseed Rape",G396*'BAU Management details'!$F$47)))</f>
        <v>62.281380599999999</v>
      </c>
      <c r="I396" t="s">
        <v>348</v>
      </c>
      <c r="J396">
        <v>10</v>
      </c>
      <c r="K396" t="s">
        <v>362</v>
      </c>
      <c r="L396" t="s">
        <v>787</v>
      </c>
      <c r="M396">
        <v>6.2</v>
      </c>
      <c r="N396" t="s">
        <v>349</v>
      </c>
      <c r="O396" t="s">
        <v>350</v>
      </c>
      <c r="P396">
        <v>6.4</v>
      </c>
      <c r="Q396" t="s">
        <v>743</v>
      </c>
      <c r="R396" t="s">
        <v>351</v>
      </c>
      <c r="S396">
        <v>220</v>
      </c>
      <c r="T396" s="47" t="s">
        <v>729</v>
      </c>
      <c r="U396" t="s">
        <v>733</v>
      </c>
      <c r="V396" t="s">
        <v>364</v>
      </c>
      <c r="W396" s="47" t="s">
        <v>736</v>
      </c>
      <c r="X396" s="47">
        <v>0</v>
      </c>
      <c r="Y396" s="47" t="s">
        <v>730</v>
      </c>
      <c r="Z396" s="47">
        <v>0</v>
      </c>
      <c r="AA396" s="47" t="s">
        <v>731</v>
      </c>
      <c r="AB396" s="47">
        <v>0</v>
      </c>
      <c r="AC396" s="47">
        <v>0</v>
      </c>
      <c r="AD396" s="47">
        <v>0</v>
      </c>
      <c r="AE396" s="47" t="s">
        <v>731</v>
      </c>
      <c r="AF396" s="47">
        <v>0</v>
      </c>
      <c r="AG396" s="47">
        <v>0</v>
      </c>
      <c r="AH396" s="47">
        <v>0</v>
      </c>
      <c r="AI396" s="47" t="s">
        <v>729</v>
      </c>
      <c r="AJ396">
        <v>1</v>
      </c>
      <c r="AK396">
        <v>100</v>
      </c>
    </row>
    <row r="397" spans="1:37" x14ac:dyDescent="0.2">
      <c r="A397" t="s">
        <v>1192</v>
      </c>
      <c r="B397" t="s">
        <v>361</v>
      </c>
      <c r="C397">
        <v>2021</v>
      </c>
      <c r="D397">
        <v>6</v>
      </c>
      <c r="E397" t="s">
        <v>1198</v>
      </c>
      <c r="F397" t="s">
        <v>365</v>
      </c>
      <c r="G397">
        <v>8.0466899999999999</v>
      </c>
      <c r="H397" s="20">
        <f>IF(AND(A397=A396,F397=F396,F397="Winter wheat"),G397*0.9*'BAU Management details'!$F$46,
IF(AND(OR(A397&lt;&gt;A396,F397&lt;&gt;F396),F397="Winter wheat"),G397*'BAU Management details'!$F$46,
IF(F397="Oilseed Rape",G397*'BAU Management details'!$F$47)))</f>
        <v>28.163415000000001</v>
      </c>
      <c r="I397" t="s">
        <v>348</v>
      </c>
      <c r="J397">
        <v>10</v>
      </c>
      <c r="K397" t="s">
        <v>532</v>
      </c>
      <c r="L397" t="s">
        <v>787</v>
      </c>
      <c r="M397">
        <v>6.2</v>
      </c>
      <c r="N397" t="s">
        <v>349</v>
      </c>
      <c r="O397" t="s">
        <v>350</v>
      </c>
      <c r="P397">
        <v>6.4</v>
      </c>
      <c r="Q397" t="s">
        <v>743</v>
      </c>
      <c r="R397" t="s">
        <v>351</v>
      </c>
      <c r="S397">
        <v>220</v>
      </c>
      <c r="T397" s="47" t="s">
        <v>735</v>
      </c>
      <c r="U397" t="s">
        <v>368</v>
      </c>
      <c r="V397" t="s">
        <v>364</v>
      </c>
      <c r="W397" s="47" t="s">
        <v>736</v>
      </c>
      <c r="X397" s="47">
        <v>0</v>
      </c>
      <c r="Y397" s="47" t="s">
        <v>736</v>
      </c>
      <c r="Z397" s="47">
        <v>0</v>
      </c>
      <c r="AA397" s="47" t="s">
        <v>736</v>
      </c>
      <c r="AB397" s="47">
        <v>0</v>
      </c>
      <c r="AC397" s="47">
        <v>0</v>
      </c>
      <c r="AD397" s="47">
        <v>0</v>
      </c>
      <c r="AE397" s="47" t="s">
        <v>731</v>
      </c>
      <c r="AF397" s="47">
        <v>0</v>
      </c>
      <c r="AG397" s="47" t="s">
        <v>731</v>
      </c>
      <c r="AH397" s="47">
        <v>0</v>
      </c>
      <c r="AI397" s="47" t="s">
        <v>735</v>
      </c>
      <c r="AJ397">
        <v>1</v>
      </c>
      <c r="AK397">
        <v>100</v>
      </c>
    </row>
    <row r="398" spans="1:37" x14ac:dyDescent="0.2">
      <c r="A398" t="s">
        <v>1199</v>
      </c>
      <c r="B398" t="s">
        <v>361</v>
      </c>
      <c r="C398">
        <v>2016</v>
      </c>
      <c r="D398">
        <v>1</v>
      </c>
      <c r="E398" t="s">
        <v>1200</v>
      </c>
      <c r="F398" t="s">
        <v>362</v>
      </c>
      <c r="G398">
        <v>5.0520969999999998</v>
      </c>
      <c r="H398" s="20">
        <f>IF(AND(A398=A397,F398=F397,F398="Winter wheat"),G398*0.9*'BAU Management details'!$F$46,
IF(AND(OR(A398&lt;&gt;A397,F398&lt;&gt;F397),F398="Winter wheat"),G398*'BAU Management details'!$F$46,
IF(F398="Oilseed Rape",G398*'BAU Management details'!$F$47)))</f>
        <v>43.448034199999995</v>
      </c>
      <c r="I398" t="s">
        <v>348</v>
      </c>
      <c r="J398">
        <v>10</v>
      </c>
      <c r="K398" t="s">
        <v>362</v>
      </c>
      <c r="L398" t="s">
        <v>751</v>
      </c>
      <c r="M398">
        <v>3.8</v>
      </c>
      <c r="N398" t="s">
        <v>349</v>
      </c>
      <c r="O398" t="s">
        <v>350</v>
      </c>
      <c r="P398">
        <v>8</v>
      </c>
      <c r="Q398" t="s">
        <v>728</v>
      </c>
      <c r="R398" t="s">
        <v>351</v>
      </c>
      <c r="S398">
        <v>220</v>
      </c>
      <c r="T398" s="47" t="s">
        <v>729</v>
      </c>
      <c r="U398" t="s">
        <v>366</v>
      </c>
      <c r="V398" t="s">
        <v>364</v>
      </c>
      <c r="W398" s="47" t="s">
        <v>736</v>
      </c>
      <c r="X398" s="47">
        <v>0</v>
      </c>
      <c r="Y398" s="47" t="s">
        <v>730</v>
      </c>
      <c r="Z398" s="47">
        <v>0</v>
      </c>
      <c r="AA398" s="47" t="s">
        <v>731</v>
      </c>
      <c r="AB398" s="47">
        <v>0</v>
      </c>
      <c r="AC398" s="47" t="s">
        <v>731</v>
      </c>
      <c r="AD398" s="47" t="s">
        <v>731</v>
      </c>
      <c r="AE398" s="47" t="s">
        <v>731</v>
      </c>
      <c r="AF398" s="47">
        <v>0</v>
      </c>
      <c r="AG398" s="47">
        <v>0</v>
      </c>
      <c r="AH398" s="47">
        <v>0</v>
      </c>
      <c r="AI398" s="47" t="s">
        <v>729</v>
      </c>
      <c r="AJ398">
        <v>1</v>
      </c>
      <c r="AK398">
        <v>100</v>
      </c>
    </row>
    <row r="399" spans="1:37" x14ac:dyDescent="0.2">
      <c r="A399" t="s">
        <v>1199</v>
      </c>
      <c r="B399" t="s">
        <v>361</v>
      </c>
      <c r="C399">
        <v>2017</v>
      </c>
      <c r="D399">
        <v>2</v>
      </c>
      <c r="E399" t="s">
        <v>1201</v>
      </c>
      <c r="F399" t="s">
        <v>362</v>
      </c>
      <c r="G399">
        <v>5.0520969999999998</v>
      </c>
      <c r="H399" s="20">
        <f>IF(AND(A399=A398,F399=F398,F399="Winter wheat"),G399*0.9*'BAU Management details'!$F$46,
IF(AND(OR(A399&lt;&gt;A398,F399&lt;&gt;F398),F399="Winter wheat"),G399*'BAU Management details'!$F$46,
IF(F399="Oilseed Rape",G399*'BAU Management details'!$F$47)))</f>
        <v>39.103230779999997</v>
      </c>
      <c r="I399" t="s">
        <v>348</v>
      </c>
      <c r="J399">
        <v>10</v>
      </c>
      <c r="K399" t="s">
        <v>362</v>
      </c>
      <c r="L399" t="s">
        <v>751</v>
      </c>
      <c r="M399">
        <v>3.8</v>
      </c>
      <c r="N399" t="s">
        <v>349</v>
      </c>
      <c r="O399" t="s">
        <v>350</v>
      </c>
      <c r="P399">
        <v>8</v>
      </c>
      <c r="Q399" t="s">
        <v>728</v>
      </c>
      <c r="R399" t="s">
        <v>351</v>
      </c>
      <c r="S399">
        <v>220</v>
      </c>
      <c r="T399" s="47" t="s">
        <v>729</v>
      </c>
      <c r="U399" t="s">
        <v>733</v>
      </c>
      <c r="V399" t="s">
        <v>364</v>
      </c>
      <c r="W399" s="47" t="s">
        <v>736</v>
      </c>
      <c r="X399" s="47">
        <v>0</v>
      </c>
      <c r="Y399" s="47" t="s">
        <v>730</v>
      </c>
      <c r="Z399" s="47">
        <v>0</v>
      </c>
      <c r="AA399" s="47" t="s">
        <v>731</v>
      </c>
      <c r="AB399" s="47">
        <v>0</v>
      </c>
      <c r="AC399" s="47">
        <v>0</v>
      </c>
      <c r="AD399" s="47">
        <v>0</v>
      </c>
      <c r="AE399" s="47" t="s">
        <v>731</v>
      </c>
      <c r="AF399" s="47">
        <v>0</v>
      </c>
      <c r="AG399" s="47">
        <v>0</v>
      </c>
      <c r="AH399" s="47">
        <v>0</v>
      </c>
      <c r="AI399" s="47" t="s">
        <v>729</v>
      </c>
      <c r="AJ399">
        <v>1</v>
      </c>
      <c r="AK399">
        <v>100</v>
      </c>
    </row>
    <row r="400" spans="1:37" x14ac:dyDescent="0.2">
      <c r="A400" t="s">
        <v>1199</v>
      </c>
      <c r="B400" t="s">
        <v>361</v>
      </c>
      <c r="C400">
        <v>2018</v>
      </c>
      <c r="D400">
        <v>3</v>
      </c>
      <c r="E400" t="s">
        <v>1202</v>
      </c>
      <c r="F400" t="s">
        <v>365</v>
      </c>
      <c r="G400">
        <v>5.0520969999999998</v>
      </c>
      <c r="H400" s="20">
        <f>IF(AND(A400=A399,F400=F399,F400="Winter wheat"),G400*0.9*'BAU Management details'!$F$46,
IF(AND(OR(A400&lt;&gt;A399,F400&lt;&gt;F399),F400="Winter wheat"),G400*'BAU Management details'!$F$46,
IF(F400="Oilseed Rape",G400*'BAU Management details'!$F$47)))</f>
        <v>17.682339499999998</v>
      </c>
      <c r="I400" t="s">
        <v>348</v>
      </c>
      <c r="J400">
        <v>10</v>
      </c>
      <c r="K400" t="s">
        <v>532</v>
      </c>
      <c r="L400" t="s">
        <v>751</v>
      </c>
      <c r="M400">
        <v>3.8</v>
      </c>
      <c r="N400" t="s">
        <v>349</v>
      </c>
      <c r="O400" t="s">
        <v>350</v>
      </c>
      <c r="P400">
        <v>8</v>
      </c>
      <c r="Q400" t="s">
        <v>728</v>
      </c>
      <c r="R400" t="s">
        <v>351</v>
      </c>
      <c r="S400">
        <v>220</v>
      </c>
      <c r="T400" s="47" t="s">
        <v>735</v>
      </c>
      <c r="U400" t="s">
        <v>368</v>
      </c>
      <c r="V400" t="s">
        <v>364</v>
      </c>
      <c r="W400" s="47" t="s">
        <v>736</v>
      </c>
      <c r="X400" s="47">
        <v>0</v>
      </c>
      <c r="Y400" s="47" t="s">
        <v>736</v>
      </c>
      <c r="Z400" s="47">
        <v>0</v>
      </c>
      <c r="AA400" s="47" t="s">
        <v>736</v>
      </c>
      <c r="AB400" s="47">
        <v>0</v>
      </c>
      <c r="AC400" s="47">
        <v>0</v>
      </c>
      <c r="AD400" s="47">
        <v>0</v>
      </c>
      <c r="AE400" s="47" t="s">
        <v>731</v>
      </c>
      <c r="AF400" s="47">
        <v>0</v>
      </c>
      <c r="AG400" s="47" t="s">
        <v>731</v>
      </c>
      <c r="AH400" s="47">
        <v>0</v>
      </c>
      <c r="AI400" s="47" t="s">
        <v>735</v>
      </c>
      <c r="AJ400">
        <v>1</v>
      </c>
      <c r="AK400">
        <v>100</v>
      </c>
    </row>
    <row r="401" spans="1:37" x14ac:dyDescent="0.2">
      <c r="A401" t="s">
        <v>1199</v>
      </c>
      <c r="B401" t="s">
        <v>361</v>
      </c>
      <c r="C401">
        <v>2019</v>
      </c>
      <c r="D401">
        <v>4</v>
      </c>
      <c r="E401" t="s">
        <v>1203</v>
      </c>
      <c r="F401" t="s">
        <v>362</v>
      </c>
      <c r="G401">
        <v>5.0520969999999998</v>
      </c>
      <c r="H401" s="20">
        <f>IF(AND(A401=A400,F401=F400,F401="Winter wheat"),G401*0.9*'BAU Management details'!$F$46,
IF(AND(OR(A401&lt;&gt;A400,F401&lt;&gt;F400),F401="Winter wheat"),G401*'BAU Management details'!$F$46,
IF(F401="Oilseed Rape",G401*'BAU Management details'!$F$47)))</f>
        <v>43.448034199999995</v>
      </c>
      <c r="I401" t="s">
        <v>348</v>
      </c>
      <c r="J401">
        <v>10</v>
      </c>
      <c r="K401" t="s">
        <v>362</v>
      </c>
      <c r="L401" t="s">
        <v>751</v>
      </c>
      <c r="M401">
        <v>3.8</v>
      </c>
      <c r="N401" t="s">
        <v>349</v>
      </c>
      <c r="O401" t="s">
        <v>350</v>
      </c>
      <c r="P401">
        <v>8</v>
      </c>
      <c r="Q401" t="s">
        <v>728</v>
      </c>
      <c r="R401" t="s">
        <v>351</v>
      </c>
      <c r="S401">
        <v>220</v>
      </c>
      <c r="T401" s="47" t="s">
        <v>729</v>
      </c>
      <c r="U401" t="s">
        <v>366</v>
      </c>
      <c r="V401" t="s">
        <v>364</v>
      </c>
      <c r="W401" s="47" t="s">
        <v>736</v>
      </c>
      <c r="X401" s="47">
        <v>0</v>
      </c>
      <c r="Y401" s="47" t="s">
        <v>730</v>
      </c>
      <c r="Z401" s="47">
        <v>0</v>
      </c>
      <c r="AA401" s="47" t="s">
        <v>731</v>
      </c>
      <c r="AB401" s="47">
        <v>0</v>
      </c>
      <c r="AC401" s="47" t="s">
        <v>731</v>
      </c>
      <c r="AD401" s="47" t="s">
        <v>731</v>
      </c>
      <c r="AE401" s="47" t="s">
        <v>731</v>
      </c>
      <c r="AF401" s="47">
        <v>0</v>
      </c>
      <c r="AG401" s="47">
        <v>0</v>
      </c>
      <c r="AH401" s="47">
        <v>0</v>
      </c>
      <c r="AI401" s="47" t="s">
        <v>729</v>
      </c>
      <c r="AJ401">
        <v>1</v>
      </c>
      <c r="AK401">
        <v>100</v>
      </c>
    </row>
    <row r="402" spans="1:37" x14ac:dyDescent="0.2">
      <c r="A402" t="s">
        <v>1199</v>
      </c>
      <c r="B402" t="s">
        <v>361</v>
      </c>
      <c r="C402">
        <v>2020</v>
      </c>
      <c r="D402">
        <v>5</v>
      </c>
      <c r="E402" t="s">
        <v>1204</v>
      </c>
      <c r="F402" t="s">
        <v>362</v>
      </c>
      <c r="G402">
        <v>5.0520969999999998</v>
      </c>
      <c r="H402" s="20">
        <f>IF(AND(A402=A401,F402=F401,F402="Winter wheat"),G402*0.9*'BAU Management details'!$F$46,
IF(AND(OR(A402&lt;&gt;A401,F402&lt;&gt;F401),F402="Winter wheat"),G402*'BAU Management details'!$F$46,
IF(F402="Oilseed Rape",G402*'BAU Management details'!$F$47)))</f>
        <v>39.103230779999997</v>
      </c>
      <c r="I402" t="s">
        <v>348</v>
      </c>
      <c r="J402">
        <v>10</v>
      </c>
      <c r="K402" t="s">
        <v>362</v>
      </c>
      <c r="L402" t="s">
        <v>751</v>
      </c>
      <c r="M402">
        <v>3.8</v>
      </c>
      <c r="N402" t="s">
        <v>349</v>
      </c>
      <c r="O402" t="s">
        <v>350</v>
      </c>
      <c r="P402">
        <v>8</v>
      </c>
      <c r="Q402" t="s">
        <v>728</v>
      </c>
      <c r="R402" t="s">
        <v>351</v>
      </c>
      <c r="S402">
        <v>220</v>
      </c>
      <c r="T402" s="47" t="s">
        <v>729</v>
      </c>
      <c r="U402" t="s">
        <v>733</v>
      </c>
      <c r="V402" t="s">
        <v>364</v>
      </c>
      <c r="W402" s="47" t="s">
        <v>736</v>
      </c>
      <c r="X402" s="47">
        <v>0</v>
      </c>
      <c r="Y402" s="47" t="s">
        <v>730</v>
      </c>
      <c r="Z402" s="47">
        <v>0</v>
      </c>
      <c r="AA402" s="47" t="s">
        <v>731</v>
      </c>
      <c r="AB402" s="47">
        <v>0</v>
      </c>
      <c r="AC402" s="47">
        <v>0</v>
      </c>
      <c r="AD402" s="47">
        <v>0</v>
      </c>
      <c r="AE402" s="47" t="s">
        <v>731</v>
      </c>
      <c r="AF402" s="47">
        <v>0</v>
      </c>
      <c r="AG402" s="47">
        <v>0</v>
      </c>
      <c r="AH402" s="47">
        <v>0</v>
      </c>
      <c r="AI402" s="47" t="s">
        <v>729</v>
      </c>
      <c r="AJ402">
        <v>1</v>
      </c>
      <c r="AK402">
        <v>100</v>
      </c>
    </row>
    <row r="403" spans="1:37" x14ac:dyDescent="0.2">
      <c r="A403" t="s">
        <v>1199</v>
      </c>
      <c r="B403" t="s">
        <v>361</v>
      </c>
      <c r="C403">
        <v>2021</v>
      </c>
      <c r="D403">
        <v>6</v>
      </c>
      <c r="E403" t="s">
        <v>1205</v>
      </c>
      <c r="F403" t="s">
        <v>365</v>
      </c>
      <c r="G403">
        <v>5.0520969999999998</v>
      </c>
      <c r="H403" s="20">
        <f>IF(AND(A403=A402,F403=F402,F403="Winter wheat"),G403*0.9*'BAU Management details'!$F$46,
IF(AND(OR(A403&lt;&gt;A402,F403&lt;&gt;F402),F403="Winter wheat"),G403*'BAU Management details'!$F$46,
IF(F403="Oilseed Rape",G403*'BAU Management details'!$F$47)))</f>
        <v>17.682339499999998</v>
      </c>
      <c r="I403" t="s">
        <v>348</v>
      </c>
      <c r="J403">
        <v>10</v>
      </c>
      <c r="K403" t="s">
        <v>532</v>
      </c>
      <c r="L403" t="s">
        <v>751</v>
      </c>
      <c r="M403">
        <v>3.8</v>
      </c>
      <c r="N403" t="s">
        <v>349</v>
      </c>
      <c r="O403" t="s">
        <v>350</v>
      </c>
      <c r="P403">
        <v>8</v>
      </c>
      <c r="Q403" t="s">
        <v>728</v>
      </c>
      <c r="R403" t="s">
        <v>351</v>
      </c>
      <c r="S403">
        <v>220</v>
      </c>
      <c r="T403" s="47" t="s">
        <v>735</v>
      </c>
      <c r="U403" t="s">
        <v>368</v>
      </c>
      <c r="V403" t="s">
        <v>364</v>
      </c>
      <c r="W403" s="47" t="s">
        <v>736</v>
      </c>
      <c r="X403" s="47">
        <v>0</v>
      </c>
      <c r="Y403" s="47" t="s">
        <v>736</v>
      </c>
      <c r="Z403" s="47">
        <v>0</v>
      </c>
      <c r="AA403" s="47" t="s">
        <v>736</v>
      </c>
      <c r="AB403" s="47">
        <v>0</v>
      </c>
      <c r="AC403" s="47">
        <v>0</v>
      </c>
      <c r="AD403" s="47">
        <v>0</v>
      </c>
      <c r="AE403" s="47" t="s">
        <v>731</v>
      </c>
      <c r="AF403" s="47">
        <v>0</v>
      </c>
      <c r="AG403" s="47" t="s">
        <v>731</v>
      </c>
      <c r="AH403" s="47">
        <v>0</v>
      </c>
      <c r="AI403" s="47" t="s">
        <v>735</v>
      </c>
      <c r="AJ403">
        <v>1</v>
      </c>
      <c r="AK403">
        <v>100</v>
      </c>
    </row>
    <row r="404" spans="1:37" x14ac:dyDescent="0.2">
      <c r="A404" t="s">
        <v>1206</v>
      </c>
      <c r="B404" t="s">
        <v>361</v>
      </c>
      <c r="C404">
        <v>2016</v>
      </c>
      <c r="D404">
        <v>1</v>
      </c>
      <c r="E404" t="s">
        <v>1207</v>
      </c>
      <c r="F404" t="s">
        <v>362</v>
      </c>
      <c r="G404">
        <v>9.2712029999999999</v>
      </c>
      <c r="H404" s="20">
        <f>IF(AND(A404=A403,F404=F403,F404="Winter wheat"),G404*0.9*'BAU Management details'!$F$46,
IF(AND(OR(A404&lt;&gt;A403,F404&lt;&gt;F403),F404="Winter wheat"),G404*'BAU Management details'!$F$46,
IF(F404="Oilseed Rape",G404*'BAU Management details'!$F$47)))</f>
        <v>79.73234579999999</v>
      </c>
      <c r="I404" t="s">
        <v>348</v>
      </c>
      <c r="J404">
        <v>10</v>
      </c>
      <c r="K404" t="s">
        <v>362</v>
      </c>
      <c r="L404" t="s">
        <v>751</v>
      </c>
      <c r="M404">
        <v>1.4</v>
      </c>
      <c r="N404" t="s">
        <v>349</v>
      </c>
      <c r="O404" t="s">
        <v>742</v>
      </c>
      <c r="P404">
        <v>7.5</v>
      </c>
      <c r="Q404" t="s">
        <v>728</v>
      </c>
      <c r="R404" t="s">
        <v>351</v>
      </c>
      <c r="S404">
        <v>220</v>
      </c>
      <c r="T404" s="47" t="s">
        <v>729</v>
      </c>
      <c r="U404" t="s">
        <v>366</v>
      </c>
      <c r="V404" t="s">
        <v>364</v>
      </c>
      <c r="W404" s="47" t="s">
        <v>736</v>
      </c>
      <c r="X404" s="47">
        <v>0</v>
      </c>
      <c r="Y404" s="47" t="s">
        <v>730</v>
      </c>
      <c r="Z404" s="47">
        <v>0</v>
      </c>
      <c r="AA404" s="47" t="s">
        <v>731</v>
      </c>
      <c r="AB404" s="47">
        <v>0</v>
      </c>
      <c r="AC404" s="47" t="s">
        <v>731</v>
      </c>
      <c r="AD404" s="47" t="s">
        <v>731</v>
      </c>
      <c r="AE404" s="47" t="s">
        <v>731</v>
      </c>
      <c r="AF404" s="47">
        <v>0</v>
      </c>
      <c r="AG404" s="47">
        <v>0</v>
      </c>
      <c r="AH404" s="47">
        <v>0</v>
      </c>
      <c r="AI404" s="47" t="s">
        <v>729</v>
      </c>
      <c r="AJ404">
        <v>1</v>
      </c>
      <c r="AK404">
        <v>100</v>
      </c>
    </row>
    <row r="405" spans="1:37" x14ac:dyDescent="0.2">
      <c r="A405" t="s">
        <v>1206</v>
      </c>
      <c r="B405" t="s">
        <v>361</v>
      </c>
      <c r="C405">
        <v>2017</v>
      </c>
      <c r="D405">
        <v>2</v>
      </c>
      <c r="E405" t="s">
        <v>1208</v>
      </c>
      <c r="F405" t="s">
        <v>362</v>
      </c>
      <c r="G405">
        <v>9.2712029999999999</v>
      </c>
      <c r="H405" s="20">
        <f>IF(AND(A405=A404,F405=F404,F405="Winter wheat"),G405*0.9*'BAU Management details'!$F$46,
IF(AND(OR(A405&lt;&gt;A404,F405&lt;&gt;F404),F405="Winter wheat"),G405*'BAU Management details'!$F$46,
IF(F405="Oilseed Rape",G405*'BAU Management details'!$F$47)))</f>
        <v>71.759111219999994</v>
      </c>
      <c r="I405" t="s">
        <v>348</v>
      </c>
      <c r="J405">
        <v>10</v>
      </c>
      <c r="K405" t="s">
        <v>362</v>
      </c>
      <c r="L405" t="s">
        <v>751</v>
      </c>
      <c r="M405">
        <v>1.4</v>
      </c>
      <c r="N405" t="s">
        <v>349</v>
      </c>
      <c r="O405" t="s">
        <v>742</v>
      </c>
      <c r="P405">
        <v>7.5</v>
      </c>
      <c r="Q405" t="s">
        <v>728</v>
      </c>
      <c r="R405" t="s">
        <v>351</v>
      </c>
      <c r="S405">
        <v>220</v>
      </c>
      <c r="T405" s="47" t="s">
        <v>729</v>
      </c>
      <c r="U405" t="s">
        <v>733</v>
      </c>
      <c r="V405" t="s">
        <v>364</v>
      </c>
      <c r="W405" s="47" t="s">
        <v>736</v>
      </c>
      <c r="X405" s="47">
        <v>0</v>
      </c>
      <c r="Y405" s="47" t="s">
        <v>730</v>
      </c>
      <c r="Z405" s="47">
        <v>0</v>
      </c>
      <c r="AA405" s="47" t="s">
        <v>731</v>
      </c>
      <c r="AB405" s="47">
        <v>0</v>
      </c>
      <c r="AC405" s="47">
        <v>0</v>
      </c>
      <c r="AD405" s="47">
        <v>0</v>
      </c>
      <c r="AE405" s="47" t="s">
        <v>731</v>
      </c>
      <c r="AF405" s="47">
        <v>0</v>
      </c>
      <c r="AG405" s="47">
        <v>0</v>
      </c>
      <c r="AH405" s="47">
        <v>0</v>
      </c>
      <c r="AI405" s="47" t="s">
        <v>729</v>
      </c>
      <c r="AJ405">
        <v>1</v>
      </c>
      <c r="AK405">
        <v>100</v>
      </c>
    </row>
    <row r="406" spans="1:37" x14ac:dyDescent="0.2">
      <c r="A406" t="s">
        <v>1206</v>
      </c>
      <c r="B406" t="s">
        <v>361</v>
      </c>
      <c r="C406">
        <v>2018</v>
      </c>
      <c r="D406">
        <v>3</v>
      </c>
      <c r="E406" t="s">
        <v>1209</v>
      </c>
      <c r="F406" t="s">
        <v>365</v>
      </c>
      <c r="G406">
        <v>9.2712029999999999</v>
      </c>
      <c r="H406" s="20">
        <f>IF(AND(A406=A405,F406=F405,F406="Winter wheat"),G406*0.9*'BAU Management details'!$F$46,
IF(AND(OR(A406&lt;&gt;A405,F406&lt;&gt;F405),F406="Winter wheat"),G406*'BAU Management details'!$F$46,
IF(F406="Oilseed Rape",G406*'BAU Management details'!$F$47)))</f>
        <v>32.4492105</v>
      </c>
      <c r="I406" t="s">
        <v>348</v>
      </c>
      <c r="J406">
        <v>10</v>
      </c>
      <c r="K406" t="s">
        <v>532</v>
      </c>
      <c r="L406" t="s">
        <v>751</v>
      </c>
      <c r="M406">
        <v>1.4</v>
      </c>
      <c r="N406" t="s">
        <v>349</v>
      </c>
      <c r="O406" t="s">
        <v>742</v>
      </c>
      <c r="P406">
        <v>7.5</v>
      </c>
      <c r="Q406" t="s">
        <v>728</v>
      </c>
      <c r="R406" t="s">
        <v>351</v>
      </c>
      <c r="S406">
        <v>220</v>
      </c>
      <c r="T406" s="47" t="s">
        <v>735</v>
      </c>
      <c r="U406" t="s">
        <v>368</v>
      </c>
      <c r="V406" t="s">
        <v>364</v>
      </c>
      <c r="W406" s="47" t="s">
        <v>736</v>
      </c>
      <c r="X406" s="47">
        <v>0</v>
      </c>
      <c r="Y406" s="47" t="s">
        <v>736</v>
      </c>
      <c r="Z406" s="47">
        <v>0</v>
      </c>
      <c r="AA406" s="47" t="s">
        <v>736</v>
      </c>
      <c r="AB406" s="47">
        <v>0</v>
      </c>
      <c r="AC406" s="47">
        <v>0</v>
      </c>
      <c r="AD406" s="47">
        <v>0</v>
      </c>
      <c r="AE406" s="47" t="s">
        <v>731</v>
      </c>
      <c r="AF406" s="47">
        <v>0</v>
      </c>
      <c r="AG406" s="47" t="s">
        <v>731</v>
      </c>
      <c r="AH406" s="47">
        <v>0</v>
      </c>
      <c r="AI406" s="47" t="s">
        <v>735</v>
      </c>
      <c r="AJ406">
        <v>1</v>
      </c>
      <c r="AK406">
        <v>100</v>
      </c>
    </row>
    <row r="407" spans="1:37" x14ac:dyDescent="0.2">
      <c r="A407" t="s">
        <v>1206</v>
      </c>
      <c r="B407" t="s">
        <v>361</v>
      </c>
      <c r="C407">
        <v>2019</v>
      </c>
      <c r="D407">
        <v>4</v>
      </c>
      <c r="E407" t="s">
        <v>1210</v>
      </c>
      <c r="F407" t="s">
        <v>362</v>
      </c>
      <c r="G407">
        <v>9.2712029999999999</v>
      </c>
      <c r="H407" s="20">
        <f>IF(AND(A407=A406,F407=F406,F407="Winter wheat"),G407*0.9*'BAU Management details'!$F$46,
IF(AND(OR(A407&lt;&gt;A406,F407&lt;&gt;F406),F407="Winter wheat"),G407*'BAU Management details'!$F$46,
IF(F407="Oilseed Rape",G407*'BAU Management details'!$F$47)))</f>
        <v>79.73234579999999</v>
      </c>
      <c r="I407" t="s">
        <v>348</v>
      </c>
      <c r="J407">
        <v>10</v>
      </c>
      <c r="K407" t="s">
        <v>362</v>
      </c>
      <c r="L407" t="s">
        <v>751</v>
      </c>
      <c r="M407">
        <v>1.4</v>
      </c>
      <c r="N407" t="s">
        <v>349</v>
      </c>
      <c r="O407" t="s">
        <v>742</v>
      </c>
      <c r="P407">
        <v>7.5</v>
      </c>
      <c r="Q407" t="s">
        <v>728</v>
      </c>
      <c r="R407" t="s">
        <v>351</v>
      </c>
      <c r="S407">
        <v>220</v>
      </c>
      <c r="T407" s="47" t="s">
        <v>729</v>
      </c>
      <c r="U407" t="s">
        <v>366</v>
      </c>
      <c r="V407" t="s">
        <v>364</v>
      </c>
      <c r="W407" s="47" t="s">
        <v>736</v>
      </c>
      <c r="X407" s="47">
        <v>0</v>
      </c>
      <c r="Y407" s="47" t="s">
        <v>730</v>
      </c>
      <c r="Z407" s="47">
        <v>0</v>
      </c>
      <c r="AA407" s="47" t="s">
        <v>731</v>
      </c>
      <c r="AB407" s="47">
        <v>0</v>
      </c>
      <c r="AC407" s="47" t="s">
        <v>731</v>
      </c>
      <c r="AD407" s="47" t="s">
        <v>731</v>
      </c>
      <c r="AE407" s="47" t="s">
        <v>731</v>
      </c>
      <c r="AF407" s="47">
        <v>0</v>
      </c>
      <c r="AG407" s="47">
        <v>0</v>
      </c>
      <c r="AH407" s="47">
        <v>0</v>
      </c>
      <c r="AI407" s="47" t="s">
        <v>729</v>
      </c>
      <c r="AJ407">
        <v>1</v>
      </c>
      <c r="AK407">
        <v>100</v>
      </c>
    </row>
    <row r="408" spans="1:37" x14ac:dyDescent="0.2">
      <c r="A408" t="s">
        <v>1206</v>
      </c>
      <c r="B408" t="s">
        <v>361</v>
      </c>
      <c r="C408">
        <v>2020</v>
      </c>
      <c r="D408">
        <v>5</v>
      </c>
      <c r="E408" t="s">
        <v>1211</v>
      </c>
      <c r="F408" t="s">
        <v>362</v>
      </c>
      <c r="G408">
        <v>9.2712029999999999</v>
      </c>
      <c r="H408" s="20">
        <f>IF(AND(A408=A407,F408=F407,F408="Winter wheat"),G408*0.9*'BAU Management details'!$F$46,
IF(AND(OR(A408&lt;&gt;A407,F408&lt;&gt;F407),F408="Winter wheat"),G408*'BAU Management details'!$F$46,
IF(F408="Oilseed Rape",G408*'BAU Management details'!$F$47)))</f>
        <v>71.759111219999994</v>
      </c>
      <c r="I408" t="s">
        <v>348</v>
      </c>
      <c r="J408">
        <v>10</v>
      </c>
      <c r="K408" t="s">
        <v>362</v>
      </c>
      <c r="L408" t="s">
        <v>751</v>
      </c>
      <c r="M408">
        <v>1.4</v>
      </c>
      <c r="N408" t="s">
        <v>349</v>
      </c>
      <c r="O408" t="s">
        <v>742</v>
      </c>
      <c r="P408">
        <v>7.5</v>
      </c>
      <c r="Q408" t="s">
        <v>728</v>
      </c>
      <c r="R408" t="s">
        <v>351</v>
      </c>
      <c r="S408">
        <v>220</v>
      </c>
      <c r="T408" s="47" t="s">
        <v>729</v>
      </c>
      <c r="U408" t="s">
        <v>733</v>
      </c>
      <c r="V408" t="s">
        <v>364</v>
      </c>
      <c r="W408" s="47" t="s">
        <v>736</v>
      </c>
      <c r="X408" s="47">
        <v>0</v>
      </c>
      <c r="Y408" s="47" t="s">
        <v>730</v>
      </c>
      <c r="Z408" s="47">
        <v>0</v>
      </c>
      <c r="AA408" s="47" t="s">
        <v>731</v>
      </c>
      <c r="AB408" s="47">
        <v>0</v>
      </c>
      <c r="AC408" s="47">
        <v>0</v>
      </c>
      <c r="AD408" s="47">
        <v>0</v>
      </c>
      <c r="AE408" s="47" t="s">
        <v>731</v>
      </c>
      <c r="AF408" s="47">
        <v>0</v>
      </c>
      <c r="AG408" s="47">
        <v>0</v>
      </c>
      <c r="AH408" s="47">
        <v>0</v>
      </c>
      <c r="AI408" s="47" t="s">
        <v>729</v>
      </c>
      <c r="AJ408">
        <v>1</v>
      </c>
      <c r="AK408">
        <v>100</v>
      </c>
    </row>
    <row r="409" spans="1:37" x14ac:dyDescent="0.2">
      <c r="A409" t="s">
        <v>1206</v>
      </c>
      <c r="B409" t="s">
        <v>361</v>
      </c>
      <c r="C409">
        <v>2021</v>
      </c>
      <c r="D409">
        <v>6</v>
      </c>
      <c r="E409" t="s">
        <v>1212</v>
      </c>
      <c r="F409" t="s">
        <v>365</v>
      </c>
      <c r="G409">
        <v>9.2712029999999999</v>
      </c>
      <c r="H409" s="20">
        <f>IF(AND(A409=A408,F409=F408,F409="Winter wheat"),G409*0.9*'BAU Management details'!$F$46,
IF(AND(OR(A409&lt;&gt;A408,F409&lt;&gt;F408),F409="Winter wheat"),G409*'BAU Management details'!$F$46,
IF(F409="Oilseed Rape",G409*'BAU Management details'!$F$47)))</f>
        <v>32.4492105</v>
      </c>
      <c r="I409" t="s">
        <v>348</v>
      </c>
      <c r="J409">
        <v>10</v>
      </c>
      <c r="K409" t="s">
        <v>532</v>
      </c>
      <c r="L409" t="s">
        <v>751</v>
      </c>
      <c r="M409">
        <v>1.4</v>
      </c>
      <c r="N409" t="s">
        <v>349</v>
      </c>
      <c r="O409" t="s">
        <v>742</v>
      </c>
      <c r="P409">
        <v>7.5</v>
      </c>
      <c r="Q409" t="s">
        <v>728</v>
      </c>
      <c r="R409" t="s">
        <v>351</v>
      </c>
      <c r="S409">
        <v>220</v>
      </c>
      <c r="T409" s="47" t="s">
        <v>735</v>
      </c>
      <c r="U409" t="s">
        <v>368</v>
      </c>
      <c r="V409" t="s">
        <v>364</v>
      </c>
      <c r="W409" s="47" t="s">
        <v>736</v>
      </c>
      <c r="X409" s="47">
        <v>0</v>
      </c>
      <c r="Y409" s="47" t="s">
        <v>736</v>
      </c>
      <c r="Z409" s="47">
        <v>0</v>
      </c>
      <c r="AA409" s="47" t="s">
        <v>736</v>
      </c>
      <c r="AB409" s="47">
        <v>0</v>
      </c>
      <c r="AC409" s="47">
        <v>0</v>
      </c>
      <c r="AD409" s="47">
        <v>0</v>
      </c>
      <c r="AE409" s="47" t="s">
        <v>731</v>
      </c>
      <c r="AF409" s="47">
        <v>0</v>
      </c>
      <c r="AG409" s="47" t="s">
        <v>731</v>
      </c>
      <c r="AH409" s="47">
        <v>0</v>
      </c>
      <c r="AI409" s="47" t="s">
        <v>735</v>
      </c>
      <c r="AJ409">
        <v>1</v>
      </c>
      <c r="AK409">
        <v>100</v>
      </c>
    </row>
    <row r="410" spans="1:37" x14ac:dyDescent="0.2">
      <c r="A410" t="s">
        <v>1213</v>
      </c>
      <c r="B410" t="s">
        <v>361</v>
      </c>
      <c r="C410">
        <v>2016</v>
      </c>
      <c r="D410">
        <v>1</v>
      </c>
      <c r="E410" t="s">
        <v>1214</v>
      </c>
      <c r="F410" t="s">
        <v>362</v>
      </c>
      <c r="G410">
        <v>6.6227879999999999</v>
      </c>
      <c r="H410" s="20">
        <f>IF(AND(A410=A409,F410=F409,F410="Winter wheat"),G410*0.9*'BAU Management details'!$F$46,
IF(AND(OR(A410&lt;&gt;A409,F410&lt;&gt;F409),F410="Winter wheat"),G410*'BAU Management details'!$F$46,
IF(F410="Oilseed Rape",G410*'BAU Management details'!$F$47)))</f>
        <v>56.955976799999995</v>
      </c>
      <c r="I410" t="s">
        <v>348</v>
      </c>
      <c r="J410">
        <v>10</v>
      </c>
      <c r="K410" t="s">
        <v>362</v>
      </c>
      <c r="L410" t="s">
        <v>751</v>
      </c>
      <c r="M410">
        <v>2.9</v>
      </c>
      <c r="N410" t="s">
        <v>349</v>
      </c>
      <c r="O410" t="s">
        <v>350</v>
      </c>
      <c r="P410">
        <v>7.7</v>
      </c>
      <c r="Q410" t="s">
        <v>728</v>
      </c>
      <c r="R410" t="s">
        <v>351</v>
      </c>
      <c r="S410">
        <v>220</v>
      </c>
      <c r="T410" s="47" t="s">
        <v>729</v>
      </c>
      <c r="U410" t="s">
        <v>366</v>
      </c>
      <c r="V410" t="s">
        <v>367</v>
      </c>
      <c r="W410" s="47" t="s">
        <v>736</v>
      </c>
      <c r="X410" s="47">
        <v>0</v>
      </c>
      <c r="Y410" s="47" t="s">
        <v>730</v>
      </c>
      <c r="Z410" s="47">
        <v>0</v>
      </c>
      <c r="AA410" s="47" t="s">
        <v>731</v>
      </c>
      <c r="AB410" s="47">
        <v>0</v>
      </c>
      <c r="AC410" s="47" t="s">
        <v>731</v>
      </c>
      <c r="AD410" s="47" t="s">
        <v>731</v>
      </c>
      <c r="AE410" s="47" t="s">
        <v>731</v>
      </c>
      <c r="AF410" s="47">
        <v>0</v>
      </c>
      <c r="AG410" s="47">
        <v>0</v>
      </c>
      <c r="AH410" s="47">
        <v>0</v>
      </c>
      <c r="AI410" s="47" t="s">
        <v>729</v>
      </c>
      <c r="AJ410">
        <v>1</v>
      </c>
      <c r="AK410">
        <v>100</v>
      </c>
    </row>
    <row r="411" spans="1:37" x14ac:dyDescent="0.2">
      <c r="A411" t="s">
        <v>1213</v>
      </c>
      <c r="B411" t="s">
        <v>361</v>
      </c>
      <c r="C411">
        <v>2017</v>
      </c>
      <c r="D411">
        <v>2</v>
      </c>
      <c r="E411" t="s">
        <v>1215</v>
      </c>
      <c r="F411" t="s">
        <v>362</v>
      </c>
      <c r="G411">
        <v>6.6227879999999999</v>
      </c>
      <c r="H411" s="20">
        <f>IF(AND(A411=A410,F411=F410,F411="Winter wheat"),G411*0.9*'BAU Management details'!$F$46,
IF(AND(OR(A411&lt;&gt;A410,F411&lt;&gt;F410),F411="Winter wheat"),G411*'BAU Management details'!$F$46,
IF(F411="Oilseed Rape",G411*'BAU Management details'!$F$47)))</f>
        <v>51.260379119999996</v>
      </c>
      <c r="I411" t="s">
        <v>348</v>
      </c>
      <c r="J411">
        <v>10</v>
      </c>
      <c r="K411" t="s">
        <v>362</v>
      </c>
      <c r="L411" t="s">
        <v>751</v>
      </c>
      <c r="M411">
        <v>2.9</v>
      </c>
      <c r="N411" t="s">
        <v>349</v>
      </c>
      <c r="O411" t="s">
        <v>350</v>
      </c>
      <c r="P411">
        <v>7.7</v>
      </c>
      <c r="Q411" t="s">
        <v>728</v>
      </c>
      <c r="R411" t="s">
        <v>351</v>
      </c>
      <c r="S411">
        <v>220</v>
      </c>
      <c r="T411" s="47" t="s">
        <v>729</v>
      </c>
      <c r="U411" t="s">
        <v>733</v>
      </c>
      <c r="V411" t="s">
        <v>369</v>
      </c>
      <c r="W411" s="47" t="s">
        <v>736</v>
      </c>
      <c r="X411" s="47">
        <v>0</v>
      </c>
      <c r="Y411" s="47" t="s">
        <v>730</v>
      </c>
      <c r="Z411" s="47">
        <v>0</v>
      </c>
      <c r="AA411" s="47" t="s">
        <v>731</v>
      </c>
      <c r="AB411" s="47">
        <v>0</v>
      </c>
      <c r="AC411" s="47">
        <v>0</v>
      </c>
      <c r="AD411" s="47">
        <v>0</v>
      </c>
      <c r="AE411" s="47" t="s">
        <v>731</v>
      </c>
      <c r="AF411" s="47">
        <v>0</v>
      </c>
      <c r="AG411" s="47">
        <v>0</v>
      </c>
      <c r="AH411" s="47">
        <v>0</v>
      </c>
      <c r="AI411" s="47" t="s">
        <v>729</v>
      </c>
      <c r="AJ411">
        <v>1</v>
      </c>
      <c r="AK411">
        <v>100</v>
      </c>
    </row>
    <row r="412" spans="1:37" x14ac:dyDescent="0.2">
      <c r="A412" t="s">
        <v>1213</v>
      </c>
      <c r="B412" t="s">
        <v>361</v>
      </c>
      <c r="C412">
        <v>2018</v>
      </c>
      <c r="D412">
        <v>3</v>
      </c>
      <c r="E412" t="s">
        <v>1216</v>
      </c>
      <c r="F412" t="s">
        <v>365</v>
      </c>
      <c r="G412">
        <v>6.6227879999999999</v>
      </c>
      <c r="H412" s="20">
        <f>IF(AND(A412=A411,F412=F411,F412="Winter wheat"),G412*0.9*'BAU Management details'!$F$46,
IF(AND(OR(A412&lt;&gt;A411,F412&lt;&gt;F411),F412="Winter wheat"),G412*'BAU Management details'!$F$46,
IF(F412="Oilseed Rape",G412*'BAU Management details'!$F$47)))</f>
        <v>23.179758</v>
      </c>
      <c r="I412" t="s">
        <v>348</v>
      </c>
      <c r="J412">
        <v>10</v>
      </c>
      <c r="K412" t="s">
        <v>532</v>
      </c>
      <c r="L412" t="s">
        <v>751</v>
      </c>
      <c r="M412">
        <v>2.9</v>
      </c>
      <c r="N412" t="s">
        <v>349</v>
      </c>
      <c r="O412" t="s">
        <v>350</v>
      </c>
      <c r="P412">
        <v>7.7</v>
      </c>
      <c r="Q412" t="s">
        <v>728</v>
      </c>
      <c r="R412" t="s">
        <v>351</v>
      </c>
      <c r="S412">
        <v>220</v>
      </c>
      <c r="T412" s="47" t="s">
        <v>735</v>
      </c>
      <c r="U412" t="s">
        <v>368</v>
      </c>
      <c r="V412" t="s">
        <v>364</v>
      </c>
      <c r="W412" s="47" t="s">
        <v>736</v>
      </c>
      <c r="X412" s="47">
        <v>0</v>
      </c>
      <c r="Y412" s="47" t="s">
        <v>736</v>
      </c>
      <c r="Z412" s="47">
        <v>0</v>
      </c>
      <c r="AA412" s="47" t="s">
        <v>736</v>
      </c>
      <c r="AB412" s="47">
        <v>0</v>
      </c>
      <c r="AC412" s="47">
        <v>0</v>
      </c>
      <c r="AD412" s="47">
        <v>0</v>
      </c>
      <c r="AE412" s="47" t="s">
        <v>731</v>
      </c>
      <c r="AF412" s="47">
        <v>0</v>
      </c>
      <c r="AG412" s="47" t="s">
        <v>731</v>
      </c>
      <c r="AH412" s="47">
        <v>0</v>
      </c>
      <c r="AI412" s="47" t="s">
        <v>735</v>
      </c>
      <c r="AJ412">
        <v>1</v>
      </c>
      <c r="AK412">
        <v>100</v>
      </c>
    </row>
    <row r="413" spans="1:37" x14ac:dyDescent="0.2">
      <c r="A413" t="s">
        <v>1213</v>
      </c>
      <c r="B413" t="s">
        <v>361</v>
      </c>
      <c r="C413">
        <v>2019</v>
      </c>
      <c r="D413">
        <v>4</v>
      </c>
      <c r="E413" t="s">
        <v>1217</v>
      </c>
      <c r="F413" t="s">
        <v>362</v>
      </c>
      <c r="G413">
        <v>6.6227879999999999</v>
      </c>
      <c r="H413" s="20">
        <f>IF(AND(A413=A412,F413=F412,F413="Winter wheat"),G413*0.9*'BAU Management details'!$F$46,
IF(AND(OR(A413&lt;&gt;A412,F413&lt;&gt;F412),F413="Winter wheat"),G413*'BAU Management details'!$F$46,
IF(F413="Oilseed Rape",G413*'BAU Management details'!$F$47)))</f>
        <v>56.955976799999995</v>
      </c>
      <c r="I413" t="s">
        <v>348</v>
      </c>
      <c r="J413">
        <v>10</v>
      </c>
      <c r="K413" t="s">
        <v>362</v>
      </c>
      <c r="L413" t="s">
        <v>751</v>
      </c>
      <c r="M413">
        <v>2.9</v>
      </c>
      <c r="N413" t="s">
        <v>349</v>
      </c>
      <c r="O413" t="s">
        <v>350</v>
      </c>
      <c r="P413">
        <v>7.7</v>
      </c>
      <c r="Q413" t="s">
        <v>728</v>
      </c>
      <c r="R413" t="s">
        <v>351</v>
      </c>
      <c r="S413">
        <v>220</v>
      </c>
      <c r="T413" s="47" t="s">
        <v>729</v>
      </c>
      <c r="U413" t="s">
        <v>366</v>
      </c>
      <c r="V413" t="s">
        <v>367</v>
      </c>
      <c r="W413" s="47" t="s">
        <v>736</v>
      </c>
      <c r="X413" s="47">
        <v>0</v>
      </c>
      <c r="Y413" s="47" t="s">
        <v>730</v>
      </c>
      <c r="Z413" s="47">
        <v>0</v>
      </c>
      <c r="AA413" s="47" t="s">
        <v>731</v>
      </c>
      <c r="AB413" s="47">
        <v>0</v>
      </c>
      <c r="AC413" s="47" t="s">
        <v>731</v>
      </c>
      <c r="AD413" s="47" t="s">
        <v>731</v>
      </c>
      <c r="AE413" s="47" t="s">
        <v>731</v>
      </c>
      <c r="AF413" s="47">
        <v>0</v>
      </c>
      <c r="AG413" s="47">
        <v>0</v>
      </c>
      <c r="AH413" s="47">
        <v>0</v>
      </c>
      <c r="AI413" s="47" t="s">
        <v>729</v>
      </c>
      <c r="AJ413">
        <v>1</v>
      </c>
      <c r="AK413">
        <v>100</v>
      </c>
    </row>
    <row r="414" spans="1:37" x14ac:dyDescent="0.2">
      <c r="A414" t="s">
        <v>1213</v>
      </c>
      <c r="B414" t="s">
        <v>361</v>
      </c>
      <c r="C414">
        <v>2020</v>
      </c>
      <c r="D414">
        <v>5</v>
      </c>
      <c r="E414" t="s">
        <v>1218</v>
      </c>
      <c r="F414" t="s">
        <v>362</v>
      </c>
      <c r="G414">
        <v>6.6227879999999999</v>
      </c>
      <c r="H414" s="20">
        <f>IF(AND(A414=A413,F414=F413,F414="Winter wheat"),G414*0.9*'BAU Management details'!$F$46,
IF(AND(OR(A414&lt;&gt;A413,F414&lt;&gt;F413),F414="Winter wheat"),G414*'BAU Management details'!$F$46,
IF(F414="Oilseed Rape",G414*'BAU Management details'!$F$47)))</f>
        <v>51.260379119999996</v>
      </c>
      <c r="I414" t="s">
        <v>348</v>
      </c>
      <c r="J414">
        <v>10</v>
      </c>
      <c r="K414" t="s">
        <v>362</v>
      </c>
      <c r="L414" t="s">
        <v>751</v>
      </c>
      <c r="M414">
        <v>2.9</v>
      </c>
      <c r="N414" t="s">
        <v>349</v>
      </c>
      <c r="O414" t="s">
        <v>350</v>
      </c>
      <c r="P414">
        <v>7.7</v>
      </c>
      <c r="Q414" t="s">
        <v>728</v>
      </c>
      <c r="R414" t="s">
        <v>351</v>
      </c>
      <c r="S414">
        <v>220</v>
      </c>
      <c r="T414" s="47" t="s">
        <v>729</v>
      </c>
      <c r="U414" t="s">
        <v>733</v>
      </c>
      <c r="V414" t="s">
        <v>369</v>
      </c>
      <c r="W414" s="47" t="s">
        <v>736</v>
      </c>
      <c r="X414" s="47">
        <v>0</v>
      </c>
      <c r="Y414" s="47" t="s">
        <v>730</v>
      </c>
      <c r="Z414" s="47">
        <v>0</v>
      </c>
      <c r="AA414" s="47" t="s">
        <v>731</v>
      </c>
      <c r="AB414" s="47">
        <v>0</v>
      </c>
      <c r="AC414" s="47">
        <v>0</v>
      </c>
      <c r="AD414" s="47">
        <v>0</v>
      </c>
      <c r="AE414" s="47" t="s">
        <v>731</v>
      </c>
      <c r="AF414" s="47">
        <v>0</v>
      </c>
      <c r="AG414" s="47">
        <v>0</v>
      </c>
      <c r="AH414" s="47">
        <v>0</v>
      </c>
      <c r="AI414" s="47" t="s">
        <v>729</v>
      </c>
      <c r="AJ414">
        <v>1</v>
      </c>
      <c r="AK414">
        <v>100</v>
      </c>
    </row>
    <row r="415" spans="1:37" x14ac:dyDescent="0.2">
      <c r="A415" t="s">
        <v>1213</v>
      </c>
      <c r="B415" t="s">
        <v>361</v>
      </c>
      <c r="C415">
        <v>2021</v>
      </c>
      <c r="D415">
        <v>6</v>
      </c>
      <c r="E415" t="s">
        <v>1219</v>
      </c>
      <c r="F415" t="s">
        <v>365</v>
      </c>
      <c r="G415">
        <v>6.6227879999999999</v>
      </c>
      <c r="H415" s="20">
        <f>IF(AND(A415=A414,F415=F414,F415="Winter wheat"),G415*0.9*'BAU Management details'!$F$46,
IF(AND(OR(A415&lt;&gt;A414,F415&lt;&gt;F414),F415="Winter wheat"),G415*'BAU Management details'!$F$46,
IF(F415="Oilseed Rape",G415*'BAU Management details'!$F$47)))</f>
        <v>23.179758</v>
      </c>
      <c r="I415" t="s">
        <v>348</v>
      </c>
      <c r="J415">
        <v>10</v>
      </c>
      <c r="K415" t="s">
        <v>532</v>
      </c>
      <c r="L415" t="s">
        <v>751</v>
      </c>
      <c r="M415">
        <v>2.9</v>
      </c>
      <c r="N415" t="s">
        <v>349</v>
      </c>
      <c r="O415" t="s">
        <v>350</v>
      </c>
      <c r="P415">
        <v>7.7</v>
      </c>
      <c r="Q415" t="s">
        <v>728</v>
      </c>
      <c r="R415" t="s">
        <v>351</v>
      </c>
      <c r="S415">
        <v>220</v>
      </c>
      <c r="T415" s="47" t="s">
        <v>735</v>
      </c>
      <c r="U415" t="s">
        <v>368</v>
      </c>
      <c r="V415" t="s">
        <v>364</v>
      </c>
      <c r="W415" s="47" t="s">
        <v>736</v>
      </c>
      <c r="X415" s="47">
        <v>0</v>
      </c>
      <c r="Y415" s="47" t="s">
        <v>736</v>
      </c>
      <c r="Z415" s="47">
        <v>0</v>
      </c>
      <c r="AA415" s="47" t="s">
        <v>736</v>
      </c>
      <c r="AB415" s="47">
        <v>0</v>
      </c>
      <c r="AC415" s="47">
        <v>0</v>
      </c>
      <c r="AD415" s="47">
        <v>0</v>
      </c>
      <c r="AE415" s="47" t="s">
        <v>731</v>
      </c>
      <c r="AF415" s="47">
        <v>0</v>
      </c>
      <c r="AG415" s="47" t="s">
        <v>731</v>
      </c>
      <c r="AH415" s="47">
        <v>0</v>
      </c>
      <c r="AI415" s="47" t="s">
        <v>735</v>
      </c>
      <c r="AJ415">
        <v>1</v>
      </c>
      <c r="AK415">
        <v>100</v>
      </c>
    </row>
    <row r="416" spans="1:37" x14ac:dyDescent="0.2">
      <c r="A416" t="s">
        <v>1220</v>
      </c>
      <c r="B416" t="s">
        <v>361</v>
      </c>
      <c r="C416">
        <v>2016</v>
      </c>
      <c r="D416">
        <v>1</v>
      </c>
      <c r="E416" t="s">
        <v>1221</v>
      </c>
      <c r="F416" t="s">
        <v>362</v>
      </c>
      <c r="G416">
        <v>4.2277430000000003</v>
      </c>
      <c r="H416" s="20">
        <f>IF(AND(A416=A415,F416=F415,F416="Winter wheat"),G416*0.9*'BAU Management details'!$F$46,
IF(AND(OR(A416&lt;&gt;A415,F416&lt;&gt;F415),F416="Winter wheat"),G416*'BAU Management details'!$F$46,
IF(F416="Oilseed Rape",G416*'BAU Management details'!$F$47)))</f>
        <v>36.358589799999997</v>
      </c>
      <c r="I416" t="s">
        <v>348</v>
      </c>
      <c r="J416">
        <v>10</v>
      </c>
      <c r="K416" t="s">
        <v>362</v>
      </c>
      <c r="L416" t="s">
        <v>727</v>
      </c>
      <c r="M416">
        <v>4.5999999999999996</v>
      </c>
      <c r="N416" t="s">
        <v>349</v>
      </c>
      <c r="O416" t="s">
        <v>742</v>
      </c>
      <c r="P416">
        <v>6.6</v>
      </c>
      <c r="Q416" t="s">
        <v>743</v>
      </c>
      <c r="R416" t="s">
        <v>351</v>
      </c>
      <c r="S416">
        <v>220</v>
      </c>
      <c r="T416" s="47" t="s">
        <v>729</v>
      </c>
      <c r="U416" t="s">
        <v>366</v>
      </c>
      <c r="V416" t="s">
        <v>367</v>
      </c>
      <c r="W416" s="47" t="s">
        <v>736</v>
      </c>
      <c r="X416" s="47">
        <v>0</v>
      </c>
      <c r="Y416" s="47" t="s">
        <v>730</v>
      </c>
      <c r="Z416" s="47">
        <v>0</v>
      </c>
      <c r="AA416" s="47" t="s">
        <v>731</v>
      </c>
      <c r="AB416" s="47">
        <v>0</v>
      </c>
      <c r="AC416" s="47" t="s">
        <v>731</v>
      </c>
      <c r="AD416" s="47" t="s">
        <v>731</v>
      </c>
      <c r="AE416" s="47" t="s">
        <v>731</v>
      </c>
      <c r="AF416" s="47">
        <v>0</v>
      </c>
      <c r="AG416" s="47">
        <v>0</v>
      </c>
      <c r="AH416" s="47">
        <v>0</v>
      </c>
      <c r="AI416" s="47" t="s">
        <v>729</v>
      </c>
      <c r="AJ416">
        <v>1</v>
      </c>
      <c r="AK416">
        <v>100</v>
      </c>
    </row>
    <row r="417" spans="1:37" x14ac:dyDescent="0.2">
      <c r="A417" t="s">
        <v>1220</v>
      </c>
      <c r="B417" t="s">
        <v>361</v>
      </c>
      <c r="C417">
        <v>2017</v>
      </c>
      <c r="D417">
        <v>2</v>
      </c>
      <c r="E417" t="s">
        <v>1222</v>
      </c>
      <c r="F417" t="s">
        <v>362</v>
      </c>
      <c r="G417">
        <v>4.2277430000000003</v>
      </c>
      <c r="H417" s="20">
        <f>IF(AND(A417=A416,F417=F416,F417="Winter wheat"),G417*0.9*'BAU Management details'!$F$46,
IF(AND(OR(A417&lt;&gt;A416,F417&lt;&gt;F416),F417="Winter wheat"),G417*'BAU Management details'!$F$46,
IF(F417="Oilseed Rape",G417*'BAU Management details'!$F$47)))</f>
        <v>32.722730820000002</v>
      </c>
      <c r="I417" t="s">
        <v>348</v>
      </c>
      <c r="J417">
        <v>10</v>
      </c>
      <c r="K417" t="s">
        <v>362</v>
      </c>
      <c r="L417" t="s">
        <v>727</v>
      </c>
      <c r="M417">
        <v>4.5999999999999996</v>
      </c>
      <c r="N417" t="s">
        <v>349</v>
      </c>
      <c r="O417" t="s">
        <v>742</v>
      </c>
      <c r="P417">
        <v>6.6</v>
      </c>
      <c r="Q417" t="s">
        <v>743</v>
      </c>
      <c r="R417" t="s">
        <v>351</v>
      </c>
      <c r="S417">
        <v>220</v>
      </c>
      <c r="T417" s="47" t="s">
        <v>729</v>
      </c>
      <c r="U417" t="s">
        <v>733</v>
      </c>
      <c r="V417" t="s">
        <v>369</v>
      </c>
      <c r="W417" s="47" t="s">
        <v>736</v>
      </c>
      <c r="X417" s="47">
        <v>0</v>
      </c>
      <c r="Y417" s="47" t="s">
        <v>730</v>
      </c>
      <c r="Z417" s="47">
        <v>0</v>
      </c>
      <c r="AA417" s="47" t="s">
        <v>731</v>
      </c>
      <c r="AB417" s="47">
        <v>0</v>
      </c>
      <c r="AC417" s="47">
        <v>0</v>
      </c>
      <c r="AD417" s="47">
        <v>0</v>
      </c>
      <c r="AE417" s="47" t="s">
        <v>731</v>
      </c>
      <c r="AF417" s="47">
        <v>0</v>
      </c>
      <c r="AG417" s="47">
        <v>0</v>
      </c>
      <c r="AH417" s="47">
        <v>0</v>
      </c>
      <c r="AI417" s="47" t="s">
        <v>729</v>
      </c>
      <c r="AJ417">
        <v>1</v>
      </c>
      <c r="AK417">
        <v>100</v>
      </c>
    </row>
    <row r="418" spans="1:37" x14ac:dyDescent="0.2">
      <c r="A418" t="s">
        <v>1220</v>
      </c>
      <c r="B418" t="s">
        <v>361</v>
      </c>
      <c r="C418">
        <v>2018</v>
      </c>
      <c r="D418">
        <v>3</v>
      </c>
      <c r="E418" t="s">
        <v>1223</v>
      </c>
      <c r="F418" t="s">
        <v>365</v>
      </c>
      <c r="G418">
        <v>4.2277430000000003</v>
      </c>
      <c r="H418" s="20">
        <f>IF(AND(A418=A417,F418=F417,F418="Winter wheat"),G418*0.9*'BAU Management details'!$F$46,
IF(AND(OR(A418&lt;&gt;A417,F418&lt;&gt;F417),F418="Winter wheat"),G418*'BAU Management details'!$F$46,
IF(F418="Oilseed Rape",G418*'BAU Management details'!$F$47)))</f>
        <v>14.797100500000001</v>
      </c>
      <c r="I418" t="s">
        <v>348</v>
      </c>
      <c r="J418">
        <v>10</v>
      </c>
      <c r="K418" t="s">
        <v>532</v>
      </c>
      <c r="L418" t="s">
        <v>727</v>
      </c>
      <c r="M418">
        <v>4.5999999999999996</v>
      </c>
      <c r="N418" t="s">
        <v>349</v>
      </c>
      <c r="O418" t="s">
        <v>742</v>
      </c>
      <c r="P418">
        <v>6.6</v>
      </c>
      <c r="Q418" t="s">
        <v>743</v>
      </c>
      <c r="R418" t="s">
        <v>351</v>
      </c>
      <c r="S418">
        <v>220</v>
      </c>
      <c r="T418" s="47" t="s">
        <v>735</v>
      </c>
      <c r="U418" t="s">
        <v>368</v>
      </c>
      <c r="V418" t="s">
        <v>364</v>
      </c>
      <c r="W418" s="47" t="s">
        <v>736</v>
      </c>
      <c r="X418" s="47">
        <v>0</v>
      </c>
      <c r="Y418" s="47" t="s">
        <v>736</v>
      </c>
      <c r="Z418" s="47">
        <v>0</v>
      </c>
      <c r="AA418" s="47" t="s">
        <v>736</v>
      </c>
      <c r="AB418" s="47">
        <v>0</v>
      </c>
      <c r="AC418" s="47">
        <v>0</v>
      </c>
      <c r="AD418" s="47">
        <v>0</v>
      </c>
      <c r="AE418" s="47" t="s">
        <v>731</v>
      </c>
      <c r="AF418" s="47">
        <v>0</v>
      </c>
      <c r="AG418" s="47" t="s">
        <v>731</v>
      </c>
      <c r="AH418" s="47">
        <v>0</v>
      </c>
      <c r="AI418" s="47" t="s">
        <v>735</v>
      </c>
      <c r="AJ418">
        <v>1</v>
      </c>
      <c r="AK418">
        <v>100</v>
      </c>
    </row>
    <row r="419" spans="1:37" x14ac:dyDescent="0.2">
      <c r="A419" t="s">
        <v>1220</v>
      </c>
      <c r="B419" t="s">
        <v>361</v>
      </c>
      <c r="C419">
        <v>2019</v>
      </c>
      <c r="D419">
        <v>4</v>
      </c>
      <c r="E419" t="s">
        <v>1224</v>
      </c>
      <c r="F419" t="s">
        <v>362</v>
      </c>
      <c r="G419">
        <v>4.2277430000000003</v>
      </c>
      <c r="H419" s="20">
        <f>IF(AND(A419=A418,F419=F418,F419="Winter wheat"),G419*0.9*'BAU Management details'!$F$46,
IF(AND(OR(A419&lt;&gt;A418,F419&lt;&gt;F418),F419="Winter wheat"),G419*'BAU Management details'!$F$46,
IF(F419="Oilseed Rape",G419*'BAU Management details'!$F$47)))</f>
        <v>36.358589799999997</v>
      </c>
      <c r="I419" t="s">
        <v>348</v>
      </c>
      <c r="J419">
        <v>10</v>
      </c>
      <c r="K419" t="s">
        <v>362</v>
      </c>
      <c r="L419" t="s">
        <v>727</v>
      </c>
      <c r="M419">
        <v>4.5999999999999996</v>
      </c>
      <c r="N419" t="s">
        <v>349</v>
      </c>
      <c r="O419" t="s">
        <v>742</v>
      </c>
      <c r="P419">
        <v>6.6</v>
      </c>
      <c r="Q419" t="s">
        <v>743</v>
      </c>
      <c r="R419" t="s">
        <v>351</v>
      </c>
      <c r="S419">
        <v>220</v>
      </c>
      <c r="T419" s="47" t="s">
        <v>729</v>
      </c>
      <c r="U419" t="s">
        <v>366</v>
      </c>
      <c r="V419" t="s">
        <v>367</v>
      </c>
      <c r="W419" s="47" t="s">
        <v>736</v>
      </c>
      <c r="X419" s="47">
        <v>0</v>
      </c>
      <c r="Y419" s="47" t="s">
        <v>730</v>
      </c>
      <c r="Z419" s="47">
        <v>0</v>
      </c>
      <c r="AA419" s="47" t="s">
        <v>731</v>
      </c>
      <c r="AB419" s="47">
        <v>0</v>
      </c>
      <c r="AC419" s="47" t="s">
        <v>731</v>
      </c>
      <c r="AD419" s="47" t="s">
        <v>731</v>
      </c>
      <c r="AE419" s="47" t="s">
        <v>731</v>
      </c>
      <c r="AF419" s="47">
        <v>0</v>
      </c>
      <c r="AG419" s="47">
        <v>0</v>
      </c>
      <c r="AH419" s="47">
        <v>0</v>
      </c>
      <c r="AI419" s="47" t="s">
        <v>729</v>
      </c>
      <c r="AJ419">
        <v>1</v>
      </c>
      <c r="AK419">
        <v>100</v>
      </c>
    </row>
    <row r="420" spans="1:37" x14ac:dyDescent="0.2">
      <c r="A420" t="s">
        <v>1220</v>
      </c>
      <c r="B420" t="s">
        <v>361</v>
      </c>
      <c r="C420">
        <v>2020</v>
      </c>
      <c r="D420">
        <v>5</v>
      </c>
      <c r="E420" t="s">
        <v>1225</v>
      </c>
      <c r="F420" t="s">
        <v>362</v>
      </c>
      <c r="G420">
        <v>4.2277430000000003</v>
      </c>
      <c r="H420" s="20">
        <f>IF(AND(A420=A419,F420=F419,F420="Winter wheat"),G420*0.9*'BAU Management details'!$F$46,
IF(AND(OR(A420&lt;&gt;A419,F420&lt;&gt;F419),F420="Winter wheat"),G420*'BAU Management details'!$F$46,
IF(F420="Oilseed Rape",G420*'BAU Management details'!$F$47)))</f>
        <v>32.722730820000002</v>
      </c>
      <c r="I420" t="s">
        <v>348</v>
      </c>
      <c r="J420">
        <v>10</v>
      </c>
      <c r="K420" t="s">
        <v>362</v>
      </c>
      <c r="L420" t="s">
        <v>727</v>
      </c>
      <c r="M420">
        <v>4.5999999999999996</v>
      </c>
      <c r="N420" t="s">
        <v>349</v>
      </c>
      <c r="O420" t="s">
        <v>742</v>
      </c>
      <c r="P420">
        <v>6.6</v>
      </c>
      <c r="Q420" t="s">
        <v>743</v>
      </c>
      <c r="R420" t="s">
        <v>351</v>
      </c>
      <c r="S420">
        <v>220</v>
      </c>
      <c r="T420" s="47" t="s">
        <v>729</v>
      </c>
      <c r="U420" t="s">
        <v>733</v>
      </c>
      <c r="V420" t="s">
        <v>369</v>
      </c>
      <c r="W420" s="47" t="s">
        <v>736</v>
      </c>
      <c r="X420" s="47">
        <v>0</v>
      </c>
      <c r="Y420" s="47" t="s">
        <v>730</v>
      </c>
      <c r="Z420" s="47">
        <v>0</v>
      </c>
      <c r="AA420" s="47" t="s">
        <v>731</v>
      </c>
      <c r="AB420" s="47">
        <v>0</v>
      </c>
      <c r="AC420" s="47">
        <v>0</v>
      </c>
      <c r="AD420" s="47">
        <v>0</v>
      </c>
      <c r="AE420" s="47" t="s">
        <v>731</v>
      </c>
      <c r="AF420" s="47">
        <v>0</v>
      </c>
      <c r="AG420" s="47">
        <v>0</v>
      </c>
      <c r="AH420" s="47">
        <v>0</v>
      </c>
      <c r="AI420" s="47" t="s">
        <v>729</v>
      </c>
      <c r="AJ420">
        <v>1</v>
      </c>
      <c r="AK420">
        <v>100</v>
      </c>
    </row>
    <row r="421" spans="1:37" x14ac:dyDescent="0.2">
      <c r="A421" t="s">
        <v>1220</v>
      </c>
      <c r="B421" t="s">
        <v>361</v>
      </c>
      <c r="C421">
        <v>2021</v>
      </c>
      <c r="D421">
        <v>6</v>
      </c>
      <c r="E421" t="s">
        <v>1226</v>
      </c>
      <c r="F421" t="s">
        <v>365</v>
      </c>
      <c r="G421">
        <v>4.2277430000000003</v>
      </c>
      <c r="H421" s="20">
        <f>IF(AND(A421=A420,F421=F420,F421="Winter wheat"),G421*0.9*'BAU Management details'!$F$46,
IF(AND(OR(A421&lt;&gt;A420,F421&lt;&gt;F420),F421="Winter wheat"),G421*'BAU Management details'!$F$46,
IF(F421="Oilseed Rape",G421*'BAU Management details'!$F$47)))</f>
        <v>14.797100500000001</v>
      </c>
      <c r="I421" t="s">
        <v>348</v>
      </c>
      <c r="J421">
        <v>10</v>
      </c>
      <c r="K421" t="s">
        <v>532</v>
      </c>
      <c r="L421" t="s">
        <v>727</v>
      </c>
      <c r="M421">
        <v>4.5999999999999996</v>
      </c>
      <c r="N421" t="s">
        <v>349</v>
      </c>
      <c r="O421" t="s">
        <v>742</v>
      </c>
      <c r="P421">
        <v>6.6</v>
      </c>
      <c r="Q421" t="s">
        <v>743</v>
      </c>
      <c r="R421" t="s">
        <v>351</v>
      </c>
      <c r="S421">
        <v>220</v>
      </c>
      <c r="T421" s="47" t="s">
        <v>735</v>
      </c>
      <c r="U421" t="s">
        <v>368</v>
      </c>
      <c r="V421" t="s">
        <v>364</v>
      </c>
      <c r="W421" s="47" t="s">
        <v>736</v>
      </c>
      <c r="X421" s="47">
        <v>0</v>
      </c>
      <c r="Y421" s="47" t="s">
        <v>736</v>
      </c>
      <c r="Z421" s="47">
        <v>0</v>
      </c>
      <c r="AA421" s="47" t="s">
        <v>736</v>
      </c>
      <c r="AB421" s="47">
        <v>0</v>
      </c>
      <c r="AC421" s="47">
        <v>0</v>
      </c>
      <c r="AD421" s="47">
        <v>0</v>
      </c>
      <c r="AE421" s="47" t="s">
        <v>731</v>
      </c>
      <c r="AF421" s="47">
        <v>0</v>
      </c>
      <c r="AG421" s="47" t="s">
        <v>731</v>
      </c>
      <c r="AH421" s="47">
        <v>0</v>
      </c>
      <c r="AI421" s="47" t="s">
        <v>735</v>
      </c>
      <c r="AJ421">
        <v>1</v>
      </c>
      <c r="AK421">
        <v>100</v>
      </c>
    </row>
    <row r="422" spans="1:37" x14ac:dyDescent="0.2">
      <c r="A422" t="s">
        <v>1227</v>
      </c>
      <c r="B422" t="s">
        <v>361</v>
      </c>
      <c r="C422">
        <v>2016</v>
      </c>
      <c r="D422">
        <v>1</v>
      </c>
      <c r="E422" t="s">
        <v>1228</v>
      </c>
      <c r="F422" t="s">
        <v>362</v>
      </c>
      <c r="G422">
        <v>6.7985379999999997</v>
      </c>
      <c r="H422" s="20">
        <f>IF(AND(A422=A421,F422=F421,F422="Winter wheat"),G422*0.9*'BAU Management details'!$F$46,
IF(AND(OR(A422&lt;&gt;A421,F422&lt;&gt;F421),F422="Winter wheat"),G422*'BAU Management details'!$F$46,
IF(F422="Oilseed Rape",G422*'BAU Management details'!$F$47)))</f>
        <v>58.467426799999998</v>
      </c>
      <c r="I422" t="s">
        <v>348</v>
      </c>
      <c r="J422">
        <v>10</v>
      </c>
      <c r="K422" t="s">
        <v>362</v>
      </c>
      <c r="L422" t="s">
        <v>727</v>
      </c>
      <c r="M422">
        <v>4.5999999999999996</v>
      </c>
      <c r="N422" t="s">
        <v>349</v>
      </c>
      <c r="O422" t="s">
        <v>742</v>
      </c>
      <c r="P422">
        <v>6.6</v>
      </c>
      <c r="Q422" t="s">
        <v>743</v>
      </c>
      <c r="R422" t="s">
        <v>351</v>
      </c>
      <c r="S422">
        <v>220</v>
      </c>
      <c r="T422" s="47" t="s">
        <v>729</v>
      </c>
      <c r="U422" t="s">
        <v>366</v>
      </c>
      <c r="V422" t="s">
        <v>367</v>
      </c>
      <c r="W422" s="47" t="s">
        <v>736</v>
      </c>
      <c r="X422" s="47">
        <v>0</v>
      </c>
      <c r="Y422" s="47" t="s">
        <v>730</v>
      </c>
      <c r="Z422" s="47">
        <v>0</v>
      </c>
      <c r="AA422" s="47" t="s">
        <v>731</v>
      </c>
      <c r="AB422" s="47">
        <v>0</v>
      </c>
      <c r="AC422" s="47" t="s">
        <v>731</v>
      </c>
      <c r="AD422" s="47" t="s">
        <v>731</v>
      </c>
      <c r="AE422" s="47" t="s">
        <v>731</v>
      </c>
      <c r="AF422" s="47">
        <v>0</v>
      </c>
      <c r="AG422" s="47">
        <v>0</v>
      </c>
      <c r="AH422" s="47">
        <v>0</v>
      </c>
      <c r="AI422" s="47" t="s">
        <v>729</v>
      </c>
      <c r="AJ422">
        <v>1</v>
      </c>
      <c r="AK422">
        <v>100</v>
      </c>
    </row>
    <row r="423" spans="1:37" x14ac:dyDescent="0.2">
      <c r="A423" t="s">
        <v>1227</v>
      </c>
      <c r="B423" t="s">
        <v>361</v>
      </c>
      <c r="C423">
        <v>2017</v>
      </c>
      <c r="D423">
        <v>2</v>
      </c>
      <c r="E423" t="s">
        <v>1229</v>
      </c>
      <c r="F423" t="s">
        <v>362</v>
      </c>
      <c r="G423">
        <v>6.7985379999999997</v>
      </c>
      <c r="H423" s="20">
        <f>IF(AND(A423=A422,F423=F422,F423="Winter wheat"),G423*0.9*'BAU Management details'!$F$46,
IF(AND(OR(A423&lt;&gt;A422,F423&lt;&gt;F422),F423="Winter wheat"),G423*'BAU Management details'!$F$46,
IF(F423="Oilseed Rape",G423*'BAU Management details'!$F$47)))</f>
        <v>52.620684119999993</v>
      </c>
      <c r="I423" t="s">
        <v>348</v>
      </c>
      <c r="J423">
        <v>10</v>
      </c>
      <c r="K423" t="s">
        <v>362</v>
      </c>
      <c r="L423" t="s">
        <v>727</v>
      </c>
      <c r="M423">
        <v>4.5999999999999996</v>
      </c>
      <c r="N423" t="s">
        <v>349</v>
      </c>
      <c r="O423" t="s">
        <v>742</v>
      </c>
      <c r="P423">
        <v>6.6</v>
      </c>
      <c r="Q423" t="s">
        <v>743</v>
      </c>
      <c r="R423" t="s">
        <v>351</v>
      </c>
      <c r="S423">
        <v>220</v>
      </c>
      <c r="T423" s="47" t="s">
        <v>729</v>
      </c>
      <c r="U423" t="s">
        <v>733</v>
      </c>
      <c r="V423" t="s">
        <v>369</v>
      </c>
      <c r="W423" s="47" t="s">
        <v>736</v>
      </c>
      <c r="X423" s="47">
        <v>0</v>
      </c>
      <c r="Y423" s="47" t="s">
        <v>730</v>
      </c>
      <c r="Z423" s="47">
        <v>0</v>
      </c>
      <c r="AA423" s="47" t="s">
        <v>731</v>
      </c>
      <c r="AB423" s="47">
        <v>0</v>
      </c>
      <c r="AC423" s="47">
        <v>0</v>
      </c>
      <c r="AD423" s="47">
        <v>0</v>
      </c>
      <c r="AE423" s="47" t="s">
        <v>731</v>
      </c>
      <c r="AF423" s="47">
        <v>0</v>
      </c>
      <c r="AG423" s="47">
        <v>0</v>
      </c>
      <c r="AH423" s="47">
        <v>0</v>
      </c>
      <c r="AI423" s="47" t="s">
        <v>729</v>
      </c>
      <c r="AJ423">
        <v>1</v>
      </c>
      <c r="AK423">
        <v>100</v>
      </c>
    </row>
    <row r="424" spans="1:37" x14ac:dyDescent="0.2">
      <c r="A424" t="s">
        <v>1227</v>
      </c>
      <c r="B424" t="s">
        <v>361</v>
      </c>
      <c r="C424">
        <v>2018</v>
      </c>
      <c r="D424">
        <v>3</v>
      </c>
      <c r="E424" t="s">
        <v>1230</v>
      </c>
      <c r="F424" t="s">
        <v>365</v>
      </c>
      <c r="G424">
        <v>6.7985379999999997</v>
      </c>
      <c r="H424" s="20">
        <f>IF(AND(A424=A423,F424=F423,F424="Winter wheat"),G424*0.9*'BAU Management details'!$F$46,
IF(AND(OR(A424&lt;&gt;A423,F424&lt;&gt;F423),F424="Winter wheat"),G424*'BAU Management details'!$F$46,
IF(F424="Oilseed Rape",G424*'BAU Management details'!$F$47)))</f>
        <v>23.794882999999999</v>
      </c>
      <c r="I424" t="s">
        <v>348</v>
      </c>
      <c r="J424">
        <v>10</v>
      </c>
      <c r="K424" t="s">
        <v>532</v>
      </c>
      <c r="L424" t="s">
        <v>727</v>
      </c>
      <c r="M424">
        <v>4.5999999999999996</v>
      </c>
      <c r="N424" t="s">
        <v>349</v>
      </c>
      <c r="O424" t="s">
        <v>742</v>
      </c>
      <c r="P424">
        <v>6.6</v>
      </c>
      <c r="Q424" t="s">
        <v>743</v>
      </c>
      <c r="R424" t="s">
        <v>351</v>
      </c>
      <c r="S424">
        <v>220</v>
      </c>
      <c r="T424" s="47" t="s">
        <v>735</v>
      </c>
      <c r="U424" t="s">
        <v>368</v>
      </c>
      <c r="V424" t="s">
        <v>364</v>
      </c>
      <c r="W424" s="47" t="s">
        <v>736</v>
      </c>
      <c r="X424" s="47">
        <v>0</v>
      </c>
      <c r="Y424" s="47" t="s">
        <v>736</v>
      </c>
      <c r="Z424" s="47">
        <v>0</v>
      </c>
      <c r="AA424" s="47" t="s">
        <v>736</v>
      </c>
      <c r="AB424" s="47">
        <v>0</v>
      </c>
      <c r="AC424" s="47">
        <v>0</v>
      </c>
      <c r="AD424" s="47">
        <v>0</v>
      </c>
      <c r="AE424" s="47" t="s">
        <v>731</v>
      </c>
      <c r="AF424" s="47">
        <v>0</v>
      </c>
      <c r="AG424" s="47" t="s">
        <v>731</v>
      </c>
      <c r="AH424" s="47">
        <v>0</v>
      </c>
      <c r="AI424" s="47" t="s">
        <v>735</v>
      </c>
      <c r="AJ424">
        <v>1</v>
      </c>
      <c r="AK424">
        <v>100</v>
      </c>
    </row>
    <row r="425" spans="1:37" x14ac:dyDescent="0.2">
      <c r="A425" t="s">
        <v>1227</v>
      </c>
      <c r="B425" t="s">
        <v>361</v>
      </c>
      <c r="C425">
        <v>2019</v>
      </c>
      <c r="D425">
        <v>4</v>
      </c>
      <c r="E425" t="s">
        <v>1231</v>
      </c>
      <c r="F425" t="s">
        <v>362</v>
      </c>
      <c r="G425">
        <v>6.7985379999999997</v>
      </c>
      <c r="H425" s="20">
        <f>IF(AND(A425=A424,F425=F424,F425="Winter wheat"),G425*0.9*'BAU Management details'!$F$46,
IF(AND(OR(A425&lt;&gt;A424,F425&lt;&gt;F424),F425="Winter wheat"),G425*'BAU Management details'!$F$46,
IF(F425="Oilseed Rape",G425*'BAU Management details'!$F$47)))</f>
        <v>58.467426799999998</v>
      </c>
      <c r="I425" t="s">
        <v>348</v>
      </c>
      <c r="J425">
        <v>10</v>
      </c>
      <c r="K425" t="s">
        <v>362</v>
      </c>
      <c r="L425" t="s">
        <v>727</v>
      </c>
      <c r="M425">
        <v>4.5999999999999996</v>
      </c>
      <c r="N425" t="s">
        <v>349</v>
      </c>
      <c r="O425" t="s">
        <v>742</v>
      </c>
      <c r="P425">
        <v>6.6</v>
      </c>
      <c r="Q425" t="s">
        <v>743</v>
      </c>
      <c r="R425" t="s">
        <v>351</v>
      </c>
      <c r="S425">
        <v>220</v>
      </c>
      <c r="T425" s="47" t="s">
        <v>729</v>
      </c>
      <c r="U425" t="s">
        <v>366</v>
      </c>
      <c r="V425" t="s">
        <v>367</v>
      </c>
      <c r="W425" s="47" t="s">
        <v>736</v>
      </c>
      <c r="X425" s="47">
        <v>0</v>
      </c>
      <c r="Y425" s="47" t="s">
        <v>730</v>
      </c>
      <c r="Z425" s="47">
        <v>0</v>
      </c>
      <c r="AA425" s="47" t="s">
        <v>731</v>
      </c>
      <c r="AB425" s="47">
        <v>0</v>
      </c>
      <c r="AC425" s="47" t="s">
        <v>731</v>
      </c>
      <c r="AD425" s="47" t="s">
        <v>731</v>
      </c>
      <c r="AE425" s="47" t="s">
        <v>731</v>
      </c>
      <c r="AF425" s="47">
        <v>0</v>
      </c>
      <c r="AG425" s="47">
        <v>0</v>
      </c>
      <c r="AH425" s="47">
        <v>0</v>
      </c>
      <c r="AI425" s="47" t="s">
        <v>729</v>
      </c>
      <c r="AJ425">
        <v>1</v>
      </c>
      <c r="AK425">
        <v>100</v>
      </c>
    </row>
    <row r="426" spans="1:37" x14ac:dyDescent="0.2">
      <c r="A426" t="s">
        <v>1227</v>
      </c>
      <c r="B426" t="s">
        <v>361</v>
      </c>
      <c r="C426">
        <v>2020</v>
      </c>
      <c r="D426">
        <v>5</v>
      </c>
      <c r="E426" t="s">
        <v>1232</v>
      </c>
      <c r="F426" t="s">
        <v>362</v>
      </c>
      <c r="G426">
        <v>6.7985379999999997</v>
      </c>
      <c r="H426" s="20">
        <f>IF(AND(A426=A425,F426=F425,F426="Winter wheat"),G426*0.9*'BAU Management details'!$F$46,
IF(AND(OR(A426&lt;&gt;A425,F426&lt;&gt;F425),F426="Winter wheat"),G426*'BAU Management details'!$F$46,
IF(F426="Oilseed Rape",G426*'BAU Management details'!$F$47)))</f>
        <v>52.620684119999993</v>
      </c>
      <c r="I426" t="s">
        <v>348</v>
      </c>
      <c r="J426">
        <v>10</v>
      </c>
      <c r="K426" t="s">
        <v>362</v>
      </c>
      <c r="L426" t="s">
        <v>727</v>
      </c>
      <c r="M426">
        <v>4.5999999999999996</v>
      </c>
      <c r="N426" t="s">
        <v>349</v>
      </c>
      <c r="O426" t="s">
        <v>742</v>
      </c>
      <c r="P426">
        <v>6.6</v>
      </c>
      <c r="Q426" t="s">
        <v>743</v>
      </c>
      <c r="R426" t="s">
        <v>351</v>
      </c>
      <c r="S426">
        <v>220</v>
      </c>
      <c r="T426" s="47" t="s">
        <v>729</v>
      </c>
      <c r="U426" t="s">
        <v>733</v>
      </c>
      <c r="V426" t="s">
        <v>369</v>
      </c>
      <c r="W426" s="47" t="s">
        <v>736</v>
      </c>
      <c r="X426" s="47">
        <v>0</v>
      </c>
      <c r="Y426" s="47" t="s">
        <v>730</v>
      </c>
      <c r="Z426" s="47">
        <v>0</v>
      </c>
      <c r="AA426" s="47" t="s">
        <v>731</v>
      </c>
      <c r="AB426" s="47">
        <v>0</v>
      </c>
      <c r="AC426" s="47">
        <v>0</v>
      </c>
      <c r="AD426" s="47">
        <v>0</v>
      </c>
      <c r="AE426" s="47" t="s">
        <v>731</v>
      </c>
      <c r="AF426" s="47">
        <v>0</v>
      </c>
      <c r="AG426" s="47">
        <v>0</v>
      </c>
      <c r="AH426" s="47">
        <v>0</v>
      </c>
      <c r="AI426" s="47" t="s">
        <v>729</v>
      </c>
      <c r="AJ426">
        <v>1</v>
      </c>
      <c r="AK426">
        <v>100</v>
      </c>
    </row>
    <row r="427" spans="1:37" x14ac:dyDescent="0.2">
      <c r="A427" t="s">
        <v>1227</v>
      </c>
      <c r="B427" t="s">
        <v>361</v>
      </c>
      <c r="C427">
        <v>2021</v>
      </c>
      <c r="D427">
        <v>6</v>
      </c>
      <c r="E427" t="s">
        <v>1233</v>
      </c>
      <c r="F427" t="s">
        <v>365</v>
      </c>
      <c r="G427">
        <v>6.7985379999999997</v>
      </c>
      <c r="H427" s="20">
        <f>IF(AND(A427=A426,F427=F426,F427="Winter wheat"),G427*0.9*'BAU Management details'!$F$46,
IF(AND(OR(A427&lt;&gt;A426,F427&lt;&gt;F426),F427="Winter wheat"),G427*'BAU Management details'!$F$46,
IF(F427="Oilseed Rape",G427*'BAU Management details'!$F$47)))</f>
        <v>23.794882999999999</v>
      </c>
      <c r="I427" t="s">
        <v>348</v>
      </c>
      <c r="J427">
        <v>10</v>
      </c>
      <c r="K427" t="s">
        <v>532</v>
      </c>
      <c r="L427" t="s">
        <v>727</v>
      </c>
      <c r="M427">
        <v>4.5999999999999996</v>
      </c>
      <c r="N427" t="s">
        <v>349</v>
      </c>
      <c r="O427" t="s">
        <v>742</v>
      </c>
      <c r="P427">
        <v>6.6</v>
      </c>
      <c r="Q427" t="s">
        <v>743</v>
      </c>
      <c r="R427" t="s">
        <v>351</v>
      </c>
      <c r="S427">
        <v>220</v>
      </c>
      <c r="T427" s="47" t="s">
        <v>735</v>
      </c>
      <c r="U427" t="s">
        <v>368</v>
      </c>
      <c r="V427" t="s">
        <v>364</v>
      </c>
      <c r="W427" s="47" t="s">
        <v>736</v>
      </c>
      <c r="X427" s="47">
        <v>0</v>
      </c>
      <c r="Y427" s="47" t="s">
        <v>736</v>
      </c>
      <c r="Z427" s="47">
        <v>0</v>
      </c>
      <c r="AA427" s="47" t="s">
        <v>736</v>
      </c>
      <c r="AB427" s="47">
        <v>0</v>
      </c>
      <c r="AC427" s="47">
        <v>0</v>
      </c>
      <c r="AD427" s="47">
        <v>0</v>
      </c>
      <c r="AE427" s="47" t="s">
        <v>731</v>
      </c>
      <c r="AF427" s="47">
        <v>0</v>
      </c>
      <c r="AG427" s="47" t="s">
        <v>731</v>
      </c>
      <c r="AH427" s="47">
        <v>0</v>
      </c>
      <c r="AI427" s="47" t="s">
        <v>735</v>
      </c>
      <c r="AJ427">
        <v>1</v>
      </c>
      <c r="AK427">
        <v>100</v>
      </c>
    </row>
    <row r="428" spans="1:37" x14ac:dyDescent="0.2">
      <c r="A428" t="s">
        <v>1234</v>
      </c>
      <c r="B428" t="s">
        <v>361</v>
      </c>
      <c r="C428">
        <v>2016</v>
      </c>
      <c r="D428">
        <v>1</v>
      </c>
      <c r="E428" t="s">
        <v>1235</v>
      </c>
      <c r="F428" t="s">
        <v>362</v>
      </c>
      <c r="G428">
        <v>7.9228120000000004</v>
      </c>
      <c r="H428" s="20">
        <f>IF(AND(A428=A427,F428=F427,F428="Winter wheat"),G428*0.9*'BAU Management details'!$F$46,
IF(AND(OR(A428&lt;&gt;A427,F428&lt;&gt;F427),F428="Winter wheat"),G428*'BAU Management details'!$F$46,
IF(F428="Oilseed Rape",G428*'BAU Management details'!$F$47)))</f>
        <v>68.136183200000005</v>
      </c>
      <c r="I428" t="s">
        <v>348</v>
      </c>
      <c r="J428">
        <v>10</v>
      </c>
      <c r="K428" t="s">
        <v>362</v>
      </c>
      <c r="L428" t="s">
        <v>751</v>
      </c>
      <c r="M428">
        <v>2.9</v>
      </c>
      <c r="N428" t="s">
        <v>349</v>
      </c>
      <c r="O428" t="s">
        <v>350</v>
      </c>
      <c r="P428">
        <v>7.7</v>
      </c>
      <c r="Q428" t="s">
        <v>728</v>
      </c>
      <c r="R428" t="s">
        <v>351</v>
      </c>
      <c r="S428">
        <v>220</v>
      </c>
      <c r="T428" s="47" t="s">
        <v>729</v>
      </c>
      <c r="U428" t="s">
        <v>366</v>
      </c>
      <c r="V428" t="s">
        <v>367</v>
      </c>
      <c r="W428" s="47" t="s">
        <v>736</v>
      </c>
      <c r="X428" s="47">
        <v>0</v>
      </c>
      <c r="Y428" s="47" t="s">
        <v>730</v>
      </c>
      <c r="Z428" s="47">
        <v>0</v>
      </c>
      <c r="AA428" s="47" t="s">
        <v>731</v>
      </c>
      <c r="AB428" s="47">
        <v>0</v>
      </c>
      <c r="AC428" s="47" t="s">
        <v>731</v>
      </c>
      <c r="AD428" s="47" t="s">
        <v>731</v>
      </c>
      <c r="AE428" s="47" t="s">
        <v>731</v>
      </c>
      <c r="AF428" s="47">
        <v>0</v>
      </c>
      <c r="AG428" s="47">
        <v>0</v>
      </c>
      <c r="AH428" s="47">
        <v>0</v>
      </c>
      <c r="AI428" s="47" t="s">
        <v>729</v>
      </c>
      <c r="AJ428">
        <v>1</v>
      </c>
      <c r="AK428">
        <v>100</v>
      </c>
    </row>
    <row r="429" spans="1:37" x14ac:dyDescent="0.2">
      <c r="A429" t="s">
        <v>1234</v>
      </c>
      <c r="B429" t="s">
        <v>361</v>
      </c>
      <c r="C429">
        <v>2017</v>
      </c>
      <c r="D429">
        <v>2</v>
      </c>
      <c r="E429" t="s">
        <v>1236</v>
      </c>
      <c r="F429" t="s">
        <v>362</v>
      </c>
      <c r="G429">
        <v>7.9228120000000004</v>
      </c>
      <c r="H429" s="20">
        <f>IF(AND(A429=A428,F429=F428,F429="Winter wheat"),G429*0.9*'BAU Management details'!$F$46,
IF(AND(OR(A429&lt;&gt;A428,F429&lt;&gt;F428),F429="Winter wheat"),G429*'BAU Management details'!$F$46,
IF(F429="Oilseed Rape",G429*'BAU Management details'!$F$47)))</f>
        <v>61.322564880000002</v>
      </c>
      <c r="I429" t="s">
        <v>348</v>
      </c>
      <c r="J429">
        <v>10</v>
      </c>
      <c r="K429" t="s">
        <v>362</v>
      </c>
      <c r="L429" t="s">
        <v>751</v>
      </c>
      <c r="M429">
        <v>2.9</v>
      </c>
      <c r="N429" t="s">
        <v>349</v>
      </c>
      <c r="O429" t="s">
        <v>350</v>
      </c>
      <c r="P429">
        <v>7.7</v>
      </c>
      <c r="Q429" t="s">
        <v>728</v>
      </c>
      <c r="R429" t="s">
        <v>351</v>
      </c>
      <c r="S429">
        <v>220</v>
      </c>
      <c r="T429" s="47" t="s">
        <v>729</v>
      </c>
      <c r="U429" t="s">
        <v>733</v>
      </c>
      <c r="V429" t="s">
        <v>369</v>
      </c>
      <c r="W429" s="47" t="s">
        <v>736</v>
      </c>
      <c r="X429" s="47">
        <v>0</v>
      </c>
      <c r="Y429" s="47" t="s">
        <v>730</v>
      </c>
      <c r="Z429" s="47">
        <v>0</v>
      </c>
      <c r="AA429" s="47" t="s">
        <v>731</v>
      </c>
      <c r="AB429" s="47">
        <v>0</v>
      </c>
      <c r="AC429" s="47">
        <v>0</v>
      </c>
      <c r="AD429" s="47">
        <v>0</v>
      </c>
      <c r="AE429" s="47" t="s">
        <v>731</v>
      </c>
      <c r="AF429" s="47">
        <v>0</v>
      </c>
      <c r="AG429" s="47">
        <v>0</v>
      </c>
      <c r="AH429" s="47">
        <v>0</v>
      </c>
      <c r="AI429" s="47" t="s">
        <v>729</v>
      </c>
      <c r="AJ429">
        <v>1</v>
      </c>
      <c r="AK429">
        <v>100</v>
      </c>
    </row>
    <row r="430" spans="1:37" x14ac:dyDescent="0.2">
      <c r="A430" t="s">
        <v>1234</v>
      </c>
      <c r="B430" t="s">
        <v>361</v>
      </c>
      <c r="C430">
        <v>2018</v>
      </c>
      <c r="D430">
        <v>3</v>
      </c>
      <c r="E430" t="s">
        <v>1237</v>
      </c>
      <c r="F430" t="s">
        <v>365</v>
      </c>
      <c r="G430">
        <v>7.9228120000000004</v>
      </c>
      <c r="H430" s="20">
        <f>IF(AND(A430=A429,F430=F429,F430="Winter wheat"),G430*0.9*'BAU Management details'!$F$46,
IF(AND(OR(A430&lt;&gt;A429,F430&lt;&gt;F429),F430="Winter wheat"),G430*'BAU Management details'!$F$46,
IF(F430="Oilseed Rape",G430*'BAU Management details'!$F$47)))</f>
        <v>27.729842000000001</v>
      </c>
      <c r="I430" t="s">
        <v>348</v>
      </c>
      <c r="J430">
        <v>10</v>
      </c>
      <c r="K430" t="s">
        <v>532</v>
      </c>
      <c r="L430" t="s">
        <v>751</v>
      </c>
      <c r="M430">
        <v>2.9</v>
      </c>
      <c r="N430" t="s">
        <v>349</v>
      </c>
      <c r="O430" t="s">
        <v>350</v>
      </c>
      <c r="P430">
        <v>7.7</v>
      </c>
      <c r="Q430" t="s">
        <v>728</v>
      </c>
      <c r="R430" t="s">
        <v>351</v>
      </c>
      <c r="S430">
        <v>220</v>
      </c>
      <c r="T430" s="47" t="s">
        <v>735</v>
      </c>
      <c r="U430" t="s">
        <v>368</v>
      </c>
      <c r="V430" t="s">
        <v>364</v>
      </c>
      <c r="W430" s="47" t="s">
        <v>736</v>
      </c>
      <c r="X430" s="47">
        <v>0</v>
      </c>
      <c r="Y430" s="47" t="s">
        <v>736</v>
      </c>
      <c r="Z430" s="47">
        <v>0</v>
      </c>
      <c r="AA430" s="47" t="s">
        <v>736</v>
      </c>
      <c r="AB430" s="47">
        <v>0</v>
      </c>
      <c r="AC430" s="47">
        <v>0</v>
      </c>
      <c r="AD430" s="47">
        <v>0</v>
      </c>
      <c r="AE430" s="47" t="s">
        <v>731</v>
      </c>
      <c r="AF430" s="47">
        <v>0</v>
      </c>
      <c r="AG430" s="47" t="s">
        <v>731</v>
      </c>
      <c r="AH430" s="47">
        <v>0</v>
      </c>
      <c r="AI430" s="47" t="s">
        <v>735</v>
      </c>
      <c r="AJ430">
        <v>1</v>
      </c>
      <c r="AK430">
        <v>100</v>
      </c>
    </row>
    <row r="431" spans="1:37" x14ac:dyDescent="0.2">
      <c r="A431" t="s">
        <v>1234</v>
      </c>
      <c r="B431" t="s">
        <v>361</v>
      </c>
      <c r="C431">
        <v>2019</v>
      </c>
      <c r="D431">
        <v>4</v>
      </c>
      <c r="E431" t="s">
        <v>1238</v>
      </c>
      <c r="F431" t="s">
        <v>362</v>
      </c>
      <c r="G431">
        <v>7.9228120000000004</v>
      </c>
      <c r="H431" s="20">
        <f>IF(AND(A431=A430,F431=F430,F431="Winter wheat"),G431*0.9*'BAU Management details'!$F$46,
IF(AND(OR(A431&lt;&gt;A430,F431&lt;&gt;F430),F431="Winter wheat"),G431*'BAU Management details'!$F$46,
IF(F431="Oilseed Rape",G431*'BAU Management details'!$F$47)))</f>
        <v>68.136183200000005</v>
      </c>
      <c r="I431" t="s">
        <v>348</v>
      </c>
      <c r="J431">
        <v>10</v>
      </c>
      <c r="K431" t="s">
        <v>362</v>
      </c>
      <c r="L431" t="s">
        <v>751</v>
      </c>
      <c r="M431">
        <v>2.9</v>
      </c>
      <c r="N431" t="s">
        <v>349</v>
      </c>
      <c r="O431" t="s">
        <v>350</v>
      </c>
      <c r="P431">
        <v>7.7</v>
      </c>
      <c r="Q431" t="s">
        <v>728</v>
      </c>
      <c r="R431" t="s">
        <v>351</v>
      </c>
      <c r="S431">
        <v>220</v>
      </c>
      <c r="T431" s="47" t="s">
        <v>729</v>
      </c>
      <c r="U431" t="s">
        <v>366</v>
      </c>
      <c r="V431" t="s">
        <v>367</v>
      </c>
      <c r="W431" s="47" t="s">
        <v>736</v>
      </c>
      <c r="X431" s="47">
        <v>0</v>
      </c>
      <c r="Y431" s="47" t="s">
        <v>730</v>
      </c>
      <c r="Z431" s="47">
        <v>0</v>
      </c>
      <c r="AA431" s="47" t="s">
        <v>731</v>
      </c>
      <c r="AB431" s="47">
        <v>0</v>
      </c>
      <c r="AC431" s="47" t="s">
        <v>731</v>
      </c>
      <c r="AD431" s="47" t="s">
        <v>731</v>
      </c>
      <c r="AE431" s="47" t="s">
        <v>731</v>
      </c>
      <c r="AF431" s="47">
        <v>0</v>
      </c>
      <c r="AG431" s="47">
        <v>0</v>
      </c>
      <c r="AH431" s="47">
        <v>0</v>
      </c>
      <c r="AI431" s="47" t="s">
        <v>729</v>
      </c>
      <c r="AJ431">
        <v>1</v>
      </c>
      <c r="AK431">
        <v>100</v>
      </c>
    </row>
    <row r="432" spans="1:37" x14ac:dyDescent="0.2">
      <c r="A432" t="s">
        <v>1234</v>
      </c>
      <c r="B432" t="s">
        <v>361</v>
      </c>
      <c r="C432">
        <v>2020</v>
      </c>
      <c r="D432">
        <v>5</v>
      </c>
      <c r="E432" t="s">
        <v>1239</v>
      </c>
      <c r="F432" t="s">
        <v>362</v>
      </c>
      <c r="G432">
        <v>7.9228120000000004</v>
      </c>
      <c r="H432" s="20">
        <f>IF(AND(A432=A431,F432=F431,F432="Winter wheat"),G432*0.9*'BAU Management details'!$F$46,
IF(AND(OR(A432&lt;&gt;A431,F432&lt;&gt;F431),F432="Winter wheat"),G432*'BAU Management details'!$F$46,
IF(F432="Oilseed Rape",G432*'BAU Management details'!$F$47)))</f>
        <v>61.322564880000002</v>
      </c>
      <c r="I432" t="s">
        <v>348</v>
      </c>
      <c r="J432">
        <v>10</v>
      </c>
      <c r="K432" t="s">
        <v>362</v>
      </c>
      <c r="L432" t="s">
        <v>751</v>
      </c>
      <c r="M432">
        <v>2.9</v>
      </c>
      <c r="N432" t="s">
        <v>349</v>
      </c>
      <c r="O432" t="s">
        <v>350</v>
      </c>
      <c r="P432">
        <v>7.7</v>
      </c>
      <c r="Q432" t="s">
        <v>728</v>
      </c>
      <c r="R432" t="s">
        <v>351</v>
      </c>
      <c r="S432">
        <v>220</v>
      </c>
      <c r="T432" s="47" t="s">
        <v>729</v>
      </c>
      <c r="U432" t="s">
        <v>733</v>
      </c>
      <c r="V432" t="s">
        <v>369</v>
      </c>
      <c r="W432" s="47" t="s">
        <v>736</v>
      </c>
      <c r="X432" s="47">
        <v>0</v>
      </c>
      <c r="Y432" s="47" t="s">
        <v>730</v>
      </c>
      <c r="Z432" s="47">
        <v>0</v>
      </c>
      <c r="AA432" s="47" t="s">
        <v>731</v>
      </c>
      <c r="AB432" s="47">
        <v>0</v>
      </c>
      <c r="AC432" s="47">
        <v>0</v>
      </c>
      <c r="AD432" s="47">
        <v>0</v>
      </c>
      <c r="AE432" s="47" t="s">
        <v>731</v>
      </c>
      <c r="AF432" s="47">
        <v>0</v>
      </c>
      <c r="AG432" s="47">
        <v>0</v>
      </c>
      <c r="AH432" s="47">
        <v>0</v>
      </c>
      <c r="AI432" s="47" t="s">
        <v>729</v>
      </c>
      <c r="AJ432">
        <v>1</v>
      </c>
      <c r="AK432">
        <v>100</v>
      </c>
    </row>
    <row r="433" spans="1:37" x14ac:dyDescent="0.2">
      <c r="A433" t="s">
        <v>1234</v>
      </c>
      <c r="B433" t="s">
        <v>361</v>
      </c>
      <c r="C433">
        <v>2021</v>
      </c>
      <c r="D433">
        <v>6</v>
      </c>
      <c r="E433" t="s">
        <v>1240</v>
      </c>
      <c r="F433" t="s">
        <v>365</v>
      </c>
      <c r="G433">
        <v>7.9228120000000004</v>
      </c>
      <c r="H433" s="20">
        <f>IF(AND(A433=A432,F433=F432,F433="Winter wheat"),G433*0.9*'BAU Management details'!$F$46,
IF(AND(OR(A433&lt;&gt;A432,F433&lt;&gt;F432),F433="Winter wheat"),G433*'BAU Management details'!$F$46,
IF(F433="Oilseed Rape",G433*'BAU Management details'!$F$47)))</f>
        <v>27.729842000000001</v>
      </c>
      <c r="I433" t="s">
        <v>348</v>
      </c>
      <c r="J433">
        <v>10</v>
      </c>
      <c r="K433" t="s">
        <v>532</v>
      </c>
      <c r="L433" t="s">
        <v>751</v>
      </c>
      <c r="M433">
        <v>2.9</v>
      </c>
      <c r="N433" t="s">
        <v>349</v>
      </c>
      <c r="O433" t="s">
        <v>350</v>
      </c>
      <c r="P433">
        <v>7.7</v>
      </c>
      <c r="Q433" t="s">
        <v>728</v>
      </c>
      <c r="R433" t="s">
        <v>351</v>
      </c>
      <c r="S433">
        <v>220</v>
      </c>
      <c r="T433" s="47" t="s">
        <v>735</v>
      </c>
      <c r="U433" t="s">
        <v>368</v>
      </c>
      <c r="V433" t="s">
        <v>364</v>
      </c>
      <c r="W433" s="47" t="s">
        <v>736</v>
      </c>
      <c r="X433" s="47">
        <v>0</v>
      </c>
      <c r="Y433" s="47" t="s">
        <v>736</v>
      </c>
      <c r="Z433" s="47">
        <v>0</v>
      </c>
      <c r="AA433" s="47" t="s">
        <v>736</v>
      </c>
      <c r="AB433" s="47">
        <v>0</v>
      </c>
      <c r="AC433" s="47">
        <v>0</v>
      </c>
      <c r="AD433" s="47">
        <v>0</v>
      </c>
      <c r="AE433" s="47" t="s">
        <v>731</v>
      </c>
      <c r="AF433" s="47">
        <v>0</v>
      </c>
      <c r="AG433" s="47" t="s">
        <v>731</v>
      </c>
      <c r="AH433" s="47">
        <v>0</v>
      </c>
      <c r="AI433" s="47" t="s">
        <v>735</v>
      </c>
      <c r="AJ433">
        <v>1</v>
      </c>
      <c r="AK433">
        <v>100</v>
      </c>
    </row>
    <row r="434" spans="1:37" x14ac:dyDescent="0.2">
      <c r="A434" t="s">
        <v>1241</v>
      </c>
      <c r="B434" t="s">
        <v>361</v>
      </c>
      <c r="C434">
        <v>2016</v>
      </c>
      <c r="D434">
        <v>1</v>
      </c>
      <c r="E434" t="s">
        <v>1242</v>
      </c>
      <c r="F434" t="s">
        <v>362</v>
      </c>
      <c r="G434">
        <v>3.128012</v>
      </c>
      <c r="H434" s="20">
        <f>IF(AND(A434=A433,F434=F433,F434="Winter wheat"),G434*0.9*'BAU Management details'!$F$46,
IF(AND(OR(A434&lt;&gt;A433,F434&lt;&gt;F433),F434="Winter wheat"),G434*'BAU Management details'!$F$46,
IF(F434="Oilseed Rape",G434*'BAU Management details'!$F$47)))</f>
        <v>26.900903199999998</v>
      </c>
      <c r="I434" t="s">
        <v>348</v>
      </c>
      <c r="J434">
        <v>10</v>
      </c>
      <c r="K434" t="s">
        <v>362</v>
      </c>
      <c r="L434" t="s">
        <v>751</v>
      </c>
      <c r="M434">
        <v>2.9</v>
      </c>
      <c r="N434" t="s">
        <v>349</v>
      </c>
      <c r="O434" t="s">
        <v>350</v>
      </c>
      <c r="P434">
        <v>7.7</v>
      </c>
      <c r="Q434" t="s">
        <v>728</v>
      </c>
      <c r="R434" t="s">
        <v>351</v>
      </c>
      <c r="S434">
        <v>220</v>
      </c>
      <c r="T434" s="47" t="s">
        <v>729</v>
      </c>
      <c r="U434" t="s">
        <v>366</v>
      </c>
      <c r="V434" t="s">
        <v>367</v>
      </c>
      <c r="W434" s="47" t="s">
        <v>736</v>
      </c>
      <c r="X434" s="47">
        <v>0</v>
      </c>
      <c r="Y434" s="47" t="s">
        <v>730</v>
      </c>
      <c r="Z434" s="47">
        <v>0</v>
      </c>
      <c r="AA434" s="47" t="s">
        <v>731</v>
      </c>
      <c r="AB434" s="47">
        <v>0</v>
      </c>
      <c r="AC434" s="47" t="s">
        <v>731</v>
      </c>
      <c r="AD434" s="47" t="s">
        <v>731</v>
      </c>
      <c r="AE434" s="47" t="s">
        <v>731</v>
      </c>
      <c r="AF434" s="47">
        <v>0</v>
      </c>
      <c r="AG434" s="47">
        <v>0</v>
      </c>
      <c r="AH434" s="47">
        <v>0</v>
      </c>
      <c r="AI434" s="47" t="s">
        <v>729</v>
      </c>
      <c r="AJ434">
        <v>1</v>
      </c>
      <c r="AK434">
        <v>100</v>
      </c>
    </row>
    <row r="435" spans="1:37" x14ac:dyDescent="0.2">
      <c r="A435" t="s">
        <v>1241</v>
      </c>
      <c r="B435" t="s">
        <v>361</v>
      </c>
      <c r="C435">
        <v>2017</v>
      </c>
      <c r="D435">
        <v>2</v>
      </c>
      <c r="E435" t="s">
        <v>1243</v>
      </c>
      <c r="F435" t="s">
        <v>362</v>
      </c>
      <c r="G435">
        <v>3.128012</v>
      </c>
      <c r="H435" s="20">
        <f>IF(AND(A435=A434,F435=F434,F435="Winter wheat"),G435*0.9*'BAU Management details'!$F$46,
IF(AND(OR(A435&lt;&gt;A434,F435&lt;&gt;F434),F435="Winter wheat"),G435*'BAU Management details'!$F$46,
IF(F435="Oilseed Rape",G435*'BAU Management details'!$F$47)))</f>
        <v>24.210812879999999</v>
      </c>
      <c r="I435" t="s">
        <v>348</v>
      </c>
      <c r="J435">
        <v>10</v>
      </c>
      <c r="K435" t="s">
        <v>362</v>
      </c>
      <c r="L435" t="s">
        <v>751</v>
      </c>
      <c r="M435">
        <v>2.9</v>
      </c>
      <c r="N435" t="s">
        <v>349</v>
      </c>
      <c r="O435" t="s">
        <v>350</v>
      </c>
      <c r="P435">
        <v>7.7</v>
      </c>
      <c r="Q435" t="s">
        <v>728</v>
      </c>
      <c r="R435" t="s">
        <v>351</v>
      </c>
      <c r="S435">
        <v>220</v>
      </c>
      <c r="T435" s="47" t="s">
        <v>729</v>
      </c>
      <c r="U435" t="s">
        <v>733</v>
      </c>
      <c r="V435" t="s">
        <v>369</v>
      </c>
      <c r="W435" s="47" t="s">
        <v>736</v>
      </c>
      <c r="X435" s="47">
        <v>0</v>
      </c>
      <c r="Y435" s="47" t="s">
        <v>730</v>
      </c>
      <c r="Z435" s="47">
        <v>0</v>
      </c>
      <c r="AA435" s="47" t="s">
        <v>731</v>
      </c>
      <c r="AB435" s="47">
        <v>0</v>
      </c>
      <c r="AC435" s="47">
        <v>0</v>
      </c>
      <c r="AD435" s="47">
        <v>0</v>
      </c>
      <c r="AE435" s="47" t="s">
        <v>731</v>
      </c>
      <c r="AF435" s="47">
        <v>0</v>
      </c>
      <c r="AG435" s="47">
        <v>0</v>
      </c>
      <c r="AH435" s="47">
        <v>0</v>
      </c>
      <c r="AI435" s="47" t="s">
        <v>729</v>
      </c>
      <c r="AJ435">
        <v>1</v>
      </c>
      <c r="AK435">
        <v>100</v>
      </c>
    </row>
    <row r="436" spans="1:37" x14ac:dyDescent="0.2">
      <c r="A436" t="s">
        <v>1241</v>
      </c>
      <c r="B436" t="s">
        <v>361</v>
      </c>
      <c r="C436">
        <v>2018</v>
      </c>
      <c r="D436">
        <v>3</v>
      </c>
      <c r="E436" t="s">
        <v>1244</v>
      </c>
      <c r="F436" t="s">
        <v>365</v>
      </c>
      <c r="G436">
        <v>3.128012</v>
      </c>
      <c r="H436" s="20">
        <f>IF(AND(A436=A435,F436=F435,F436="Winter wheat"),G436*0.9*'BAU Management details'!$F$46,
IF(AND(OR(A436&lt;&gt;A435,F436&lt;&gt;F435),F436="Winter wheat"),G436*'BAU Management details'!$F$46,
IF(F436="Oilseed Rape",G436*'BAU Management details'!$F$47)))</f>
        <v>10.948042000000001</v>
      </c>
      <c r="I436" t="s">
        <v>348</v>
      </c>
      <c r="J436">
        <v>10</v>
      </c>
      <c r="K436" t="s">
        <v>532</v>
      </c>
      <c r="L436" t="s">
        <v>751</v>
      </c>
      <c r="M436">
        <v>2.9</v>
      </c>
      <c r="N436" t="s">
        <v>349</v>
      </c>
      <c r="O436" t="s">
        <v>350</v>
      </c>
      <c r="P436">
        <v>7.7</v>
      </c>
      <c r="Q436" t="s">
        <v>728</v>
      </c>
      <c r="R436" t="s">
        <v>351</v>
      </c>
      <c r="S436">
        <v>220</v>
      </c>
      <c r="T436" s="47" t="s">
        <v>735</v>
      </c>
      <c r="U436" t="s">
        <v>368</v>
      </c>
      <c r="V436" t="s">
        <v>364</v>
      </c>
      <c r="W436" s="47" t="s">
        <v>736</v>
      </c>
      <c r="X436" s="47">
        <v>0</v>
      </c>
      <c r="Y436" s="47" t="s">
        <v>736</v>
      </c>
      <c r="Z436" s="47">
        <v>0</v>
      </c>
      <c r="AA436" s="47" t="s">
        <v>736</v>
      </c>
      <c r="AB436" s="47">
        <v>0</v>
      </c>
      <c r="AC436" s="47">
        <v>0</v>
      </c>
      <c r="AD436" s="47">
        <v>0</v>
      </c>
      <c r="AE436" s="47" t="s">
        <v>731</v>
      </c>
      <c r="AF436" s="47">
        <v>0</v>
      </c>
      <c r="AG436" s="47" t="s">
        <v>731</v>
      </c>
      <c r="AH436" s="47">
        <v>0</v>
      </c>
      <c r="AI436" s="47" t="s">
        <v>735</v>
      </c>
      <c r="AJ436">
        <v>1</v>
      </c>
      <c r="AK436">
        <v>100</v>
      </c>
    </row>
    <row r="437" spans="1:37" x14ac:dyDescent="0.2">
      <c r="A437" t="s">
        <v>1241</v>
      </c>
      <c r="B437" t="s">
        <v>361</v>
      </c>
      <c r="C437">
        <v>2019</v>
      </c>
      <c r="D437">
        <v>4</v>
      </c>
      <c r="E437" t="s">
        <v>1245</v>
      </c>
      <c r="F437" t="s">
        <v>362</v>
      </c>
      <c r="G437">
        <v>3.128012</v>
      </c>
      <c r="H437" s="20">
        <f>IF(AND(A437=A436,F437=F436,F437="Winter wheat"),G437*0.9*'BAU Management details'!$F$46,
IF(AND(OR(A437&lt;&gt;A436,F437&lt;&gt;F436),F437="Winter wheat"),G437*'BAU Management details'!$F$46,
IF(F437="Oilseed Rape",G437*'BAU Management details'!$F$47)))</f>
        <v>26.900903199999998</v>
      </c>
      <c r="I437" t="s">
        <v>348</v>
      </c>
      <c r="J437">
        <v>10</v>
      </c>
      <c r="K437" t="s">
        <v>362</v>
      </c>
      <c r="L437" t="s">
        <v>751</v>
      </c>
      <c r="M437">
        <v>2.9</v>
      </c>
      <c r="N437" t="s">
        <v>349</v>
      </c>
      <c r="O437" t="s">
        <v>350</v>
      </c>
      <c r="P437">
        <v>7.7</v>
      </c>
      <c r="Q437" t="s">
        <v>728</v>
      </c>
      <c r="R437" t="s">
        <v>351</v>
      </c>
      <c r="S437">
        <v>220</v>
      </c>
      <c r="T437" s="47" t="s">
        <v>729</v>
      </c>
      <c r="U437" t="s">
        <v>366</v>
      </c>
      <c r="V437" t="s">
        <v>367</v>
      </c>
      <c r="W437" s="47" t="s">
        <v>736</v>
      </c>
      <c r="X437" s="47">
        <v>0</v>
      </c>
      <c r="Y437" s="47" t="s">
        <v>730</v>
      </c>
      <c r="Z437" s="47">
        <v>0</v>
      </c>
      <c r="AA437" s="47" t="s">
        <v>731</v>
      </c>
      <c r="AB437" s="47">
        <v>0</v>
      </c>
      <c r="AC437" s="47" t="s">
        <v>731</v>
      </c>
      <c r="AD437" s="47" t="s">
        <v>731</v>
      </c>
      <c r="AE437" s="47" t="s">
        <v>731</v>
      </c>
      <c r="AF437" s="47">
        <v>0</v>
      </c>
      <c r="AG437" s="47">
        <v>0</v>
      </c>
      <c r="AH437" s="47">
        <v>0</v>
      </c>
      <c r="AI437" s="47" t="s">
        <v>729</v>
      </c>
      <c r="AJ437">
        <v>1</v>
      </c>
      <c r="AK437">
        <v>100</v>
      </c>
    </row>
    <row r="438" spans="1:37" x14ac:dyDescent="0.2">
      <c r="A438" t="s">
        <v>1241</v>
      </c>
      <c r="B438" t="s">
        <v>361</v>
      </c>
      <c r="C438">
        <v>2020</v>
      </c>
      <c r="D438">
        <v>5</v>
      </c>
      <c r="E438" t="s">
        <v>1246</v>
      </c>
      <c r="F438" t="s">
        <v>362</v>
      </c>
      <c r="G438">
        <v>3.128012</v>
      </c>
      <c r="H438" s="20">
        <f>IF(AND(A438=A437,F438=F437,F438="Winter wheat"),G438*0.9*'BAU Management details'!$F$46,
IF(AND(OR(A438&lt;&gt;A437,F438&lt;&gt;F437),F438="Winter wheat"),G438*'BAU Management details'!$F$46,
IF(F438="Oilseed Rape",G438*'BAU Management details'!$F$47)))</f>
        <v>24.210812879999999</v>
      </c>
      <c r="I438" t="s">
        <v>348</v>
      </c>
      <c r="J438">
        <v>10</v>
      </c>
      <c r="K438" t="s">
        <v>362</v>
      </c>
      <c r="L438" t="s">
        <v>751</v>
      </c>
      <c r="M438">
        <v>2.9</v>
      </c>
      <c r="N438" t="s">
        <v>349</v>
      </c>
      <c r="O438" t="s">
        <v>350</v>
      </c>
      <c r="P438">
        <v>7.7</v>
      </c>
      <c r="Q438" t="s">
        <v>728</v>
      </c>
      <c r="R438" t="s">
        <v>351</v>
      </c>
      <c r="S438">
        <v>220</v>
      </c>
      <c r="T438" s="47" t="s">
        <v>729</v>
      </c>
      <c r="U438" t="s">
        <v>733</v>
      </c>
      <c r="V438" t="s">
        <v>369</v>
      </c>
      <c r="W438" s="47" t="s">
        <v>736</v>
      </c>
      <c r="X438" s="47">
        <v>0</v>
      </c>
      <c r="Y438" s="47" t="s">
        <v>730</v>
      </c>
      <c r="Z438" s="47">
        <v>0</v>
      </c>
      <c r="AA438" s="47" t="s">
        <v>731</v>
      </c>
      <c r="AB438" s="47">
        <v>0</v>
      </c>
      <c r="AC438" s="47">
        <v>0</v>
      </c>
      <c r="AD438" s="47">
        <v>0</v>
      </c>
      <c r="AE438" s="47" t="s">
        <v>731</v>
      </c>
      <c r="AF438" s="47">
        <v>0</v>
      </c>
      <c r="AG438" s="47">
        <v>0</v>
      </c>
      <c r="AH438" s="47">
        <v>0</v>
      </c>
      <c r="AI438" s="47" t="s">
        <v>729</v>
      </c>
      <c r="AJ438">
        <v>1</v>
      </c>
      <c r="AK438">
        <v>100</v>
      </c>
    </row>
    <row r="439" spans="1:37" x14ac:dyDescent="0.2">
      <c r="A439" t="s">
        <v>1241</v>
      </c>
      <c r="B439" t="s">
        <v>361</v>
      </c>
      <c r="C439">
        <v>2021</v>
      </c>
      <c r="D439">
        <v>6</v>
      </c>
      <c r="E439" t="s">
        <v>1247</v>
      </c>
      <c r="F439" t="s">
        <v>365</v>
      </c>
      <c r="G439">
        <v>3.128012</v>
      </c>
      <c r="H439" s="20">
        <f>IF(AND(A439=A438,F439=F438,F439="Winter wheat"),G439*0.9*'BAU Management details'!$F$46,
IF(AND(OR(A439&lt;&gt;A438,F439&lt;&gt;F438),F439="Winter wheat"),G439*'BAU Management details'!$F$46,
IF(F439="Oilseed Rape",G439*'BAU Management details'!$F$47)))</f>
        <v>10.948042000000001</v>
      </c>
      <c r="I439" t="s">
        <v>348</v>
      </c>
      <c r="J439">
        <v>10</v>
      </c>
      <c r="K439" t="s">
        <v>532</v>
      </c>
      <c r="L439" t="s">
        <v>751</v>
      </c>
      <c r="M439">
        <v>2.9</v>
      </c>
      <c r="N439" t="s">
        <v>349</v>
      </c>
      <c r="O439" t="s">
        <v>350</v>
      </c>
      <c r="P439">
        <v>7.7</v>
      </c>
      <c r="Q439" t="s">
        <v>728</v>
      </c>
      <c r="R439" t="s">
        <v>351</v>
      </c>
      <c r="S439">
        <v>220</v>
      </c>
      <c r="T439" s="47" t="s">
        <v>735</v>
      </c>
      <c r="U439" t="s">
        <v>368</v>
      </c>
      <c r="V439" t="s">
        <v>364</v>
      </c>
      <c r="W439" s="47" t="s">
        <v>736</v>
      </c>
      <c r="X439" s="47">
        <v>0</v>
      </c>
      <c r="Y439" s="47" t="s">
        <v>736</v>
      </c>
      <c r="Z439" s="47">
        <v>0</v>
      </c>
      <c r="AA439" s="47" t="s">
        <v>736</v>
      </c>
      <c r="AB439" s="47">
        <v>0</v>
      </c>
      <c r="AC439" s="47">
        <v>0</v>
      </c>
      <c r="AD439" s="47">
        <v>0</v>
      </c>
      <c r="AE439" s="47" t="s">
        <v>731</v>
      </c>
      <c r="AF439" s="47">
        <v>0</v>
      </c>
      <c r="AG439" s="47" t="s">
        <v>731</v>
      </c>
      <c r="AH439" s="47">
        <v>0</v>
      </c>
      <c r="AI439" s="47" t="s">
        <v>735</v>
      </c>
      <c r="AJ439">
        <v>1</v>
      </c>
      <c r="AK439">
        <v>100</v>
      </c>
    </row>
    <row r="440" spans="1:37" x14ac:dyDescent="0.2">
      <c r="A440" t="s">
        <v>1248</v>
      </c>
      <c r="B440" t="s">
        <v>361</v>
      </c>
      <c r="C440">
        <v>2016</v>
      </c>
      <c r="D440">
        <v>1</v>
      </c>
      <c r="E440" t="s">
        <v>1249</v>
      </c>
      <c r="F440" t="s">
        <v>362</v>
      </c>
      <c r="G440">
        <v>11.448912999999999</v>
      </c>
      <c r="H440" s="20">
        <f>IF(AND(A440=A439,F440=F439,F440="Winter wheat"),G440*0.9*'BAU Management details'!$F$46,
IF(AND(OR(A440&lt;&gt;A439,F440&lt;&gt;F439),F440="Winter wheat"),G440*'BAU Management details'!$F$46,
IF(F440="Oilseed Rape",G440*'BAU Management details'!$F$47)))</f>
        <v>98.460651799999994</v>
      </c>
      <c r="I440" t="s">
        <v>348</v>
      </c>
      <c r="J440">
        <v>10</v>
      </c>
      <c r="K440" t="s">
        <v>362</v>
      </c>
      <c r="L440" t="s">
        <v>727</v>
      </c>
      <c r="M440">
        <v>2.9</v>
      </c>
      <c r="N440" t="s">
        <v>349</v>
      </c>
      <c r="O440" t="s">
        <v>742</v>
      </c>
      <c r="P440">
        <v>6.3</v>
      </c>
      <c r="Q440" t="s">
        <v>743</v>
      </c>
      <c r="R440" t="s">
        <v>351</v>
      </c>
      <c r="S440">
        <v>220</v>
      </c>
      <c r="T440" s="47" t="s">
        <v>729</v>
      </c>
      <c r="U440" t="s">
        <v>366</v>
      </c>
      <c r="V440" t="s">
        <v>367</v>
      </c>
      <c r="W440" s="47" t="s">
        <v>736</v>
      </c>
      <c r="X440" s="47">
        <v>0</v>
      </c>
      <c r="Y440" s="47" t="s">
        <v>730</v>
      </c>
      <c r="Z440" s="47">
        <v>0</v>
      </c>
      <c r="AA440" s="47" t="s">
        <v>731</v>
      </c>
      <c r="AB440" s="47">
        <v>0</v>
      </c>
      <c r="AC440" s="47" t="s">
        <v>731</v>
      </c>
      <c r="AD440" s="47" t="s">
        <v>731</v>
      </c>
      <c r="AE440" s="47" t="s">
        <v>731</v>
      </c>
      <c r="AF440" s="47">
        <v>0</v>
      </c>
      <c r="AG440" s="47">
        <v>0</v>
      </c>
      <c r="AH440" s="47">
        <v>0</v>
      </c>
      <c r="AI440" s="47" t="s">
        <v>729</v>
      </c>
      <c r="AJ440">
        <v>1</v>
      </c>
      <c r="AK440">
        <v>100</v>
      </c>
    </row>
    <row r="441" spans="1:37" x14ac:dyDescent="0.2">
      <c r="A441" t="s">
        <v>1248</v>
      </c>
      <c r="B441" t="s">
        <v>361</v>
      </c>
      <c r="C441">
        <v>2017</v>
      </c>
      <c r="D441">
        <v>2</v>
      </c>
      <c r="E441" t="s">
        <v>1250</v>
      </c>
      <c r="F441" t="s">
        <v>362</v>
      </c>
      <c r="G441">
        <v>11.448912999999999</v>
      </c>
      <c r="H441" s="20">
        <f>IF(AND(A441=A440,F441=F440,F441="Winter wheat"),G441*0.9*'BAU Management details'!$F$46,
IF(AND(OR(A441&lt;&gt;A440,F441&lt;&gt;F440),F441="Winter wheat"),G441*'BAU Management details'!$F$46,
IF(F441="Oilseed Rape",G441*'BAU Management details'!$F$47)))</f>
        <v>88.614586619999997</v>
      </c>
      <c r="I441" t="s">
        <v>348</v>
      </c>
      <c r="J441">
        <v>10</v>
      </c>
      <c r="K441" t="s">
        <v>362</v>
      </c>
      <c r="L441" t="s">
        <v>727</v>
      </c>
      <c r="M441">
        <v>2.9</v>
      </c>
      <c r="N441" t="s">
        <v>349</v>
      </c>
      <c r="O441" t="s">
        <v>742</v>
      </c>
      <c r="P441">
        <v>6.3</v>
      </c>
      <c r="Q441" t="s">
        <v>743</v>
      </c>
      <c r="R441" t="s">
        <v>351</v>
      </c>
      <c r="S441">
        <v>220</v>
      </c>
      <c r="T441" s="47" t="s">
        <v>729</v>
      </c>
      <c r="U441" t="s">
        <v>733</v>
      </c>
      <c r="V441" t="s">
        <v>369</v>
      </c>
      <c r="W441" s="47" t="s">
        <v>736</v>
      </c>
      <c r="X441" s="47">
        <v>0</v>
      </c>
      <c r="Y441" s="47" t="s">
        <v>730</v>
      </c>
      <c r="Z441" s="47">
        <v>0</v>
      </c>
      <c r="AA441" s="47" t="s">
        <v>731</v>
      </c>
      <c r="AB441" s="47">
        <v>0</v>
      </c>
      <c r="AC441" s="47">
        <v>0</v>
      </c>
      <c r="AD441" s="47">
        <v>0</v>
      </c>
      <c r="AE441" s="47" t="s">
        <v>731</v>
      </c>
      <c r="AF441" s="47">
        <v>0</v>
      </c>
      <c r="AG441" s="47">
        <v>0</v>
      </c>
      <c r="AH441" s="47">
        <v>0</v>
      </c>
      <c r="AI441" s="47" t="s">
        <v>729</v>
      </c>
      <c r="AJ441">
        <v>1</v>
      </c>
      <c r="AK441">
        <v>100</v>
      </c>
    </row>
    <row r="442" spans="1:37" x14ac:dyDescent="0.2">
      <c r="A442" t="s">
        <v>1248</v>
      </c>
      <c r="B442" t="s">
        <v>361</v>
      </c>
      <c r="C442">
        <v>2018</v>
      </c>
      <c r="D442">
        <v>3</v>
      </c>
      <c r="E442" t="s">
        <v>1251</v>
      </c>
      <c r="F442" t="s">
        <v>365</v>
      </c>
      <c r="G442">
        <v>11.448912999999999</v>
      </c>
      <c r="H442" s="20">
        <f>IF(AND(A442=A441,F442=F441,F442="Winter wheat"),G442*0.9*'BAU Management details'!$F$46,
IF(AND(OR(A442&lt;&gt;A441,F442&lt;&gt;F441),F442="Winter wheat"),G442*'BAU Management details'!$F$46,
IF(F442="Oilseed Rape",G442*'BAU Management details'!$F$47)))</f>
        <v>40.071195499999995</v>
      </c>
      <c r="I442" t="s">
        <v>348</v>
      </c>
      <c r="J442">
        <v>10</v>
      </c>
      <c r="K442" t="s">
        <v>532</v>
      </c>
      <c r="L442" t="s">
        <v>727</v>
      </c>
      <c r="M442">
        <v>2.9</v>
      </c>
      <c r="N442" t="s">
        <v>349</v>
      </c>
      <c r="O442" t="s">
        <v>742</v>
      </c>
      <c r="P442">
        <v>6.3</v>
      </c>
      <c r="Q442" t="s">
        <v>743</v>
      </c>
      <c r="R442" t="s">
        <v>351</v>
      </c>
      <c r="S442">
        <v>220</v>
      </c>
      <c r="T442" s="47" t="s">
        <v>735</v>
      </c>
      <c r="U442" t="s">
        <v>368</v>
      </c>
      <c r="V442" t="s">
        <v>364</v>
      </c>
      <c r="W442" s="47" t="s">
        <v>736</v>
      </c>
      <c r="X442" s="47">
        <v>0</v>
      </c>
      <c r="Y442" s="47" t="s">
        <v>736</v>
      </c>
      <c r="Z442" s="47">
        <v>0</v>
      </c>
      <c r="AA442" s="47" t="s">
        <v>736</v>
      </c>
      <c r="AB442" s="47">
        <v>0</v>
      </c>
      <c r="AC442" s="47">
        <v>0</v>
      </c>
      <c r="AD442" s="47">
        <v>0</v>
      </c>
      <c r="AE442" s="47" t="s">
        <v>731</v>
      </c>
      <c r="AF442" s="47">
        <v>0</v>
      </c>
      <c r="AG442" s="47" t="s">
        <v>731</v>
      </c>
      <c r="AH442" s="47">
        <v>0</v>
      </c>
      <c r="AI442" s="47" t="s">
        <v>735</v>
      </c>
      <c r="AJ442">
        <v>1</v>
      </c>
      <c r="AK442">
        <v>100</v>
      </c>
    </row>
    <row r="443" spans="1:37" x14ac:dyDescent="0.2">
      <c r="A443" t="s">
        <v>1248</v>
      </c>
      <c r="B443" t="s">
        <v>361</v>
      </c>
      <c r="C443">
        <v>2019</v>
      </c>
      <c r="D443">
        <v>4</v>
      </c>
      <c r="E443" t="s">
        <v>1252</v>
      </c>
      <c r="F443" t="s">
        <v>362</v>
      </c>
      <c r="G443">
        <v>11.448912999999999</v>
      </c>
      <c r="H443" s="20">
        <f>IF(AND(A443=A442,F443=F442,F443="Winter wheat"),G443*0.9*'BAU Management details'!$F$46,
IF(AND(OR(A443&lt;&gt;A442,F443&lt;&gt;F442),F443="Winter wheat"),G443*'BAU Management details'!$F$46,
IF(F443="Oilseed Rape",G443*'BAU Management details'!$F$47)))</f>
        <v>98.460651799999994</v>
      </c>
      <c r="I443" t="s">
        <v>348</v>
      </c>
      <c r="J443">
        <v>10</v>
      </c>
      <c r="K443" t="s">
        <v>362</v>
      </c>
      <c r="L443" t="s">
        <v>727</v>
      </c>
      <c r="M443">
        <v>2.9</v>
      </c>
      <c r="N443" t="s">
        <v>349</v>
      </c>
      <c r="O443" t="s">
        <v>742</v>
      </c>
      <c r="P443">
        <v>6.3</v>
      </c>
      <c r="Q443" t="s">
        <v>743</v>
      </c>
      <c r="R443" t="s">
        <v>351</v>
      </c>
      <c r="S443">
        <v>220</v>
      </c>
      <c r="T443" s="47" t="s">
        <v>729</v>
      </c>
      <c r="U443" t="s">
        <v>366</v>
      </c>
      <c r="V443" t="s">
        <v>367</v>
      </c>
      <c r="W443" s="47" t="s">
        <v>736</v>
      </c>
      <c r="X443" s="47">
        <v>0</v>
      </c>
      <c r="Y443" s="47" t="s">
        <v>730</v>
      </c>
      <c r="Z443" s="47">
        <v>0</v>
      </c>
      <c r="AA443" s="47" t="s">
        <v>731</v>
      </c>
      <c r="AB443" s="47">
        <v>0</v>
      </c>
      <c r="AC443" s="47" t="s">
        <v>731</v>
      </c>
      <c r="AD443" s="47" t="s">
        <v>731</v>
      </c>
      <c r="AE443" s="47" t="s">
        <v>731</v>
      </c>
      <c r="AF443" s="47">
        <v>0</v>
      </c>
      <c r="AG443" s="47">
        <v>0</v>
      </c>
      <c r="AH443" s="47">
        <v>0</v>
      </c>
      <c r="AI443" s="47" t="s">
        <v>729</v>
      </c>
      <c r="AJ443">
        <v>1</v>
      </c>
      <c r="AK443">
        <v>100</v>
      </c>
    </row>
    <row r="444" spans="1:37" x14ac:dyDescent="0.2">
      <c r="A444" t="s">
        <v>1248</v>
      </c>
      <c r="B444" t="s">
        <v>361</v>
      </c>
      <c r="C444">
        <v>2020</v>
      </c>
      <c r="D444">
        <v>5</v>
      </c>
      <c r="E444" t="s">
        <v>1253</v>
      </c>
      <c r="F444" t="s">
        <v>362</v>
      </c>
      <c r="G444">
        <v>11.448912999999999</v>
      </c>
      <c r="H444" s="20">
        <f>IF(AND(A444=A443,F444=F443,F444="Winter wheat"),G444*0.9*'BAU Management details'!$F$46,
IF(AND(OR(A444&lt;&gt;A443,F444&lt;&gt;F443),F444="Winter wheat"),G444*'BAU Management details'!$F$46,
IF(F444="Oilseed Rape",G444*'BAU Management details'!$F$47)))</f>
        <v>88.614586619999997</v>
      </c>
      <c r="I444" t="s">
        <v>348</v>
      </c>
      <c r="J444">
        <v>10</v>
      </c>
      <c r="K444" t="s">
        <v>362</v>
      </c>
      <c r="L444" t="s">
        <v>727</v>
      </c>
      <c r="M444">
        <v>2.9</v>
      </c>
      <c r="N444" t="s">
        <v>349</v>
      </c>
      <c r="O444" t="s">
        <v>742</v>
      </c>
      <c r="P444">
        <v>6.3</v>
      </c>
      <c r="Q444" t="s">
        <v>743</v>
      </c>
      <c r="R444" t="s">
        <v>351</v>
      </c>
      <c r="S444">
        <v>220</v>
      </c>
      <c r="T444" s="47" t="s">
        <v>729</v>
      </c>
      <c r="U444" t="s">
        <v>733</v>
      </c>
      <c r="V444" t="s">
        <v>369</v>
      </c>
      <c r="W444" s="47" t="s">
        <v>736</v>
      </c>
      <c r="X444" s="47">
        <v>0</v>
      </c>
      <c r="Y444" s="47" t="s">
        <v>730</v>
      </c>
      <c r="Z444" s="47">
        <v>0</v>
      </c>
      <c r="AA444" s="47" t="s">
        <v>731</v>
      </c>
      <c r="AB444" s="47">
        <v>0</v>
      </c>
      <c r="AC444" s="47">
        <v>0</v>
      </c>
      <c r="AD444" s="47">
        <v>0</v>
      </c>
      <c r="AE444" s="47" t="s">
        <v>731</v>
      </c>
      <c r="AF444" s="47">
        <v>0</v>
      </c>
      <c r="AG444" s="47">
        <v>0</v>
      </c>
      <c r="AH444" s="47">
        <v>0</v>
      </c>
      <c r="AI444" s="47" t="s">
        <v>729</v>
      </c>
      <c r="AJ444">
        <v>1</v>
      </c>
      <c r="AK444">
        <v>100</v>
      </c>
    </row>
    <row r="445" spans="1:37" x14ac:dyDescent="0.2">
      <c r="A445" t="s">
        <v>1248</v>
      </c>
      <c r="B445" t="s">
        <v>361</v>
      </c>
      <c r="C445">
        <v>2021</v>
      </c>
      <c r="D445">
        <v>6</v>
      </c>
      <c r="E445" t="s">
        <v>1254</v>
      </c>
      <c r="F445" t="s">
        <v>365</v>
      </c>
      <c r="G445">
        <v>11.448912999999999</v>
      </c>
      <c r="H445" s="20">
        <f>IF(AND(A445=A444,F445=F444,F445="Winter wheat"),G445*0.9*'BAU Management details'!$F$46,
IF(AND(OR(A445&lt;&gt;A444,F445&lt;&gt;F444),F445="Winter wheat"),G445*'BAU Management details'!$F$46,
IF(F445="Oilseed Rape",G445*'BAU Management details'!$F$47)))</f>
        <v>40.071195499999995</v>
      </c>
      <c r="I445" t="s">
        <v>348</v>
      </c>
      <c r="J445">
        <v>10</v>
      </c>
      <c r="K445" t="s">
        <v>532</v>
      </c>
      <c r="L445" t="s">
        <v>727</v>
      </c>
      <c r="M445">
        <v>2.9</v>
      </c>
      <c r="N445" t="s">
        <v>349</v>
      </c>
      <c r="O445" t="s">
        <v>742</v>
      </c>
      <c r="P445">
        <v>6.3</v>
      </c>
      <c r="Q445" t="s">
        <v>743</v>
      </c>
      <c r="R445" t="s">
        <v>351</v>
      </c>
      <c r="S445">
        <v>220</v>
      </c>
      <c r="T445" s="47" t="s">
        <v>735</v>
      </c>
      <c r="U445" t="s">
        <v>368</v>
      </c>
      <c r="V445" t="s">
        <v>364</v>
      </c>
      <c r="W445" s="47" t="s">
        <v>736</v>
      </c>
      <c r="X445" s="47">
        <v>0</v>
      </c>
      <c r="Y445" s="47" t="s">
        <v>736</v>
      </c>
      <c r="Z445" s="47">
        <v>0</v>
      </c>
      <c r="AA445" s="47" t="s">
        <v>736</v>
      </c>
      <c r="AB445" s="47">
        <v>0</v>
      </c>
      <c r="AC445" s="47">
        <v>0</v>
      </c>
      <c r="AD445" s="47">
        <v>0</v>
      </c>
      <c r="AE445" s="47" t="s">
        <v>731</v>
      </c>
      <c r="AF445" s="47">
        <v>0</v>
      </c>
      <c r="AG445" s="47" t="s">
        <v>731</v>
      </c>
      <c r="AH445" s="47">
        <v>0</v>
      </c>
      <c r="AI445" s="47" t="s">
        <v>735</v>
      </c>
      <c r="AJ445">
        <v>1</v>
      </c>
      <c r="AK445">
        <v>100</v>
      </c>
    </row>
    <row r="446" spans="1:37" x14ac:dyDescent="0.2">
      <c r="A446" t="s">
        <v>1255</v>
      </c>
      <c r="B446" t="s">
        <v>361</v>
      </c>
      <c r="C446">
        <v>2016</v>
      </c>
      <c r="D446">
        <v>1</v>
      </c>
      <c r="E446" t="s">
        <v>1256</v>
      </c>
      <c r="F446" t="s">
        <v>362</v>
      </c>
      <c r="G446">
        <v>5.3535409999999999</v>
      </c>
      <c r="H446" s="20">
        <f>IF(AND(A446=A445,F446=F445,F446="Winter wheat"),G446*0.9*'BAU Management details'!$F$46,
IF(AND(OR(A446&lt;&gt;A445,F446&lt;&gt;F445),F446="Winter wheat"),G446*'BAU Management details'!$F$46,
IF(F446="Oilseed Rape",G446*'BAU Management details'!$F$47)))</f>
        <v>46.040452599999995</v>
      </c>
      <c r="I446" t="s">
        <v>348</v>
      </c>
      <c r="J446">
        <v>10</v>
      </c>
      <c r="K446" t="s">
        <v>362</v>
      </c>
      <c r="L446" t="s">
        <v>727</v>
      </c>
      <c r="M446">
        <v>4</v>
      </c>
      <c r="N446" t="s">
        <v>349</v>
      </c>
      <c r="O446" t="s">
        <v>350</v>
      </c>
      <c r="P446">
        <v>7.3</v>
      </c>
      <c r="Q446" t="s">
        <v>743</v>
      </c>
      <c r="R446" t="s">
        <v>351</v>
      </c>
      <c r="S446">
        <v>220</v>
      </c>
      <c r="T446" s="47" t="s">
        <v>729</v>
      </c>
      <c r="U446" t="s">
        <v>366</v>
      </c>
      <c r="V446" t="s">
        <v>364</v>
      </c>
      <c r="W446" s="47" t="s">
        <v>736</v>
      </c>
      <c r="X446" s="47">
        <v>0</v>
      </c>
      <c r="Y446" s="47" t="s">
        <v>730</v>
      </c>
      <c r="Z446" s="47">
        <v>0</v>
      </c>
      <c r="AA446" s="47" t="s">
        <v>731</v>
      </c>
      <c r="AB446" s="47">
        <v>0</v>
      </c>
      <c r="AC446" s="47" t="s">
        <v>731</v>
      </c>
      <c r="AD446" s="47" t="s">
        <v>731</v>
      </c>
      <c r="AE446" s="47" t="s">
        <v>731</v>
      </c>
      <c r="AF446" s="47">
        <v>0</v>
      </c>
      <c r="AG446" s="47">
        <v>0</v>
      </c>
      <c r="AH446" s="47">
        <v>0</v>
      </c>
      <c r="AI446" s="47" t="s">
        <v>729</v>
      </c>
      <c r="AJ446">
        <v>1</v>
      </c>
      <c r="AK446">
        <v>100</v>
      </c>
    </row>
    <row r="447" spans="1:37" x14ac:dyDescent="0.2">
      <c r="A447" t="s">
        <v>1255</v>
      </c>
      <c r="B447" t="s">
        <v>361</v>
      </c>
      <c r="C447">
        <v>2017</v>
      </c>
      <c r="D447">
        <v>2</v>
      </c>
      <c r="E447" t="s">
        <v>1257</v>
      </c>
      <c r="F447" t="s">
        <v>362</v>
      </c>
      <c r="G447">
        <v>5.3535409999999999</v>
      </c>
      <c r="H447" s="20">
        <f>IF(AND(A447=A446,F447=F446,F447="Winter wheat"),G447*0.9*'BAU Management details'!$F$46,
IF(AND(OR(A447&lt;&gt;A446,F447&lt;&gt;F446),F447="Winter wheat"),G447*'BAU Management details'!$F$46,
IF(F447="Oilseed Rape",G447*'BAU Management details'!$F$47)))</f>
        <v>41.436407339999995</v>
      </c>
      <c r="I447" t="s">
        <v>348</v>
      </c>
      <c r="J447">
        <v>10</v>
      </c>
      <c r="K447" t="s">
        <v>362</v>
      </c>
      <c r="L447" t="s">
        <v>727</v>
      </c>
      <c r="M447">
        <v>4</v>
      </c>
      <c r="N447" t="s">
        <v>349</v>
      </c>
      <c r="O447" t="s">
        <v>350</v>
      </c>
      <c r="P447">
        <v>7.3</v>
      </c>
      <c r="Q447" t="s">
        <v>743</v>
      </c>
      <c r="R447" t="s">
        <v>351</v>
      </c>
      <c r="S447">
        <v>220</v>
      </c>
      <c r="T447" s="47" t="s">
        <v>729</v>
      </c>
      <c r="U447" t="s">
        <v>733</v>
      </c>
      <c r="V447" t="s">
        <v>364</v>
      </c>
      <c r="W447" s="47" t="s">
        <v>736</v>
      </c>
      <c r="X447" s="47">
        <v>0</v>
      </c>
      <c r="Y447" s="47" t="s">
        <v>730</v>
      </c>
      <c r="Z447" s="47">
        <v>0</v>
      </c>
      <c r="AA447" s="47" t="s">
        <v>731</v>
      </c>
      <c r="AB447" s="47">
        <v>0</v>
      </c>
      <c r="AC447" s="47">
        <v>0</v>
      </c>
      <c r="AD447" s="47">
        <v>0</v>
      </c>
      <c r="AE447" s="47" t="s">
        <v>731</v>
      </c>
      <c r="AF447" s="47">
        <v>0</v>
      </c>
      <c r="AG447" s="47">
        <v>0</v>
      </c>
      <c r="AH447" s="47">
        <v>0</v>
      </c>
      <c r="AI447" s="47" t="s">
        <v>729</v>
      </c>
      <c r="AJ447">
        <v>1</v>
      </c>
      <c r="AK447">
        <v>100</v>
      </c>
    </row>
    <row r="448" spans="1:37" x14ac:dyDescent="0.2">
      <c r="A448" t="s">
        <v>1255</v>
      </c>
      <c r="B448" t="s">
        <v>361</v>
      </c>
      <c r="C448">
        <v>2018</v>
      </c>
      <c r="D448">
        <v>3</v>
      </c>
      <c r="E448" t="s">
        <v>1258</v>
      </c>
      <c r="F448" t="s">
        <v>365</v>
      </c>
      <c r="G448">
        <v>5.3535409999999999</v>
      </c>
      <c r="H448" s="20">
        <f>IF(AND(A448=A447,F448=F447,F448="Winter wheat"),G448*0.9*'BAU Management details'!$F$46,
IF(AND(OR(A448&lt;&gt;A447,F448&lt;&gt;F447),F448="Winter wheat"),G448*'BAU Management details'!$F$46,
IF(F448="Oilseed Rape",G448*'BAU Management details'!$F$47)))</f>
        <v>18.7373935</v>
      </c>
      <c r="I448" t="s">
        <v>348</v>
      </c>
      <c r="J448">
        <v>10</v>
      </c>
      <c r="K448" t="s">
        <v>532</v>
      </c>
      <c r="L448" t="s">
        <v>727</v>
      </c>
      <c r="M448">
        <v>4</v>
      </c>
      <c r="N448" t="s">
        <v>349</v>
      </c>
      <c r="O448" t="s">
        <v>350</v>
      </c>
      <c r="P448">
        <v>7.3</v>
      </c>
      <c r="Q448" t="s">
        <v>743</v>
      </c>
      <c r="R448" t="s">
        <v>351</v>
      </c>
      <c r="S448">
        <v>220</v>
      </c>
      <c r="T448" s="47" t="s">
        <v>735</v>
      </c>
      <c r="U448" t="s">
        <v>368</v>
      </c>
      <c r="V448" t="s">
        <v>364</v>
      </c>
      <c r="W448" s="47" t="s">
        <v>736</v>
      </c>
      <c r="X448" s="47">
        <v>0</v>
      </c>
      <c r="Y448" s="47" t="s">
        <v>736</v>
      </c>
      <c r="Z448" s="47">
        <v>0</v>
      </c>
      <c r="AA448" s="47" t="s">
        <v>736</v>
      </c>
      <c r="AB448" s="47">
        <v>0</v>
      </c>
      <c r="AC448" s="47">
        <v>0</v>
      </c>
      <c r="AD448" s="47">
        <v>0</v>
      </c>
      <c r="AE448" s="47" t="s">
        <v>731</v>
      </c>
      <c r="AF448" s="47">
        <v>0</v>
      </c>
      <c r="AG448" s="47" t="s">
        <v>731</v>
      </c>
      <c r="AH448" s="47">
        <v>0</v>
      </c>
      <c r="AI448" s="47" t="s">
        <v>735</v>
      </c>
      <c r="AJ448">
        <v>1</v>
      </c>
      <c r="AK448">
        <v>100</v>
      </c>
    </row>
    <row r="449" spans="1:37" x14ac:dyDescent="0.2">
      <c r="A449" t="s">
        <v>1255</v>
      </c>
      <c r="B449" t="s">
        <v>361</v>
      </c>
      <c r="C449">
        <v>2019</v>
      </c>
      <c r="D449">
        <v>4</v>
      </c>
      <c r="E449" t="s">
        <v>1259</v>
      </c>
      <c r="F449" t="s">
        <v>362</v>
      </c>
      <c r="G449">
        <v>5.3535409999999999</v>
      </c>
      <c r="H449" s="20">
        <f>IF(AND(A449=A448,F449=F448,F449="Winter wheat"),G449*0.9*'BAU Management details'!$F$46,
IF(AND(OR(A449&lt;&gt;A448,F449&lt;&gt;F448),F449="Winter wheat"),G449*'BAU Management details'!$F$46,
IF(F449="Oilseed Rape",G449*'BAU Management details'!$F$47)))</f>
        <v>46.040452599999995</v>
      </c>
      <c r="I449" t="s">
        <v>348</v>
      </c>
      <c r="J449">
        <v>10</v>
      </c>
      <c r="K449" t="s">
        <v>362</v>
      </c>
      <c r="L449" t="s">
        <v>727</v>
      </c>
      <c r="M449">
        <v>4</v>
      </c>
      <c r="N449" t="s">
        <v>349</v>
      </c>
      <c r="O449" t="s">
        <v>350</v>
      </c>
      <c r="P449">
        <v>7.3</v>
      </c>
      <c r="Q449" t="s">
        <v>743</v>
      </c>
      <c r="R449" t="s">
        <v>351</v>
      </c>
      <c r="S449">
        <v>220</v>
      </c>
      <c r="T449" s="47" t="s">
        <v>729</v>
      </c>
      <c r="U449" t="s">
        <v>366</v>
      </c>
      <c r="V449" t="s">
        <v>364</v>
      </c>
      <c r="W449" s="47" t="s">
        <v>736</v>
      </c>
      <c r="X449" s="47">
        <v>0</v>
      </c>
      <c r="Y449" s="47" t="s">
        <v>730</v>
      </c>
      <c r="Z449" s="47">
        <v>0</v>
      </c>
      <c r="AA449" s="47" t="s">
        <v>731</v>
      </c>
      <c r="AB449" s="47">
        <v>0</v>
      </c>
      <c r="AC449" s="47" t="s">
        <v>731</v>
      </c>
      <c r="AD449" s="47" t="s">
        <v>731</v>
      </c>
      <c r="AE449" s="47" t="s">
        <v>731</v>
      </c>
      <c r="AF449" s="47">
        <v>0</v>
      </c>
      <c r="AG449" s="47">
        <v>0</v>
      </c>
      <c r="AH449" s="47">
        <v>0</v>
      </c>
      <c r="AI449" s="47" t="s">
        <v>729</v>
      </c>
      <c r="AJ449">
        <v>1</v>
      </c>
      <c r="AK449">
        <v>100</v>
      </c>
    </row>
    <row r="450" spans="1:37" x14ac:dyDescent="0.2">
      <c r="A450" t="s">
        <v>1255</v>
      </c>
      <c r="B450" t="s">
        <v>361</v>
      </c>
      <c r="C450">
        <v>2020</v>
      </c>
      <c r="D450">
        <v>5</v>
      </c>
      <c r="E450" t="s">
        <v>1260</v>
      </c>
      <c r="F450" t="s">
        <v>362</v>
      </c>
      <c r="G450">
        <v>5.3535409999999999</v>
      </c>
      <c r="H450" s="20">
        <f>IF(AND(A450=A449,F450=F449,F450="Winter wheat"),G450*0.9*'BAU Management details'!$F$46,
IF(AND(OR(A450&lt;&gt;A449,F450&lt;&gt;F449),F450="Winter wheat"),G450*'BAU Management details'!$F$46,
IF(F450="Oilseed Rape",G450*'BAU Management details'!$F$47)))</f>
        <v>41.436407339999995</v>
      </c>
      <c r="I450" t="s">
        <v>348</v>
      </c>
      <c r="J450">
        <v>10</v>
      </c>
      <c r="K450" t="s">
        <v>362</v>
      </c>
      <c r="L450" t="s">
        <v>727</v>
      </c>
      <c r="M450">
        <v>4</v>
      </c>
      <c r="N450" t="s">
        <v>349</v>
      </c>
      <c r="O450" t="s">
        <v>350</v>
      </c>
      <c r="P450">
        <v>7.3</v>
      </c>
      <c r="Q450" t="s">
        <v>743</v>
      </c>
      <c r="R450" t="s">
        <v>351</v>
      </c>
      <c r="S450">
        <v>220</v>
      </c>
      <c r="T450" s="47" t="s">
        <v>729</v>
      </c>
      <c r="U450" t="s">
        <v>733</v>
      </c>
      <c r="V450" t="s">
        <v>364</v>
      </c>
      <c r="W450" s="47" t="s">
        <v>736</v>
      </c>
      <c r="X450" s="47">
        <v>0</v>
      </c>
      <c r="Y450" s="47" t="s">
        <v>730</v>
      </c>
      <c r="Z450" s="47">
        <v>0</v>
      </c>
      <c r="AA450" s="47" t="s">
        <v>731</v>
      </c>
      <c r="AB450" s="47">
        <v>0</v>
      </c>
      <c r="AC450" s="47">
        <v>0</v>
      </c>
      <c r="AD450" s="47">
        <v>0</v>
      </c>
      <c r="AE450" s="47" t="s">
        <v>731</v>
      </c>
      <c r="AF450" s="47">
        <v>0</v>
      </c>
      <c r="AG450" s="47">
        <v>0</v>
      </c>
      <c r="AH450" s="47">
        <v>0</v>
      </c>
      <c r="AI450" s="47" t="s">
        <v>729</v>
      </c>
      <c r="AJ450">
        <v>1</v>
      </c>
      <c r="AK450">
        <v>100</v>
      </c>
    </row>
    <row r="451" spans="1:37" x14ac:dyDescent="0.2">
      <c r="A451" t="s">
        <v>1255</v>
      </c>
      <c r="B451" t="s">
        <v>361</v>
      </c>
      <c r="C451">
        <v>2021</v>
      </c>
      <c r="D451">
        <v>6</v>
      </c>
      <c r="E451" t="s">
        <v>1261</v>
      </c>
      <c r="F451" t="s">
        <v>365</v>
      </c>
      <c r="G451">
        <v>5.3535409999999999</v>
      </c>
      <c r="H451" s="20">
        <f>IF(AND(A451=A450,F451=F450,F451="Winter wheat"),G451*0.9*'BAU Management details'!$F$46,
IF(AND(OR(A451&lt;&gt;A450,F451&lt;&gt;F450),F451="Winter wheat"),G451*'BAU Management details'!$F$46,
IF(F451="Oilseed Rape",G451*'BAU Management details'!$F$47)))</f>
        <v>18.7373935</v>
      </c>
      <c r="I451" t="s">
        <v>348</v>
      </c>
      <c r="J451">
        <v>10</v>
      </c>
      <c r="K451" t="s">
        <v>532</v>
      </c>
      <c r="L451" t="s">
        <v>727</v>
      </c>
      <c r="M451">
        <v>4</v>
      </c>
      <c r="N451" t="s">
        <v>349</v>
      </c>
      <c r="O451" t="s">
        <v>350</v>
      </c>
      <c r="P451">
        <v>7.3</v>
      </c>
      <c r="Q451" t="s">
        <v>743</v>
      </c>
      <c r="R451" t="s">
        <v>351</v>
      </c>
      <c r="S451">
        <v>220</v>
      </c>
      <c r="T451" s="47" t="s">
        <v>735</v>
      </c>
      <c r="U451" t="s">
        <v>368</v>
      </c>
      <c r="V451" t="s">
        <v>364</v>
      </c>
      <c r="W451" s="47" t="s">
        <v>736</v>
      </c>
      <c r="X451" s="47">
        <v>0</v>
      </c>
      <c r="Y451" s="47" t="s">
        <v>736</v>
      </c>
      <c r="Z451" s="47">
        <v>0</v>
      </c>
      <c r="AA451" s="47" t="s">
        <v>736</v>
      </c>
      <c r="AB451" s="47">
        <v>0</v>
      </c>
      <c r="AC451" s="47">
        <v>0</v>
      </c>
      <c r="AD451" s="47">
        <v>0</v>
      </c>
      <c r="AE451" s="47" t="s">
        <v>731</v>
      </c>
      <c r="AF451" s="47">
        <v>0</v>
      </c>
      <c r="AG451" s="47" t="s">
        <v>731</v>
      </c>
      <c r="AH451" s="47">
        <v>0</v>
      </c>
      <c r="AI451" s="47" t="s">
        <v>735</v>
      </c>
      <c r="AJ451">
        <v>1</v>
      </c>
      <c r="AK451">
        <v>100</v>
      </c>
    </row>
    <row r="452" spans="1:37" x14ac:dyDescent="0.2">
      <c r="A452" t="s">
        <v>1262</v>
      </c>
      <c r="B452" t="s">
        <v>361</v>
      </c>
      <c r="C452">
        <v>2016</v>
      </c>
      <c r="D452">
        <v>1</v>
      </c>
      <c r="E452" t="s">
        <v>1263</v>
      </c>
      <c r="F452" t="s">
        <v>362</v>
      </c>
      <c r="G452">
        <v>6.9975250000000004</v>
      </c>
      <c r="H452" s="20">
        <f>IF(AND(A452=A451,F452=F451,F452="Winter wheat"),G452*0.9*'BAU Management details'!$F$46,
IF(AND(OR(A452&lt;&gt;A451,F452&lt;&gt;F451),F452="Winter wheat"),G452*'BAU Management details'!$F$46,
IF(F452="Oilseed Rape",G452*'BAU Management details'!$F$47)))</f>
        <v>60.178715000000004</v>
      </c>
      <c r="I452" t="s">
        <v>348</v>
      </c>
      <c r="J452">
        <v>10</v>
      </c>
      <c r="K452" t="s">
        <v>362</v>
      </c>
      <c r="L452" t="s">
        <v>727</v>
      </c>
      <c r="M452">
        <v>4</v>
      </c>
      <c r="N452" t="s">
        <v>349</v>
      </c>
      <c r="O452" t="s">
        <v>350</v>
      </c>
      <c r="P452">
        <v>7.3</v>
      </c>
      <c r="Q452" t="s">
        <v>743</v>
      </c>
      <c r="R452" t="s">
        <v>351</v>
      </c>
      <c r="S452">
        <v>220</v>
      </c>
      <c r="T452" s="47" t="s">
        <v>729</v>
      </c>
      <c r="U452" t="s">
        <v>366</v>
      </c>
      <c r="V452" t="s">
        <v>364</v>
      </c>
      <c r="W452" s="47" t="s">
        <v>736</v>
      </c>
      <c r="X452" s="47">
        <v>0</v>
      </c>
      <c r="Y452" s="47" t="s">
        <v>730</v>
      </c>
      <c r="Z452" s="47">
        <v>0</v>
      </c>
      <c r="AA452" s="47" t="s">
        <v>731</v>
      </c>
      <c r="AB452" s="47">
        <v>0</v>
      </c>
      <c r="AC452" s="47" t="s">
        <v>731</v>
      </c>
      <c r="AD452" s="47" t="s">
        <v>731</v>
      </c>
      <c r="AE452" s="47" t="s">
        <v>731</v>
      </c>
      <c r="AF452" s="47">
        <v>0</v>
      </c>
      <c r="AG452" s="47">
        <v>0</v>
      </c>
      <c r="AH452" s="47">
        <v>0</v>
      </c>
      <c r="AI452" s="47" t="s">
        <v>729</v>
      </c>
      <c r="AJ452">
        <v>1</v>
      </c>
      <c r="AK452">
        <v>100</v>
      </c>
    </row>
    <row r="453" spans="1:37" x14ac:dyDescent="0.2">
      <c r="A453" t="s">
        <v>1262</v>
      </c>
      <c r="B453" t="s">
        <v>361</v>
      </c>
      <c r="C453">
        <v>2017</v>
      </c>
      <c r="D453">
        <v>2</v>
      </c>
      <c r="E453" t="s">
        <v>1264</v>
      </c>
      <c r="F453" t="s">
        <v>362</v>
      </c>
      <c r="G453">
        <v>6.9975250000000004</v>
      </c>
      <c r="H453" s="20">
        <f>IF(AND(A453=A452,F453=F452,F453="Winter wheat"),G453*0.9*'BAU Management details'!$F$46,
IF(AND(OR(A453&lt;&gt;A452,F453&lt;&gt;F452),F453="Winter wheat"),G453*'BAU Management details'!$F$46,
IF(F453="Oilseed Rape",G453*'BAU Management details'!$F$47)))</f>
        <v>54.160843500000006</v>
      </c>
      <c r="I453" t="s">
        <v>348</v>
      </c>
      <c r="J453">
        <v>10</v>
      </c>
      <c r="K453" t="s">
        <v>362</v>
      </c>
      <c r="L453" t="s">
        <v>727</v>
      </c>
      <c r="M453">
        <v>4</v>
      </c>
      <c r="N453" t="s">
        <v>349</v>
      </c>
      <c r="O453" t="s">
        <v>350</v>
      </c>
      <c r="P453">
        <v>7.3</v>
      </c>
      <c r="Q453" t="s">
        <v>743</v>
      </c>
      <c r="R453" t="s">
        <v>351</v>
      </c>
      <c r="S453">
        <v>220</v>
      </c>
      <c r="T453" s="47" t="s">
        <v>729</v>
      </c>
      <c r="U453" t="s">
        <v>733</v>
      </c>
      <c r="V453" t="s">
        <v>364</v>
      </c>
      <c r="W453" s="47" t="s">
        <v>736</v>
      </c>
      <c r="X453" s="47">
        <v>0</v>
      </c>
      <c r="Y453" s="47" t="s">
        <v>730</v>
      </c>
      <c r="Z453" s="47">
        <v>0</v>
      </c>
      <c r="AA453" s="47" t="s">
        <v>731</v>
      </c>
      <c r="AB453" s="47">
        <v>0</v>
      </c>
      <c r="AC453" s="47">
        <v>0</v>
      </c>
      <c r="AD453" s="47">
        <v>0</v>
      </c>
      <c r="AE453" s="47" t="s">
        <v>731</v>
      </c>
      <c r="AF453" s="47">
        <v>0</v>
      </c>
      <c r="AG453" s="47">
        <v>0</v>
      </c>
      <c r="AH453" s="47">
        <v>0</v>
      </c>
      <c r="AI453" s="47" t="s">
        <v>729</v>
      </c>
      <c r="AJ453">
        <v>1</v>
      </c>
      <c r="AK453">
        <v>100</v>
      </c>
    </row>
    <row r="454" spans="1:37" x14ac:dyDescent="0.2">
      <c r="A454" t="s">
        <v>1262</v>
      </c>
      <c r="B454" t="s">
        <v>361</v>
      </c>
      <c r="C454">
        <v>2018</v>
      </c>
      <c r="D454">
        <v>3</v>
      </c>
      <c r="E454" t="s">
        <v>1265</v>
      </c>
      <c r="F454" t="s">
        <v>365</v>
      </c>
      <c r="G454">
        <v>6.9975250000000004</v>
      </c>
      <c r="H454" s="20">
        <f>IF(AND(A454=A453,F454=F453,F454="Winter wheat"),G454*0.9*'BAU Management details'!$F$46,
IF(AND(OR(A454&lt;&gt;A453,F454&lt;&gt;F453),F454="Winter wheat"),G454*'BAU Management details'!$F$46,
IF(F454="Oilseed Rape",G454*'BAU Management details'!$F$47)))</f>
        <v>24.4913375</v>
      </c>
      <c r="I454" t="s">
        <v>348</v>
      </c>
      <c r="J454">
        <v>10</v>
      </c>
      <c r="K454" t="s">
        <v>532</v>
      </c>
      <c r="L454" t="s">
        <v>727</v>
      </c>
      <c r="M454">
        <v>4</v>
      </c>
      <c r="N454" t="s">
        <v>349</v>
      </c>
      <c r="O454" t="s">
        <v>350</v>
      </c>
      <c r="P454">
        <v>7.3</v>
      </c>
      <c r="Q454" t="s">
        <v>743</v>
      </c>
      <c r="R454" t="s">
        <v>351</v>
      </c>
      <c r="S454">
        <v>220</v>
      </c>
      <c r="T454" s="47" t="s">
        <v>735</v>
      </c>
      <c r="U454" t="s">
        <v>368</v>
      </c>
      <c r="V454" t="s">
        <v>364</v>
      </c>
      <c r="W454" s="47" t="s">
        <v>736</v>
      </c>
      <c r="X454" s="47">
        <v>0</v>
      </c>
      <c r="Y454" s="47" t="s">
        <v>736</v>
      </c>
      <c r="Z454" s="47">
        <v>0</v>
      </c>
      <c r="AA454" s="47" t="s">
        <v>736</v>
      </c>
      <c r="AB454" s="47">
        <v>0</v>
      </c>
      <c r="AC454" s="47">
        <v>0</v>
      </c>
      <c r="AD454" s="47">
        <v>0</v>
      </c>
      <c r="AE454" s="47" t="s">
        <v>731</v>
      </c>
      <c r="AF454" s="47">
        <v>0</v>
      </c>
      <c r="AG454" s="47" t="s">
        <v>731</v>
      </c>
      <c r="AH454" s="47">
        <v>0</v>
      </c>
      <c r="AI454" s="47" t="s">
        <v>735</v>
      </c>
      <c r="AJ454">
        <v>1</v>
      </c>
      <c r="AK454">
        <v>100</v>
      </c>
    </row>
    <row r="455" spans="1:37" x14ac:dyDescent="0.2">
      <c r="A455" t="s">
        <v>1262</v>
      </c>
      <c r="B455" t="s">
        <v>361</v>
      </c>
      <c r="C455">
        <v>2019</v>
      </c>
      <c r="D455">
        <v>4</v>
      </c>
      <c r="E455" t="s">
        <v>1266</v>
      </c>
      <c r="F455" t="s">
        <v>362</v>
      </c>
      <c r="G455">
        <v>6.9975250000000004</v>
      </c>
      <c r="H455" s="20">
        <f>IF(AND(A455=A454,F455=F454,F455="Winter wheat"),G455*0.9*'BAU Management details'!$F$46,
IF(AND(OR(A455&lt;&gt;A454,F455&lt;&gt;F454),F455="Winter wheat"),G455*'BAU Management details'!$F$46,
IF(F455="Oilseed Rape",G455*'BAU Management details'!$F$47)))</f>
        <v>60.178715000000004</v>
      </c>
      <c r="I455" t="s">
        <v>348</v>
      </c>
      <c r="J455">
        <v>10</v>
      </c>
      <c r="K455" t="s">
        <v>362</v>
      </c>
      <c r="L455" t="s">
        <v>727</v>
      </c>
      <c r="M455">
        <v>4</v>
      </c>
      <c r="N455" t="s">
        <v>349</v>
      </c>
      <c r="O455" t="s">
        <v>350</v>
      </c>
      <c r="P455">
        <v>7.3</v>
      </c>
      <c r="Q455" t="s">
        <v>743</v>
      </c>
      <c r="R455" t="s">
        <v>351</v>
      </c>
      <c r="S455">
        <v>220</v>
      </c>
      <c r="T455" s="47" t="s">
        <v>729</v>
      </c>
      <c r="U455" t="s">
        <v>366</v>
      </c>
      <c r="V455" t="s">
        <v>364</v>
      </c>
      <c r="W455" s="47" t="s">
        <v>736</v>
      </c>
      <c r="X455" s="47">
        <v>0</v>
      </c>
      <c r="Y455" s="47" t="s">
        <v>730</v>
      </c>
      <c r="Z455" s="47">
        <v>0</v>
      </c>
      <c r="AA455" s="47" t="s">
        <v>731</v>
      </c>
      <c r="AB455" s="47">
        <v>0</v>
      </c>
      <c r="AC455" s="47" t="s">
        <v>731</v>
      </c>
      <c r="AD455" s="47" t="s">
        <v>731</v>
      </c>
      <c r="AE455" s="47" t="s">
        <v>731</v>
      </c>
      <c r="AF455" s="47">
        <v>0</v>
      </c>
      <c r="AG455" s="47">
        <v>0</v>
      </c>
      <c r="AH455" s="47">
        <v>0</v>
      </c>
      <c r="AI455" s="47" t="s">
        <v>729</v>
      </c>
      <c r="AJ455">
        <v>1</v>
      </c>
      <c r="AK455">
        <v>100</v>
      </c>
    </row>
    <row r="456" spans="1:37" x14ac:dyDescent="0.2">
      <c r="A456" t="s">
        <v>1262</v>
      </c>
      <c r="B456" t="s">
        <v>361</v>
      </c>
      <c r="C456">
        <v>2020</v>
      </c>
      <c r="D456">
        <v>5</v>
      </c>
      <c r="E456" t="s">
        <v>1267</v>
      </c>
      <c r="F456" t="s">
        <v>362</v>
      </c>
      <c r="G456">
        <v>6.9975250000000004</v>
      </c>
      <c r="H456" s="20">
        <f>IF(AND(A456=A455,F456=F455,F456="Winter wheat"),G456*0.9*'BAU Management details'!$F$46,
IF(AND(OR(A456&lt;&gt;A455,F456&lt;&gt;F455),F456="Winter wheat"),G456*'BAU Management details'!$F$46,
IF(F456="Oilseed Rape",G456*'BAU Management details'!$F$47)))</f>
        <v>54.160843500000006</v>
      </c>
      <c r="I456" t="s">
        <v>348</v>
      </c>
      <c r="J456">
        <v>10</v>
      </c>
      <c r="K456" t="s">
        <v>362</v>
      </c>
      <c r="L456" t="s">
        <v>727</v>
      </c>
      <c r="M456">
        <v>4</v>
      </c>
      <c r="N456" t="s">
        <v>349</v>
      </c>
      <c r="O456" t="s">
        <v>350</v>
      </c>
      <c r="P456">
        <v>7.3</v>
      </c>
      <c r="Q456" t="s">
        <v>743</v>
      </c>
      <c r="R456" t="s">
        <v>351</v>
      </c>
      <c r="S456">
        <v>220</v>
      </c>
      <c r="T456" s="47" t="s">
        <v>729</v>
      </c>
      <c r="U456" t="s">
        <v>733</v>
      </c>
      <c r="V456" t="s">
        <v>364</v>
      </c>
      <c r="W456" s="47" t="s">
        <v>736</v>
      </c>
      <c r="X456" s="47">
        <v>0</v>
      </c>
      <c r="Y456" s="47" t="s">
        <v>730</v>
      </c>
      <c r="Z456" s="47">
        <v>0</v>
      </c>
      <c r="AA456" s="47" t="s">
        <v>731</v>
      </c>
      <c r="AB456" s="47">
        <v>0</v>
      </c>
      <c r="AC456" s="47">
        <v>0</v>
      </c>
      <c r="AD456" s="47">
        <v>0</v>
      </c>
      <c r="AE456" s="47" t="s">
        <v>731</v>
      </c>
      <c r="AF456" s="47">
        <v>0</v>
      </c>
      <c r="AG456" s="47">
        <v>0</v>
      </c>
      <c r="AH456" s="47">
        <v>0</v>
      </c>
      <c r="AI456" s="47" t="s">
        <v>729</v>
      </c>
      <c r="AJ456">
        <v>1</v>
      </c>
      <c r="AK456">
        <v>100</v>
      </c>
    </row>
    <row r="457" spans="1:37" x14ac:dyDescent="0.2">
      <c r="A457" t="s">
        <v>1262</v>
      </c>
      <c r="B457" t="s">
        <v>361</v>
      </c>
      <c r="C457">
        <v>2021</v>
      </c>
      <c r="D457">
        <v>6</v>
      </c>
      <c r="E457" t="s">
        <v>1268</v>
      </c>
      <c r="F457" t="s">
        <v>365</v>
      </c>
      <c r="G457">
        <v>6.9975250000000004</v>
      </c>
      <c r="H457" s="20">
        <f>IF(AND(A457=A456,F457=F456,F457="Winter wheat"),G457*0.9*'BAU Management details'!$F$46,
IF(AND(OR(A457&lt;&gt;A456,F457&lt;&gt;F456),F457="Winter wheat"),G457*'BAU Management details'!$F$46,
IF(F457="Oilseed Rape",G457*'BAU Management details'!$F$47)))</f>
        <v>24.4913375</v>
      </c>
      <c r="I457" t="s">
        <v>348</v>
      </c>
      <c r="J457">
        <v>10</v>
      </c>
      <c r="K457" t="s">
        <v>532</v>
      </c>
      <c r="L457" t="s">
        <v>727</v>
      </c>
      <c r="M457">
        <v>4</v>
      </c>
      <c r="N457" t="s">
        <v>349</v>
      </c>
      <c r="O457" t="s">
        <v>350</v>
      </c>
      <c r="P457">
        <v>7.3</v>
      </c>
      <c r="Q457" t="s">
        <v>743</v>
      </c>
      <c r="R457" t="s">
        <v>351</v>
      </c>
      <c r="S457">
        <v>220</v>
      </c>
      <c r="T457" s="47" t="s">
        <v>735</v>
      </c>
      <c r="U457" t="s">
        <v>368</v>
      </c>
      <c r="V457" t="s">
        <v>364</v>
      </c>
      <c r="W457" s="47" t="s">
        <v>736</v>
      </c>
      <c r="X457" s="47">
        <v>0</v>
      </c>
      <c r="Y457" s="47" t="s">
        <v>736</v>
      </c>
      <c r="Z457" s="47">
        <v>0</v>
      </c>
      <c r="AA457" s="47" t="s">
        <v>736</v>
      </c>
      <c r="AB457" s="47">
        <v>0</v>
      </c>
      <c r="AC457" s="47">
        <v>0</v>
      </c>
      <c r="AD457" s="47">
        <v>0</v>
      </c>
      <c r="AE457" s="47" t="s">
        <v>731</v>
      </c>
      <c r="AF457" s="47">
        <v>0</v>
      </c>
      <c r="AG457" s="47" t="s">
        <v>731</v>
      </c>
      <c r="AH457" s="47">
        <v>0</v>
      </c>
      <c r="AI457" s="47" t="s">
        <v>735</v>
      </c>
      <c r="AJ457">
        <v>1</v>
      </c>
      <c r="AK457">
        <v>100</v>
      </c>
    </row>
    <row r="458" spans="1:37" x14ac:dyDescent="0.2">
      <c r="A458" t="s">
        <v>1269</v>
      </c>
      <c r="B458" t="s">
        <v>361</v>
      </c>
      <c r="C458">
        <v>2016</v>
      </c>
      <c r="D458">
        <v>1</v>
      </c>
      <c r="E458" t="s">
        <v>1270</v>
      </c>
      <c r="F458" t="s">
        <v>362</v>
      </c>
      <c r="G458">
        <v>9.0746739999999999</v>
      </c>
      <c r="H458" s="20">
        <f>IF(AND(A458=A457,F458=F457,F458="Winter wheat"),G458*0.9*'BAU Management details'!$F$46,
IF(AND(OR(A458&lt;&gt;A457,F458&lt;&gt;F457),F458="Winter wheat"),G458*'BAU Management details'!$F$46,
IF(F458="Oilseed Rape",G458*'BAU Management details'!$F$47)))</f>
        <v>78.042196399999995</v>
      </c>
      <c r="I458" t="s">
        <v>348</v>
      </c>
      <c r="J458">
        <v>10</v>
      </c>
      <c r="K458" t="s">
        <v>362</v>
      </c>
      <c r="L458" t="s">
        <v>727</v>
      </c>
      <c r="M458">
        <v>4</v>
      </c>
      <c r="N458" t="s">
        <v>349</v>
      </c>
      <c r="O458" t="s">
        <v>350</v>
      </c>
      <c r="P458">
        <v>7.3</v>
      </c>
      <c r="Q458" t="s">
        <v>743</v>
      </c>
      <c r="R458" t="s">
        <v>351</v>
      </c>
      <c r="S458">
        <v>220</v>
      </c>
      <c r="T458" s="47" t="s">
        <v>729</v>
      </c>
      <c r="U458" t="s">
        <v>366</v>
      </c>
      <c r="V458" t="s">
        <v>364</v>
      </c>
      <c r="W458" s="47" t="s">
        <v>736</v>
      </c>
      <c r="X458" s="47">
        <v>0</v>
      </c>
      <c r="Y458" s="47" t="s">
        <v>730</v>
      </c>
      <c r="Z458" s="47">
        <v>0</v>
      </c>
      <c r="AA458" s="47" t="s">
        <v>731</v>
      </c>
      <c r="AB458" s="47">
        <v>0</v>
      </c>
      <c r="AC458" s="47" t="s">
        <v>731</v>
      </c>
      <c r="AD458" s="47" t="s">
        <v>731</v>
      </c>
      <c r="AE458" s="47" t="s">
        <v>731</v>
      </c>
      <c r="AF458" s="47">
        <v>0</v>
      </c>
      <c r="AG458" s="47">
        <v>0</v>
      </c>
      <c r="AH458" s="47">
        <v>0</v>
      </c>
      <c r="AI458" s="47" t="s">
        <v>729</v>
      </c>
      <c r="AJ458">
        <v>1</v>
      </c>
      <c r="AK458">
        <v>100</v>
      </c>
    </row>
    <row r="459" spans="1:37" x14ac:dyDescent="0.2">
      <c r="A459" t="s">
        <v>1269</v>
      </c>
      <c r="B459" t="s">
        <v>361</v>
      </c>
      <c r="C459">
        <v>2017</v>
      </c>
      <c r="D459">
        <v>2</v>
      </c>
      <c r="E459" t="s">
        <v>1271</v>
      </c>
      <c r="F459" t="s">
        <v>362</v>
      </c>
      <c r="G459">
        <v>9.0746739999999999</v>
      </c>
      <c r="H459" s="20">
        <f>IF(AND(A459=A458,F459=F458,F459="Winter wheat"),G459*0.9*'BAU Management details'!$F$46,
IF(AND(OR(A459&lt;&gt;A458,F459&lt;&gt;F458),F459="Winter wheat"),G459*'BAU Management details'!$F$46,
IF(F459="Oilseed Rape",G459*'BAU Management details'!$F$47)))</f>
        <v>70.237976759999995</v>
      </c>
      <c r="I459" t="s">
        <v>348</v>
      </c>
      <c r="J459">
        <v>10</v>
      </c>
      <c r="K459" t="s">
        <v>362</v>
      </c>
      <c r="L459" t="s">
        <v>727</v>
      </c>
      <c r="M459">
        <v>4</v>
      </c>
      <c r="N459" t="s">
        <v>349</v>
      </c>
      <c r="O459" t="s">
        <v>350</v>
      </c>
      <c r="P459">
        <v>7.3</v>
      </c>
      <c r="Q459" t="s">
        <v>743</v>
      </c>
      <c r="R459" t="s">
        <v>351</v>
      </c>
      <c r="S459">
        <v>220</v>
      </c>
      <c r="T459" s="47" t="s">
        <v>729</v>
      </c>
      <c r="U459" t="s">
        <v>733</v>
      </c>
      <c r="V459" t="s">
        <v>364</v>
      </c>
      <c r="W459" s="47" t="s">
        <v>736</v>
      </c>
      <c r="X459" s="47">
        <v>0</v>
      </c>
      <c r="Y459" s="47" t="s">
        <v>730</v>
      </c>
      <c r="Z459" s="47">
        <v>0</v>
      </c>
      <c r="AA459" s="47" t="s">
        <v>731</v>
      </c>
      <c r="AB459" s="47">
        <v>0</v>
      </c>
      <c r="AC459" s="47">
        <v>0</v>
      </c>
      <c r="AD459" s="47">
        <v>0</v>
      </c>
      <c r="AE459" s="47" t="s">
        <v>731</v>
      </c>
      <c r="AF459" s="47">
        <v>0</v>
      </c>
      <c r="AG459" s="47">
        <v>0</v>
      </c>
      <c r="AH459" s="47">
        <v>0</v>
      </c>
      <c r="AI459" s="47" t="s">
        <v>729</v>
      </c>
      <c r="AJ459">
        <v>1</v>
      </c>
      <c r="AK459">
        <v>100</v>
      </c>
    </row>
    <row r="460" spans="1:37" x14ac:dyDescent="0.2">
      <c r="A460" t="s">
        <v>1269</v>
      </c>
      <c r="B460" t="s">
        <v>361</v>
      </c>
      <c r="C460">
        <v>2018</v>
      </c>
      <c r="D460">
        <v>3</v>
      </c>
      <c r="E460" t="s">
        <v>1272</v>
      </c>
      <c r="F460" t="s">
        <v>365</v>
      </c>
      <c r="G460">
        <v>9.0746739999999999</v>
      </c>
      <c r="H460" s="20">
        <f>IF(AND(A460=A459,F460=F459,F460="Winter wheat"),G460*0.9*'BAU Management details'!$F$46,
IF(AND(OR(A460&lt;&gt;A459,F460&lt;&gt;F459),F460="Winter wheat"),G460*'BAU Management details'!$F$46,
IF(F460="Oilseed Rape",G460*'BAU Management details'!$F$47)))</f>
        <v>31.761358999999999</v>
      </c>
      <c r="I460" t="s">
        <v>348</v>
      </c>
      <c r="J460">
        <v>10</v>
      </c>
      <c r="K460" t="s">
        <v>532</v>
      </c>
      <c r="L460" t="s">
        <v>727</v>
      </c>
      <c r="M460">
        <v>4</v>
      </c>
      <c r="N460" t="s">
        <v>349</v>
      </c>
      <c r="O460" t="s">
        <v>350</v>
      </c>
      <c r="P460">
        <v>7.3</v>
      </c>
      <c r="Q460" t="s">
        <v>743</v>
      </c>
      <c r="R460" t="s">
        <v>351</v>
      </c>
      <c r="S460">
        <v>220</v>
      </c>
      <c r="T460" s="47" t="s">
        <v>735</v>
      </c>
      <c r="U460" t="s">
        <v>368</v>
      </c>
      <c r="V460" t="s">
        <v>364</v>
      </c>
      <c r="W460" s="47" t="s">
        <v>736</v>
      </c>
      <c r="X460" s="47">
        <v>0</v>
      </c>
      <c r="Y460" s="47" t="s">
        <v>736</v>
      </c>
      <c r="Z460" s="47">
        <v>0</v>
      </c>
      <c r="AA460" s="47" t="s">
        <v>736</v>
      </c>
      <c r="AB460" s="47">
        <v>0</v>
      </c>
      <c r="AC460" s="47">
        <v>0</v>
      </c>
      <c r="AD460" s="47">
        <v>0</v>
      </c>
      <c r="AE460" s="47" t="s">
        <v>731</v>
      </c>
      <c r="AF460" s="47">
        <v>0</v>
      </c>
      <c r="AG460" s="47" t="s">
        <v>731</v>
      </c>
      <c r="AH460" s="47">
        <v>0</v>
      </c>
      <c r="AI460" s="47" t="s">
        <v>735</v>
      </c>
      <c r="AJ460">
        <v>1</v>
      </c>
      <c r="AK460">
        <v>100</v>
      </c>
    </row>
    <row r="461" spans="1:37" x14ac:dyDescent="0.2">
      <c r="A461" t="s">
        <v>1269</v>
      </c>
      <c r="B461" t="s">
        <v>361</v>
      </c>
      <c r="C461">
        <v>2019</v>
      </c>
      <c r="D461">
        <v>4</v>
      </c>
      <c r="E461" t="s">
        <v>1273</v>
      </c>
      <c r="F461" t="s">
        <v>362</v>
      </c>
      <c r="G461">
        <v>9.0746739999999999</v>
      </c>
      <c r="H461" s="20">
        <f>IF(AND(A461=A460,F461=F460,F461="Winter wheat"),G461*0.9*'BAU Management details'!$F$46,
IF(AND(OR(A461&lt;&gt;A460,F461&lt;&gt;F460),F461="Winter wheat"),G461*'BAU Management details'!$F$46,
IF(F461="Oilseed Rape",G461*'BAU Management details'!$F$47)))</f>
        <v>78.042196399999995</v>
      </c>
      <c r="I461" t="s">
        <v>348</v>
      </c>
      <c r="J461">
        <v>10</v>
      </c>
      <c r="K461" t="s">
        <v>362</v>
      </c>
      <c r="L461" t="s">
        <v>727</v>
      </c>
      <c r="M461">
        <v>4</v>
      </c>
      <c r="N461" t="s">
        <v>349</v>
      </c>
      <c r="O461" t="s">
        <v>350</v>
      </c>
      <c r="P461">
        <v>7.3</v>
      </c>
      <c r="Q461" t="s">
        <v>743</v>
      </c>
      <c r="R461" t="s">
        <v>351</v>
      </c>
      <c r="S461">
        <v>220</v>
      </c>
      <c r="T461" s="47" t="s">
        <v>729</v>
      </c>
      <c r="U461" t="s">
        <v>366</v>
      </c>
      <c r="V461" t="s">
        <v>364</v>
      </c>
      <c r="W461" s="47" t="s">
        <v>736</v>
      </c>
      <c r="X461" s="47">
        <v>0</v>
      </c>
      <c r="Y461" s="47" t="s">
        <v>730</v>
      </c>
      <c r="Z461" s="47">
        <v>0</v>
      </c>
      <c r="AA461" s="47" t="s">
        <v>731</v>
      </c>
      <c r="AB461" s="47">
        <v>0</v>
      </c>
      <c r="AC461" s="47" t="s">
        <v>731</v>
      </c>
      <c r="AD461" s="47" t="s">
        <v>731</v>
      </c>
      <c r="AE461" s="47" t="s">
        <v>731</v>
      </c>
      <c r="AF461" s="47">
        <v>0</v>
      </c>
      <c r="AG461" s="47">
        <v>0</v>
      </c>
      <c r="AH461" s="47">
        <v>0</v>
      </c>
      <c r="AI461" s="47" t="s">
        <v>729</v>
      </c>
      <c r="AJ461">
        <v>1</v>
      </c>
      <c r="AK461">
        <v>100</v>
      </c>
    </row>
    <row r="462" spans="1:37" x14ac:dyDescent="0.2">
      <c r="A462" t="s">
        <v>1269</v>
      </c>
      <c r="B462" t="s">
        <v>361</v>
      </c>
      <c r="C462">
        <v>2020</v>
      </c>
      <c r="D462">
        <v>5</v>
      </c>
      <c r="E462" t="s">
        <v>1274</v>
      </c>
      <c r="F462" t="s">
        <v>362</v>
      </c>
      <c r="G462">
        <v>9.0746739999999999</v>
      </c>
      <c r="H462" s="20">
        <f>IF(AND(A462=A461,F462=F461,F462="Winter wheat"),G462*0.9*'BAU Management details'!$F$46,
IF(AND(OR(A462&lt;&gt;A461,F462&lt;&gt;F461),F462="Winter wheat"),G462*'BAU Management details'!$F$46,
IF(F462="Oilseed Rape",G462*'BAU Management details'!$F$47)))</f>
        <v>70.237976759999995</v>
      </c>
      <c r="I462" t="s">
        <v>348</v>
      </c>
      <c r="J462">
        <v>10</v>
      </c>
      <c r="K462" t="s">
        <v>362</v>
      </c>
      <c r="L462" t="s">
        <v>727</v>
      </c>
      <c r="M462">
        <v>4</v>
      </c>
      <c r="N462" t="s">
        <v>349</v>
      </c>
      <c r="O462" t="s">
        <v>350</v>
      </c>
      <c r="P462">
        <v>7.3</v>
      </c>
      <c r="Q462" t="s">
        <v>743</v>
      </c>
      <c r="R462" t="s">
        <v>351</v>
      </c>
      <c r="S462">
        <v>220</v>
      </c>
      <c r="T462" s="47" t="s">
        <v>729</v>
      </c>
      <c r="U462" t="s">
        <v>733</v>
      </c>
      <c r="V462" t="s">
        <v>364</v>
      </c>
      <c r="W462" s="47" t="s">
        <v>736</v>
      </c>
      <c r="X462" s="47">
        <v>0</v>
      </c>
      <c r="Y462" s="47" t="s">
        <v>730</v>
      </c>
      <c r="Z462" s="47">
        <v>0</v>
      </c>
      <c r="AA462" s="47" t="s">
        <v>731</v>
      </c>
      <c r="AB462" s="47">
        <v>0</v>
      </c>
      <c r="AC462" s="47">
        <v>0</v>
      </c>
      <c r="AD462" s="47">
        <v>0</v>
      </c>
      <c r="AE462" s="47" t="s">
        <v>731</v>
      </c>
      <c r="AF462" s="47">
        <v>0</v>
      </c>
      <c r="AG462" s="47">
        <v>0</v>
      </c>
      <c r="AH462" s="47">
        <v>0</v>
      </c>
      <c r="AI462" s="47" t="s">
        <v>729</v>
      </c>
      <c r="AJ462">
        <v>1</v>
      </c>
      <c r="AK462">
        <v>100</v>
      </c>
    </row>
    <row r="463" spans="1:37" x14ac:dyDescent="0.2">
      <c r="A463" t="s">
        <v>1269</v>
      </c>
      <c r="B463" t="s">
        <v>361</v>
      </c>
      <c r="C463">
        <v>2021</v>
      </c>
      <c r="D463">
        <v>6</v>
      </c>
      <c r="E463" t="s">
        <v>1275</v>
      </c>
      <c r="F463" t="s">
        <v>365</v>
      </c>
      <c r="G463">
        <v>9.0746739999999999</v>
      </c>
      <c r="H463" s="20">
        <f>IF(AND(A463=A462,F463=F462,F463="Winter wheat"),G463*0.9*'BAU Management details'!$F$46,
IF(AND(OR(A463&lt;&gt;A462,F463&lt;&gt;F462),F463="Winter wheat"),G463*'BAU Management details'!$F$46,
IF(F463="Oilseed Rape",G463*'BAU Management details'!$F$47)))</f>
        <v>31.761358999999999</v>
      </c>
      <c r="I463" t="s">
        <v>348</v>
      </c>
      <c r="J463">
        <v>10</v>
      </c>
      <c r="K463" t="s">
        <v>532</v>
      </c>
      <c r="L463" t="s">
        <v>727</v>
      </c>
      <c r="M463">
        <v>4</v>
      </c>
      <c r="N463" t="s">
        <v>349</v>
      </c>
      <c r="O463" t="s">
        <v>350</v>
      </c>
      <c r="P463">
        <v>7.3</v>
      </c>
      <c r="Q463" t="s">
        <v>743</v>
      </c>
      <c r="R463" t="s">
        <v>351</v>
      </c>
      <c r="S463">
        <v>220</v>
      </c>
      <c r="T463" s="47" t="s">
        <v>735</v>
      </c>
      <c r="U463" t="s">
        <v>368</v>
      </c>
      <c r="V463" t="s">
        <v>364</v>
      </c>
      <c r="W463" s="47" t="s">
        <v>736</v>
      </c>
      <c r="X463" s="47">
        <v>0</v>
      </c>
      <c r="Y463" s="47" t="s">
        <v>736</v>
      </c>
      <c r="Z463" s="47">
        <v>0</v>
      </c>
      <c r="AA463" s="47" t="s">
        <v>736</v>
      </c>
      <c r="AB463" s="47">
        <v>0</v>
      </c>
      <c r="AC463" s="47">
        <v>0</v>
      </c>
      <c r="AD463" s="47">
        <v>0</v>
      </c>
      <c r="AE463" s="47" t="s">
        <v>731</v>
      </c>
      <c r="AF463" s="47">
        <v>0</v>
      </c>
      <c r="AG463" s="47" t="s">
        <v>731</v>
      </c>
      <c r="AH463" s="47">
        <v>0</v>
      </c>
      <c r="AI463" s="47" t="s">
        <v>735</v>
      </c>
      <c r="AJ463">
        <v>1</v>
      </c>
      <c r="AK463">
        <v>100</v>
      </c>
    </row>
    <row r="464" spans="1:37" x14ac:dyDescent="0.2">
      <c r="A464" t="s">
        <v>1276</v>
      </c>
      <c r="B464" t="s">
        <v>361</v>
      </c>
      <c r="C464">
        <v>2016</v>
      </c>
      <c r="D464">
        <v>1</v>
      </c>
      <c r="E464" t="s">
        <v>1277</v>
      </c>
      <c r="F464" t="s">
        <v>362</v>
      </c>
      <c r="G464">
        <v>8.090662</v>
      </c>
      <c r="H464" s="20">
        <f>IF(AND(A464=A463,F464=F463,F464="Winter wheat"),G464*0.9*'BAU Management details'!$F$46,
IF(AND(OR(A464&lt;&gt;A463,F464&lt;&gt;F463),F464="Winter wheat"),G464*'BAU Management details'!$F$46,
IF(F464="Oilseed Rape",G464*'BAU Management details'!$F$47)))</f>
        <v>69.579693199999994</v>
      </c>
      <c r="I464" t="s">
        <v>348</v>
      </c>
      <c r="J464">
        <v>10</v>
      </c>
      <c r="K464" t="s">
        <v>362</v>
      </c>
      <c r="L464" t="s">
        <v>751</v>
      </c>
      <c r="M464">
        <v>2.9</v>
      </c>
      <c r="N464" t="s">
        <v>349</v>
      </c>
      <c r="O464" t="s">
        <v>350</v>
      </c>
      <c r="P464">
        <v>7.7</v>
      </c>
      <c r="Q464" t="s">
        <v>728</v>
      </c>
      <c r="R464" t="s">
        <v>351</v>
      </c>
      <c r="S464">
        <v>220</v>
      </c>
      <c r="T464" s="47" t="s">
        <v>729</v>
      </c>
      <c r="U464" t="s">
        <v>366</v>
      </c>
      <c r="V464" t="s">
        <v>367</v>
      </c>
      <c r="W464" s="47" t="s">
        <v>736</v>
      </c>
      <c r="X464" s="47">
        <v>0</v>
      </c>
      <c r="Y464" s="47" t="s">
        <v>730</v>
      </c>
      <c r="Z464" s="47">
        <v>0</v>
      </c>
      <c r="AA464" s="47" t="s">
        <v>731</v>
      </c>
      <c r="AB464" s="47">
        <v>0</v>
      </c>
      <c r="AC464" s="47" t="s">
        <v>731</v>
      </c>
      <c r="AD464" s="47" t="s">
        <v>731</v>
      </c>
      <c r="AE464" s="47" t="s">
        <v>731</v>
      </c>
      <c r="AF464" s="47">
        <v>0</v>
      </c>
      <c r="AG464" s="47">
        <v>0</v>
      </c>
      <c r="AH464" s="47">
        <v>0</v>
      </c>
      <c r="AI464" s="47" t="s">
        <v>729</v>
      </c>
      <c r="AJ464">
        <v>1</v>
      </c>
      <c r="AK464">
        <v>100</v>
      </c>
    </row>
    <row r="465" spans="1:37" x14ac:dyDescent="0.2">
      <c r="A465" t="s">
        <v>1276</v>
      </c>
      <c r="B465" t="s">
        <v>361</v>
      </c>
      <c r="C465">
        <v>2017</v>
      </c>
      <c r="D465">
        <v>2</v>
      </c>
      <c r="E465" t="s">
        <v>1278</v>
      </c>
      <c r="F465" t="s">
        <v>362</v>
      </c>
      <c r="G465">
        <v>8.090662</v>
      </c>
      <c r="H465" s="20">
        <f>IF(AND(A465=A464,F465=F464,F465="Winter wheat"),G465*0.9*'BAU Management details'!$F$46,
IF(AND(OR(A465&lt;&gt;A464,F465&lt;&gt;F464),F465="Winter wheat"),G465*'BAU Management details'!$F$46,
IF(F465="Oilseed Rape",G465*'BAU Management details'!$F$47)))</f>
        <v>62.621723879999998</v>
      </c>
      <c r="I465" t="s">
        <v>348</v>
      </c>
      <c r="J465">
        <v>10</v>
      </c>
      <c r="K465" t="s">
        <v>362</v>
      </c>
      <c r="L465" t="s">
        <v>751</v>
      </c>
      <c r="M465">
        <v>2.9</v>
      </c>
      <c r="N465" t="s">
        <v>349</v>
      </c>
      <c r="O465" t="s">
        <v>350</v>
      </c>
      <c r="P465">
        <v>7.7</v>
      </c>
      <c r="Q465" t="s">
        <v>728</v>
      </c>
      <c r="R465" t="s">
        <v>351</v>
      </c>
      <c r="S465">
        <v>220</v>
      </c>
      <c r="T465" s="47" t="s">
        <v>729</v>
      </c>
      <c r="U465" t="s">
        <v>733</v>
      </c>
      <c r="V465" t="s">
        <v>369</v>
      </c>
      <c r="W465" s="47" t="s">
        <v>736</v>
      </c>
      <c r="X465" s="47">
        <v>0</v>
      </c>
      <c r="Y465" s="47" t="s">
        <v>730</v>
      </c>
      <c r="Z465" s="47">
        <v>0</v>
      </c>
      <c r="AA465" s="47" t="s">
        <v>731</v>
      </c>
      <c r="AB465" s="47">
        <v>0</v>
      </c>
      <c r="AC465" s="47">
        <v>0</v>
      </c>
      <c r="AD465" s="47">
        <v>0</v>
      </c>
      <c r="AE465" s="47" t="s">
        <v>731</v>
      </c>
      <c r="AF465" s="47">
        <v>0</v>
      </c>
      <c r="AG465" s="47">
        <v>0</v>
      </c>
      <c r="AH465" s="47">
        <v>0</v>
      </c>
      <c r="AI465" s="47" t="s">
        <v>729</v>
      </c>
      <c r="AJ465">
        <v>1</v>
      </c>
      <c r="AK465">
        <v>100</v>
      </c>
    </row>
    <row r="466" spans="1:37" x14ac:dyDescent="0.2">
      <c r="A466" t="s">
        <v>1276</v>
      </c>
      <c r="B466" t="s">
        <v>361</v>
      </c>
      <c r="C466">
        <v>2018</v>
      </c>
      <c r="D466">
        <v>3</v>
      </c>
      <c r="E466" t="s">
        <v>1279</v>
      </c>
      <c r="F466" t="s">
        <v>365</v>
      </c>
      <c r="G466">
        <v>8.090662</v>
      </c>
      <c r="H466" s="20">
        <f>IF(AND(A466=A465,F466=F465,F466="Winter wheat"),G466*0.9*'BAU Management details'!$F$46,
IF(AND(OR(A466&lt;&gt;A465,F466&lt;&gt;F465),F466="Winter wheat"),G466*'BAU Management details'!$F$46,
IF(F466="Oilseed Rape",G466*'BAU Management details'!$F$47)))</f>
        <v>28.317316999999999</v>
      </c>
      <c r="I466" t="s">
        <v>348</v>
      </c>
      <c r="J466">
        <v>10</v>
      </c>
      <c r="K466" t="s">
        <v>532</v>
      </c>
      <c r="L466" t="s">
        <v>751</v>
      </c>
      <c r="M466">
        <v>2.9</v>
      </c>
      <c r="N466" t="s">
        <v>349</v>
      </c>
      <c r="O466" t="s">
        <v>350</v>
      </c>
      <c r="P466">
        <v>7.7</v>
      </c>
      <c r="Q466" t="s">
        <v>728</v>
      </c>
      <c r="R466" t="s">
        <v>351</v>
      </c>
      <c r="S466">
        <v>220</v>
      </c>
      <c r="T466" s="47" t="s">
        <v>735</v>
      </c>
      <c r="U466" t="s">
        <v>368</v>
      </c>
      <c r="V466" t="s">
        <v>364</v>
      </c>
      <c r="W466" s="47" t="s">
        <v>736</v>
      </c>
      <c r="X466" s="47">
        <v>0</v>
      </c>
      <c r="Y466" s="47" t="s">
        <v>736</v>
      </c>
      <c r="Z466" s="47">
        <v>0</v>
      </c>
      <c r="AA466" s="47" t="s">
        <v>736</v>
      </c>
      <c r="AB466" s="47">
        <v>0</v>
      </c>
      <c r="AC466" s="47">
        <v>0</v>
      </c>
      <c r="AD466" s="47">
        <v>0</v>
      </c>
      <c r="AE466" s="47" t="s">
        <v>731</v>
      </c>
      <c r="AF466" s="47">
        <v>0</v>
      </c>
      <c r="AG466" s="47" t="s">
        <v>731</v>
      </c>
      <c r="AH466" s="47">
        <v>0</v>
      </c>
      <c r="AI466" s="47" t="s">
        <v>735</v>
      </c>
      <c r="AJ466">
        <v>1</v>
      </c>
      <c r="AK466">
        <v>100</v>
      </c>
    </row>
    <row r="467" spans="1:37" x14ac:dyDescent="0.2">
      <c r="A467" t="s">
        <v>1276</v>
      </c>
      <c r="B467" t="s">
        <v>361</v>
      </c>
      <c r="C467">
        <v>2019</v>
      </c>
      <c r="D467">
        <v>4</v>
      </c>
      <c r="E467" t="s">
        <v>1280</v>
      </c>
      <c r="F467" t="s">
        <v>362</v>
      </c>
      <c r="G467">
        <v>8.090662</v>
      </c>
      <c r="H467" s="20">
        <f>IF(AND(A467=A466,F467=F466,F467="Winter wheat"),G467*0.9*'BAU Management details'!$F$46,
IF(AND(OR(A467&lt;&gt;A466,F467&lt;&gt;F466),F467="Winter wheat"),G467*'BAU Management details'!$F$46,
IF(F467="Oilseed Rape",G467*'BAU Management details'!$F$47)))</f>
        <v>69.579693199999994</v>
      </c>
      <c r="I467" t="s">
        <v>348</v>
      </c>
      <c r="J467">
        <v>10</v>
      </c>
      <c r="K467" t="s">
        <v>362</v>
      </c>
      <c r="L467" t="s">
        <v>751</v>
      </c>
      <c r="M467">
        <v>2.9</v>
      </c>
      <c r="N467" t="s">
        <v>349</v>
      </c>
      <c r="O467" t="s">
        <v>350</v>
      </c>
      <c r="P467">
        <v>7.7</v>
      </c>
      <c r="Q467" t="s">
        <v>728</v>
      </c>
      <c r="R467" t="s">
        <v>351</v>
      </c>
      <c r="S467">
        <v>220</v>
      </c>
      <c r="T467" s="47" t="s">
        <v>729</v>
      </c>
      <c r="U467" t="s">
        <v>366</v>
      </c>
      <c r="V467" t="s">
        <v>367</v>
      </c>
      <c r="W467" s="47" t="s">
        <v>736</v>
      </c>
      <c r="X467" s="47">
        <v>0</v>
      </c>
      <c r="Y467" s="47" t="s">
        <v>730</v>
      </c>
      <c r="Z467" s="47">
        <v>0</v>
      </c>
      <c r="AA467" s="47" t="s">
        <v>731</v>
      </c>
      <c r="AB467" s="47">
        <v>0</v>
      </c>
      <c r="AC467" s="47" t="s">
        <v>731</v>
      </c>
      <c r="AD467" s="47" t="s">
        <v>731</v>
      </c>
      <c r="AE467" s="47" t="s">
        <v>731</v>
      </c>
      <c r="AF467" s="47">
        <v>0</v>
      </c>
      <c r="AG467" s="47">
        <v>0</v>
      </c>
      <c r="AH467" s="47">
        <v>0</v>
      </c>
      <c r="AI467" s="47" t="s">
        <v>729</v>
      </c>
      <c r="AJ467">
        <v>1</v>
      </c>
      <c r="AK467">
        <v>100</v>
      </c>
    </row>
    <row r="468" spans="1:37" x14ac:dyDescent="0.2">
      <c r="A468" t="s">
        <v>1276</v>
      </c>
      <c r="B468" t="s">
        <v>361</v>
      </c>
      <c r="C468">
        <v>2020</v>
      </c>
      <c r="D468">
        <v>5</v>
      </c>
      <c r="E468" t="s">
        <v>1281</v>
      </c>
      <c r="F468" t="s">
        <v>362</v>
      </c>
      <c r="G468">
        <v>8.090662</v>
      </c>
      <c r="H468" s="20">
        <f>IF(AND(A468=A467,F468=F467,F468="Winter wheat"),G468*0.9*'BAU Management details'!$F$46,
IF(AND(OR(A468&lt;&gt;A467,F468&lt;&gt;F467),F468="Winter wheat"),G468*'BAU Management details'!$F$46,
IF(F468="Oilseed Rape",G468*'BAU Management details'!$F$47)))</f>
        <v>62.621723879999998</v>
      </c>
      <c r="I468" t="s">
        <v>348</v>
      </c>
      <c r="J468">
        <v>10</v>
      </c>
      <c r="K468" t="s">
        <v>362</v>
      </c>
      <c r="L468" t="s">
        <v>751</v>
      </c>
      <c r="M468">
        <v>2.9</v>
      </c>
      <c r="N468" t="s">
        <v>349</v>
      </c>
      <c r="O468" t="s">
        <v>350</v>
      </c>
      <c r="P468">
        <v>7.7</v>
      </c>
      <c r="Q468" t="s">
        <v>728</v>
      </c>
      <c r="R468" t="s">
        <v>351</v>
      </c>
      <c r="S468">
        <v>220</v>
      </c>
      <c r="T468" s="47" t="s">
        <v>729</v>
      </c>
      <c r="U468" t="s">
        <v>733</v>
      </c>
      <c r="V468" t="s">
        <v>369</v>
      </c>
      <c r="W468" s="47" t="s">
        <v>736</v>
      </c>
      <c r="X468" s="47">
        <v>0</v>
      </c>
      <c r="Y468" s="47" t="s">
        <v>730</v>
      </c>
      <c r="Z468" s="47">
        <v>0</v>
      </c>
      <c r="AA468" s="47" t="s">
        <v>731</v>
      </c>
      <c r="AB468" s="47">
        <v>0</v>
      </c>
      <c r="AC468" s="47">
        <v>0</v>
      </c>
      <c r="AD468" s="47">
        <v>0</v>
      </c>
      <c r="AE468" s="47" t="s">
        <v>731</v>
      </c>
      <c r="AF468" s="47">
        <v>0</v>
      </c>
      <c r="AG468" s="47">
        <v>0</v>
      </c>
      <c r="AH468" s="47">
        <v>0</v>
      </c>
      <c r="AI468" s="47" t="s">
        <v>729</v>
      </c>
      <c r="AJ468">
        <v>1</v>
      </c>
      <c r="AK468">
        <v>100</v>
      </c>
    </row>
    <row r="469" spans="1:37" x14ac:dyDescent="0.2">
      <c r="A469" t="s">
        <v>1276</v>
      </c>
      <c r="B469" t="s">
        <v>361</v>
      </c>
      <c r="C469">
        <v>2021</v>
      </c>
      <c r="D469">
        <v>6</v>
      </c>
      <c r="E469" t="s">
        <v>1282</v>
      </c>
      <c r="F469" t="s">
        <v>365</v>
      </c>
      <c r="G469">
        <v>8.090662</v>
      </c>
      <c r="H469" s="20">
        <f>IF(AND(A469=A468,F469=F468,F469="Winter wheat"),G469*0.9*'BAU Management details'!$F$46,
IF(AND(OR(A469&lt;&gt;A468,F469&lt;&gt;F468),F469="Winter wheat"),G469*'BAU Management details'!$F$46,
IF(F469="Oilseed Rape",G469*'BAU Management details'!$F$47)))</f>
        <v>28.317316999999999</v>
      </c>
      <c r="I469" t="s">
        <v>348</v>
      </c>
      <c r="J469">
        <v>10</v>
      </c>
      <c r="K469" t="s">
        <v>532</v>
      </c>
      <c r="L469" t="s">
        <v>751</v>
      </c>
      <c r="M469">
        <v>2.9</v>
      </c>
      <c r="N469" t="s">
        <v>349</v>
      </c>
      <c r="O469" t="s">
        <v>350</v>
      </c>
      <c r="P469">
        <v>7.7</v>
      </c>
      <c r="Q469" t="s">
        <v>728</v>
      </c>
      <c r="R469" t="s">
        <v>351</v>
      </c>
      <c r="S469">
        <v>220</v>
      </c>
      <c r="T469" s="47" t="s">
        <v>735</v>
      </c>
      <c r="U469" t="s">
        <v>368</v>
      </c>
      <c r="V469" t="s">
        <v>364</v>
      </c>
      <c r="W469" s="47" t="s">
        <v>736</v>
      </c>
      <c r="X469" s="47">
        <v>0</v>
      </c>
      <c r="Y469" s="47" t="s">
        <v>736</v>
      </c>
      <c r="Z469" s="47">
        <v>0</v>
      </c>
      <c r="AA469" s="47" t="s">
        <v>736</v>
      </c>
      <c r="AB469" s="47">
        <v>0</v>
      </c>
      <c r="AC469" s="47">
        <v>0</v>
      </c>
      <c r="AD469" s="47">
        <v>0</v>
      </c>
      <c r="AE469" s="47" t="s">
        <v>731</v>
      </c>
      <c r="AF469" s="47">
        <v>0</v>
      </c>
      <c r="AG469" s="47" t="s">
        <v>731</v>
      </c>
      <c r="AH469" s="47">
        <v>0</v>
      </c>
      <c r="AI469" s="47" t="s">
        <v>735</v>
      </c>
      <c r="AJ469">
        <v>1</v>
      </c>
      <c r="AK469">
        <v>100</v>
      </c>
    </row>
    <row r="470" spans="1:37" x14ac:dyDescent="0.2">
      <c r="A470" t="s">
        <v>1283</v>
      </c>
      <c r="B470" t="s">
        <v>361</v>
      </c>
      <c r="C470">
        <v>2016</v>
      </c>
      <c r="D470">
        <v>1</v>
      </c>
      <c r="E470" t="s">
        <v>1284</v>
      </c>
      <c r="F470" t="s">
        <v>362</v>
      </c>
      <c r="G470">
        <v>7.8932969999999996</v>
      </c>
      <c r="H470" s="20">
        <f>IF(AND(A470=A469,F470=F469,F470="Winter wheat"),G470*0.9*'BAU Management details'!$F$46,
IF(AND(OR(A470&lt;&gt;A469,F470&lt;&gt;F469),F470="Winter wheat"),G470*'BAU Management details'!$F$46,
IF(F470="Oilseed Rape",G470*'BAU Management details'!$F$47)))</f>
        <v>67.882354199999995</v>
      </c>
      <c r="I470" t="s">
        <v>348</v>
      </c>
      <c r="J470">
        <v>10</v>
      </c>
      <c r="K470" t="s">
        <v>362</v>
      </c>
      <c r="L470" t="s">
        <v>727</v>
      </c>
      <c r="M470">
        <v>2.9</v>
      </c>
      <c r="N470" t="s">
        <v>349</v>
      </c>
      <c r="O470" t="s">
        <v>742</v>
      </c>
      <c r="P470">
        <v>6.3</v>
      </c>
      <c r="Q470" t="s">
        <v>743</v>
      </c>
      <c r="R470" t="s">
        <v>351</v>
      </c>
      <c r="S470">
        <v>220</v>
      </c>
      <c r="T470" s="47" t="s">
        <v>729</v>
      </c>
      <c r="U470" t="s">
        <v>366</v>
      </c>
      <c r="V470" t="s">
        <v>367</v>
      </c>
      <c r="W470" s="47" t="s">
        <v>736</v>
      </c>
      <c r="X470" s="47">
        <v>0</v>
      </c>
      <c r="Y470" s="47" t="s">
        <v>730</v>
      </c>
      <c r="Z470" s="47">
        <v>0</v>
      </c>
      <c r="AA470" s="47" t="s">
        <v>731</v>
      </c>
      <c r="AB470" s="47">
        <v>0</v>
      </c>
      <c r="AC470" s="47" t="s">
        <v>731</v>
      </c>
      <c r="AD470" s="47" t="s">
        <v>731</v>
      </c>
      <c r="AE470" s="47" t="s">
        <v>731</v>
      </c>
      <c r="AF470" s="47">
        <v>0</v>
      </c>
      <c r="AG470" s="47">
        <v>0</v>
      </c>
      <c r="AH470" s="47">
        <v>0</v>
      </c>
      <c r="AI470" s="47" t="s">
        <v>729</v>
      </c>
      <c r="AJ470">
        <v>1</v>
      </c>
      <c r="AK470">
        <v>100</v>
      </c>
    </row>
    <row r="471" spans="1:37" x14ac:dyDescent="0.2">
      <c r="A471" t="s">
        <v>1283</v>
      </c>
      <c r="B471" t="s">
        <v>361</v>
      </c>
      <c r="C471">
        <v>2017</v>
      </c>
      <c r="D471">
        <v>2</v>
      </c>
      <c r="E471" t="s">
        <v>1285</v>
      </c>
      <c r="F471" t="s">
        <v>362</v>
      </c>
      <c r="G471">
        <v>7.8932969999999996</v>
      </c>
      <c r="H471" s="20">
        <f>IF(AND(A471=A470,F471=F470,F471="Winter wheat"),G471*0.9*'BAU Management details'!$F$46,
IF(AND(OR(A471&lt;&gt;A470,F471&lt;&gt;F470),F471="Winter wheat"),G471*'BAU Management details'!$F$46,
IF(F471="Oilseed Rape",G471*'BAU Management details'!$F$47)))</f>
        <v>61.094118779999995</v>
      </c>
      <c r="I471" t="s">
        <v>348</v>
      </c>
      <c r="J471">
        <v>10</v>
      </c>
      <c r="K471" t="s">
        <v>362</v>
      </c>
      <c r="L471" t="s">
        <v>727</v>
      </c>
      <c r="M471">
        <v>2.9</v>
      </c>
      <c r="N471" t="s">
        <v>349</v>
      </c>
      <c r="O471" t="s">
        <v>742</v>
      </c>
      <c r="P471">
        <v>6.3</v>
      </c>
      <c r="Q471" t="s">
        <v>743</v>
      </c>
      <c r="R471" t="s">
        <v>351</v>
      </c>
      <c r="S471">
        <v>220</v>
      </c>
      <c r="T471" s="47" t="s">
        <v>729</v>
      </c>
      <c r="U471" t="s">
        <v>733</v>
      </c>
      <c r="V471" t="s">
        <v>369</v>
      </c>
      <c r="W471" s="47" t="s">
        <v>736</v>
      </c>
      <c r="X471" s="47">
        <v>0</v>
      </c>
      <c r="Y471" s="47" t="s">
        <v>730</v>
      </c>
      <c r="Z471" s="47">
        <v>0</v>
      </c>
      <c r="AA471" s="47" t="s">
        <v>731</v>
      </c>
      <c r="AB471" s="47">
        <v>0</v>
      </c>
      <c r="AC471" s="47">
        <v>0</v>
      </c>
      <c r="AD471" s="47">
        <v>0</v>
      </c>
      <c r="AE471" s="47" t="s">
        <v>731</v>
      </c>
      <c r="AF471" s="47">
        <v>0</v>
      </c>
      <c r="AG471" s="47">
        <v>0</v>
      </c>
      <c r="AH471" s="47">
        <v>0</v>
      </c>
      <c r="AI471" s="47" t="s">
        <v>729</v>
      </c>
      <c r="AJ471">
        <v>1</v>
      </c>
      <c r="AK471">
        <v>100</v>
      </c>
    </row>
    <row r="472" spans="1:37" x14ac:dyDescent="0.2">
      <c r="A472" t="s">
        <v>1283</v>
      </c>
      <c r="B472" t="s">
        <v>361</v>
      </c>
      <c r="C472">
        <v>2018</v>
      </c>
      <c r="D472">
        <v>3</v>
      </c>
      <c r="E472" t="s">
        <v>1286</v>
      </c>
      <c r="F472" t="s">
        <v>365</v>
      </c>
      <c r="G472">
        <v>7.8932969999999996</v>
      </c>
      <c r="H472" s="20">
        <f>IF(AND(A472=A471,F472=F471,F472="Winter wheat"),G472*0.9*'BAU Management details'!$F$46,
IF(AND(OR(A472&lt;&gt;A471,F472&lt;&gt;F471),F472="Winter wheat"),G472*'BAU Management details'!$F$46,
IF(F472="Oilseed Rape",G472*'BAU Management details'!$F$47)))</f>
        <v>27.6265395</v>
      </c>
      <c r="I472" t="s">
        <v>348</v>
      </c>
      <c r="J472">
        <v>10</v>
      </c>
      <c r="K472" t="s">
        <v>532</v>
      </c>
      <c r="L472" t="s">
        <v>727</v>
      </c>
      <c r="M472">
        <v>2.9</v>
      </c>
      <c r="N472" t="s">
        <v>349</v>
      </c>
      <c r="O472" t="s">
        <v>742</v>
      </c>
      <c r="P472">
        <v>6.3</v>
      </c>
      <c r="Q472" t="s">
        <v>743</v>
      </c>
      <c r="R472" t="s">
        <v>351</v>
      </c>
      <c r="S472">
        <v>220</v>
      </c>
      <c r="T472" s="47" t="s">
        <v>735</v>
      </c>
      <c r="U472" t="s">
        <v>368</v>
      </c>
      <c r="V472" t="s">
        <v>364</v>
      </c>
      <c r="W472" s="47" t="s">
        <v>736</v>
      </c>
      <c r="X472" s="47">
        <v>0</v>
      </c>
      <c r="Y472" s="47" t="s">
        <v>736</v>
      </c>
      <c r="Z472" s="47">
        <v>0</v>
      </c>
      <c r="AA472" s="47" t="s">
        <v>736</v>
      </c>
      <c r="AB472" s="47">
        <v>0</v>
      </c>
      <c r="AC472" s="47">
        <v>0</v>
      </c>
      <c r="AD472" s="47">
        <v>0</v>
      </c>
      <c r="AE472" s="47" t="s">
        <v>731</v>
      </c>
      <c r="AF472" s="47">
        <v>0</v>
      </c>
      <c r="AG472" s="47" t="s">
        <v>731</v>
      </c>
      <c r="AH472" s="47">
        <v>0</v>
      </c>
      <c r="AI472" s="47" t="s">
        <v>735</v>
      </c>
      <c r="AJ472">
        <v>1</v>
      </c>
      <c r="AK472">
        <v>100</v>
      </c>
    </row>
    <row r="473" spans="1:37" x14ac:dyDescent="0.2">
      <c r="A473" t="s">
        <v>1283</v>
      </c>
      <c r="B473" t="s">
        <v>361</v>
      </c>
      <c r="C473">
        <v>2019</v>
      </c>
      <c r="D473">
        <v>4</v>
      </c>
      <c r="E473" t="s">
        <v>1287</v>
      </c>
      <c r="F473" t="s">
        <v>362</v>
      </c>
      <c r="G473">
        <v>7.8932969999999996</v>
      </c>
      <c r="H473" s="20">
        <f>IF(AND(A473=A472,F473=F472,F473="Winter wheat"),G473*0.9*'BAU Management details'!$F$46,
IF(AND(OR(A473&lt;&gt;A472,F473&lt;&gt;F472),F473="Winter wheat"),G473*'BAU Management details'!$F$46,
IF(F473="Oilseed Rape",G473*'BAU Management details'!$F$47)))</f>
        <v>67.882354199999995</v>
      </c>
      <c r="I473" t="s">
        <v>348</v>
      </c>
      <c r="J473">
        <v>10</v>
      </c>
      <c r="K473" t="s">
        <v>362</v>
      </c>
      <c r="L473" t="s">
        <v>727</v>
      </c>
      <c r="M473">
        <v>2.9</v>
      </c>
      <c r="N473" t="s">
        <v>349</v>
      </c>
      <c r="O473" t="s">
        <v>742</v>
      </c>
      <c r="P473">
        <v>6.3</v>
      </c>
      <c r="Q473" t="s">
        <v>743</v>
      </c>
      <c r="R473" t="s">
        <v>351</v>
      </c>
      <c r="S473">
        <v>220</v>
      </c>
      <c r="T473" s="47" t="s">
        <v>729</v>
      </c>
      <c r="U473" t="s">
        <v>366</v>
      </c>
      <c r="V473" t="s">
        <v>367</v>
      </c>
      <c r="W473" s="47" t="s">
        <v>736</v>
      </c>
      <c r="X473" s="47">
        <v>0</v>
      </c>
      <c r="Y473" s="47" t="s">
        <v>730</v>
      </c>
      <c r="Z473" s="47">
        <v>0</v>
      </c>
      <c r="AA473" s="47" t="s">
        <v>731</v>
      </c>
      <c r="AB473" s="47">
        <v>0</v>
      </c>
      <c r="AC473" s="47" t="s">
        <v>731</v>
      </c>
      <c r="AD473" s="47" t="s">
        <v>731</v>
      </c>
      <c r="AE473" s="47" t="s">
        <v>731</v>
      </c>
      <c r="AF473" s="47">
        <v>0</v>
      </c>
      <c r="AG473" s="47">
        <v>0</v>
      </c>
      <c r="AH473" s="47">
        <v>0</v>
      </c>
      <c r="AI473" s="47" t="s">
        <v>729</v>
      </c>
      <c r="AJ473">
        <v>1</v>
      </c>
      <c r="AK473">
        <v>100</v>
      </c>
    </row>
    <row r="474" spans="1:37" x14ac:dyDescent="0.2">
      <c r="A474" t="s">
        <v>1283</v>
      </c>
      <c r="B474" t="s">
        <v>361</v>
      </c>
      <c r="C474">
        <v>2020</v>
      </c>
      <c r="D474">
        <v>5</v>
      </c>
      <c r="E474" t="s">
        <v>1288</v>
      </c>
      <c r="F474" t="s">
        <v>362</v>
      </c>
      <c r="G474">
        <v>7.8932969999999996</v>
      </c>
      <c r="H474" s="20">
        <f>IF(AND(A474=A473,F474=F473,F474="Winter wheat"),G474*0.9*'BAU Management details'!$F$46,
IF(AND(OR(A474&lt;&gt;A473,F474&lt;&gt;F473),F474="Winter wheat"),G474*'BAU Management details'!$F$46,
IF(F474="Oilseed Rape",G474*'BAU Management details'!$F$47)))</f>
        <v>61.094118779999995</v>
      </c>
      <c r="I474" t="s">
        <v>348</v>
      </c>
      <c r="J474">
        <v>10</v>
      </c>
      <c r="K474" t="s">
        <v>362</v>
      </c>
      <c r="L474" t="s">
        <v>727</v>
      </c>
      <c r="M474">
        <v>2.9</v>
      </c>
      <c r="N474" t="s">
        <v>349</v>
      </c>
      <c r="O474" t="s">
        <v>742</v>
      </c>
      <c r="P474">
        <v>6.3</v>
      </c>
      <c r="Q474" t="s">
        <v>743</v>
      </c>
      <c r="R474" t="s">
        <v>351</v>
      </c>
      <c r="S474">
        <v>220</v>
      </c>
      <c r="T474" s="47" t="s">
        <v>729</v>
      </c>
      <c r="U474" t="s">
        <v>733</v>
      </c>
      <c r="V474" t="s">
        <v>369</v>
      </c>
      <c r="W474" s="47" t="s">
        <v>736</v>
      </c>
      <c r="X474" s="47">
        <v>0</v>
      </c>
      <c r="Y474" s="47" t="s">
        <v>730</v>
      </c>
      <c r="Z474" s="47">
        <v>0</v>
      </c>
      <c r="AA474" s="47" t="s">
        <v>731</v>
      </c>
      <c r="AB474" s="47">
        <v>0</v>
      </c>
      <c r="AC474" s="47">
        <v>0</v>
      </c>
      <c r="AD474" s="47">
        <v>0</v>
      </c>
      <c r="AE474" s="47" t="s">
        <v>731</v>
      </c>
      <c r="AF474" s="47">
        <v>0</v>
      </c>
      <c r="AG474" s="47">
        <v>0</v>
      </c>
      <c r="AH474" s="47">
        <v>0</v>
      </c>
      <c r="AI474" s="47" t="s">
        <v>729</v>
      </c>
      <c r="AJ474">
        <v>1</v>
      </c>
      <c r="AK474">
        <v>100</v>
      </c>
    </row>
    <row r="475" spans="1:37" x14ac:dyDescent="0.2">
      <c r="A475" t="s">
        <v>1283</v>
      </c>
      <c r="B475" t="s">
        <v>361</v>
      </c>
      <c r="C475">
        <v>2021</v>
      </c>
      <c r="D475">
        <v>6</v>
      </c>
      <c r="E475" t="s">
        <v>1289</v>
      </c>
      <c r="F475" t="s">
        <v>365</v>
      </c>
      <c r="G475">
        <v>7.8932969999999996</v>
      </c>
      <c r="H475" s="20">
        <f>IF(AND(A475=A474,F475=F474,F475="Winter wheat"),G475*0.9*'BAU Management details'!$F$46,
IF(AND(OR(A475&lt;&gt;A474,F475&lt;&gt;F474),F475="Winter wheat"),G475*'BAU Management details'!$F$46,
IF(F475="Oilseed Rape",G475*'BAU Management details'!$F$47)))</f>
        <v>27.6265395</v>
      </c>
      <c r="I475" t="s">
        <v>348</v>
      </c>
      <c r="J475">
        <v>10</v>
      </c>
      <c r="K475" t="s">
        <v>532</v>
      </c>
      <c r="L475" t="s">
        <v>727</v>
      </c>
      <c r="M475">
        <v>2.9</v>
      </c>
      <c r="N475" t="s">
        <v>349</v>
      </c>
      <c r="O475" t="s">
        <v>742</v>
      </c>
      <c r="P475">
        <v>6.3</v>
      </c>
      <c r="Q475" t="s">
        <v>743</v>
      </c>
      <c r="R475" t="s">
        <v>351</v>
      </c>
      <c r="S475">
        <v>220</v>
      </c>
      <c r="T475" s="47" t="s">
        <v>735</v>
      </c>
      <c r="U475" t="s">
        <v>368</v>
      </c>
      <c r="V475" t="s">
        <v>364</v>
      </c>
      <c r="W475" s="47" t="s">
        <v>736</v>
      </c>
      <c r="X475" s="47">
        <v>0</v>
      </c>
      <c r="Y475" s="47" t="s">
        <v>736</v>
      </c>
      <c r="Z475" s="47">
        <v>0</v>
      </c>
      <c r="AA475" s="47" t="s">
        <v>736</v>
      </c>
      <c r="AB475" s="47">
        <v>0</v>
      </c>
      <c r="AC475" s="47">
        <v>0</v>
      </c>
      <c r="AD475" s="47">
        <v>0</v>
      </c>
      <c r="AE475" s="47" t="s">
        <v>731</v>
      </c>
      <c r="AF475" s="47">
        <v>0</v>
      </c>
      <c r="AG475" s="47" t="s">
        <v>731</v>
      </c>
      <c r="AH475" s="47">
        <v>0</v>
      </c>
      <c r="AI475" s="47" t="s">
        <v>735</v>
      </c>
      <c r="AJ475">
        <v>1</v>
      </c>
      <c r="AK475">
        <v>100</v>
      </c>
    </row>
    <row r="476" spans="1:37" x14ac:dyDescent="0.2">
      <c r="A476" t="s">
        <v>1290</v>
      </c>
      <c r="B476" t="s">
        <v>361</v>
      </c>
      <c r="C476">
        <v>2016</v>
      </c>
      <c r="D476">
        <v>1</v>
      </c>
      <c r="E476" t="s">
        <v>1291</v>
      </c>
      <c r="F476" t="s">
        <v>362</v>
      </c>
      <c r="G476">
        <v>8.3935180000000003</v>
      </c>
      <c r="H476" s="20">
        <f>IF(AND(A476=A475,F476=F475,F476="Winter wheat"),G476*0.9*'BAU Management details'!$F$46,
IF(AND(OR(A476&lt;&gt;A475,F476&lt;&gt;F475),F476="Winter wheat"),G476*'BAU Management details'!$F$46,
IF(F476="Oilseed Rape",G476*'BAU Management details'!$F$47)))</f>
        <v>72.184254800000005</v>
      </c>
      <c r="I476" t="s">
        <v>348</v>
      </c>
      <c r="J476">
        <v>10</v>
      </c>
      <c r="K476" t="s">
        <v>362</v>
      </c>
      <c r="L476" t="s">
        <v>751</v>
      </c>
      <c r="M476">
        <v>2.1</v>
      </c>
      <c r="N476" t="s">
        <v>349</v>
      </c>
      <c r="O476" t="s">
        <v>742</v>
      </c>
      <c r="P476">
        <v>6.6</v>
      </c>
      <c r="Q476" t="s">
        <v>743</v>
      </c>
      <c r="R476" t="s">
        <v>351</v>
      </c>
      <c r="S476">
        <v>220</v>
      </c>
      <c r="T476" s="47" t="s">
        <v>729</v>
      </c>
      <c r="U476" t="s">
        <v>366</v>
      </c>
      <c r="V476" t="s">
        <v>364</v>
      </c>
      <c r="W476" s="47" t="s">
        <v>736</v>
      </c>
      <c r="X476" s="47">
        <v>0</v>
      </c>
      <c r="Y476" s="47" t="s">
        <v>730</v>
      </c>
      <c r="Z476" s="47">
        <v>0</v>
      </c>
      <c r="AA476" s="47" t="s">
        <v>731</v>
      </c>
      <c r="AB476" s="47">
        <v>0</v>
      </c>
      <c r="AC476" s="47" t="s">
        <v>731</v>
      </c>
      <c r="AD476" s="47" t="s">
        <v>731</v>
      </c>
      <c r="AE476" s="47" t="s">
        <v>731</v>
      </c>
      <c r="AF476" s="47">
        <v>0</v>
      </c>
      <c r="AG476" s="47">
        <v>0</v>
      </c>
      <c r="AH476" s="47">
        <v>0</v>
      </c>
      <c r="AI476" s="47" t="s">
        <v>729</v>
      </c>
      <c r="AJ476">
        <v>1</v>
      </c>
      <c r="AK476">
        <v>100</v>
      </c>
    </row>
    <row r="477" spans="1:37" x14ac:dyDescent="0.2">
      <c r="A477" t="s">
        <v>1290</v>
      </c>
      <c r="B477" t="s">
        <v>361</v>
      </c>
      <c r="C477">
        <v>2017</v>
      </c>
      <c r="D477">
        <v>2</v>
      </c>
      <c r="E477" t="s">
        <v>1292</v>
      </c>
      <c r="F477" t="s">
        <v>362</v>
      </c>
      <c r="G477">
        <v>8.3935180000000003</v>
      </c>
      <c r="H477" s="20">
        <f>IF(AND(A477=A476,F477=F476,F477="Winter wheat"),G477*0.9*'BAU Management details'!$F$46,
IF(AND(OR(A477&lt;&gt;A476,F477&lt;&gt;F476),F477="Winter wheat"),G477*'BAU Management details'!$F$46,
IF(F477="Oilseed Rape",G477*'BAU Management details'!$F$47)))</f>
        <v>64.965829319999997</v>
      </c>
      <c r="I477" t="s">
        <v>348</v>
      </c>
      <c r="J477">
        <v>10</v>
      </c>
      <c r="K477" t="s">
        <v>362</v>
      </c>
      <c r="L477" t="s">
        <v>751</v>
      </c>
      <c r="M477">
        <v>2.1</v>
      </c>
      <c r="N477" t="s">
        <v>349</v>
      </c>
      <c r="O477" t="s">
        <v>742</v>
      </c>
      <c r="P477">
        <v>6.6</v>
      </c>
      <c r="Q477" t="s">
        <v>743</v>
      </c>
      <c r="R477" t="s">
        <v>351</v>
      </c>
      <c r="S477">
        <v>220</v>
      </c>
      <c r="T477" s="47" t="s">
        <v>729</v>
      </c>
      <c r="U477" t="s">
        <v>733</v>
      </c>
      <c r="V477" t="s">
        <v>364</v>
      </c>
      <c r="W477" s="47" t="s">
        <v>736</v>
      </c>
      <c r="X477" s="47">
        <v>0</v>
      </c>
      <c r="Y477" s="47" t="s">
        <v>730</v>
      </c>
      <c r="Z477" s="47">
        <v>0</v>
      </c>
      <c r="AA477" s="47" t="s">
        <v>731</v>
      </c>
      <c r="AB477" s="47">
        <v>0</v>
      </c>
      <c r="AC477" s="47">
        <v>0</v>
      </c>
      <c r="AD477" s="47">
        <v>0</v>
      </c>
      <c r="AE477" s="47" t="s">
        <v>731</v>
      </c>
      <c r="AF477" s="47">
        <v>0</v>
      </c>
      <c r="AG477" s="47">
        <v>0</v>
      </c>
      <c r="AH477" s="47">
        <v>0</v>
      </c>
      <c r="AI477" s="47" t="s">
        <v>729</v>
      </c>
      <c r="AJ477">
        <v>1</v>
      </c>
      <c r="AK477">
        <v>100</v>
      </c>
    </row>
    <row r="478" spans="1:37" x14ac:dyDescent="0.2">
      <c r="A478" t="s">
        <v>1290</v>
      </c>
      <c r="B478" t="s">
        <v>361</v>
      </c>
      <c r="C478">
        <v>2018</v>
      </c>
      <c r="D478">
        <v>3</v>
      </c>
      <c r="E478" t="s">
        <v>1293</v>
      </c>
      <c r="F478" t="s">
        <v>365</v>
      </c>
      <c r="G478">
        <v>8.3935180000000003</v>
      </c>
      <c r="H478" s="20">
        <f>IF(AND(A478=A477,F478=F477,F478="Winter wheat"),G478*0.9*'BAU Management details'!$F$46,
IF(AND(OR(A478&lt;&gt;A477,F478&lt;&gt;F477),F478="Winter wheat"),G478*'BAU Management details'!$F$46,
IF(F478="Oilseed Rape",G478*'BAU Management details'!$F$47)))</f>
        <v>29.377313000000001</v>
      </c>
      <c r="I478" t="s">
        <v>348</v>
      </c>
      <c r="J478">
        <v>10</v>
      </c>
      <c r="K478" t="s">
        <v>532</v>
      </c>
      <c r="L478" t="s">
        <v>751</v>
      </c>
      <c r="M478">
        <v>2.1</v>
      </c>
      <c r="N478" t="s">
        <v>349</v>
      </c>
      <c r="O478" t="s">
        <v>742</v>
      </c>
      <c r="P478">
        <v>6.6</v>
      </c>
      <c r="Q478" t="s">
        <v>743</v>
      </c>
      <c r="R478" t="s">
        <v>351</v>
      </c>
      <c r="S478">
        <v>220</v>
      </c>
      <c r="T478" s="47" t="s">
        <v>735</v>
      </c>
      <c r="U478" t="s">
        <v>368</v>
      </c>
      <c r="V478" t="s">
        <v>364</v>
      </c>
      <c r="W478" s="47" t="s">
        <v>736</v>
      </c>
      <c r="X478" s="47">
        <v>0</v>
      </c>
      <c r="Y478" s="47" t="s">
        <v>736</v>
      </c>
      <c r="Z478" s="47">
        <v>0</v>
      </c>
      <c r="AA478" s="47" t="s">
        <v>736</v>
      </c>
      <c r="AB478" s="47">
        <v>0</v>
      </c>
      <c r="AC478" s="47">
        <v>0</v>
      </c>
      <c r="AD478" s="47">
        <v>0</v>
      </c>
      <c r="AE478" s="47" t="s">
        <v>731</v>
      </c>
      <c r="AF478" s="47">
        <v>0</v>
      </c>
      <c r="AG478" s="47" t="s">
        <v>731</v>
      </c>
      <c r="AH478" s="47">
        <v>0</v>
      </c>
      <c r="AI478" s="47" t="s">
        <v>735</v>
      </c>
      <c r="AJ478">
        <v>1</v>
      </c>
      <c r="AK478">
        <v>100</v>
      </c>
    </row>
    <row r="479" spans="1:37" x14ac:dyDescent="0.2">
      <c r="A479" t="s">
        <v>1290</v>
      </c>
      <c r="B479" t="s">
        <v>361</v>
      </c>
      <c r="C479">
        <v>2019</v>
      </c>
      <c r="D479">
        <v>4</v>
      </c>
      <c r="E479" t="s">
        <v>1294</v>
      </c>
      <c r="F479" t="s">
        <v>362</v>
      </c>
      <c r="G479">
        <v>8.3935180000000003</v>
      </c>
      <c r="H479" s="20">
        <f>IF(AND(A479=A478,F479=F478,F479="Winter wheat"),G479*0.9*'BAU Management details'!$F$46,
IF(AND(OR(A479&lt;&gt;A478,F479&lt;&gt;F478),F479="Winter wheat"),G479*'BAU Management details'!$F$46,
IF(F479="Oilseed Rape",G479*'BAU Management details'!$F$47)))</f>
        <v>72.184254800000005</v>
      </c>
      <c r="I479" t="s">
        <v>348</v>
      </c>
      <c r="J479">
        <v>10</v>
      </c>
      <c r="K479" t="s">
        <v>362</v>
      </c>
      <c r="L479" t="s">
        <v>751</v>
      </c>
      <c r="M479">
        <v>2.1</v>
      </c>
      <c r="N479" t="s">
        <v>349</v>
      </c>
      <c r="O479" t="s">
        <v>742</v>
      </c>
      <c r="P479">
        <v>6.6</v>
      </c>
      <c r="Q479" t="s">
        <v>743</v>
      </c>
      <c r="R479" t="s">
        <v>351</v>
      </c>
      <c r="S479">
        <v>220</v>
      </c>
      <c r="T479" s="47" t="s">
        <v>729</v>
      </c>
      <c r="U479" t="s">
        <v>366</v>
      </c>
      <c r="V479" t="s">
        <v>364</v>
      </c>
      <c r="W479" s="47" t="s">
        <v>736</v>
      </c>
      <c r="X479" s="47">
        <v>0</v>
      </c>
      <c r="Y479" s="47" t="s">
        <v>730</v>
      </c>
      <c r="Z479" s="47">
        <v>0</v>
      </c>
      <c r="AA479" s="47" t="s">
        <v>731</v>
      </c>
      <c r="AB479" s="47">
        <v>0</v>
      </c>
      <c r="AC479" s="47" t="s">
        <v>731</v>
      </c>
      <c r="AD479" s="47" t="s">
        <v>731</v>
      </c>
      <c r="AE479" s="47" t="s">
        <v>731</v>
      </c>
      <c r="AF479" s="47">
        <v>0</v>
      </c>
      <c r="AG479" s="47">
        <v>0</v>
      </c>
      <c r="AH479" s="47">
        <v>0</v>
      </c>
      <c r="AI479" s="47" t="s">
        <v>729</v>
      </c>
      <c r="AJ479">
        <v>1</v>
      </c>
      <c r="AK479">
        <v>100</v>
      </c>
    </row>
    <row r="480" spans="1:37" x14ac:dyDescent="0.2">
      <c r="A480" t="s">
        <v>1290</v>
      </c>
      <c r="B480" t="s">
        <v>361</v>
      </c>
      <c r="C480">
        <v>2020</v>
      </c>
      <c r="D480">
        <v>5</v>
      </c>
      <c r="E480" t="s">
        <v>1295</v>
      </c>
      <c r="F480" t="s">
        <v>362</v>
      </c>
      <c r="G480">
        <v>8.3935180000000003</v>
      </c>
      <c r="H480" s="20">
        <f>IF(AND(A480=A479,F480=F479,F480="Winter wheat"),G480*0.9*'BAU Management details'!$F$46,
IF(AND(OR(A480&lt;&gt;A479,F480&lt;&gt;F479),F480="Winter wheat"),G480*'BAU Management details'!$F$46,
IF(F480="Oilseed Rape",G480*'BAU Management details'!$F$47)))</f>
        <v>64.965829319999997</v>
      </c>
      <c r="I480" t="s">
        <v>348</v>
      </c>
      <c r="J480">
        <v>10</v>
      </c>
      <c r="K480" t="s">
        <v>362</v>
      </c>
      <c r="L480" t="s">
        <v>751</v>
      </c>
      <c r="M480">
        <v>2.1</v>
      </c>
      <c r="N480" t="s">
        <v>349</v>
      </c>
      <c r="O480" t="s">
        <v>742</v>
      </c>
      <c r="P480">
        <v>6.6</v>
      </c>
      <c r="Q480" t="s">
        <v>743</v>
      </c>
      <c r="R480" t="s">
        <v>351</v>
      </c>
      <c r="S480">
        <v>220</v>
      </c>
      <c r="T480" s="47" t="s">
        <v>729</v>
      </c>
      <c r="U480" t="s">
        <v>733</v>
      </c>
      <c r="V480" t="s">
        <v>364</v>
      </c>
      <c r="W480" s="47" t="s">
        <v>736</v>
      </c>
      <c r="X480" s="47">
        <v>0</v>
      </c>
      <c r="Y480" s="47" t="s">
        <v>730</v>
      </c>
      <c r="Z480" s="47">
        <v>0</v>
      </c>
      <c r="AA480" s="47" t="s">
        <v>731</v>
      </c>
      <c r="AB480" s="47">
        <v>0</v>
      </c>
      <c r="AC480" s="47">
        <v>0</v>
      </c>
      <c r="AD480" s="47">
        <v>0</v>
      </c>
      <c r="AE480" s="47" t="s">
        <v>731</v>
      </c>
      <c r="AF480" s="47">
        <v>0</v>
      </c>
      <c r="AG480" s="47">
        <v>0</v>
      </c>
      <c r="AH480" s="47">
        <v>0</v>
      </c>
      <c r="AI480" s="47" t="s">
        <v>729</v>
      </c>
      <c r="AJ480">
        <v>1</v>
      </c>
      <c r="AK480">
        <v>100</v>
      </c>
    </row>
    <row r="481" spans="1:37" x14ac:dyDescent="0.2">
      <c r="A481" t="s">
        <v>1290</v>
      </c>
      <c r="B481" t="s">
        <v>361</v>
      </c>
      <c r="C481">
        <v>2021</v>
      </c>
      <c r="D481">
        <v>6</v>
      </c>
      <c r="E481" t="s">
        <v>1296</v>
      </c>
      <c r="F481" t="s">
        <v>365</v>
      </c>
      <c r="G481">
        <v>8.3935180000000003</v>
      </c>
      <c r="H481" s="20">
        <f>IF(AND(A481=A480,F481=F480,F481="Winter wheat"),G481*0.9*'BAU Management details'!$F$46,
IF(AND(OR(A481&lt;&gt;A480,F481&lt;&gt;F480),F481="Winter wheat"),G481*'BAU Management details'!$F$46,
IF(F481="Oilseed Rape",G481*'BAU Management details'!$F$47)))</f>
        <v>29.377313000000001</v>
      </c>
      <c r="I481" t="s">
        <v>348</v>
      </c>
      <c r="J481">
        <v>10</v>
      </c>
      <c r="K481" t="s">
        <v>532</v>
      </c>
      <c r="L481" t="s">
        <v>751</v>
      </c>
      <c r="M481">
        <v>2.1</v>
      </c>
      <c r="N481" t="s">
        <v>349</v>
      </c>
      <c r="O481" t="s">
        <v>742</v>
      </c>
      <c r="P481">
        <v>6.6</v>
      </c>
      <c r="Q481" t="s">
        <v>743</v>
      </c>
      <c r="R481" t="s">
        <v>351</v>
      </c>
      <c r="S481">
        <v>220</v>
      </c>
      <c r="T481" s="47" t="s">
        <v>735</v>
      </c>
      <c r="U481" t="s">
        <v>368</v>
      </c>
      <c r="V481" t="s">
        <v>364</v>
      </c>
      <c r="W481" s="47" t="s">
        <v>736</v>
      </c>
      <c r="X481" s="47">
        <v>0</v>
      </c>
      <c r="Y481" s="47" t="s">
        <v>736</v>
      </c>
      <c r="Z481" s="47">
        <v>0</v>
      </c>
      <c r="AA481" s="47" t="s">
        <v>736</v>
      </c>
      <c r="AB481" s="47">
        <v>0</v>
      </c>
      <c r="AC481" s="47">
        <v>0</v>
      </c>
      <c r="AD481" s="47">
        <v>0</v>
      </c>
      <c r="AE481" s="47" t="s">
        <v>731</v>
      </c>
      <c r="AF481" s="47">
        <v>0</v>
      </c>
      <c r="AG481" s="47" t="s">
        <v>731</v>
      </c>
      <c r="AH481" s="47">
        <v>0</v>
      </c>
      <c r="AI481" s="47" t="s">
        <v>735</v>
      </c>
      <c r="AJ481">
        <v>1</v>
      </c>
      <c r="AK481">
        <v>100</v>
      </c>
    </row>
    <row r="482" spans="1:37" x14ac:dyDescent="0.2">
      <c r="A482" t="s">
        <v>1297</v>
      </c>
      <c r="B482" t="s">
        <v>361</v>
      </c>
      <c r="C482">
        <v>2016</v>
      </c>
      <c r="D482">
        <v>1</v>
      </c>
      <c r="E482" t="s">
        <v>1298</v>
      </c>
      <c r="F482" t="s">
        <v>362</v>
      </c>
      <c r="G482">
        <v>10.968589</v>
      </c>
      <c r="H482" s="20">
        <f>IF(AND(A482=A481,F482=F481,F482="Winter wheat"),G482*0.9*'BAU Management details'!$F$46,
IF(AND(OR(A482&lt;&gt;A481,F482&lt;&gt;F481),F482="Winter wheat"),G482*'BAU Management details'!$F$46,
IF(F482="Oilseed Rape",G482*'BAU Management details'!$F$47)))</f>
        <v>94.329865399999989</v>
      </c>
      <c r="I482" t="s">
        <v>348</v>
      </c>
      <c r="J482">
        <v>10</v>
      </c>
      <c r="K482" t="s">
        <v>362</v>
      </c>
      <c r="L482" t="s">
        <v>727</v>
      </c>
      <c r="M482">
        <v>3.1</v>
      </c>
      <c r="N482" t="s">
        <v>349</v>
      </c>
      <c r="O482" t="s">
        <v>350</v>
      </c>
      <c r="P482">
        <v>7.5</v>
      </c>
      <c r="Q482" t="s">
        <v>728</v>
      </c>
      <c r="R482" t="s">
        <v>351</v>
      </c>
      <c r="S482">
        <v>220</v>
      </c>
      <c r="T482" s="47" t="s">
        <v>729</v>
      </c>
      <c r="U482" t="s">
        <v>366</v>
      </c>
      <c r="V482" t="s">
        <v>367</v>
      </c>
      <c r="W482" s="47" t="s">
        <v>736</v>
      </c>
      <c r="X482" s="47">
        <v>0</v>
      </c>
      <c r="Y482" s="47" t="s">
        <v>730</v>
      </c>
      <c r="Z482" s="47">
        <v>0</v>
      </c>
      <c r="AA482" s="47" t="s">
        <v>731</v>
      </c>
      <c r="AB482" s="47">
        <v>0</v>
      </c>
      <c r="AC482" s="47" t="s">
        <v>731</v>
      </c>
      <c r="AD482" s="47" t="s">
        <v>731</v>
      </c>
      <c r="AE482" s="47" t="s">
        <v>731</v>
      </c>
      <c r="AF482" s="47">
        <v>0</v>
      </c>
      <c r="AG482" s="47">
        <v>0</v>
      </c>
      <c r="AH482" s="47">
        <v>0</v>
      </c>
      <c r="AI482" s="47" t="s">
        <v>729</v>
      </c>
      <c r="AJ482">
        <v>1</v>
      </c>
      <c r="AK482">
        <v>100</v>
      </c>
    </row>
    <row r="483" spans="1:37" x14ac:dyDescent="0.2">
      <c r="A483" t="s">
        <v>1297</v>
      </c>
      <c r="B483" t="s">
        <v>361</v>
      </c>
      <c r="C483">
        <v>2017</v>
      </c>
      <c r="D483">
        <v>2</v>
      </c>
      <c r="E483" t="s">
        <v>1299</v>
      </c>
      <c r="F483" t="s">
        <v>362</v>
      </c>
      <c r="G483">
        <v>10.968589</v>
      </c>
      <c r="H483" s="20">
        <f>IF(AND(A483=A482,F483=F482,F483="Winter wheat"),G483*0.9*'BAU Management details'!$F$46,
IF(AND(OR(A483&lt;&gt;A482,F483&lt;&gt;F482),F483="Winter wheat"),G483*'BAU Management details'!$F$46,
IF(F483="Oilseed Rape",G483*'BAU Management details'!$F$47)))</f>
        <v>84.896878860000001</v>
      </c>
      <c r="I483" t="s">
        <v>348</v>
      </c>
      <c r="J483">
        <v>10</v>
      </c>
      <c r="K483" t="s">
        <v>362</v>
      </c>
      <c r="L483" t="s">
        <v>727</v>
      </c>
      <c r="M483">
        <v>3.1</v>
      </c>
      <c r="N483" t="s">
        <v>349</v>
      </c>
      <c r="O483" t="s">
        <v>350</v>
      </c>
      <c r="P483">
        <v>7.5</v>
      </c>
      <c r="Q483" t="s">
        <v>728</v>
      </c>
      <c r="R483" t="s">
        <v>351</v>
      </c>
      <c r="S483">
        <v>220</v>
      </c>
      <c r="T483" s="47" t="s">
        <v>729</v>
      </c>
      <c r="U483" t="s">
        <v>733</v>
      </c>
      <c r="V483" t="s">
        <v>369</v>
      </c>
      <c r="W483" s="47" t="s">
        <v>736</v>
      </c>
      <c r="X483" s="47">
        <v>0</v>
      </c>
      <c r="Y483" s="47" t="s">
        <v>730</v>
      </c>
      <c r="Z483" s="47">
        <v>0</v>
      </c>
      <c r="AA483" s="47" t="s">
        <v>731</v>
      </c>
      <c r="AB483" s="47">
        <v>0</v>
      </c>
      <c r="AC483" s="47">
        <v>0</v>
      </c>
      <c r="AD483" s="47">
        <v>0</v>
      </c>
      <c r="AE483" s="47" t="s">
        <v>731</v>
      </c>
      <c r="AF483" s="47">
        <v>0</v>
      </c>
      <c r="AG483" s="47">
        <v>0</v>
      </c>
      <c r="AH483" s="47">
        <v>0</v>
      </c>
      <c r="AI483" s="47" t="s">
        <v>729</v>
      </c>
      <c r="AJ483">
        <v>1</v>
      </c>
      <c r="AK483">
        <v>100</v>
      </c>
    </row>
    <row r="484" spans="1:37" x14ac:dyDescent="0.2">
      <c r="A484" t="s">
        <v>1297</v>
      </c>
      <c r="B484" t="s">
        <v>361</v>
      </c>
      <c r="C484">
        <v>2018</v>
      </c>
      <c r="D484">
        <v>3</v>
      </c>
      <c r="E484" t="s">
        <v>1300</v>
      </c>
      <c r="F484" t="s">
        <v>365</v>
      </c>
      <c r="G484">
        <v>10.968589</v>
      </c>
      <c r="H484" s="20">
        <f>IF(AND(A484=A483,F484=F483,F484="Winter wheat"),G484*0.9*'BAU Management details'!$F$46,
IF(AND(OR(A484&lt;&gt;A483,F484&lt;&gt;F483),F484="Winter wheat"),G484*'BAU Management details'!$F$46,
IF(F484="Oilseed Rape",G484*'BAU Management details'!$F$47)))</f>
        <v>38.390061500000002</v>
      </c>
      <c r="I484" t="s">
        <v>348</v>
      </c>
      <c r="J484">
        <v>10</v>
      </c>
      <c r="K484" t="s">
        <v>532</v>
      </c>
      <c r="L484" t="s">
        <v>727</v>
      </c>
      <c r="M484">
        <v>3.1</v>
      </c>
      <c r="N484" t="s">
        <v>349</v>
      </c>
      <c r="O484" t="s">
        <v>350</v>
      </c>
      <c r="P484">
        <v>7.5</v>
      </c>
      <c r="Q484" t="s">
        <v>728</v>
      </c>
      <c r="R484" t="s">
        <v>351</v>
      </c>
      <c r="S484">
        <v>220</v>
      </c>
      <c r="T484" s="47" t="s">
        <v>735</v>
      </c>
      <c r="U484" t="s">
        <v>368</v>
      </c>
      <c r="V484" t="s">
        <v>364</v>
      </c>
      <c r="W484" s="47" t="s">
        <v>736</v>
      </c>
      <c r="X484" s="47">
        <v>0</v>
      </c>
      <c r="Y484" s="47" t="s">
        <v>736</v>
      </c>
      <c r="Z484" s="47">
        <v>0</v>
      </c>
      <c r="AA484" s="47" t="s">
        <v>736</v>
      </c>
      <c r="AB484" s="47">
        <v>0</v>
      </c>
      <c r="AC484" s="47">
        <v>0</v>
      </c>
      <c r="AD484" s="47">
        <v>0</v>
      </c>
      <c r="AE484" s="47" t="s">
        <v>731</v>
      </c>
      <c r="AF484" s="47">
        <v>0</v>
      </c>
      <c r="AG484" s="47" t="s">
        <v>731</v>
      </c>
      <c r="AH484" s="47">
        <v>0</v>
      </c>
      <c r="AI484" s="47" t="s">
        <v>735</v>
      </c>
      <c r="AJ484">
        <v>1</v>
      </c>
      <c r="AK484">
        <v>100</v>
      </c>
    </row>
    <row r="485" spans="1:37" x14ac:dyDescent="0.2">
      <c r="A485" t="s">
        <v>1297</v>
      </c>
      <c r="B485" t="s">
        <v>361</v>
      </c>
      <c r="C485">
        <v>2019</v>
      </c>
      <c r="D485">
        <v>4</v>
      </c>
      <c r="E485" t="s">
        <v>1301</v>
      </c>
      <c r="F485" t="s">
        <v>362</v>
      </c>
      <c r="G485">
        <v>10.968589</v>
      </c>
      <c r="H485" s="20">
        <f>IF(AND(A485=A484,F485=F484,F485="Winter wheat"),G485*0.9*'BAU Management details'!$F$46,
IF(AND(OR(A485&lt;&gt;A484,F485&lt;&gt;F484),F485="Winter wheat"),G485*'BAU Management details'!$F$46,
IF(F485="Oilseed Rape",G485*'BAU Management details'!$F$47)))</f>
        <v>94.329865399999989</v>
      </c>
      <c r="I485" t="s">
        <v>348</v>
      </c>
      <c r="J485">
        <v>10</v>
      </c>
      <c r="K485" t="s">
        <v>362</v>
      </c>
      <c r="L485" t="s">
        <v>727</v>
      </c>
      <c r="M485">
        <v>3.1</v>
      </c>
      <c r="N485" t="s">
        <v>349</v>
      </c>
      <c r="O485" t="s">
        <v>350</v>
      </c>
      <c r="P485">
        <v>7.5</v>
      </c>
      <c r="Q485" t="s">
        <v>728</v>
      </c>
      <c r="R485" t="s">
        <v>351</v>
      </c>
      <c r="S485">
        <v>220</v>
      </c>
      <c r="T485" s="47" t="s">
        <v>729</v>
      </c>
      <c r="U485" t="s">
        <v>366</v>
      </c>
      <c r="V485" t="s">
        <v>367</v>
      </c>
      <c r="W485" s="47" t="s">
        <v>736</v>
      </c>
      <c r="X485" s="47">
        <v>0</v>
      </c>
      <c r="Y485" s="47" t="s">
        <v>730</v>
      </c>
      <c r="Z485" s="47">
        <v>0</v>
      </c>
      <c r="AA485" s="47" t="s">
        <v>731</v>
      </c>
      <c r="AB485" s="47">
        <v>0</v>
      </c>
      <c r="AC485" s="47" t="s">
        <v>731</v>
      </c>
      <c r="AD485" s="47" t="s">
        <v>731</v>
      </c>
      <c r="AE485" s="47" t="s">
        <v>731</v>
      </c>
      <c r="AF485" s="47">
        <v>0</v>
      </c>
      <c r="AG485" s="47">
        <v>0</v>
      </c>
      <c r="AH485" s="47">
        <v>0</v>
      </c>
      <c r="AI485" s="47" t="s">
        <v>729</v>
      </c>
      <c r="AJ485">
        <v>1</v>
      </c>
      <c r="AK485">
        <v>100</v>
      </c>
    </row>
    <row r="486" spans="1:37" x14ac:dyDescent="0.2">
      <c r="A486" t="s">
        <v>1297</v>
      </c>
      <c r="B486" t="s">
        <v>361</v>
      </c>
      <c r="C486">
        <v>2020</v>
      </c>
      <c r="D486">
        <v>5</v>
      </c>
      <c r="E486" t="s">
        <v>1302</v>
      </c>
      <c r="F486" t="s">
        <v>362</v>
      </c>
      <c r="G486">
        <v>10.968589</v>
      </c>
      <c r="H486" s="20">
        <f>IF(AND(A486=A485,F486=F485,F486="Winter wheat"),G486*0.9*'BAU Management details'!$F$46,
IF(AND(OR(A486&lt;&gt;A485,F486&lt;&gt;F485),F486="Winter wheat"),G486*'BAU Management details'!$F$46,
IF(F486="Oilseed Rape",G486*'BAU Management details'!$F$47)))</f>
        <v>84.896878860000001</v>
      </c>
      <c r="I486" t="s">
        <v>348</v>
      </c>
      <c r="J486">
        <v>10</v>
      </c>
      <c r="K486" t="s">
        <v>362</v>
      </c>
      <c r="L486" t="s">
        <v>727</v>
      </c>
      <c r="M486">
        <v>3.1</v>
      </c>
      <c r="N486" t="s">
        <v>349</v>
      </c>
      <c r="O486" t="s">
        <v>350</v>
      </c>
      <c r="P486">
        <v>7.5</v>
      </c>
      <c r="Q486" t="s">
        <v>728</v>
      </c>
      <c r="R486" t="s">
        <v>351</v>
      </c>
      <c r="S486">
        <v>220</v>
      </c>
      <c r="T486" s="47" t="s">
        <v>729</v>
      </c>
      <c r="U486" t="s">
        <v>733</v>
      </c>
      <c r="V486" t="s">
        <v>369</v>
      </c>
      <c r="W486" s="47" t="s">
        <v>736</v>
      </c>
      <c r="X486" s="47">
        <v>0</v>
      </c>
      <c r="Y486" s="47" t="s">
        <v>730</v>
      </c>
      <c r="Z486" s="47">
        <v>0</v>
      </c>
      <c r="AA486" s="47" t="s">
        <v>731</v>
      </c>
      <c r="AB486" s="47">
        <v>0</v>
      </c>
      <c r="AC486" s="47">
        <v>0</v>
      </c>
      <c r="AD486" s="47">
        <v>0</v>
      </c>
      <c r="AE486" s="47" t="s">
        <v>731</v>
      </c>
      <c r="AF486" s="47">
        <v>0</v>
      </c>
      <c r="AG486" s="47">
        <v>0</v>
      </c>
      <c r="AH486" s="47">
        <v>0</v>
      </c>
      <c r="AI486" s="47" t="s">
        <v>729</v>
      </c>
      <c r="AJ486">
        <v>1</v>
      </c>
      <c r="AK486">
        <v>100</v>
      </c>
    </row>
    <row r="487" spans="1:37" x14ac:dyDescent="0.2">
      <c r="A487" t="s">
        <v>1297</v>
      </c>
      <c r="B487" t="s">
        <v>361</v>
      </c>
      <c r="C487">
        <v>2021</v>
      </c>
      <c r="D487">
        <v>6</v>
      </c>
      <c r="E487" t="s">
        <v>1303</v>
      </c>
      <c r="F487" t="s">
        <v>365</v>
      </c>
      <c r="G487">
        <v>10.968589</v>
      </c>
      <c r="H487" s="20">
        <f>IF(AND(A487=A486,F487=F486,F487="Winter wheat"),G487*0.9*'BAU Management details'!$F$46,
IF(AND(OR(A487&lt;&gt;A486,F487&lt;&gt;F486),F487="Winter wheat"),G487*'BAU Management details'!$F$46,
IF(F487="Oilseed Rape",G487*'BAU Management details'!$F$47)))</f>
        <v>38.390061500000002</v>
      </c>
      <c r="I487" t="s">
        <v>348</v>
      </c>
      <c r="J487">
        <v>10</v>
      </c>
      <c r="K487" t="s">
        <v>532</v>
      </c>
      <c r="L487" t="s">
        <v>727</v>
      </c>
      <c r="M487">
        <v>3.1</v>
      </c>
      <c r="N487" t="s">
        <v>349</v>
      </c>
      <c r="O487" t="s">
        <v>350</v>
      </c>
      <c r="P487">
        <v>7.5</v>
      </c>
      <c r="Q487" t="s">
        <v>728</v>
      </c>
      <c r="R487" t="s">
        <v>351</v>
      </c>
      <c r="S487">
        <v>220</v>
      </c>
      <c r="T487" s="47" t="s">
        <v>735</v>
      </c>
      <c r="U487" t="s">
        <v>368</v>
      </c>
      <c r="V487" t="s">
        <v>364</v>
      </c>
      <c r="W487" s="47" t="s">
        <v>736</v>
      </c>
      <c r="X487" s="47">
        <v>0</v>
      </c>
      <c r="Y487" s="47" t="s">
        <v>736</v>
      </c>
      <c r="Z487" s="47">
        <v>0</v>
      </c>
      <c r="AA487" s="47" t="s">
        <v>736</v>
      </c>
      <c r="AB487" s="47">
        <v>0</v>
      </c>
      <c r="AC487" s="47">
        <v>0</v>
      </c>
      <c r="AD487" s="47">
        <v>0</v>
      </c>
      <c r="AE487" s="47" t="s">
        <v>731</v>
      </c>
      <c r="AF487" s="47">
        <v>0</v>
      </c>
      <c r="AG487" s="47" t="s">
        <v>731</v>
      </c>
      <c r="AH487" s="47">
        <v>0</v>
      </c>
      <c r="AI487" s="47" t="s">
        <v>735</v>
      </c>
      <c r="AJ487">
        <v>1</v>
      </c>
      <c r="AK487">
        <v>100</v>
      </c>
    </row>
    <row r="488" spans="1:37" x14ac:dyDescent="0.2">
      <c r="A488" t="s">
        <v>1304</v>
      </c>
      <c r="B488" t="s">
        <v>361</v>
      </c>
      <c r="C488">
        <v>2016</v>
      </c>
      <c r="D488">
        <v>1</v>
      </c>
      <c r="E488" t="s">
        <v>1305</v>
      </c>
      <c r="F488" t="s">
        <v>362</v>
      </c>
      <c r="G488">
        <v>5.1554609999999998</v>
      </c>
      <c r="H488" s="20">
        <f>IF(AND(A488=A487,F488=F487,F488="Winter wheat"),G488*0.9*'BAU Management details'!$F$46,
IF(AND(OR(A488&lt;&gt;A487,F488&lt;&gt;F487),F488="Winter wheat"),G488*'BAU Management details'!$F$46,
IF(F488="Oilseed Rape",G488*'BAU Management details'!$F$47)))</f>
        <v>44.336964599999995</v>
      </c>
      <c r="I488" t="s">
        <v>348</v>
      </c>
      <c r="J488">
        <v>10</v>
      </c>
      <c r="K488" t="s">
        <v>362</v>
      </c>
      <c r="L488" t="s">
        <v>727</v>
      </c>
      <c r="M488">
        <v>2.7</v>
      </c>
      <c r="N488" t="s">
        <v>349</v>
      </c>
      <c r="O488" t="s">
        <v>742</v>
      </c>
      <c r="P488">
        <v>6.8</v>
      </c>
      <c r="Q488" t="s">
        <v>743</v>
      </c>
      <c r="R488" t="s">
        <v>351</v>
      </c>
      <c r="S488">
        <v>220</v>
      </c>
      <c r="T488" s="47" t="s">
        <v>729</v>
      </c>
      <c r="U488" t="s">
        <v>366</v>
      </c>
      <c r="V488" t="s">
        <v>364</v>
      </c>
      <c r="W488" s="47" t="s">
        <v>736</v>
      </c>
      <c r="X488" s="47">
        <v>0</v>
      </c>
      <c r="Y488" s="47" t="s">
        <v>730</v>
      </c>
      <c r="Z488" s="47">
        <v>0</v>
      </c>
      <c r="AA488" s="47" t="s">
        <v>731</v>
      </c>
      <c r="AB488" s="47">
        <v>0</v>
      </c>
      <c r="AC488" s="47" t="s">
        <v>731</v>
      </c>
      <c r="AD488" s="47" t="s">
        <v>731</v>
      </c>
      <c r="AE488" s="47" t="s">
        <v>731</v>
      </c>
      <c r="AF488" s="47">
        <v>0</v>
      </c>
      <c r="AG488" s="47">
        <v>0</v>
      </c>
      <c r="AH488" s="47">
        <v>0</v>
      </c>
      <c r="AI488" s="47" t="s">
        <v>729</v>
      </c>
      <c r="AJ488">
        <v>1</v>
      </c>
      <c r="AK488">
        <v>100</v>
      </c>
    </row>
    <row r="489" spans="1:37" x14ac:dyDescent="0.2">
      <c r="A489" t="s">
        <v>1304</v>
      </c>
      <c r="B489" t="s">
        <v>361</v>
      </c>
      <c r="C489">
        <v>2017</v>
      </c>
      <c r="D489">
        <v>2</v>
      </c>
      <c r="E489" t="s">
        <v>1306</v>
      </c>
      <c r="F489" t="s">
        <v>362</v>
      </c>
      <c r="G489">
        <v>5.1554609999999998</v>
      </c>
      <c r="H489" s="20">
        <f>IF(AND(A489=A488,F489=F488,F489="Winter wheat"),G489*0.9*'BAU Management details'!$F$46,
IF(AND(OR(A489&lt;&gt;A488,F489&lt;&gt;F488),F489="Winter wheat"),G489*'BAU Management details'!$F$46,
IF(F489="Oilseed Rape",G489*'BAU Management details'!$F$47)))</f>
        <v>39.903268139999994</v>
      </c>
      <c r="I489" t="s">
        <v>348</v>
      </c>
      <c r="J489">
        <v>10</v>
      </c>
      <c r="K489" t="s">
        <v>362</v>
      </c>
      <c r="L489" t="s">
        <v>727</v>
      </c>
      <c r="M489">
        <v>2.7</v>
      </c>
      <c r="N489" t="s">
        <v>349</v>
      </c>
      <c r="O489" t="s">
        <v>742</v>
      </c>
      <c r="P489">
        <v>6.8</v>
      </c>
      <c r="Q489" t="s">
        <v>743</v>
      </c>
      <c r="R489" t="s">
        <v>351</v>
      </c>
      <c r="S489">
        <v>220</v>
      </c>
      <c r="T489" s="47" t="s">
        <v>729</v>
      </c>
      <c r="U489" t="s">
        <v>733</v>
      </c>
      <c r="V489" t="s">
        <v>364</v>
      </c>
      <c r="W489" s="47" t="s">
        <v>736</v>
      </c>
      <c r="X489" s="47">
        <v>0</v>
      </c>
      <c r="Y489" s="47" t="s">
        <v>730</v>
      </c>
      <c r="Z489" s="47">
        <v>0</v>
      </c>
      <c r="AA489" s="47" t="s">
        <v>731</v>
      </c>
      <c r="AB489" s="47">
        <v>0</v>
      </c>
      <c r="AC489" s="47">
        <v>0</v>
      </c>
      <c r="AD489" s="47">
        <v>0</v>
      </c>
      <c r="AE489" s="47" t="s">
        <v>731</v>
      </c>
      <c r="AF489" s="47">
        <v>0</v>
      </c>
      <c r="AG489" s="47">
        <v>0</v>
      </c>
      <c r="AH489" s="47">
        <v>0</v>
      </c>
      <c r="AI489" s="47" t="s">
        <v>729</v>
      </c>
      <c r="AJ489">
        <v>1</v>
      </c>
      <c r="AK489">
        <v>100</v>
      </c>
    </row>
    <row r="490" spans="1:37" x14ac:dyDescent="0.2">
      <c r="A490" t="s">
        <v>1304</v>
      </c>
      <c r="B490" t="s">
        <v>361</v>
      </c>
      <c r="C490">
        <v>2018</v>
      </c>
      <c r="D490">
        <v>3</v>
      </c>
      <c r="E490" t="s">
        <v>1307</v>
      </c>
      <c r="F490" t="s">
        <v>365</v>
      </c>
      <c r="G490">
        <v>5.1554609999999998</v>
      </c>
      <c r="H490" s="20">
        <f>IF(AND(A490=A489,F490=F489,F490="Winter wheat"),G490*0.9*'BAU Management details'!$F$46,
IF(AND(OR(A490&lt;&gt;A489,F490&lt;&gt;F489),F490="Winter wheat"),G490*'BAU Management details'!$F$46,
IF(F490="Oilseed Rape",G490*'BAU Management details'!$F$47)))</f>
        <v>18.044113499999998</v>
      </c>
      <c r="I490" t="s">
        <v>348</v>
      </c>
      <c r="J490">
        <v>10</v>
      </c>
      <c r="K490" t="s">
        <v>532</v>
      </c>
      <c r="L490" t="s">
        <v>727</v>
      </c>
      <c r="M490">
        <v>2.7</v>
      </c>
      <c r="N490" t="s">
        <v>349</v>
      </c>
      <c r="O490" t="s">
        <v>742</v>
      </c>
      <c r="P490">
        <v>6.8</v>
      </c>
      <c r="Q490" t="s">
        <v>743</v>
      </c>
      <c r="R490" t="s">
        <v>351</v>
      </c>
      <c r="S490">
        <v>220</v>
      </c>
      <c r="T490" s="47" t="s">
        <v>735</v>
      </c>
      <c r="U490" t="s">
        <v>368</v>
      </c>
      <c r="V490" t="s">
        <v>364</v>
      </c>
      <c r="W490" s="47" t="s">
        <v>736</v>
      </c>
      <c r="X490" s="47">
        <v>0</v>
      </c>
      <c r="Y490" s="47" t="s">
        <v>736</v>
      </c>
      <c r="Z490" s="47">
        <v>0</v>
      </c>
      <c r="AA490" s="47" t="s">
        <v>736</v>
      </c>
      <c r="AB490" s="47">
        <v>0</v>
      </c>
      <c r="AC490" s="47">
        <v>0</v>
      </c>
      <c r="AD490" s="47">
        <v>0</v>
      </c>
      <c r="AE490" s="47" t="s">
        <v>731</v>
      </c>
      <c r="AF490" s="47">
        <v>0</v>
      </c>
      <c r="AG490" s="47" t="s">
        <v>731</v>
      </c>
      <c r="AH490" s="47">
        <v>0</v>
      </c>
      <c r="AI490" s="47" t="s">
        <v>735</v>
      </c>
      <c r="AJ490">
        <v>1</v>
      </c>
      <c r="AK490">
        <v>100</v>
      </c>
    </row>
    <row r="491" spans="1:37" x14ac:dyDescent="0.2">
      <c r="A491" t="s">
        <v>1304</v>
      </c>
      <c r="B491" t="s">
        <v>361</v>
      </c>
      <c r="C491">
        <v>2019</v>
      </c>
      <c r="D491">
        <v>4</v>
      </c>
      <c r="E491" t="s">
        <v>1308</v>
      </c>
      <c r="F491" t="s">
        <v>362</v>
      </c>
      <c r="G491">
        <v>5.1554609999999998</v>
      </c>
      <c r="H491" s="20">
        <f>IF(AND(A491=A490,F491=F490,F491="Winter wheat"),G491*0.9*'BAU Management details'!$F$46,
IF(AND(OR(A491&lt;&gt;A490,F491&lt;&gt;F490),F491="Winter wheat"),G491*'BAU Management details'!$F$46,
IF(F491="Oilseed Rape",G491*'BAU Management details'!$F$47)))</f>
        <v>44.336964599999995</v>
      </c>
      <c r="I491" t="s">
        <v>348</v>
      </c>
      <c r="J491">
        <v>10</v>
      </c>
      <c r="K491" t="s">
        <v>362</v>
      </c>
      <c r="L491" t="s">
        <v>727</v>
      </c>
      <c r="M491">
        <v>2.7</v>
      </c>
      <c r="N491" t="s">
        <v>349</v>
      </c>
      <c r="O491" t="s">
        <v>742</v>
      </c>
      <c r="P491">
        <v>6.8</v>
      </c>
      <c r="Q491" t="s">
        <v>743</v>
      </c>
      <c r="R491" t="s">
        <v>351</v>
      </c>
      <c r="S491">
        <v>220</v>
      </c>
      <c r="T491" s="47" t="s">
        <v>729</v>
      </c>
      <c r="U491" t="s">
        <v>366</v>
      </c>
      <c r="V491" t="s">
        <v>364</v>
      </c>
      <c r="W491" s="47" t="s">
        <v>736</v>
      </c>
      <c r="X491" s="47">
        <v>0</v>
      </c>
      <c r="Y491" s="47" t="s">
        <v>730</v>
      </c>
      <c r="Z491" s="47">
        <v>0</v>
      </c>
      <c r="AA491" s="47" t="s">
        <v>731</v>
      </c>
      <c r="AB491" s="47">
        <v>0</v>
      </c>
      <c r="AC491" s="47" t="s">
        <v>731</v>
      </c>
      <c r="AD491" s="47" t="s">
        <v>731</v>
      </c>
      <c r="AE491" s="47" t="s">
        <v>731</v>
      </c>
      <c r="AF491" s="47">
        <v>0</v>
      </c>
      <c r="AG491" s="47">
        <v>0</v>
      </c>
      <c r="AH491" s="47">
        <v>0</v>
      </c>
      <c r="AI491" s="47" t="s">
        <v>729</v>
      </c>
      <c r="AJ491">
        <v>1</v>
      </c>
      <c r="AK491">
        <v>100</v>
      </c>
    </row>
    <row r="492" spans="1:37" x14ac:dyDescent="0.2">
      <c r="A492" t="s">
        <v>1304</v>
      </c>
      <c r="B492" t="s">
        <v>361</v>
      </c>
      <c r="C492">
        <v>2020</v>
      </c>
      <c r="D492">
        <v>5</v>
      </c>
      <c r="E492" t="s">
        <v>1309</v>
      </c>
      <c r="F492" t="s">
        <v>362</v>
      </c>
      <c r="G492">
        <v>5.1554609999999998</v>
      </c>
      <c r="H492" s="20">
        <f>IF(AND(A492=A491,F492=F491,F492="Winter wheat"),G492*0.9*'BAU Management details'!$F$46,
IF(AND(OR(A492&lt;&gt;A491,F492&lt;&gt;F491),F492="Winter wheat"),G492*'BAU Management details'!$F$46,
IF(F492="Oilseed Rape",G492*'BAU Management details'!$F$47)))</f>
        <v>39.903268139999994</v>
      </c>
      <c r="I492" t="s">
        <v>348</v>
      </c>
      <c r="J492">
        <v>10</v>
      </c>
      <c r="K492" t="s">
        <v>362</v>
      </c>
      <c r="L492" t="s">
        <v>727</v>
      </c>
      <c r="M492">
        <v>2.7</v>
      </c>
      <c r="N492" t="s">
        <v>349</v>
      </c>
      <c r="O492" t="s">
        <v>742</v>
      </c>
      <c r="P492">
        <v>6.8</v>
      </c>
      <c r="Q492" t="s">
        <v>743</v>
      </c>
      <c r="R492" t="s">
        <v>351</v>
      </c>
      <c r="S492">
        <v>220</v>
      </c>
      <c r="T492" s="47" t="s">
        <v>729</v>
      </c>
      <c r="U492" t="s">
        <v>733</v>
      </c>
      <c r="V492" t="s">
        <v>364</v>
      </c>
      <c r="W492" s="47" t="s">
        <v>736</v>
      </c>
      <c r="X492" s="47">
        <v>0</v>
      </c>
      <c r="Y492" s="47" t="s">
        <v>730</v>
      </c>
      <c r="Z492" s="47">
        <v>0</v>
      </c>
      <c r="AA492" s="47" t="s">
        <v>731</v>
      </c>
      <c r="AB492" s="47">
        <v>0</v>
      </c>
      <c r="AC492" s="47">
        <v>0</v>
      </c>
      <c r="AD492" s="47">
        <v>0</v>
      </c>
      <c r="AE492" s="47" t="s">
        <v>731</v>
      </c>
      <c r="AF492" s="47">
        <v>0</v>
      </c>
      <c r="AG492" s="47">
        <v>0</v>
      </c>
      <c r="AH492" s="47">
        <v>0</v>
      </c>
      <c r="AI492" s="47" t="s">
        <v>729</v>
      </c>
      <c r="AJ492">
        <v>1</v>
      </c>
      <c r="AK492">
        <v>100</v>
      </c>
    </row>
    <row r="493" spans="1:37" x14ac:dyDescent="0.2">
      <c r="A493" t="s">
        <v>1304</v>
      </c>
      <c r="B493" t="s">
        <v>361</v>
      </c>
      <c r="C493">
        <v>2021</v>
      </c>
      <c r="D493">
        <v>6</v>
      </c>
      <c r="E493" t="s">
        <v>1310</v>
      </c>
      <c r="F493" t="s">
        <v>365</v>
      </c>
      <c r="G493">
        <v>5.1554609999999998</v>
      </c>
      <c r="H493" s="20">
        <f>IF(AND(A493=A492,F493=F492,F493="Winter wheat"),G493*0.9*'BAU Management details'!$F$46,
IF(AND(OR(A493&lt;&gt;A492,F493&lt;&gt;F492),F493="Winter wheat"),G493*'BAU Management details'!$F$46,
IF(F493="Oilseed Rape",G493*'BAU Management details'!$F$47)))</f>
        <v>18.044113499999998</v>
      </c>
      <c r="I493" t="s">
        <v>348</v>
      </c>
      <c r="J493">
        <v>10</v>
      </c>
      <c r="K493" t="s">
        <v>532</v>
      </c>
      <c r="L493" t="s">
        <v>727</v>
      </c>
      <c r="M493">
        <v>2.7</v>
      </c>
      <c r="N493" t="s">
        <v>349</v>
      </c>
      <c r="O493" t="s">
        <v>742</v>
      </c>
      <c r="P493">
        <v>6.8</v>
      </c>
      <c r="Q493" t="s">
        <v>743</v>
      </c>
      <c r="R493" t="s">
        <v>351</v>
      </c>
      <c r="S493">
        <v>220</v>
      </c>
      <c r="T493" s="47" t="s">
        <v>735</v>
      </c>
      <c r="U493" t="s">
        <v>368</v>
      </c>
      <c r="V493" t="s">
        <v>364</v>
      </c>
      <c r="W493" s="47" t="s">
        <v>736</v>
      </c>
      <c r="X493" s="47">
        <v>0</v>
      </c>
      <c r="Y493" s="47" t="s">
        <v>736</v>
      </c>
      <c r="Z493" s="47">
        <v>0</v>
      </c>
      <c r="AA493" s="47" t="s">
        <v>736</v>
      </c>
      <c r="AB493" s="47">
        <v>0</v>
      </c>
      <c r="AC493" s="47">
        <v>0</v>
      </c>
      <c r="AD493" s="47">
        <v>0</v>
      </c>
      <c r="AE493" s="47" t="s">
        <v>731</v>
      </c>
      <c r="AF493" s="47">
        <v>0</v>
      </c>
      <c r="AG493" s="47" t="s">
        <v>731</v>
      </c>
      <c r="AH493" s="47">
        <v>0</v>
      </c>
      <c r="AI493" s="47" t="s">
        <v>735</v>
      </c>
      <c r="AJ493">
        <v>1</v>
      </c>
      <c r="AK493">
        <v>100</v>
      </c>
    </row>
    <row r="494" spans="1:37" x14ac:dyDescent="0.2">
      <c r="A494" t="s">
        <v>1311</v>
      </c>
      <c r="B494" t="s">
        <v>361</v>
      </c>
      <c r="C494">
        <v>2016</v>
      </c>
      <c r="D494">
        <v>1</v>
      </c>
      <c r="E494" t="s">
        <v>1312</v>
      </c>
      <c r="F494" t="s">
        <v>362</v>
      </c>
      <c r="G494">
        <v>2.8763640000000001</v>
      </c>
      <c r="H494" s="20">
        <f>IF(AND(A494=A493,F494=F493,F494="Winter wheat"),G494*0.9*'BAU Management details'!$F$46,
IF(AND(OR(A494&lt;&gt;A493,F494&lt;&gt;F493),F494="Winter wheat"),G494*'BAU Management details'!$F$46,
IF(F494="Oilseed Rape",G494*'BAU Management details'!$F$47)))</f>
        <v>24.736730399999999</v>
      </c>
      <c r="I494" t="s">
        <v>348</v>
      </c>
      <c r="J494">
        <v>10</v>
      </c>
      <c r="K494" t="s">
        <v>362</v>
      </c>
      <c r="L494" t="s">
        <v>751</v>
      </c>
      <c r="M494">
        <v>1.8</v>
      </c>
      <c r="N494" t="s">
        <v>349</v>
      </c>
      <c r="O494" t="s">
        <v>742</v>
      </c>
      <c r="P494">
        <v>6.7</v>
      </c>
      <c r="Q494" t="s">
        <v>743</v>
      </c>
      <c r="R494" t="s">
        <v>351</v>
      </c>
      <c r="S494">
        <v>220</v>
      </c>
      <c r="T494" s="47" t="s">
        <v>729</v>
      </c>
      <c r="U494" t="s">
        <v>366</v>
      </c>
      <c r="V494" t="s">
        <v>367</v>
      </c>
      <c r="W494" s="47" t="s">
        <v>736</v>
      </c>
      <c r="X494" s="47">
        <v>0</v>
      </c>
      <c r="Y494" s="47" t="s">
        <v>730</v>
      </c>
      <c r="Z494" s="47">
        <v>0</v>
      </c>
      <c r="AA494" s="47" t="s">
        <v>731</v>
      </c>
      <c r="AB494" s="47">
        <v>0</v>
      </c>
      <c r="AC494" s="47" t="s">
        <v>731</v>
      </c>
      <c r="AD494" s="47" t="s">
        <v>731</v>
      </c>
      <c r="AE494" s="47" t="s">
        <v>731</v>
      </c>
      <c r="AF494" s="47">
        <v>0</v>
      </c>
      <c r="AG494" s="47">
        <v>0</v>
      </c>
      <c r="AH494" s="47">
        <v>0</v>
      </c>
      <c r="AI494" s="47" t="s">
        <v>729</v>
      </c>
      <c r="AJ494">
        <v>1</v>
      </c>
      <c r="AK494">
        <v>100</v>
      </c>
    </row>
    <row r="495" spans="1:37" x14ac:dyDescent="0.2">
      <c r="A495" t="s">
        <v>1311</v>
      </c>
      <c r="B495" t="s">
        <v>361</v>
      </c>
      <c r="C495">
        <v>2017</v>
      </c>
      <c r="D495">
        <v>2</v>
      </c>
      <c r="E495" t="s">
        <v>1313</v>
      </c>
      <c r="F495" t="s">
        <v>362</v>
      </c>
      <c r="G495">
        <v>2.8763640000000001</v>
      </c>
      <c r="H495" s="20">
        <f>IF(AND(A495=A494,F495=F494,F495="Winter wheat"),G495*0.9*'BAU Management details'!$F$46,
IF(AND(OR(A495&lt;&gt;A494,F495&lt;&gt;F494),F495="Winter wheat"),G495*'BAU Management details'!$F$46,
IF(F495="Oilseed Rape",G495*'BAU Management details'!$F$47)))</f>
        <v>22.263057360000001</v>
      </c>
      <c r="I495" t="s">
        <v>348</v>
      </c>
      <c r="J495">
        <v>10</v>
      </c>
      <c r="K495" t="s">
        <v>362</v>
      </c>
      <c r="L495" t="s">
        <v>751</v>
      </c>
      <c r="M495">
        <v>1.8</v>
      </c>
      <c r="N495" t="s">
        <v>349</v>
      </c>
      <c r="O495" t="s">
        <v>742</v>
      </c>
      <c r="P495">
        <v>6.7</v>
      </c>
      <c r="Q495" t="s">
        <v>743</v>
      </c>
      <c r="R495" t="s">
        <v>351</v>
      </c>
      <c r="S495">
        <v>220</v>
      </c>
      <c r="T495" s="47" t="s">
        <v>729</v>
      </c>
      <c r="U495" t="s">
        <v>733</v>
      </c>
      <c r="V495" t="s">
        <v>369</v>
      </c>
      <c r="W495" s="47" t="s">
        <v>736</v>
      </c>
      <c r="X495" s="47">
        <v>0</v>
      </c>
      <c r="Y495" s="47" t="s">
        <v>730</v>
      </c>
      <c r="Z495" s="47">
        <v>0</v>
      </c>
      <c r="AA495" s="47" t="s">
        <v>731</v>
      </c>
      <c r="AB495" s="47">
        <v>0</v>
      </c>
      <c r="AC495" s="47">
        <v>0</v>
      </c>
      <c r="AD495" s="47">
        <v>0</v>
      </c>
      <c r="AE495" s="47" t="s">
        <v>731</v>
      </c>
      <c r="AF495" s="47">
        <v>0</v>
      </c>
      <c r="AG495" s="47">
        <v>0</v>
      </c>
      <c r="AH495" s="47">
        <v>0</v>
      </c>
      <c r="AI495" s="47" t="s">
        <v>729</v>
      </c>
      <c r="AJ495">
        <v>1</v>
      </c>
      <c r="AK495">
        <v>100</v>
      </c>
    </row>
    <row r="496" spans="1:37" x14ac:dyDescent="0.2">
      <c r="A496" t="s">
        <v>1311</v>
      </c>
      <c r="B496" t="s">
        <v>361</v>
      </c>
      <c r="C496">
        <v>2018</v>
      </c>
      <c r="D496">
        <v>3</v>
      </c>
      <c r="E496" t="s">
        <v>1314</v>
      </c>
      <c r="F496" t="s">
        <v>365</v>
      </c>
      <c r="G496">
        <v>2.8763640000000001</v>
      </c>
      <c r="H496" s="20">
        <f>IF(AND(A496=A495,F496=F495,F496="Winter wheat"),G496*0.9*'BAU Management details'!$F$46,
IF(AND(OR(A496&lt;&gt;A495,F496&lt;&gt;F495),F496="Winter wheat"),G496*'BAU Management details'!$F$46,
IF(F496="Oilseed Rape",G496*'BAU Management details'!$F$47)))</f>
        <v>10.067274000000001</v>
      </c>
      <c r="I496" t="s">
        <v>348</v>
      </c>
      <c r="J496">
        <v>10</v>
      </c>
      <c r="K496" t="s">
        <v>532</v>
      </c>
      <c r="L496" t="s">
        <v>751</v>
      </c>
      <c r="M496">
        <v>1.8</v>
      </c>
      <c r="N496" t="s">
        <v>349</v>
      </c>
      <c r="O496" t="s">
        <v>742</v>
      </c>
      <c r="P496">
        <v>6.7</v>
      </c>
      <c r="Q496" t="s">
        <v>743</v>
      </c>
      <c r="R496" t="s">
        <v>351</v>
      </c>
      <c r="S496">
        <v>220</v>
      </c>
      <c r="T496" s="47" t="s">
        <v>735</v>
      </c>
      <c r="U496" t="s">
        <v>368</v>
      </c>
      <c r="V496" t="s">
        <v>364</v>
      </c>
      <c r="W496" s="47" t="s">
        <v>736</v>
      </c>
      <c r="X496" s="47">
        <v>0</v>
      </c>
      <c r="Y496" s="47" t="s">
        <v>736</v>
      </c>
      <c r="Z496" s="47">
        <v>0</v>
      </c>
      <c r="AA496" s="47" t="s">
        <v>736</v>
      </c>
      <c r="AB496" s="47">
        <v>0</v>
      </c>
      <c r="AC496" s="47">
        <v>0</v>
      </c>
      <c r="AD496" s="47">
        <v>0</v>
      </c>
      <c r="AE496" s="47" t="s">
        <v>731</v>
      </c>
      <c r="AF496" s="47">
        <v>0</v>
      </c>
      <c r="AG496" s="47" t="s">
        <v>731</v>
      </c>
      <c r="AH496" s="47">
        <v>0</v>
      </c>
      <c r="AI496" s="47" t="s">
        <v>735</v>
      </c>
      <c r="AJ496">
        <v>1</v>
      </c>
      <c r="AK496">
        <v>100</v>
      </c>
    </row>
    <row r="497" spans="1:37" x14ac:dyDescent="0.2">
      <c r="A497" t="s">
        <v>1311</v>
      </c>
      <c r="B497" t="s">
        <v>361</v>
      </c>
      <c r="C497">
        <v>2019</v>
      </c>
      <c r="D497">
        <v>4</v>
      </c>
      <c r="E497" t="s">
        <v>1315</v>
      </c>
      <c r="F497" t="s">
        <v>362</v>
      </c>
      <c r="G497">
        <v>2.8763640000000001</v>
      </c>
      <c r="H497" s="20">
        <f>IF(AND(A497=A496,F497=F496,F497="Winter wheat"),G497*0.9*'BAU Management details'!$F$46,
IF(AND(OR(A497&lt;&gt;A496,F497&lt;&gt;F496),F497="Winter wheat"),G497*'BAU Management details'!$F$46,
IF(F497="Oilseed Rape",G497*'BAU Management details'!$F$47)))</f>
        <v>24.736730399999999</v>
      </c>
      <c r="I497" t="s">
        <v>348</v>
      </c>
      <c r="J497">
        <v>10</v>
      </c>
      <c r="K497" t="s">
        <v>362</v>
      </c>
      <c r="L497" t="s">
        <v>751</v>
      </c>
      <c r="M497">
        <v>1.8</v>
      </c>
      <c r="N497" t="s">
        <v>349</v>
      </c>
      <c r="O497" t="s">
        <v>742</v>
      </c>
      <c r="P497">
        <v>6.7</v>
      </c>
      <c r="Q497" t="s">
        <v>743</v>
      </c>
      <c r="R497" t="s">
        <v>351</v>
      </c>
      <c r="S497">
        <v>220</v>
      </c>
      <c r="T497" s="47" t="s">
        <v>729</v>
      </c>
      <c r="U497" t="s">
        <v>366</v>
      </c>
      <c r="V497" t="s">
        <v>367</v>
      </c>
      <c r="W497" s="47" t="s">
        <v>736</v>
      </c>
      <c r="X497" s="47">
        <v>0</v>
      </c>
      <c r="Y497" s="47" t="s">
        <v>730</v>
      </c>
      <c r="Z497" s="47">
        <v>0</v>
      </c>
      <c r="AA497" s="47" t="s">
        <v>731</v>
      </c>
      <c r="AB497" s="47">
        <v>0</v>
      </c>
      <c r="AC497" s="47" t="s">
        <v>731</v>
      </c>
      <c r="AD497" s="47" t="s">
        <v>731</v>
      </c>
      <c r="AE497" s="47" t="s">
        <v>731</v>
      </c>
      <c r="AF497" s="47">
        <v>0</v>
      </c>
      <c r="AG497" s="47">
        <v>0</v>
      </c>
      <c r="AH497" s="47">
        <v>0</v>
      </c>
      <c r="AI497" s="47" t="s">
        <v>729</v>
      </c>
      <c r="AJ497">
        <v>1</v>
      </c>
      <c r="AK497">
        <v>100</v>
      </c>
    </row>
    <row r="498" spans="1:37" x14ac:dyDescent="0.2">
      <c r="A498" t="s">
        <v>1311</v>
      </c>
      <c r="B498" t="s">
        <v>361</v>
      </c>
      <c r="C498">
        <v>2020</v>
      </c>
      <c r="D498">
        <v>5</v>
      </c>
      <c r="E498" t="s">
        <v>1316</v>
      </c>
      <c r="F498" t="s">
        <v>362</v>
      </c>
      <c r="G498">
        <v>2.8763640000000001</v>
      </c>
      <c r="H498" s="20">
        <f>IF(AND(A498=A497,F498=F497,F498="Winter wheat"),G498*0.9*'BAU Management details'!$F$46,
IF(AND(OR(A498&lt;&gt;A497,F498&lt;&gt;F497),F498="Winter wheat"),G498*'BAU Management details'!$F$46,
IF(F498="Oilseed Rape",G498*'BAU Management details'!$F$47)))</f>
        <v>22.263057360000001</v>
      </c>
      <c r="I498" t="s">
        <v>348</v>
      </c>
      <c r="J498">
        <v>10</v>
      </c>
      <c r="K498" t="s">
        <v>362</v>
      </c>
      <c r="L498" t="s">
        <v>751</v>
      </c>
      <c r="M498">
        <v>1.8</v>
      </c>
      <c r="N498" t="s">
        <v>349</v>
      </c>
      <c r="O498" t="s">
        <v>742</v>
      </c>
      <c r="P498">
        <v>6.7</v>
      </c>
      <c r="Q498" t="s">
        <v>743</v>
      </c>
      <c r="R498" t="s">
        <v>351</v>
      </c>
      <c r="S498">
        <v>220</v>
      </c>
      <c r="T498" s="47" t="s">
        <v>729</v>
      </c>
      <c r="U498" t="s">
        <v>733</v>
      </c>
      <c r="V498" t="s">
        <v>369</v>
      </c>
      <c r="W498" s="47" t="s">
        <v>736</v>
      </c>
      <c r="X498" s="47">
        <v>0</v>
      </c>
      <c r="Y498" s="47" t="s">
        <v>730</v>
      </c>
      <c r="Z498" s="47">
        <v>0</v>
      </c>
      <c r="AA498" s="47" t="s">
        <v>731</v>
      </c>
      <c r="AB498" s="47">
        <v>0</v>
      </c>
      <c r="AC498" s="47">
        <v>0</v>
      </c>
      <c r="AD498" s="47">
        <v>0</v>
      </c>
      <c r="AE498" s="47" t="s">
        <v>731</v>
      </c>
      <c r="AF498" s="47">
        <v>0</v>
      </c>
      <c r="AG498" s="47">
        <v>0</v>
      </c>
      <c r="AH498" s="47">
        <v>0</v>
      </c>
      <c r="AI498" s="47" t="s">
        <v>729</v>
      </c>
      <c r="AJ498">
        <v>1</v>
      </c>
      <c r="AK498">
        <v>100</v>
      </c>
    </row>
    <row r="499" spans="1:37" x14ac:dyDescent="0.2">
      <c r="A499" t="s">
        <v>1311</v>
      </c>
      <c r="B499" t="s">
        <v>361</v>
      </c>
      <c r="C499">
        <v>2021</v>
      </c>
      <c r="D499">
        <v>6</v>
      </c>
      <c r="E499" t="s">
        <v>1317</v>
      </c>
      <c r="F499" t="s">
        <v>365</v>
      </c>
      <c r="G499">
        <v>2.8763640000000001</v>
      </c>
      <c r="H499" s="20">
        <f>IF(AND(A499=A498,F499=F498,F499="Winter wheat"),G499*0.9*'BAU Management details'!$F$46,
IF(AND(OR(A499&lt;&gt;A498,F499&lt;&gt;F498),F499="Winter wheat"),G499*'BAU Management details'!$F$46,
IF(F499="Oilseed Rape",G499*'BAU Management details'!$F$47)))</f>
        <v>10.067274000000001</v>
      </c>
      <c r="I499" t="s">
        <v>348</v>
      </c>
      <c r="J499">
        <v>10</v>
      </c>
      <c r="K499" t="s">
        <v>532</v>
      </c>
      <c r="L499" t="s">
        <v>751</v>
      </c>
      <c r="M499">
        <v>1.8</v>
      </c>
      <c r="N499" t="s">
        <v>349</v>
      </c>
      <c r="O499" t="s">
        <v>742</v>
      </c>
      <c r="P499">
        <v>6.7</v>
      </c>
      <c r="Q499" t="s">
        <v>743</v>
      </c>
      <c r="R499" t="s">
        <v>351</v>
      </c>
      <c r="S499">
        <v>220</v>
      </c>
      <c r="T499" s="47" t="s">
        <v>735</v>
      </c>
      <c r="U499" t="s">
        <v>368</v>
      </c>
      <c r="V499" t="s">
        <v>364</v>
      </c>
      <c r="W499" s="47" t="s">
        <v>736</v>
      </c>
      <c r="X499" s="47">
        <v>0</v>
      </c>
      <c r="Y499" s="47" t="s">
        <v>736</v>
      </c>
      <c r="Z499" s="47">
        <v>0</v>
      </c>
      <c r="AA499" s="47" t="s">
        <v>736</v>
      </c>
      <c r="AB499" s="47">
        <v>0</v>
      </c>
      <c r="AC499" s="47">
        <v>0</v>
      </c>
      <c r="AD499" s="47">
        <v>0</v>
      </c>
      <c r="AE499" s="47" t="s">
        <v>731</v>
      </c>
      <c r="AF499" s="47">
        <v>0</v>
      </c>
      <c r="AG499" s="47" t="s">
        <v>731</v>
      </c>
      <c r="AH499" s="47">
        <v>0</v>
      </c>
      <c r="AI499" s="47" t="s">
        <v>735</v>
      </c>
      <c r="AJ499">
        <v>1</v>
      </c>
      <c r="AK499">
        <v>100</v>
      </c>
    </row>
    <row r="500" spans="1:37" x14ac:dyDescent="0.2">
      <c r="A500" t="s">
        <v>1318</v>
      </c>
      <c r="B500" t="s">
        <v>361</v>
      </c>
      <c r="C500">
        <v>2016</v>
      </c>
      <c r="D500">
        <v>1</v>
      </c>
      <c r="E500" t="s">
        <v>1319</v>
      </c>
      <c r="F500" t="s">
        <v>362</v>
      </c>
      <c r="G500">
        <v>6.330749</v>
      </c>
      <c r="H500" s="20">
        <f>IF(AND(A500=A499,F500=F499,F500="Winter wheat"),G500*0.9*'BAU Management details'!$F$46,
IF(AND(OR(A500&lt;&gt;A499,F500&lt;&gt;F499),F500="Winter wheat"),G500*'BAU Management details'!$F$46,
IF(F500="Oilseed Rape",G500*'BAU Management details'!$F$47)))</f>
        <v>54.444441399999995</v>
      </c>
      <c r="I500" t="s">
        <v>348</v>
      </c>
      <c r="J500">
        <v>10</v>
      </c>
      <c r="K500" t="s">
        <v>362</v>
      </c>
      <c r="L500" t="s">
        <v>727</v>
      </c>
      <c r="M500">
        <v>3.1</v>
      </c>
      <c r="N500" t="s">
        <v>349</v>
      </c>
      <c r="O500" t="s">
        <v>350</v>
      </c>
      <c r="P500">
        <v>7.5</v>
      </c>
      <c r="Q500" t="s">
        <v>728</v>
      </c>
      <c r="R500" t="s">
        <v>351</v>
      </c>
      <c r="S500">
        <v>220</v>
      </c>
      <c r="T500" s="47" t="s">
        <v>729</v>
      </c>
      <c r="U500" t="s">
        <v>366</v>
      </c>
      <c r="V500" t="s">
        <v>364</v>
      </c>
      <c r="W500" s="47" t="s">
        <v>736</v>
      </c>
      <c r="X500" s="47">
        <v>0</v>
      </c>
      <c r="Y500" s="47" t="s">
        <v>730</v>
      </c>
      <c r="Z500" s="47">
        <v>0</v>
      </c>
      <c r="AA500" s="47" t="s">
        <v>731</v>
      </c>
      <c r="AB500" s="47">
        <v>0</v>
      </c>
      <c r="AC500" s="47" t="s">
        <v>731</v>
      </c>
      <c r="AD500" s="47" t="s">
        <v>731</v>
      </c>
      <c r="AE500" s="47" t="s">
        <v>731</v>
      </c>
      <c r="AF500" s="47">
        <v>0</v>
      </c>
      <c r="AG500" s="47">
        <v>0</v>
      </c>
      <c r="AH500" s="47">
        <v>0</v>
      </c>
      <c r="AI500" s="47" t="s">
        <v>729</v>
      </c>
      <c r="AJ500">
        <v>1</v>
      </c>
      <c r="AK500">
        <v>100</v>
      </c>
    </row>
    <row r="501" spans="1:37" x14ac:dyDescent="0.2">
      <c r="A501" t="s">
        <v>1318</v>
      </c>
      <c r="B501" t="s">
        <v>361</v>
      </c>
      <c r="C501">
        <v>2017</v>
      </c>
      <c r="D501">
        <v>2</v>
      </c>
      <c r="E501" t="s">
        <v>1320</v>
      </c>
      <c r="F501" t="s">
        <v>362</v>
      </c>
      <c r="G501">
        <v>6.330749</v>
      </c>
      <c r="H501" s="20">
        <f>IF(AND(A501=A500,F501=F500,F501="Winter wheat"),G501*0.9*'BAU Management details'!$F$46,
IF(AND(OR(A501&lt;&gt;A500,F501&lt;&gt;F500),F501="Winter wheat"),G501*'BAU Management details'!$F$46,
IF(F501="Oilseed Rape",G501*'BAU Management details'!$F$47)))</f>
        <v>48.999997260000001</v>
      </c>
      <c r="I501" t="s">
        <v>348</v>
      </c>
      <c r="J501">
        <v>10</v>
      </c>
      <c r="K501" t="s">
        <v>362</v>
      </c>
      <c r="L501" t="s">
        <v>727</v>
      </c>
      <c r="M501">
        <v>3.1</v>
      </c>
      <c r="N501" t="s">
        <v>349</v>
      </c>
      <c r="O501" t="s">
        <v>350</v>
      </c>
      <c r="P501">
        <v>7.5</v>
      </c>
      <c r="Q501" t="s">
        <v>728</v>
      </c>
      <c r="R501" t="s">
        <v>351</v>
      </c>
      <c r="S501">
        <v>220</v>
      </c>
      <c r="T501" s="47" t="s">
        <v>729</v>
      </c>
      <c r="U501" t="s">
        <v>733</v>
      </c>
      <c r="V501" t="s">
        <v>364</v>
      </c>
      <c r="W501" s="47" t="s">
        <v>736</v>
      </c>
      <c r="X501" s="47">
        <v>0</v>
      </c>
      <c r="Y501" s="47" t="s">
        <v>730</v>
      </c>
      <c r="Z501" s="47">
        <v>0</v>
      </c>
      <c r="AA501" s="47" t="s">
        <v>731</v>
      </c>
      <c r="AB501" s="47">
        <v>0</v>
      </c>
      <c r="AC501" s="47">
        <v>0</v>
      </c>
      <c r="AD501" s="47">
        <v>0</v>
      </c>
      <c r="AE501" s="47" t="s">
        <v>731</v>
      </c>
      <c r="AF501" s="47">
        <v>0</v>
      </c>
      <c r="AG501" s="47">
        <v>0</v>
      </c>
      <c r="AH501" s="47">
        <v>0</v>
      </c>
      <c r="AI501" s="47" t="s">
        <v>729</v>
      </c>
      <c r="AJ501">
        <v>1</v>
      </c>
      <c r="AK501">
        <v>100</v>
      </c>
    </row>
    <row r="502" spans="1:37" x14ac:dyDescent="0.2">
      <c r="A502" t="s">
        <v>1318</v>
      </c>
      <c r="B502" t="s">
        <v>361</v>
      </c>
      <c r="C502">
        <v>2018</v>
      </c>
      <c r="D502">
        <v>3</v>
      </c>
      <c r="E502" t="s">
        <v>1321</v>
      </c>
      <c r="F502" t="s">
        <v>365</v>
      </c>
      <c r="G502">
        <v>6.330749</v>
      </c>
      <c r="H502" s="20">
        <f>IF(AND(A502=A501,F502=F501,F502="Winter wheat"),G502*0.9*'BAU Management details'!$F$46,
IF(AND(OR(A502&lt;&gt;A501,F502&lt;&gt;F501),F502="Winter wheat"),G502*'BAU Management details'!$F$46,
IF(F502="Oilseed Rape",G502*'BAU Management details'!$F$47)))</f>
        <v>22.157621500000001</v>
      </c>
      <c r="I502" t="s">
        <v>348</v>
      </c>
      <c r="J502">
        <v>10</v>
      </c>
      <c r="K502" t="s">
        <v>532</v>
      </c>
      <c r="L502" t="s">
        <v>727</v>
      </c>
      <c r="M502">
        <v>3.1</v>
      </c>
      <c r="N502" t="s">
        <v>349</v>
      </c>
      <c r="O502" t="s">
        <v>350</v>
      </c>
      <c r="P502">
        <v>7.5</v>
      </c>
      <c r="Q502" t="s">
        <v>728</v>
      </c>
      <c r="R502" t="s">
        <v>351</v>
      </c>
      <c r="S502">
        <v>220</v>
      </c>
      <c r="T502" s="47" t="s">
        <v>735</v>
      </c>
      <c r="U502" t="s">
        <v>368</v>
      </c>
      <c r="V502" t="s">
        <v>364</v>
      </c>
      <c r="W502" s="47" t="s">
        <v>736</v>
      </c>
      <c r="X502" s="47">
        <v>0</v>
      </c>
      <c r="Y502" s="47" t="s">
        <v>736</v>
      </c>
      <c r="Z502" s="47">
        <v>0</v>
      </c>
      <c r="AA502" s="47" t="s">
        <v>736</v>
      </c>
      <c r="AB502" s="47">
        <v>0</v>
      </c>
      <c r="AC502" s="47">
        <v>0</v>
      </c>
      <c r="AD502" s="47">
        <v>0</v>
      </c>
      <c r="AE502" s="47" t="s">
        <v>731</v>
      </c>
      <c r="AF502" s="47">
        <v>0</v>
      </c>
      <c r="AG502" s="47" t="s">
        <v>731</v>
      </c>
      <c r="AH502" s="47">
        <v>0</v>
      </c>
      <c r="AI502" s="47" t="s">
        <v>735</v>
      </c>
      <c r="AJ502">
        <v>1</v>
      </c>
      <c r="AK502">
        <v>100</v>
      </c>
    </row>
    <row r="503" spans="1:37" x14ac:dyDescent="0.2">
      <c r="A503" t="s">
        <v>1318</v>
      </c>
      <c r="B503" t="s">
        <v>361</v>
      </c>
      <c r="C503">
        <v>2019</v>
      </c>
      <c r="D503">
        <v>4</v>
      </c>
      <c r="E503" t="s">
        <v>1322</v>
      </c>
      <c r="F503" t="s">
        <v>362</v>
      </c>
      <c r="G503">
        <v>6.330749</v>
      </c>
      <c r="H503" s="20">
        <f>IF(AND(A503=A502,F503=F502,F503="Winter wheat"),G503*0.9*'BAU Management details'!$F$46,
IF(AND(OR(A503&lt;&gt;A502,F503&lt;&gt;F502),F503="Winter wheat"),G503*'BAU Management details'!$F$46,
IF(F503="Oilseed Rape",G503*'BAU Management details'!$F$47)))</f>
        <v>54.444441399999995</v>
      </c>
      <c r="I503" t="s">
        <v>348</v>
      </c>
      <c r="J503">
        <v>10</v>
      </c>
      <c r="K503" t="s">
        <v>362</v>
      </c>
      <c r="L503" t="s">
        <v>727</v>
      </c>
      <c r="M503">
        <v>3.1</v>
      </c>
      <c r="N503" t="s">
        <v>349</v>
      </c>
      <c r="O503" t="s">
        <v>350</v>
      </c>
      <c r="P503">
        <v>7.5</v>
      </c>
      <c r="Q503" t="s">
        <v>728</v>
      </c>
      <c r="R503" t="s">
        <v>351</v>
      </c>
      <c r="S503">
        <v>220</v>
      </c>
      <c r="T503" s="47" t="s">
        <v>729</v>
      </c>
      <c r="U503" t="s">
        <v>366</v>
      </c>
      <c r="V503" t="s">
        <v>364</v>
      </c>
      <c r="W503" s="47" t="s">
        <v>736</v>
      </c>
      <c r="X503" s="47">
        <v>0</v>
      </c>
      <c r="Y503" s="47" t="s">
        <v>730</v>
      </c>
      <c r="Z503" s="47">
        <v>0</v>
      </c>
      <c r="AA503" s="47" t="s">
        <v>731</v>
      </c>
      <c r="AB503" s="47">
        <v>0</v>
      </c>
      <c r="AC503" s="47" t="s">
        <v>731</v>
      </c>
      <c r="AD503" s="47" t="s">
        <v>731</v>
      </c>
      <c r="AE503" s="47" t="s">
        <v>731</v>
      </c>
      <c r="AF503" s="47">
        <v>0</v>
      </c>
      <c r="AG503" s="47">
        <v>0</v>
      </c>
      <c r="AH503" s="47">
        <v>0</v>
      </c>
      <c r="AI503" s="47" t="s">
        <v>729</v>
      </c>
      <c r="AJ503">
        <v>1</v>
      </c>
      <c r="AK503">
        <v>100</v>
      </c>
    </row>
    <row r="504" spans="1:37" x14ac:dyDescent="0.2">
      <c r="A504" t="s">
        <v>1318</v>
      </c>
      <c r="B504" t="s">
        <v>361</v>
      </c>
      <c r="C504">
        <v>2020</v>
      </c>
      <c r="D504">
        <v>5</v>
      </c>
      <c r="E504" t="s">
        <v>1323</v>
      </c>
      <c r="F504" t="s">
        <v>362</v>
      </c>
      <c r="G504">
        <v>6.330749</v>
      </c>
      <c r="H504" s="20">
        <f>IF(AND(A504=A503,F504=F503,F504="Winter wheat"),G504*0.9*'BAU Management details'!$F$46,
IF(AND(OR(A504&lt;&gt;A503,F504&lt;&gt;F503),F504="Winter wheat"),G504*'BAU Management details'!$F$46,
IF(F504="Oilseed Rape",G504*'BAU Management details'!$F$47)))</f>
        <v>48.999997260000001</v>
      </c>
      <c r="I504" t="s">
        <v>348</v>
      </c>
      <c r="J504">
        <v>10</v>
      </c>
      <c r="K504" t="s">
        <v>362</v>
      </c>
      <c r="L504" t="s">
        <v>727</v>
      </c>
      <c r="M504">
        <v>3.1</v>
      </c>
      <c r="N504" t="s">
        <v>349</v>
      </c>
      <c r="O504" t="s">
        <v>350</v>
      </c>
      <c r="P504">
        <v>7.5</v>
      </c>
      <c r="Q504" t="s">
        <v>728</v>
      </c>
      <c r="R504" t="s">
        <v>351</v>
      </c>
      <c r="S504">
        <v>220</v>
      </c>
      <c r="T504" s="47" t="s">
        <v>729</v>
      </c>
      <c r="U504" t="s">
        <v>733</v>
      </c>
      <c r="V504" t="s">
        <v>364</v>
      </c>
      <c r="W504" s="47" t="s">
        <v>736</v>
      </c>
      <c r="X504" s="47">
        <v>0</v>
      </c>
      <c r="Y504" s="47" t="s">
        <v>730</v>
      </c>
      <c r="Z504" s="47">
        <v>0</v>
      </c>
      <c r="AA504" s="47" t="s">
        <v>731</v>
      </c>
      <c r="AB504" s="47">
        <v>0</v>
      </c>
      <c r="AC504" s="47">
        <v>0</v>
      </c>
      <c r="AD504" s="47">
        <v>0</v>
      </c>
      <c r="AE504" s="47" t="s">
        <v>731</v>
      </c>
      <c r="AF504" s="47">
        <v>0</v>
      </c>
      <c r="AG504" s="47">
        <v>0</v>
      </c>
      <c r="AH504" s="47">
        <v>0</v>
      </c>
      <c r="AI504" s="47" t="s">
        <v>729</v>
      </c>
      <c r="AJ504">
        <v>1</v>
      </c>
      <c r="AK504">
        <v>100</v>
      </c>
    </row>
    <row r="505" spans="1:37" x14ac:dyDescent="0.2">
      <c r="A505" t="s">
        <v>1318</v>
      </c>
      <c r="B505" t="s">
        <v>361</v>
      </c>
      <c r="C505">
        <v>2021</v>
      </c>
      <c r="D505">
        <v>6</v>
      </c>
      <c r="E505" t="s">
        <v>1324</v>
      </c>
      <c r="F505" t="s">
        <v>365</v>
      </c>
      <c r="G505">
        <v>6.330749</v>
      </c>
      <c r="H505" s="20">
        <f>IF(AND(A505=A504,F505=F504,F505="Winter wheat"),G505*0.9*'BAU Management details'!$F$46,
IF(AND(OR(A505&lt;&gt;A504,F505&lt;&gt;F504),F505="Winter wheat"),G505*'BAU Management details'!$F$46,
IF(F505="Oilseed Rape",G505*'BAU Management details'!$F$47)))</f>
        <v>22.157621500000001</v>
      </c>
      <c r="I505" t="s">
        <v>348</v>
      </c>
      <c r="J505">
        <v>10</v>
      </c>
      <c r="K505" t="s">
        <v>532</v>
      </c>
      <c r="L505" t="s">
        <v>727</v>
      </c>
      <c r="M505">
        <v>3.1</v>
      </c>
      <c r="N505" t="s">
        <v>349</v>
      </c>
      <c r="O505" t="s">
        <v>350</v>
      </c>
      <c r="P505">
        <v>7.5</v>
      </c>
      <c r="Q505" t="s">
        <v>728</v>
      </c>
      <c r="R505" t="s">
        <v>351</v>
      </c>
      <c r="S505">
        <v>220</v>
      </c>
      <c r="T505" s="47" t="s">
        <v>735</v>
      </c>
      <c r="U505" t="s">
        <v>368</v>
      </c>
      <c r="V505" t="s">
        <v>364</v>
      </c>
      <c r="W505" s="47" t="s">
        <v>736</v>
      </c>
      <c r="X505" s="47">
        <v>0</v>
      </c>
      <c r="Y505" s="47" t="s">
        <v>736</v>
      </c>
      <c r="Z505" s="47">
        <v>0</v>
      </c>
      <c r="AA505" s="47" t="s">
        <v>736</v>
      </c>
      <c r="AB505" s="47">
        <v>0</v>
      </c>
      <c r="AC505" s="47">
        <v>0</v>
      </c>
      <c r="AD505" s="47">
        <v>0</v>
      </c>
      <c r="AE505" s="47" t="s">
        <v>731</v>
      </c>
      <c r="AF505" s="47">
        <v>0</v>
      </c>
      <c r="AG505" s="47" t="s">
        <v>731</v>
      </c>
      <c r="AH505" s="47">
        <v>0</v>
      </c>
      <c r="AI505" s="47" t="s">
        <v>735</v>
      </c>
      <c r="AJ505">
        <v>1</v>
      </c>
      <c r="AK505">
        <v>100</v>
      </c>
    </row>
    <row r="506" spans="1:37" x14ac:dyDescent="0.2">
      <c r="A506" t="s">
        <v>1325</v>
      </c>
      <c r="B506" t="s">
        <v>361</v>
      </c>
      <c r="C506">
        <v>2016</v>
      </c>
      <c r="D506">
        <v>1</v>
      </c>
      <c r="E506" t="s">
        <v>1326</v>
      </c>
      <c r="F506" t="s">
        <v>362</v>
      </c>
      <c r="G506">
        <v>10.02727</v>
      </c>
      <c r="H506" s="20">
        <f>IF(AND(A506=A505,F506=F505,F506="Winter wheat"),G506*0.9*'BAU Management details'!$F$46,
IF(AND(OR(A506&lt;&gt;A505,F506&lt;&gt;F505),F506="Winter wheat"),G506*'BAU Management details'!$F$46,
IF(F506="Oilseed Rape",G506*'BAU Management details'!$F$47)))</f>
        <v>86.234521999999998</v>
      </c>
      <c r="I506" t="s">
        <v>348</v>
      </c>
      <c r="J506">
        <v>10</v>
      </c>
      <c r="K506" t="s">
        <v>362</v>
      </c>
      <c r="L506" t="s">
        <v>727</v>
      </c>
      <c r="M506">
        <v>3.1</v>
      </c>
      <c r="N506" t="s">
        <v>349</v>
      </c>
      <c r="O506" t="s">
        <v>350</v>
      </c>
      <c r="P506">
        <v>7.5</v>
      </c>
      <c r="Q506" t="s">
        <v>728</v>
      </c>
      <c r="R506" t="s">
        <v>351</v>
      </c>
      <c r="S506">
        <v>220</v>
      </c>
      <c r="T506" s="47" t="s">
        <v>729</v>
      </c>
      <c r="U506" t="s">
        <v>366</v>
      </c>
      <c r="V506" t="s">
        <v>364</v>
      </c>
      <c r="W506" s="47" t="s">
        <v>736</v>
      </c>
      <c r="X506" s="47">
        <v>0</v>
      </c>
      <c r="Y506" s="47" t="s">
        <v>730</v>
      </c>
      <c r="Z506" s="47">
        <v>0</v>
      </c>
      <c r="AA506" s="47" t="s">
        <v>731</v>
      </c>
      <c r="AB506" s="47">
        <v>0</v>
      </c>
      <c r="AC506" s="47" t="s">
        <v>731</v>
      </c>
      <c r="AD506" s="47" t="s">
        <v>731</v>
      </c>
      <c r="AE506" s="47" t="s">
        <v>731</v>
      </c>
      <c r="AF506" s="47">
        <v>0</v>
      </c>
      <c r="AG506" s="47">
        <v>0</v>
      </c>
      <c r="AH506" s="47">
        <v>0</v>
      </c>
      <c r="AI506" s="47" t="s">
        <v>729</v>
      </c>
      <c r="AJ506">
        <v>1</v>
      </c>
      <c r="AK506">
        <v>100</v>
      </c>
    </row>
    <row r="507" spans="1:37" x14ac:dyDescent="0.2">
      <c r="A507" t="s">
        <v>1325</v>
      </c>
      <c r="B507" t="s">
        <v>361</v>
      </c>
      <c r="C507">
        <v>2017</v>
      </c>
      <c r="D507">
        <v>2</v>
      </c>
      <c r="E507" t="s">
        <v>1327</v>
      </c>
      <c r="F507" t="s">
        <v>362</v>
      </c>
      <c r="G507">
        <v>10.02727</v>
      </c>
      <c r="H507" s="20">
        <f>IF(AND(A507=A506,F507=F506,F507="Winter wheat"),G507*0.9*'BAU Management details'!$F$46,
IF(AND(OR(A507&lt;&gt;A506,F507&lt;&gt;F506),F507="Winter wheat"),G507*'BAU Management details'!$F$46,
IF(F507="Oilseed Rape",G507*'BAU Management details'!$F$47)))</f>
        <v>77.611069799999996</v>
      </c>
      <c r="I507" t="s">
        <v>348</v>
      </c>
      <c r="J507">
        <v>10</v>
      </c>
      <c r="K507" t="s">
        <v>362</v>
      </c>
      <c r="L507" t="s">
        <v>727</v>
      </c>
      <c r="M507">
        <v>3.1</v>
      </c>
      <c r="N507" t="s">
        <v>349</v>
      </c>
      <c r="O507" t="s">
        <v>350</v>
      </c>
      <c r="P507">
        <v>7.5</v>
      </c>
      <c r="Q507" t="s">
        <v>728</v>
      </c>
      <c r="R507" t="s">
        <v>351</v>
      </c>
      <c r="S507">
        <v>220</v>
      </c>
      <c r="T507" s="47" t="s">
        <v>729</v>
      </c>
      <c r="U507" t="s">
        <v>733</v>
      </c>
      <c r="V507" t="s">
        <v>364</v>
      </c>
      <c r="W507" s="47" t="s">
        <v>736</v>
      </c>
      <c r="X507" s="47">
        <v>0</v>
      </c>
      <c r="Y507" s="47" t="s">
        <v>730</v>
      </c>
      <c r="Z507" s="47">
        <v>0</v>
      </c>
      <c r="AA507" s="47" t="s">
        <v>731</v>
      </c>
      <c r="AB507" s="47">
        <v>0</v>
      </c>
      <c r="AC507" s="47">
        <v>0</v>
      </c>
      <c r="AD507" s="47">
        <v>0</v>
      </c>
      <c r="AE507" s="47" t="s">
        <v>731</v>
      </c>
      <c r="AF507" s="47">
        <v>0</v>
      </c>
      <c r="AG507" s="47">
        <v>0</v>
      </c>
      <c r="AH507" s="47">
        <v>0</v>
      </c>
      <c r="AI507" s="47" t="s">
        <v>729</v>
      </c>
      <c r="AJ507">
        <v>1</v>
      </c>
      <c r="AK507">
        <v>100</v>
      </c>
    </row>
    <row r="508" spans="1:37" x14ac:dyDescent="0.2">
      <c r="A508" t="s">
        <v>1325</v>
      </c>
      <c r="B508" t="s">
        <v>361</v>
      </c>
      <c r="C508">
        <v>2018</v>
      </c>
      <c r="D508">
        <v>3</v>
      </c>
      <c r="E508" t="s">
        <v>1328</v>
      </c>
      <c r="F508" t="s">
        <v>365</v>
      </c>
      <c r="G508">
        <v>10.02727</v>
      </c>
      <c r="H508" s="20">
        <f>IF(AND(A508=A507,F508=F507,F508="Winter wheat"),G508*0.9*'BAU Management details'!$F$46,
IF(AND(OR(A508&lt;&gt;A507,F508&lt;&gt;F507),F508="Winter wheat"),G508*'BAU Management details'!$F$46,
IF(F508="Oilseed Rape",G508*'BAU Management details'!$F$47)))</f>
        <v>35.095444999999998</v>
      </c>
      <c r="I508" t="s">
        <v>348</v>
      </c>
      <c r="J508">
        <v>10</v>
      </c>
      <c r="K508" t="s">
        <v>532</v>
      </c>
      <c r="L508" t="s">
        <v>727</v>
      </c>
      <c r="M508">
        <v>3.1</v>
      </c>
      <c r="N508" t="s">
        <v>349</v>
      </c>
      <c r="O508" t="s">
        <v>350</v>
      </c>
      <c r="P508">
        <v>7.5</v>
      </c>
      <c r="Q508" t="s">
        <v>728</v>
      </c>
      <c r="R508" t="s">
        <v>351</v>
      </c>
      <c r="S508">
        <v>220</v>
      </c>
      <c r="T508" s="47" t="s">
        <v>735</v>
      </c>
      <c r="U508" t="s">
        <v>368</v>
      </c>
      <c r="V508" t="s">
        <v>364</v>
      </c>
      <c r="W508" s="47" t="s">
        <v>736</v>
      </c>
      <c r="X508" s="47">
        <v>0</v>
      </c>
      <c r="Y508" s="47" t="s">
        <v>736</v>
      </c>
      <c r="Z508" s="47">
        <v>0</v>
      </c>
      <c r="AA508" s="47" t="s">
        <v>736</v>
      </c>
      <c r="AB508" s="47">
        <v>0</v>
      </c>
      <c r="AC508" s="47">
        <v>0</v>
      </c>
      <c r="AD508" s="47">
        <v>0</v>
      </c>
      <c r="AE508" s="47" t="s">
        <v>731</v>
      </c>
      <c r="AF508" s="47">
        <v>0</v>
      </c>
      <c r="AG508" s="47" t="s">
        <v>731</v>
      </c>
      <c r="AH508" s="47">
        <v>0</v>
      </c>
      <c r="AI508" s="47" t="s">
        <v>735</v>
      </c>
      <c r="AJ508">
        <v>1</v>
      </c>
      <c r="AK508">
        <v>100</v>
      </c>
    </row>
    <row r="509" spans="1:37" x14ac:dyDescent="0.2">
      <c r="A509" t="s">
        <v>1325</v>
      </c>
      <c r="B509" t="s">
        <v>361</v>
      </c>
      <c r="C509">
        <v>2019</v>
      </c>
      <c r="D509">
        <v>4</v>
      </c>
      <c r="E509" t="s">
        <v>1329</v>
      </c>
      <c r="F509" t="s">
        <v>362</v>
      </c>
      <c r="G509">
        <v>10.02727</v>
      </c>
      <c r="H509" s="20">
        <f>IF(AND(A509=A508,F509=F508,F509="Winter wheat"),G509*0.9*'BAU Management details'!$F$46,
IF(AND(OR(A509&lt;&gt;A508,F509&lt;&gt;F508),F509="Winter wheat"),G509*'BAU Management details'!$F$46,
IF(F509="Oilseed Rape",G509*'BAU Management details'!$F$47)))</f>
        <v>86.234521999999998</v>
      </c>
      <c r="I509" t="s">
        <v>348</v>
      </c>
      <c r="J509">
        <v>10</v>
      </c>
      <c r="K509" t="s">
        <v>362</v>
      </c>
      <c r="L509" t="s">
        <v>727</v>
      </c>
      <c r="M509">
        <v>3.1</v>
      </c>
      <c r="N509" t="s">
        <v>349</v>
      </c>
      <c r="O509" t="s">
        <v>350</v>
      </c>
      <c r="P509">
        <v>7.5</v>
      </c>
      <c r="Q509" t="s">
        <v>728</v>
      </c>
      <c r="R509" t="s">
        <v>351</v>
      </c>
      <c r="S509">
        <v>220</v>
      </c>
      <c r="T509" s="47" t="s">
        <v>729</v>
      </c>
      <c r="U509" t="s">
        <v>366</v>
      </c>
      <c r="V509" t="s">
        <v>364</v>
      </c>
      <c r="W509" s="47" t="s">
        <v>736</v>
      </c>
      <c r="X509" s="47">
        <v>0</v>
      </c>
      <c r="Y509" s="47" t="s">
        <v>730</v>
      </c>
      <c r="Z509" s="47">
        <v>0</v>
      </c>
      <c r="AA509" s="47" t="s">
        <v>731</v>
      </c>
      <c r="AB509" s="47">
        <v>0</v>
      </c>
      <c r="AC509" s="47" t="s">
        <v>731</v>
      </c>
      <c r="AD509" s="47" t="s">
        <v>731</v>
      </c>
      <c r="AE509" s="47" t="s">
        <v>731</v>
      </c>
      <c r="AF509" s="47">
        <v>0</v>
      </c>
      <c r="AG509" s="47">
        <v>0</v>
      </c>
      <c r="AH509" s="47">
        <v>0</v>
      </c>
      <c r="AI509" s="47" t="s">
        <v>729</v>
      </c>
      <c r="AJ509">
        <v>1</v>
      </c>
      <c r="AK509">
        <v>100</v>
      </c>
    </row>
    <row r="510" spans="1:37" x14ac:dyDescent="0.2">
      <c r="A510" t="s">
        <v>1325</v>
      </c>
      <c r="B510" t="s">
        <v>361</v>
      </c>
      <c r="C510">
        <v>2020</v>
      </c>
      <c r="D510">
        <v>5</v>
      </c>
      <c r="E510" t="s">
        <v>1330</v>
      </c>
      <c r="F510" t="s">
        <v>362</v>
      </c>
      <c r="G510">
        <v>10.02727</v>
      </c>
      <c r="H510" s="20">
        <f>IF(AND(A510=A509,F510=F509,F510="Winter wheat"),G510*0.9*'BAU Management details'!$F$46,
IF(AND(OR(A510&lt;&gt;A509,F510&lt;&gt;F509),F510="Winter wheat"),G510*'BAU Management details'!$F$46,
IF(F510="Oilseed Rape",G510*'BAU Management details'!$F$47)))</f>
        <v>77.611069799999996</v>
      </c>
      <c r="I510" t="s">
        <v>348</v>
      </c>
      <c r="J510">
        <v>10</v>
      </c>
      <c r="K510" t="s">
        <v>362</v>
      </c>
      <c r="L510" t="s">
        <v>727</v>
      </c>
      <c r="M510">
        <v>3.1</v>
      </c>
      <c r="N510" t="s">
        <v>349</v>
      </c>
      <c r="O510" t="s">
        <v>350</v>
      </c>
      <c r="P510">
        <v>7.5</v>
      </c>
      <c r="Q510" t="s">
        <v>728</v>
      </c>
      <c r="R510" t="s">
        <v>351</v>
      </c>
      <c r="S510">
        <v>220</v>
      </c>
      <c r="T510" s="47" t="s">
        <v>729</v>
      </c>
      <c r="U510" t="s">
        <v>733</v>
      </c>
      <c r="V510" t="s">
        <v>364</v>
      </c>
      <c r="W510" s="47" t="s">
        <v>736</v>
      </c>
      <c r="X510" s="47">
        <v>0</v>
      </c>
      <c r="Y510" s="47" t="s">
        <v>730</v>
      </c>
      <c r="Z510" s="47">
        <v>0</v>
      </c>
      <c r="AA510" s="47" t="s">
        <v>731</v>
      </c>
      <c r="AB510" s="47">
        <v>0</v>
      </c>
      <c r="AC510" s="47">
        <v>0</v>
      </c>
      <c r="AD510" s="47">
        <v>0</v>
      </c>
      <c r="AE510" s="47" t="s">
        <v>731</v>
      </c>
      <c r="AF510" s="47">
        <v>0</v>
      </c>
      <c r="AG510" s="47">
        <v>0</v>
      </c>
      <c r="AH510" s="47">
        <v>0</v>
      </c>
      <c r="AI510" s="47" t="s">
        <v>729</v>
      </c>
      <c r="AJ510">
        <v>1</v>
      </c>
      <c r="AK510">
        <v>100</v>
      </c>
    </row>
    <row r="511" spans="1:37" x14ac:dyDescent="0.2">
      <c r="A511" t="s">
        <v>1325</v>
      </c>
      <c r="B511" t="s">
        <v>361</v>
      </c>
      <c r="C511">
        <v>2021</v>
      </c>
      <c r="D511">
        <v>6</v>
      </c>
      <c r="E511" t="s">
        <v>1331</v>
      </c>
      <c r="F511" t="s">
        <v>365</v>
      </c>
      <c r="G511">
        <v>10.02727</v>
      </c>
      <c r="H511" s="20">
        <f>IF(AND(A511=A510,F511=F510,F511="Winter wheat"),G511*0.9*'BAU Management details'!$F$46,
IF(AND(OR(A511&lt;&gt;A510,F511&lt;&gt;F510),F511="Winter wheat"),G511*'BAU Management details'!$F$46,
IF(F511="Oilseed Rape",G511*'BAU Management details'!$F$47)))</f>
        <v>35.095444999999998</v>
      </c>
      <c r="I511" t="s">
        <v>348</v>
      </c>
      <c r="J511">
        <v>10</v>
      </c>
      <c r="K511" t="s">
        <v>532</v>
      </c>
      <c r="L511" t="s">
        <v>727</v>
      </c>
      <c r="M511">
        <v>3.1</v>
      </c>
      <c r="N511" t="s">
        <v>349</v>
      </c>
      <c r="O511" t="s">
        <v>350</v>
      </c>
      <c r="P511">
        <v>7.5</v>
      </c>
      <c r="Q511" t="s">
        <v>728</v>
      </c>
      <c r="R511" t="s">
        <v>351</v>
      </c>
      <c r="S511">
        <v>220</v>
      </c>
      <c r="T511" s="47" t="s">
        <v>735</v>
      </c>
      <c r="U511" t="s">
        <v>368</v>
      </c>
      <c r="V511" t="s">
        <v>364</v>
      </c>
      <c r="W511" s="47" t="s">
        <v>736</v>
      </c>
      <c r="X511" s="47">
        <v>0</v>
      </c>
      <c r="Y511" s="47" t="s">
        <v>736</v>
      </c>
      <c r="Z511" s="47">
        <v>0</v>
      </c>
      <c r="AA511" s="47" t="s">
        <v>736</v>
      </c>
      <c r="AB511" s="47">
        <v>0</v>
      </c>
      <c r="AC511" s="47">
        <v>0</v>
      </c>
      <c r="AD511" s="47">
        <v>0</v>
      </c>
      <c r="AE511" s="47" t="s">
        <v>731</v>
      </c>
      <c r="AF511" s="47">
        <v>0</v>
      </c>
      <c r="AG511" s="47" t="s">
        <v>731</v>
      </c>
      <c r="AH511" s="47">
        <v>0</v>
      </c>
      <c r="AI511" s="47" t="s">
        <v>735</v>
      </c>
      <c r="AJ511">
        <v>1</v>
      </c>
      <c r="AK511">
        <v>100</v>
      </c>
    </row>
    <row r="512" spans="1:37" x14ac:dyDescent="0.2">
      <c r="A512" t="s">
        <v>1332</v>
      </c>
      <c r="B512" t="s">
        <v>361</v>
      </c>
      <c r="C512">
        <v>2016</v>
      </c>
      <c r="D512">
        <v>1</v>
      </c>
      <c r="E512" t="s">
        <v>1333</v>
      </c>
      <c r="F512" t="s">
        <v>362</v>
      </c>
      <c r="G512">
        <v>10.604229</v>
      </c>
      <c r="H512" s="20">
        <f>IF(AND(A512=A511,F512=F511,F512="Winter wheat"),G512*0.9*'BAU Management details'!$F$46,
IF(AND(OR(A512&lt;&gt;A511,F512&lt;&gt;F511),F512="Winter wheat"),G512*'BAU Management details'!$F$46,
IF(F512="Oilseed Rape",G512*'BAU Management details'!$F$47)))</f>
        <v>91.196369399999995</v>
      </c>
      <c r="I512" t="s">
        <v>348</v>
      </c>
      <c r="J512">
        <v>10</v>
      </c>
      <c r="K512" t="s">
        <v>362</v>
      </c>
      <c r="L512" t="s">
        <v>751</v>
      </c>
      <c r="M512">
        <v>3.1</v>
      </c>
      <c r="N512" t="s">
        <v>349</v>
      </c>
      <c r="O512" t="s">
        <v>350</v>
      </c>
      <c r="P512">
        <v>7.8</v>
      </c>
      <c r="Q512" t="s">
        <v>728</v>
      </c>
      <c r="R512" t="s">
        <v>351</v>
      </c>
      <c r="S512">
        <v>220</v>
      </c>
      <c r="T512" s="47" t="s">
        <v>729</v>
      </c>
      <c r="U512" t="s">
        <v>366</v>
      </c>
      <c r="V512" t="s">
        <v>364</v>
      </c>
      <c r="W512" s="47" t="s">
        <v>736</v>
      </c>
      <c r="X512" s="47">
        <v>0</v>
      </c>
      <c r="Y512" s="47" t="s">
        <v>730</v>
      </c>
      <c r="Z512" s="47">
        <v>0</v>
      </c>
      <c r="AA512" s="47" t="s">
        <v>731</v>
      </c>
      <c r="AB512" s="47">
        <v>0</v>
      </c>
      <c r="AC512" s="47" t="s">
        <v>731</v>
      </c>
      <c r="AD512" s="47" t="s">
        <v>731</v>
      </c>
      <c r="AE512" s="47" t="s">
        <v>731</v>
      </c>
      <c r="AF512" s="47">
        <v>0</v>
      </c>
      <c r="AG512" s="47">
        <v>0</v>
      </c>
      <c r="AH512" s="47">
        <v>0</v>
      </c>
      <c r="AI512" s="47" t="s">
        <v>729</v>
      </c>
      <c r="AJ512">
        <v>1</v>
      </c>
      <c r="AK512">
        <v>100</v>
      </c>
    </row>
    <row r="513" spans="1:37" x14ac:dyDescent="0.2">
      <c r="A513" t="s">
        <v>1332</v>
      </c>
      <c r="B513" t="s">
        <v>361</v>
      </c>
      <c r="C513">
        <v>2017</v>
      </c>
      <c r="D513">
        <v>2</v>
      </c>
      <c r="E513" t="s">
        <v>1334</v>
      </c>
      <c r="F513" t="s">
        <v>362</v>
      </c>
      <c r="G513">
        <v>10.604229</v>
      </c>
      <c r="H513" s="20">
        <f>IF(AND(A513=A512,F513=F512,F513="Winter wheat"),G513*0.9*'BAU Management details'!$F$46,
IF(AND(OR(A513&lt;&gt;A512,F513&lt;&gt;F512),F513="Winter wheat"),G513*'BAU Management details'!$F$46,
IF(F513="Oilseed Rape",G513*'BAU Management details'!$F$47)))</f>
        <v>82.076732460000002</v>
      </c>
      <c r="I513" t="s">
        <v>348</v>
      </c>
      <c r="J513">
        <v>10</v>
      </c>
      <c r="K513" t="s">
        <v>362</v>
      </c>
      <c r="L513" t="s">
        <v>751</v>
      </c>
      <c r="M513">
        <v>3.1</v>
      </c>
      <c r="N513" t="s">
        <v>349</v>
      </c>
      <c r="O513" t="s">
        <v>350</v>
      </c>
      <c r="P513">
        <v>7.8</v>
      </c>
      <c r="Q513" t="s">
        <v>728</v>
      </c>
      <c r="R513" t="s">
        <v>351</v>
      </c>
      <c r="S513">
        <v>220</v>
      </c>
      <c r="T513" s="47" t="s">
        <v>729</v>
      </c>
      <c r="U513" t="s">
        <v>733</v>
      </c>
      <c r="V513" t="s">
        <v>364</v>
      </c>
      <c r="W513" s="47" t="s">
        <v>736</v>
      </c>
      <c r="X513" s="47">
        <v>0</v>
      </c>
      <c r="Y513" s="47" t="s">
        <v>730</v>
      </c>
      <c r="Z513" s="47">
        <v>0</v>
      </c>
      <c r="AA513" s="47" t="s">
        <v>731</v>
      </c>
      <c r="AB513" s="47">
        <v>0</v>
      </c>
      <c r="AC513" s="47">
        <v>0</v>
      </c>
      <c r="AD513" s="47">
        <v>0</v>
      </c>
      <c r="AE513" s="47" t="s">
        <v>731</v>
      </c>
      <c r="AF513" s="47">
        <v>0</v>
      </c>
      <c r="AG513" s="47">
        <v>0</v>
      </c>
      <c r="AH513" s="47">
        <v>0</v>
      </c>
      <c r="AI513" s="47" t="s">
        <v>729</v>
      </c>
      <c r="AJ513">
        <v>1</v>
      </c>
      <c r="AK513">
        <v>100</v>
      </c>
    </row>
    <row r="514" spans="1:37" x14ac:dyDescent="0.2">
      <c r="A514" t="s">
        <v>1332</v>
      </c>
      <c r="B514" t="s">
        <v>361</v>
      </c>
      <c r="C514">
        <v>2018</v>
      </c>
      <c r="D514">
        <v>3</v>
      </c>
      <c r="E514" t="s">
        <v>1335</v>
      </c>
      <c r="F514" t="s">
        <v>365</v>
      </c>
      <c r="G514">
        <v>10.604229</v>
      </c>
      <c r="H514" s="20">
        <f>IF(AND(A514=A513,F514=F513,F514="Winter wheat"),G514*0.9*'BAU Management details'!$F$46,
IF(AND(OR(A514&lt;&gt;A513,F514&lt;&gt;F513),F514="Winter wheat"),G514*'BAU Management details'!$F$46,
IF(F514="Oilseed Rape",G514*'BAU Management details'!$F$47)))</f>
        <v>37.114801499999999</v>
      </c>
      <c r="I514" t="s">
        <v>348</v>
      </c>
      <c r="J514">
        <v>10</v>
      </c>
      <c r="K514" t="s">
        <v>532</v>
      </c>
      <c r="L514" t="s">
        <v>751</v>
      </c>
      <c r="M514">
        <v>3.1</v>
      </c>
      <c r="N514" t="s">
        <v>349</v>
      </c>
      <c r="O514" t="s">
        <v>350</v>
      </c>
      <c r="P514">
        <v>7.8</v>
      </c>
      <c r="Q514" t="s">
        <v>728</v>
      </c>
      <c r="R514" t="s">
        <v>351</v>
      </c>
      <c r="S514">
        <v>220</v>
      </c>
      <c r="T514" s="47" t="s">
        <v>735</v>
      </c>
      <c r="U514" t="s">
        <v>368</v>
      </c>
      <c r="V514" t="s">
        <v>364</v>
      </c>
      <c r="W514" s="47" t="s">
        <v>736</v>
      </c>
      <c r="X514" s="47">
        <v>0</v>
      </c>
      <c r="Y514" s="47" t="s">
        <v>736</v>
      </c>
      <c r="Z514" s="47">
        <v>0</v>
      </c>
      <c r="AA514" s="47" t="s">
        <v>736</v>
      </c>
      <c r="AB514" s="47">
        <v>0</v>
      </c>
      <c r="AC514" s="47">
        <v>0</v>
      </c>
      <c r="AD514" s="47">
        <v>0</v>
      </c>
      <c r="AE514" s="47" t="s">
        <v>731</v>
      </c>
      <c r="AF514" s="47">
        <v>0</v>
      </c>
      <c r="AG514" s="47" t="s">
        <v>731</v>
      </c>
      <c r="AH514" s="47">
        <v>0</v>
      </c>
      <c r="AI514" s="47" t="s">
        <v>735</v>
      </c>
      <c r="AJ514">
        <v>1</v>
      </c>
      <c r="AK514">
        <v>100</v>
      </c>
    </row>
    <row r="515" spans="1:37" x14ac:dyDescent="0.2">
      <c r="A515" t="s">
        <v>1332</v>
      </c>
      <c r="B515" t="s">
        <v>361</v>
      </c>
      <c r="C515">
        <v>2019</v>
      </c>
      <c r="D515">
        <v>4</v>
      </c>
      <c r="E515" t="s">
        <v>1336</v>
      </c>
      <c r="F515" t="s">
        <v>362</v>
      </c>
      <c r="G515">
        <v>10.604229</v>
      </c>
      <c r="H515" s="20">
        <f>IF(AND(A515=A514,F515=F514,F515="Winter wheat"),G515*0.9*'BAU Management details'!$F$46,
IF(AND(OR(A515&lt;&gt;A514,F515&lt;&gt;F514),F515="Winter wheat"),G515*'BAU Management details'!$F$46,
IF(F515="Oilseed Rape",G515*'BAU Management details'!$F$47)))</f>
        <v>91.196369399999995</v>
      </c>
      <c r="I515" t="s">
        <v>348</v>
      </c>
      <c r="J515">
        <v>10</v>
      </c>
      <c r="K515" t="s">
        <v>362</v>
      </c>
      <c r="L515" t="s">
        <v>751</v>
      </c>
      <c r="M515">
        <v>3.1</v>
      </c>
      <c r="N515" t="s">
        <v>349</v>
      </c>
      <c r="O515" t="s">
        <v>350</v>
      </c>
      <c r="P515">
        <v>7.8</v>
      </c>
      <c r="Q515" t="s">
        <v>728</v>
      </c>
      <c r="R515" t="s">
        <v>351</v>
      </c>
      <c r="S515">
        <v>220</v>
      </c>
      <c r="T515" s="47" t="s">
        <v>729</v>
      </c>
      <c r="U515" t="s">
        <v>366</v>
      </c>
      <c r="V515" t="s">
        <v>364</v>
      </c>
      <c r="W515" s="47" t="s">
        <v>736</v>
      </c>
      <c r="X515" s="47">
        <v>0</v>
      </c>
      <c r="Y515" s="47" t="s">
        <v>730</v>
      </c>
      <c r="Z515" s="47">
        <v>0</v>
      </c>
      <c r="AA515" s="47" t="s">
        <v>731</v>
      </c>
      <c r="AB515" s="47">
        <v>0</v>
      </c>
      <c r="AC515" s="47" t="s">
        <v>731</v>
      </c>
      <c r="AD515" s="47" t="s">
        <v>731</v>
      </c>
      <c r="AE515" s="47" t="s">
        <v>731</v>
      </c>
      <c r="AF515" s="47">
        <v>0</v>
      </c>
      <c r="AG515" s="47">
        <v>0</v>
      </c>
      <c r="AH515" s="47">
        <v>0</v>
      </c>
      <c r="AI515" s="47" t="s">
        <v>729</v>
      </c>
      <c r="AJ515">
        <v>1</v>
      </c>
      <c r="AK515">
        <v>100</v>
      </c>
    </row>
    <row r="516" spans="1:37" x14ac:dyDescent="0.2">
      <c r="A516" t="s">
        <v>1332</v>
      </c>
      <c r="B516" t="s">
        <v>361</v>
      </c>
      <c r="C516">
        <v>2020</v>
      </c>
      <c r="D516">
        <v>5</v>
      </c>
      <c r="E516" t="s">
        <v>1337</v>
      </c>
      <c r="F516" t="s">
        <v>362</v>
      </c>
      <c r="G516">
        <v>10.604229</v>
      </c>
      <c r="H516" s="20">
        <f>IF(AND(A516=A515,F516=F515,F516="Winter wheat"),G516*0.9*'BAU Management details'!$F$46,
IF(AND(OR(A516&lt;&gt;A515,F516&lt;&gt;F515),F516="Winter wheat"),G516*'BAU Management details'!$F$46,
IF(F516="Oilseed Rape",G516*'BAU Management details'!$F$47)))</f>
        <v>82.076732460000002</v>
      </c>
      <c r="I516" t="s">
        <v>348</v>
      </c>
      <c r="J516">
        <v>10</v>
      </c>
      <c r="K516" t="s">
        <v>362</v>
      </c>
      <c r="L516" t="s">
        <v>751</v>
      </c>
      <c r="M516">
        <v>3.1</v>
      </c>
      <c r="N516" t="s">
        <v>349</v>
      </c>
      <c r="O516" t="s">
        <v>350</v>
      </c>
      <c r="P516">
        <v>7.8</v>
      </c>
      <c r="Q516" t="s">
        <v>728</v>
      </c>
      <c r="R516" t="s">
        <v>351</v>
      </c>
      <c r="S516">
        <v>220</v>
      </c>
      <c r="T516" s="47" t="s">
        <v>729</v>
      </c>
      <c r="U516" t="s">
        <v>733</v>
      </c>
      <c r="V516" t="s">
        <v>364</v>
      </c>
      <c r="W516" s="47" t="s">
        <v>736</v>
      </c>
      <c r="X516" s="47">
        <v>0</v>
      </c>
      <c r="Y516" s="47" t="s">
        <v>730</v>
      </c>
      <c r="Z516" s="47">
        <v>0</v>
      </c>
      <c r="AA516" s="47" t="s">
        <v>731</v>
      </c>
      <c r="AB516" s="47">
        <v>0</v>
      </c>
      <c r="AC516" s="47">
        <v>0</v>
      </c>
      <c r="AD516" s="47">
        <v>0</v>
      </c>
      <c r="AE516" s="47" t="s">
        <v>731</v>
      </c>
      <c r="AF516" s="47">
        <v>0</v>
      </c>
      <c r="AG516" s="47">
        <v>0</v>
      </c>
      <c r="AH516" s="47">
        <v>0</v>
      </c>
      <c r="AI516" s="47" t="s">
        <v>729</v>
      </c>
      <c r="AJ516">
        <v>1</v>
      </c>
      <c r="AK516">
        <v>100</v>
      </c>
    </row>
    <row r="517" spans="1:37" x14ac:dyDescent="0.2">
      <c r="A517" t="s">
        <v>1332</v>
      </c>
      <c r="B517" t="s">
        <v>361</v>
      </c>
      <c r="C517">
        <v>2021</v>
      </c>
      <c r="D517">
        <v>6</v>
      </c>
      <c r="E517" t="s">
        <v>1338</v>
      </c>
      <c r="F517" t="s">
        <v>365</v>
      </c>
      <c r="G517">
        <v>10.604229</v>
      </c>
      <c r="H517" s="20">
        <f>IF(AND(A517=A516,F517=F516,F517="Winter wheat"),G517*0.9*'BAU Management details'!$F$46,
IF(AND(OR(A517&lt;&gt;A516,F517&lt;&gt;F516),F517="Winter wheat"),G517*'BAU Management details'!$F$46,
IF(F517="Oilseed Rape",G517*'BAU Management details'!$F$47)))</f>
        <v>37.114801499999999</v>
      </c>
      <c r="I517" t="s">
        <v>348</v>
      </c>
      <c r="J517">
        <v>10</v>
      </c>
      <c r="K517" t="s">
        <v>532</v>
      </c>
      <c r="L517" t="s">
        <v>751</v>
      </c>
      <c r="M517">
        <v>3.1</v>
      </c>
      <c r="N517" t="s">
        <v>349</v>
      </c>
      <c r="O517" t="s">
        <v>350</v>
      </c>
      <c r="P517">
        <v>7.8</v>
      </c>
      <c r="Q517" t="s">
        <v>728</v>
      </c>
      <c r="R517" t="s">
        <v>351</v>
      </c>
      <c r="S517">
        <v>220</v>
      </c>
      <c r="T517" s="47" t="s">
        <v>735</v>
      </c>
      <c r="U517" t="s">
        <v>368</v>
      </c>
      <c r="V517" t="s">
        <v>364</v>
      </c>
      <c r="W517" s="47" t="s">
        <v>736</v>
      </c>
      <c r="X517" s="47">
        <v>0</v>
      </c>
      <c r="Y517" s="47" t="s">
        <v>736</v>
      </c>
      <c r="Z517" s="47">
        <v>0</v>
      </c>
      <c r="AA517" s="47" t="s">
        <v>736</v>
      </c>
      <c r="AB517" s="47">
        <v>0</v>
      </c>
      <c r="AC517" s="47">
        <v>0</v>
      </c>
      <c r="AD517" s="47">
        <v>0</v>
      </c>
      <c r="AE517" s="47" t="s">
        <v>731</v>
      </c>
      <c r="AF517" s="47">
        <v>0</v>
      </c>
      <c r="AG517" s="47" t="s">
        <v>731</v>
      </c>
      <c r="AH517" s="47">
        <v>0</v>
      </c>
      <c r="AI517" s="47" t="s">
        <v>735</v>
      </c>
      <c r="AJ517">
        <v>1</v>
      </c>
      <c r="AK517">
        <v>100</v>
      </c>
    </row>
    <row r="518" spans="1:37" x14ac:dyDescent="0.2">
      <c r="A518" t="s">
        <v>1339</v>
      </c>
      <c r="B518" t="s">
        <v>361</v>
      </c>
      <c r="C518">
        <v>2016</v>
      </c>
      <c r="D518">
        <v>1</v>
      </c>
      <c r="E518" t="s">
        <v>1340</v>
      </c>
      <c r="F518" t="s">
        <v>362</v>
      </c>
      <c r="G518">
        <v>8.1912889999999994</v>
      </c>
      <c r="H518" s="20">
        <f>IF(AND(A518=A517,F518=F517,F518="Winter wheat"),G518*0.9*'BAU Management details'!$F$46,
IF(AND(OR(A518&lt;&gt;A517,F518&lt;&gt;F517),F518="Winter wheat"),G518*'BAU Management details'!$F$46,
IF(F518="Oilseed Rape",G518*'BAU Management details'!$F$47)))</f>
        <v>70.445085399999996</v>
      </c>
      <c r="I518" t="s">
        <v>348</v>
      </c>
      <c r="J518">
        <v>10</v>
      </c>
      <c r="K518" t="s">
        <v>362</v>
      </c>
      <c r="L518" t="s">
        <v>751</v>
      </c>
      <c r="M518">
        <v>2.9</v>
      </c>
      <c r="N518" t="s">
        <v>349</v>
      </c>
      <c r="O518" t="s">
        <v>350</v>
      </c>
      <c r="P518">
        <v>7.7</v>
      </c>
      <c r="Q518" t="s">
        <v>728</v>
      </c>
      <c r="R518" t="s">
        <v>351</v>
      </c>
      <c r="S518">
        <v>220</v>
      </c>
      <c r="T518" s="47" t="s">
        <v>729</v>
      </c>
      <c r="U518" t="s">
        <v>366</v>
      </c>
      <c r="V518" t="s">
        <v>367</v>
      </c>
      <c r="W518" s="47" t="s">
        <v>736</v>
      </c>
      <c r="X518" s="47">
        <v>0</v>
      </c>
      <c r="Y518" s="47" t="s">
        <v>730</v>
      </c>
      <c r="Z518" s="47">
        <v>0</v>
      </c>
      <c r="AA518" s="47" t="s">
        <v>731</v>
      </c>
      <c r="AB518" s="47">
        <v>0</v>
      </c>
      <c r="AC518" s="47" t="s">
        <v>731</v>
      </c>
      <c r="AD518" s="47" t="s">
        <v>731</v>
      </c>
      <c r="AE518" s="47" t="s">
        <v>731</v>
      </c>
      <c r="AF518" s="47">
        <v>0</v>
      </c>
      <c r="AG518" s="47">
        <v>0</v>
      </c>
      <c r="AH518" s="47">
        <v>0</v>
      </c>
      <c r="AI518" s="47" t="s">
        <v>729</v>
      </c>
      <c r="AJ518">
        <v>1</v>
      </c>
      <c r="AK518">
        <v>100</v>
      </c>
    </row>
    <row r="519" spans="1:37" x14ac:dyDescent="0.2">
      <c r="A519" t="s">
        <v>1339</v>
      </c>
      <c r="B519" t="s">
        <v>361</v>
      </c>
      <c r="C519">
        <v>2017</v>
      </c>
      <c r="D519">
        <v>2</v>
      </c>
      <c r="E519" t="s">
        <v>1341</v>
      </c>
      <c r="F519" t="s">
        <v>362</v>
      </c>
      <c r="G519">
        <v>8.1912889999999994</v>
      </c>
      <c r="H519" s="20">
        <f>IF(AND(A519=A518,F519=F518,F519="Winter wheat"),G519*0.9*'BAU Management details'!$F$46,
IF(AND(OR(A519&lt;&gt;A518,F519&lt;&gt;F518),F519="Winter wheat"),G519*'BAU Management details'!$F$46,
IF(F519="Oilseed Rape",G519*'BAU Management details'!$F$47)))</f>
        <v>63.400576859999994</v>
      </c>
      <c r="I519" t="s">
        <v>348</v>
      </c>
      <c r="J519">
        <v>10</v>
      </c>
      <c r="K519" t="s">
        <v>362</v>
      </c>
      <c r="L519" t="s">
        <v>751</v>
      </c>
      <c r="M519">
        <v>2.9</v>
      </c>
      <c r="N519" t="s">
        <v>349</v>
      </c>
      <c r="O519" t="s">
        <v>350</v>
      </c>
      <c r="P519">
        <v>7.7</v>
      </c>
      <c r="Q519" t="s">
        <v>728</v>
      </c>
      <c r="R519" t="s">
        <v>351</v>
      </c>
      <c r="S519">
        <v>220</v>
      </c>
      <c r="T519" s="47" t="s">
        <v>729</v>
      </c>
      <c r="U519" t="s">
        <v>733</v>
      </c>
      <c r="V519" t="s">
        <v>369</v>
      </c>
      <c r="W519" s="47" t="s">
        <v>736</v>
      </c>
      <c r="X519" s="47">
        <v>0</v>
      </c>
      <c r="Y519" s="47" t="s">
        <v>730</v>
      </c>
      <c r="Z519" s="47">
        <v>0</v>
      </c>
      <c r="AA519" s="47" t="s">
        <v>731</v>
      </c>
      <c r="AB519" s="47">
        <v>0</v>
      </c>
      <c r="AC519" s="47">
        <v>0</v>
      </c>
      <c r="AD519" s="47">
        <v>0</v>
      </c>
      <c r="AE519" s="47" t="s">
        <v>731</v>
      </c>
      <c r="AF519" s="47">
        <v>0</v>
      </c>
      <c r="AG519" s="47">
        <v>0</v>
      </c>
      <c r="AH519" s="47">
        <v>0</v>
      </c>
      <c r="AI519" s="47" t="s">
        <v>729</v>
      </c>
      <c r="AJ519">
        <v>1</v>
      </c>
      <c r="AK519">
        <v>100</v>
      </c>
    </row>
    <row r="520" spans="1:37" x14ac:dyDescent="0.2">
      <c r="A520" t="s">
        <v>1339</v>
      </c>
      <c r="B520" t="s">
        <v>361</v>
      </c>
      <c r="C520">
        <v>2018</v>
      </c>
      <c r="D520">
        <v>3</v>
      </c>
      <c r="E520" t="s">
        <v>1342</v>
      </c>
      <c r="F520" t="s">
        <v>365</v>
      </c>
      <c r="G520">
        <v>8.1912889999999994</v>
      </c>
      <c r="H520" s="20">
        <f>IF(AND(A520=A519,F520=F519,F520="Winter wheat"),G520*0.9*'BAU Management details'!$F$46,
IF(AND(OR(A520&lt;&gt;A519,F520&lt;&gt;F519),F520="Winter wheat"),G520*'BAU Management details'!$F$46,
IF(F520="Oilseed Rape",G520*'BAU Management details'!$F$47)))</f>
        <v>28.669511499999999</v>
      </c>
      <c r="I520" t="s">
        <v>348</v>
      </c>
      <c r="J520">
        <v>10</v>
      </c>
      <c r="K520" t="s">
        <v>532</v>
      </c>
      <c r="L520" t="s">
        <v>751</v>
      </c>
      <c r="M520">
        <v>2.9</v>
      </c>
      <c r="N520" t="s">
        <v>349</v>
      </c>
      <c r="O520" t="s">
        <v>350</v>
      </c>
      <c r="P520">
        <v>7.7</v>
      </c>
      <c r="Q520" t="s">
        <v>728</v>
      </c>
      <c r="R520" t="s">
        <v>351</v>
      </c>
      <c r="S520">
        <v>220</v>
      </c>
      <c r="T520" s="47" t="s">
        <v>735</v>
      </c>
      <c r="U520" t="s">
        <v>368</v>
      </c>
      <c r="V520" t="s">
        <v>364</v>
      </c>
      <c r="W520" s="47" t="s">
        <v>736</v>
      </c>
      <c r="X520" s="47">
        <v>0</v>
      </c>
      <c r="Y520" s="47" t="s">
        <v>736</v>
      </c>
      <c r="Z520" s="47">
        <v>0</v>
      </c>
      <c r="AA520" s="47" t="s">
        <v>736</v>
      </c>
      <c r="AB520" s="47">
        <v>0</v>
      </c>
      <c r="AC520" s="47">
        <v>0</v>
      </c>
      <c r="AD520" s="47">
        <v>0</v>
      </c>
      <c r="AE520" s="47" t="s">
        <v>731</v>
      </c>
      <c r="AF520" s="47">
        <v>0</v>
      </c>
      <c r="AG520" s="47" t="s">
        <v>731</v>
      </c>
      <c r="AH520" s="47">
        <v>0</v>
      </c>
      <c r="AI520" s="47" t="s">
        <v>735</v>
      </c>
      <c r="AJ520">
        <v>1</v>
      </c>
      <c r="AK520">
        <v>100</v>
      </c>
    </row>
    <row r="521" spans="1:37" x14ac:dyDescent="0.2">
      <c r="A521" t="s">
        <v>1339</v>
      </c>
      <c r="B521" t="s">
        <v>361</v>
      </c>
      <c r="C521">
        <v>2019</v>
      </c>
      <c r="D521">
        <v>4</v>
      </c>
      <c r="E521" t="s">
        <v>1343</v>
      </c>
      <c r="F521" t="s">
        <v>362</v>
      </c>
      <c r="G521">
        <v>8.1912889999999994</v>
      </c>
      <c r="H521" s="20">
        <f>IF(AND(A521=A520,F521=F520,F521="Winter wheat"),G521*0.9*'BAU Management details'!$F$46,
IF(AND(OR(A521&lt;&gt;A520,F521&lt;&gt;F520),F521="Winter wheat"),G521*'BAU Management details'!$F$46,
IF(F521="Oilseed Rape",G521*'BAU Management details'!$F$47)))</f>
        <v>70.445085399999996</v>
      </c>
      <c r="I521" t="s">
        <v>348</v>
      </c>
      <c r="J521">
        <v>10</v>
      </c>
      <c r="K521" t="s">
        <v>362</v>
      </c>
      <c r="L521" t="s">
        <v>751</v>
      </c>
      <c r="M521">
        <v>2.9</v>
      </c>
      <c r="N521" t="s">
        <v>349</v>
      </c>
      <c r="O521" t="s">
        <v>350</v>
      </c>
      <c r="P521">
        <v>7.7</v>
      </c>
      <c r="Q521" t="s">
        <v>728</v>
      </c>
      <c r="R521" t="s">
        <v>351</v>
      </c>
      <c r="S521">
        <v>220</v>
      </c>
      <c r="T521" s="47" t="s">
        <v>729</v>
      </c>
      <c r="U521" t="s">
        <v>366</v>
      </c>
      <c r="V521" t="s">
        <v>367</v>
      </c>
      <c r="W521" s="47" t="s">
        <v>736</v>
      </c>
      <c r="X521" s="47">
        <v>0</v>
      </c>
      <c r="Y521" s="47" t="s">
        <v>730</v>
      </c>
      <c r="Z521" s="47">
        <v>0</v>
      </c>
      <c r="AA521" s="47" t="s">
        <v>731</v>
      </c>
      <c r="AB521" s="47">
        <v>0</v>
      </c>
      <c r="AC521" s="47" t="s">
        <v>731</v>
      </c>
      <c r="AD521" s="47" t="s">
        <v>731</v>
      </c>
      <c r="AE521" s="47" t="s">
        <v>731</v>
      </c>
      <c r="AF521" s="47">
        <v>0</v>
      </c>
      <c r="AG521" s="47">
        <v>0</v>
      </c>
      <c r="AH521" s="47">
        <v>0</v>
      </c>
      <c r="AI521" s="47" t="s">
        <v>729</v>
      </c>
      <c r="AJ521">
        <v>1</v>
      </c>
      <c r="AK521">
        <v>100</v>
      </c>
    </row>
    <row r="522" spans="1:37" x14ac:dyDescent="0.2">
      <c r="A522" t="s">
        <v>1339</v>
      </c>
      <c r="B522" t="s">
        <v>361</v>
      </c>
      <c r="C522">
        <v>2020</v>
      </c>
      <c r="D522">
        <v>5</v>
      </c>
      <c r="E522" t="s">
        <v>1344</v>
      </c>
      <c r="F522" t="s">
        <v>362</v>
      </c>
      <c r="G522">
        <v>8.1912889999999994</v>
      </c>
      <c r="H522" s="20">
        <f>IF(AND(A522=A521,F522=F521,F522="Winter wheat"),G522*0.9*'BAU Management details'!$F$46,
IF(AND(OR(A522&lt;&gt;A521,F522&lt;&gt;F521),F522="Winter wheat"),G522*'BAU Management details'!$F$46,
IF(F522="Oilseed Rape",G522*'BAU Management details'!$F$47)))</f>
        <v>63.400576859999994</v>
      </c>
      <c r="I522" t="s">
        <v>348</v>
      </c>
      <c r="J522">
        <v>10</v>
      </c>
      <c r="K522" t="s">
        <v>362</v>
      </c>
      <c r="L522" t="s">
        <v>751</v>
      </c>
      <c r="M522">
        <v>2.9</v>
      </c>
      <c r="N522" t="s">
        <v>349</v>
      </c>
      <c r="O522" t="s">
        <v>350</v>
      </c>
      <c r="P522">
        <v>7.7</v>
      </c>
      <c r="Q522" t="s">
        <v>728</v>
      </c>
      <c r="R522" t="s">
        <v>351</v>
      </c>
      <c r="S522">
        <v>220</v>
      </c>
      <c r="T522" s="47" t="s">
        <v>729</v>
      </c>
      <c r="U522" t="s">
        <v>733</v>
      </c>
      <c r="V522" t="s">
        <v>369</v>
      </c>
      <c r="W522" s="47" t="s">
        <v>736</v>
      </c>
      <c r="X522" s="47">
        <v>0</v>
      </c>
      <c r="Y522" s="47" t="s">
        <v>730</v>
      </c>
      <c r="Z522" s="47">
        <v>0</v>
      </c>
      <c r="AA522" s="47" t="s">
        <v>731</v>
      </c>
      <c r="AB522" s="47">
        <v>0</v>
      </c>
      <c r="AC522" s="47">
        <v>0</v>
      </c>
      <c r="AD522" s="47">
        <v>0</v>
      </c>
      <c r="AE522" s="47" t="s">
        <v>731</v>
      </c>
      <c r="AF522" s="47">
        <v>0</v>
      </c>
      <c r="AG522" s="47">
        <v>0</v>
      </c>
      <c r="AH522" s="47">
        <v>0</v>
      </c>
      <c r="AI522" s="47" t="s">
        <v>729</v>
      </c>
      <c r="AJ522">
        <v>1</v>
      </c>
      <c r="AK522">
        <v>100</v>
      </c>
    </row>
    <row r="523" spans="1:37" x14ac:dyDescent="0.2">
      <c r="A523" t="s">
        <v>1339</v>
      </c>
      <c r="B523" t="s">
        <v>361</v>
      </c>
      <c r="C523">
        <v>2021</v>
      </c>
      <c r="D523">
        <v>6</v>
      </c>
      <c r="E523" t="s">
        <v>1345</v>
      </c>
      <c r="F523" t="s">
        <v>365</v>
      </c>
      <c r="G523">
        <v>8.1912889999999994</v>
      </c>
      <c r="H523" s="20">
        <f>IF(AND(A523=A522,F523=F522,F523="Winter wheat"),G523*0.9*'BAU Management details'!$F$46,
IF(AND(OR(A523&lt;&gt;A522,F523&lt;&gt;F522),F523="Winter wheat"),G523*'BAU Management details'!$F$46,
IF(F523="Oilseed Rape",G523*'BAU Management details'!$F$47)))</f>
        <v>28.669511499999999</v>
      </c>
      <c r="I523" t="s">
        <v>348</v>
      </c>
      <c r="J523">
        <v>10</v>
      </c>
      <c r="K523" t="s">
        <v>532</v>
      </c>
      <c r="L523" t="s">
        <v>751</v>
      </c>
      <c r="M523">
        <v>2.9</v>
      </c>
      <c r="N523" t="s">
        <v>349</v>
      </c>
      <c r="O523" t="s">
        <v>350</v>
      </c>
      <c r="P523">
        <v>7.7</v>
      </c>
      <c r="Q523" t="s">
        <v>728</v>
      </c>
      <c r="R523" t="s">
        <v>351</v>
      </c>
      <c r="S523">
        <v>220</v>
      </c>
      <c r="T523" s="47" t="s">
        <v>735</v>
      </c>
      <c r="U523" t="s">
        <v>368</v>
      </c>
      <c r="V523" t="s">
        <v>364</v>
      </c>
      <c r="W523" s="47" t="s">
        <v>736</v>
      </c>
      <c r="X523" s="47">
        <v>0</v>
      </c>
      <c r="Y523" s="47" t="s">
        <v>736</v>
      </c>
      <c r="Z523" s="47">
        <v>0</v>
      </c>
      <c r="AA523" s="47" t="s">
        <v>736</v>
      </c>
      <c r="AB523" s="47">
        <v>0</v>
      </c>
      <c r="AC523" s="47">
        <v>0</v>
      </c>
      <c r="AD523" s="47">
        <v>0</v>
      </c>
      <c r="AE523" s="47" t="s">
        <v>731</v>
      </c>
      <c r="AF523" s="47">
        <v>0</v>
      </c>
      <c r="AG523" s="47" t="s">
        <v>731</v>
      </c>
      <c r="AH523" s="47">
        <v>0</v>
      </c>
      <c r="AI523" s="47" t="s">
        <v>735</v>
      </c>
      <c r="AJ523">
        <v>1</v>
      </c>
      <c r="AK523">
        <v>100</v>
      </c>
    </row>
    <row r="524" spans="1:37" x14ac:dyDescent="0.2">
      <c r="A524" t="s">
        <v>1346</v>
      </c>
      <c r="B524" t="s">
        <v>361</v>
      </c>
      <c r="C524">
        <v>2016</v>
      </c>
      <c r="D524">
        <v>1</v>
      </c>
      <c r="E524" t="s">
        <v>1347</v>
      </c>
      <c r="F524" t="s">
        <v>362</v>
      </c>
      <c r="G524">
        <v>5.3446720000000001</v>
      </c>
      <c r="H524" s="20">
        <f>IF(AND(A524=A523,F524=F523,F524="Winter wheat"),G524*0.9*'BAU Management details'!$F$46,
IF(AND(OR(A524&lt;&gt;A523,F524&lt;&gt;F523),F524="Winter wheat"),G524*'BAU Management details'!$F$46,
IF(F524="Oilseed Rape",G524*'BAU Management details'!$F$47)))</f>
        <v>45.964179199999997</v>
      </c>
      <c r="I524" t="s">
        <v>348</v>
      </c>
      <c r="J524">
        <v>10</v>
      </c>
      <c r="K524" t="s">
        <v>362</v>
      </c>
      <c r="L524" t="s">
        <v>751</v>
      </c>
      <c r="M524">
        <v>2.9</v>
      </c>
      <c r="N524" t="s">
        <v>349</v>
      </c>
      <c r="O524" t="s">
        <v>350</v>
      </c>
      <c r="P524">
        <v>7.7</v>
      </c>
      <c r="Q524" t="s">
        <v>728</v>
      </c>
      <c r="R524" t="s">
        <v>351</v>
      </c>
      <c r="S524">
        <v>220</v>
      </c>
      <c r="T524" s="47" t="s">
        <v>729</v>
      </c>
      <c r="U524" t="s">
        <v>366</v>
      </c>
      <c r="V524" t="s">
        <v>367</v>
      </c>
      <c r="W524" s="47" t="s">
        <v>736</v>
      </c>
      <c r="X524" s="47">
        <v>0</v>
      </c>
      <c r="Y524" s="47" t="s">
        <v>730</v>
      </c>
      <c r="Z524" s="47">
        <v>0</v>
      </c>
      <c r="AA524" s="47" t="s">
        <v>731</v>
      </c>
      <c r="AB524" s="47">
        <v>0</v>
      </c>
      <c r="AC524" s="47" t="s">
        <v>731</v>
      </c>
      <c r="AD524" s="47" t="s">
        <v>731</v>
      </c>
      <c r="AE524" s="47" t="s">
        <v>731</v>
      </c>
      <c r="AF524" s="47">
        <v>0</v>
      </c>
      <c r="AG524" s="47">
        <v>0</v>
      </c>
      <c r="AH524" s="47">
        <v>0</v>
      </c>
      <c r="AI524" s="47" t="s">
        <v>729</v>
      </c>
      <c r="AJ524">
        <v>1</v>
      </c>
      <c r="AK524">
        <v>100</v>
      </c>
    </row>
    <row r="525" spans="1:37" x14ac:dyDescent="0.2">
      <c r="A525" t="s">
        <v>1346</v>
      </c>
      <c r="B525" t="s">
        <v>361</v>
      </c>
      <c r="C525">
        <v>2017</v>
      </c>
      <c r="D525">
        <v>2</v>
      </c>
      <c r="E525" t="s">
        <v>1348</v>
      </c>
      <c r="F525" t="s">
        <v>362</v>
      </c>
      <c r="G525">
        <v>5.3446720000000001</v>
      </c>
      <c r="H525" s="20">
        <f>IF(AND(A525=A524,F525=F524,F525="Winter wheat"),G525*0.9*'BAU Management details'!$F$46,
IF(AND(OR(A525&lt;&gt;A524,F525&lt;&gt;F524),F525="Winter wheat"),G525*'BAU Management details'!$F$46,
IF(F525="Oilseed Rape",G525*'BAU Management details'!$F$47)))</f>
        <v>41.367761279999996</v>
      </c>
      <c r="I525" t="s">
        <v>348</v>
      </c>
      <c r="J525">
        <v>10</v>
      </c>
      <c r="K525" t="s">
        <v>362</v>
      </c>
      <c r="L525" t="s">
        <v>751</v>
      </c>
      <c r="M525">
        <v>2.9</v>
      </c>
      <c r="N525" t="s">
        <v>349</v>
      </c>
      <c r="O525" t="s">
        <v>350</v>
      </c>
      <c r="P525">
        <v>7.7</v>
      </c>
      <c r="Q525" t="s">
        <v>728</v>
      </c>
      <c r="R525" t="s">
        <v>351</v>
      </c>
      <c r="S525">
        <v>220</v>
      </c>
      <c r="T525" s="47" t="s">
        <v>729</v>
      </c>
      <c r="U525" t="s">
        <v>733</v>
      </c>
      <c r="V525" t="s">
        <v>369</v>
      </c>
      <c r="W525" s="47" t="s">
        <v>736</v>
      </c>
      <c r="X525" s="47">
        <v>0</v>
      </c>
      <c r="Y525" s="47" t="s">
        <v>730</v>
      </c>
      <c r="Z525" s="47">
        <v>0</v>
      </c>
      <c r="AA525" s="47" t="s">
        <v>731</v>
      </c>
      <c r="AB525" s="47">
        <v>0</v>
      </c>
      <c r="AC525" s="47">
        <v>0</v>
      </c>
      <c r="AD525" s="47">
        <v>0</v>
      </c>
      <c r="AE525" s="47" t="s">
        <v>731</v>
      </c>
      <c r="AF525" s="47">
        <v>0</v>
      </c>
      <c r="AG525" s="47">
        <v>0</v>
      </c>
      <c r="AH525" s="47">
        <v>0</v>
      </c>
      <c r="AI525" s="47" t="s">
        <v>729</v>
      </c>
      <c r="AJ525">
        <v>1</v>
      </c>
      <c r="AK525">
        <v>100</v>
      </c>
    </row>
    <row r="526" spans="1:37" x14ac:dyDescent="0.2">
      <c r="A526" t="s">
        <v>1346</v>
      </c>
      <c r="B526" t="s">
        <v>361</v>
      </c>
      <c r="C526">
        <v>2018</v>
      </c>
      <c r="D526">
        <v>3</v>
      </c>
      <c r="E526" t="s">
        <v>1349</v>
      </c>
      <c r="F526" t="s">
        <v>365</v>
      </c>
      <c r="G526">
        <v>5.3446720000000001</v>
      </c>
      <c r="H526" s="20">
        <f>IF(AND(A526=A525,F526=F525,F526="Winter wheat"),G526*0.9*'BAU Management details'!$F$46,
IF(AND(OR(A526&lt;&gt;A525,F526&lt;&gt;F525),F526="Winter wheat"),G526*'BAU Management details'!$F$46,
IF(F526="Oilseed Rape",G526*'BAU Management details'!$F$47)))</f>
        <v>18.706351999999999</v>
      </c>
      <c r="I526" t="s">
        <v>348</v>
      </c>
      <c r="J526">
        <v>10</v>
      </c>
      <c r="K526" t="s">
        <v>532</v>
      </c>
      <c r="L526" t="s">
        <v>751</v>
      </c>
      <c r="M526">
        <v>2.9</v>
      </c>
      <c r="N526" t="s">
        <v>349</v>
      </c>
      <c r="O526" t="s">
        <v>350</v>
      </c>
      <c r="P526">
        <v>7.7</v>
      </c>
      <c r="Q526" t="s">
        <v>728</v>
      </c>
      <c r="R526" t="s">
        <v>351</v>
      </c>
      <c r="S526">
        <v>220</v>
      </c>
      <c r="T526" s="47" t="s">
        <v>735</v>
      </c>
      <c r="U526" t="s">
        <v>368</v>
      </c>
      <c r="V526" t="s">
        <v>364</v>
      </c>
      <c r="W526" s="47" t="s">
        <v>736</v>
      </c>
      <c r="X526" s="47">
        <v>0</v>
      </c>
      <c r="Y526" s="47" t="s">
        <v>736</v>
      </c>
      <c r="Z526" s="47">
        <v>0</v>
      </c>
      <c r="AA526" s="47" t="s">
        <v>736</v>
      </c>
      <c r="AB526" s="47">
        <v>0</v>
      </c>
      <c r="AC526" s="47">
        <v>0</v>
      </c>
      <c r="AD526" s="47">
        <v>0</v>
      </c>
      <c r="AE526" s="47" t="s">
        <v>731</v>
      </c>
      <c r="AF526" s="47">
        <v>0</v>
      </c>
      <c r="AG526" s="47" t="s">
        <v>731</v>
      </c>
      <c r="AH526" s="47">
        <v>0</v>
      </c>
      <c r="AI526" s="47" t="s">
        <v>735</v>
      </c>
      <c r="AJ526">
        <v>1</v>
      </c>
      <c r="AK526">
        <v>100</v>
      </c>
    </row>
    <row r="527" spans="1:37" x14ac:dyDescent="0.2">
      <c r="A527" t="s">
        <v>1346</v>
      </c>
      <c r="B527" t="s">
        <v>361</v>
      </c>
      <c r="C527">
        <v>2019</v>
      </c>
      <c r="D527">
        <v>4</v>
      </c>
      <c r="E527" t="s">
        <v>1350</v>
      </c>
      <c r="F527" t="s">
        <v>362</v>
      </c>
      <c r="G527">
        <v>5.3446720000000001</v>
      </c>
      <c r="H527" s="20">
        <f>IF(AND(A527=A526,F527=F526,F527="Winter wheat"),G527*0.9*'BAU Management details'!$F$46,
IF(AND(OR(A527&lt;&gt;A526,F527&lt;&gt;F526),F527="Winter wheat"),G527*'BAU Management details'!$F$46,
IF(F527="Oilseed Rape",G527*'BAU Management details'!$F$47)))</f>
        <v>45.964179199999997</v>
      </c>
      <c r="I527" t="s">
        <v>348</v>
      </c>
      <c r="J527">
        <v>10</v>
      </c>
      <c r="K527" t="s">
        <v>362</v>
      </c>
      <c r="L527" t="s">
        <v>751</v>
      </c>
      <c r="M527">
        <v>2.9</v>
      </c>
      <c r="N527" t="s">
        <v>349</v>
      </c>
      <c r="O527" t="s">
        <v>350</v>
      </c>
      <c r="P527">
        <v>7.7</v>
      </c>
      <c r="Q527" t="s">
        <v>728</v>
      </c>
      <c r="R527" t="s">
        <v>351</v>
      </c>
      <c r="S527">
        <v>220</v>
      </c>
      <c r="T527" s="47" t="s">
        <v>729</v>
      </c>
      <c r="U527" t="s">
        <v>366</v>
      </c>
      <c r="V527" t="s">
        <v>367</v>
      </c>
      <c r="W527" s="47" t="s">
        <v>736</v>
      </c>
      <c r="X527" s="47">
        <v>0</v>
      </c>
      <c r="Y527" s="47" t="s">
        <v>730</v>
      </c>
      <c r="Z527" s="47">
        <v>0</v>
      </c>
      <c r="AA527" s="47" t="s">
        <v>731</v>
      </c>
      <c r="AB527" s="47">
        <v>0</v>
      </c>
      <c r="AC527" s="47" t="s">
        <v>731</v>
      </c>
      <c r="AD527" s="47" t="s">
        <v>731</v>
      </c>
      <c r="AE527" s="47" t="s">
        <v>731</v>
      </c>
      <c r="AF527" s="47">
        <v>0</v>
      </c>
      <c r="AG527" s="47">
        <v>0</v>
      </c>
      <c r="AH527" s="47">
        <v>0</v>
      </c>
      <c r="AI527" s="47" t="s">
        <v>729</v>
      </c>
      <c r="AJ527">
        <v>1</v>
      </c>
      <c r="AK527">
        <v>100</v>
      </c>
    </row>
    <row r="528" spans="1:37" x14ac:dyDescent="0.2">
      <c r="A528" t="s">
        <v>1346</v>
      </c>
      <c r="B528" t="s">
        <v>361</v>
      </c>
      <c r="C528">
        <v>2020</v>
      </c>
      <c r="D528">
        <v>5</v>
      </c>
      <c r="E528" t="s">
        <v>1351</v>
      </c>
      <c r="F528" t="s">
        <v>362</v>
      </c>
      <c r="G528">
        <v>5.3446720000000001</v>
      </c>
      <c r="H528" s="20">
        <f>IF(AND(A528=A527,F528=F527,F528="Winter wheat"),G528*0.9*'BAU Management details'!$F$46,
IF(AND(OR(A528&lt;&gt;A527,F528&lt;&gt;F527),F528="Winter wheat"),G528*'BAU Management details'!$F$46,
IF(F528="Oilseed Rape",G528*'BAU Management details'!$F$47)))</f>
        <v>41.367761279999996</v>
      </c>
      <c r="I528" t="s">
        <v>348</v>
      </c>
      <c r="J528">
        <v>10</v>
      </c>
      <c r="K528" t="s">
        <v>362</v>
      </c>
      <c r="L528" t="s">
        <v>751</v>
      </c>
      <c r="M528">
        <v>2.9</v>
      </c>
      <c r="N528" t="s">
        <v>349</v>
      </c>
      <c r="O528" t="s">
        <v>350</v>
      </c>
      <c r="P528">
        <v>7.7</v>
      </c>
      <c r="Q528" t="s">
        <v>728</v>
      </c>
      <c r="R528" t="s">
        <v>351</v>
      </c>
      <c r="S528">
        <v>220</v>
      </c>
      <c r="T528" s="47" t="s">
        <v>729</v>
      </c>
      <c r="U528" t="s">
        <v>733</v>
      </c>
      <c r="V528" t="s">
        <v>369</v>
      </c>
      <c r="W528" s="47" t="s">
        <v>736</v>
      </c>
      <c r="X528" s="47">
        <v>0</v>
      </c>
      <c r="Y528" s="47" t="s">
        <v>730</v>
      </c>
      <c r="Z528" s="47">
        <v>0</v>
      </c>
      <c r="AA528" s="47" t="s">
        <v>731</v>
      </c>
      <c r="AB528" s="47">
        <v>0</v>
      </c>
      <c r="AC528" s="47">
        <v>0</v>
      </c>
      <c r="AD528" s="47">
        <v>0</v>
      </c>
      <c r="AE528" s="47" t="s">
        <v>731</v>
      </c>
      <c r="AF528" s="47">
        <v>0</v>
      </c>
      <c r="AG528" s="47">
        <v>0</v>
      </c>
      <c r="AH528" s="47">
        <v>0</v>
      </c>
      <c r="AI528" s="47" t="s">
        <v>729</v>
      </c>
      <c r="AJ528">
        <v>1</v>
      </c>
      <c r="AK528">
        <v>100</v>
      </c>
    </row>
    <row r="529" spans="1:37" x14ac:dyDescent="0.2">
      <c r="A529" t="s">
        <v>1346</v>
      </c>
      <c r="B529" t="s">
        <v>361</v>
      </c>
      <c r="C529">
        <v>2021</v>
      </c>
      <c r="D529">
        <v>6</v>
      </c>
      <c r="E529" t="s">
        <v>1352</v>
      </c>
      <c r="F529" t="s">
        <v>365</v>
      </c>
      <c r="G529">
        <v>5.3446720000000001</v>
      </c>
      <c r="H529" s="20">
        <f>IF(AND(A529=A528,F529=F528,F529="Winter wheat"),G529*0.9*'BAU Management details'!$F$46,
IF(AND(OR(A529&lt;&gt;A528,F529&lt;&gt;F528),F529="Winter wheat"),G529*'BAU Management details'!$F$46,
IF(F529="Oilseed Rape",G529*'BAU Management details'!$F$47)))</f>
        <v>18.706351999999999</v>
      </c>
      <c r="I529" t="s">
        <v>348</v>
      </c>
      <c r="J529">
        <v>10</v>
      </c>
      <c r="K529" t="s">
        <v>532</v>
      </c>
      <c r="L529" t="s">
        <v>751</v>
      </c>
      <c r="M529">
        <v>2.9</v>
      </c>
      <c r="N529" t="s">
        <v>349</v>
      </c>
      <c r="O529" t="s">
        <v>350</v>
      </c>
      <c r="P529">
        <v>7.7</v>
      </c>
      <c r="Q529" t="s">
        <v>728</v>
      </c>
      <c r="R529" t="s">
        <v>351</v>
      </c>
      <c r="S529">
        <v>220</v>
      </c>
      <c r="T529" s="47" t="s">
        <v>735</v>
      </c>
      <c r="U529" t="s">
        <v>368</v>
      </c>
      <c r="V529" t="s">
        <v>364</v>
      </c>
      <c r="W529" s="47" t="s">
        <v>736</v>
      </c>
      <c r="X529" s="47">
        <v>0</v>
      </c>
      <c r="Y529" s="47" t="s">
        <v>736</v>
      </c>
      <c r="Z529" s="47">
        <v>0</v>
      </c>
      <c r="AA529" s="47" t="s">
        <v>736</v>
      </c>
      <c r="AB529" s="47">
        <v>0</v>
      </c>
      <c r="AC529" s="47">
        <v>0</v>
      </c>
      <c r="AD529" s="47">
        <v>0</v>
      </c>
      <c r="AE529" s="47" t="s">
        <v>731</v>
      </c>
      <c r="AF529" s="47">
        <v>0</v>
      </c>
      <c r="AG529" s="47" t="s">
        <v>731</v>
      </c>
      <c r="AH529" s="47">
        <v>0</v>
      </c>
      <c r="AI529" s="47" t="s">
        <v>735</v>
      </c>
      <c r="AJ529">
        <v>1</v>
      </c>
      <c r="AK529">
        <v>100</v>
      </c>
    </row>
    <row r="530" spans="1:37" x14ac:dyDescent="0.2">
      <c r="A530" t="s">
        <v>1353</v>
      </c>
      <c r="B530" t="s">
        <v>361</v>
      </c>
      <c r="C530">
        <v>2016</v>
      </c>
      <c r="D530">
        <v>1</v>
      </c>
      <c r="E530" t="s">
        <v>1354</v>
      </c>
      <c r="F530" t="s">
        <v>362</v>
      </c>
      <c r="G530">
        <v>9.0119089999999993</v>
      </c>
      <c r="H530" s="20">
        <f>IF(AND(A530=A529,F530=F529,F530="Winter wheat"),G530*0.9*'BAU Management details'!$F$46,
IF(AND(OR(A530&lt;&gt;A529,F530&lt;&gt;F529),F530="Winter wheat"),G530*'BAU Management details'!$F$46,
IF(F530="Oilseed Rape",G530*'BAU Management details'!$F$47)))</f>
        <v>77.502417399999985</v>
      </c>
      <c r="I530" t="s">
        <v>348</v>
      </c>
      <c r="J530">
        <v>10</v>
      </c>
      <c r="K530" t="s">
        <v>362</v>
      </c>
      <c r="L530" t="s">
        <v>727</v>
      </c>
      <c r="M530">
        <v>2.7</v>
      </c>
      <c r="N530" t="s">
        <v>349</v>
      </c>
      <c r="O530" t="s">
        <v>742</v>
      </c>
      <c r="P530">
        <v>6.8</v>
      </c>
      <c r="Q530" t="s">
        <v>743</v>
      </c>
      <c r="R530" t="s">
        <v>351</v>
      </c>
      <c r="S530">
        <v>220</v>
      </c>
      <c r="T530" s="47" t="s">
        <v>729</v>
      </c>
      <c r="U530" t="s">
        <v>366</v>
      </c>
      <c r="V530" t="s">
        <v>364</v>
      </c>
      <c r="W530" s="47" t="s">
        <v>736</v>
      </c>
      <c r="X530" s="47">
        <v>0</v>
      </c>
      <c r="Y530" s="47" t="s">
        <v>730</v>
      </c>
      <c r="Z530" s="47">
        <v>0</v>
      </c>
      <c r="AA530" s="47" t="s">
        <v>731</v>
      </c>
      <c r="AB530" s="47">
        <v>0</v>
      </c>
      <c r="AC530" s="47" t="s">
        <v>731</v>
      </c>
      <c r="AD530" s="47" t="s">
        <v>731</v>
      </c>
      <c r="AE530" s="47" t="s">
        <v>731</v>
      </c>
      <c r="AF530" s="47">
        <v>0</v>
      </c>
      <c r="AG530" s="47">
        <v>0</v>
      </c>
      <c r="AH530" s="47">
        <v>0</v>
      </c>
      <c r="AI530" s="47" t="s">
        <v>729</v>
      </c>
      <c r="AJ530">
        <v>1</v>
      </c>
      <c r="AK530">
        <v>100</v>
      </c>
    </row>
    <row r="531" spans="1:37" x14ac:dyDescent="0.2">
      <c r="A531" t="s">
        <v>1353</v>
      </c>
      <c r="B531" t="s">
        <v>361</v>
      </c>
      <c r="C531">
        <v>2017</v>
      </c>
      <c r="D531">
        <v>2</v>
      </c>
      <c r="E531" t="s">
        <v>1355</v>
      </c>
      <c r="F531" t="s">
        <v>362</v>
      </c>
      <c r="G531">
        <v>9.0119089999999993</v>
      </c>
      <c r="H531" s="20">
        <f>IF(AND(A531=A530,F531=F530,F531="Winter wheat"),G531*0.9*'BAU Management details'!$F$46,
IF(AND(OR(A531&lt;&gt;A530,F531&lt;&gt;F530),F531="Winter wheat"),G531*'BAU Management details'!$F$46,
IF(F531="Oilseed Rape",G531*'BAU Management details'!$F$47)))</f>
        <v>69.752175659999992</v>
      </c>
      <c r="I531" t="s">
        <v>348</v>
      </c>
      <c r="J531">
        <v>10</v>
      </c>
      <c r="K531" t="s">
        <v>362</v>
      </c>
      <c r="L531" t="s">
        <v>727</v>
      </c>
      <c r="M531">
        <v>2.7</v>
      </c>
      <c r="N531" t="s">
        <v>349</v>
      </c>
      <c r="O531" t="s">
        <v>742</v>
      </c>
      <c r="P531">
        <v>6.8</v>
      </c>
      <c r="Q531" t="s">
        <v>743</v>
      </c>
      <c r="R531" t="s">
        <v>351</v>
      </c>
      <c r="S531">
        <v>220</v>
      </c>
      <c r="T531" s="47" t="s">
        <v>729</v>
      </c>
      <c r="U531" t="s">
        <v>733</v>
      </c>
      <c r="V531" t="s">
        <v>364</v>
      </c>
      <c r="W531" s="47" t="s">
        <v>736</v>
      </c>
      <c r="X531" s="47">
        <v>0</v>
      </c>
      <c r="Y531" s="47" t="s">
        <v>730</v>
      </c>
      <c r="Z531" s="47">
        <v>0</v>
      </c>
      <c r="AA531" s="47" t="s">
        <v>731</v>
      </c>
      <c r="AB531" s="47">
        <v>0</v>
      </c>
      <c r="AC531" s="47">
        <v>0</v>
      </c>
      <c r="AD531" s="47">
        <v>0</v>
      </c>
      <c r="AE531" s="47" t="s">
        <v>731</v>
      </c>
      <c r="AF531" s="47">
        <v>0</v>
      </c>
      <c r="AG531" s="47">
        <v>0</v>
      </c>
      <c r="AH531" s="47">
        <v>0</v>
      </c>
      <c r="AI531" s="47" t="s">
        <v>729</v>
      </c>
      <c r="AJ531">
        <v>1</v>
      </c>
      <c r="AK531">
        <v>100</v>
      </c>
    </row>
    <row r="532" spans="1:37" x14ac:dyDescent="0.2">
      <c r="A532" t="s">
        <v>1353</v>
      </c>
      <c r="B532" t="s">
        <v>361</v>
      </c>
      <c r="C532">
        <v>2018</v>
      </c>
      <c r="D532">
        <v>3</v>
      </c>
      <c r="E532" t="s">
        <v>1356</v>
      </c>
      <c r="F532" t="s">
        <v>365</v>
      </c>
      <c r="G532">
        <v>9.0119089999999993</v>
      </c>
      <c r="H532" s="20">
        <f>IF(AND(A532=A531,F532=F531,F532="Winter wheat"),G532*0.9*'BAU Management details'!$F$46,
IF(AND(OR(A532&lt;&gt;A531,F532&lt;&gt;F531),F532="Winter wheat"),G532*'BAU Management details'!$F$46,
IF(F532="Oilseed Rape",G532*'BAU Management details'!$F$47)))</f>
        <v>31.541681499999996</v>
      </c>
      <c r="I532" t="s">
        <v>348</v>
      </c>
      <c r="J532">
        <v>10</v>
      </c>
      <c r="K532" t="s">
        <v>532</v>
      </c>
      <c r="L532" t="s">
        <v>727</v>
      </c>
      <c r="M532">
        <v>2.7</v>
      </c>
      <c r="N532" t="s">
        <v>349</v>
      </c>
      <c r="O532" t="s">
        <v>742</v>
      </c>
      <c r="P532">
        <v>6.8</v>
      </c>
      <c r="Q532" t="s">
        <v>743</v>
      </c>
      <c r="R532" t="s">
        <v>351</v>
      </c>
      <c r="S532">
        <v>220</v>
      </c>
      <c r="T532" s="47" t="s">
        <v>735</v>
      </c>
      <c r="U532" t="s">
        <v>368</v>
      </c>
      <c r="V532" t="s">
        <v>364</v>
      </c>
      <c r="W532" s="47" t="s">
        <v>736</v>
      </c>
      <c r="X532" s="47">
        <v>0</v>
      </c>
      <c r="Y532" s="47" t="s">
        <v>736</v>
      </c>
      <c r="Z532" s="47">
        <v>0</v>
      </c>
      <c r="AA532" s="47" t="s">
        <v>736</v>
      </c>
      <c r="AB532" s="47">
        <v>0</v>
      </c>
      <c r="AC532" s="47">
        <v>0</v>
      </c>
      <c r="AD532" s="47">
        <v>0</v>
      </c>
      <c r="AE532" s="47" t="s">
        <v>731</v>
      </c>
      <c r="AF532" s="47">
        <v>0</v>
      </c>
      <c r="AG532" s="47" t="s">
        <v>731</v>
      </c>
      <c r="AH532" s="47">
        <v>0</v>
      </c>
      <c r="AI532" s="47" t="s">
        <v>735</v>
      </c>
      <c r="AJ532">
        <v>1</v>
      </c>
      <c r="AK532">
        <v>100</v>
      </c>
    </row>
    <row r="533" spans="1:37" x14ac:dyDescent="0.2">
      <c r="A533" t="s">
        <v>1353</v>
      </c>
      <c r="B533" t="s">
        <v>361</v>
      </c>
      <c r="C533">
        <v>2019</v>
      </c>
      <c r="D533">
        <v>4</v>
      </c>
      <c r="E533" t="s">
        <v>1357</v>
      </c>
      <c r="F533" t="s">
        <v>362</v>
      </c>
      <c r="G533">
        <v>9.0119089999999993</v>
      </c>
      <c r="H533" s="20">
        <f>IF(AND(A533=A532,F533=F532,F533="Winter wheat"),G533*0.9*'BAU Management details'!$F$46,
IF(AND(OR(A533&lt;&gt;A532,F533&lt;&gt;F532),F533="Winter wheat"),G533*'BAU Management details'!$F$46,
IF(F533="Oilseed Rape",G533*'BAU Management details'!$F$47)))</f>
        <v>77.502417399999985</v>
      </c>
      <c r="I533" t="s">
        <v>348</v>
      </c>
      <c r="J533">
        <v>10</v>
      </c>
      <c r="K533" t="s">
        <v>362</v>
      </c>
      <c r="L533" t="s">
        <v>727</v>
      </c>
      <c r="M533">
        <v>2.7</v>
      </c>
      <c r="N533" t="s">
        <v>349</v>
      </c>
      <c r="O533" t="s">
        <v>742</v>
      </c>
      <c r="P533">
        <v>6.8</v>
      </c>
      <c r="Q533" t="s">
        <v>743</v>
      </c>
      <c r="R533" t="s">
        <v>351</v>
      </c>
      <c r="S533">
        <v>220</v>
      </c>
      <c r="T533" s="47" t="s">
        <v>729</v>
      </c>
      <c r="U533" t="s">
        <v>366</v>
      </c>
      <c r="V533" t="s">
        <v>364</v>
      </c>
      <c r="W533" s="47" t="s">
        <v>736</v>
      </c>
      <c r="X533" s="47">
        <v>0</v>
      </c>
      <c r="Y533" s="47" t="s">
        <v>730</v>
      </c>
      <c r="Z533" s="47">
        <v>0</v>
      </c>
      <c r="AA533" s="47" t="s">
        <v>731</v>
      </c>
      <c r="AB533" s="47">
        <v>0</v>
      </c>
      <c r="AC533" s="47" t="s">
        <v>731</v>
      </c>
      <c r="AD533" s="47" t="s">
        <v>731</v>
      </c>
      <c r="AE533" s="47" t="s">
        <v>731</v>
      </c>
      <c r="AF533" s="47">
        <v>0</v>
      </c>
      <c r="AG533" s="47">
        <v>0</v>
      </c>
      <c r="AH533" s="47">
        <v>0</v>
      </c>
      <c r="AI533" s="47" t="s">
        <v>729</v>
      </c>
      <c r="AJ533">
        <v>1</v>
      </c>
      <c r="AK533">
        <v>100</v>
      </c>
    </row>
    <row r="534" spans="1:37" x14ac:dyDescent="0.2">
      <c r="A534" t="s">
        <v>1353</v>
      </c>
      <c r="B534" t="s">
        <v>361</v>
      </c>
      <c r="C534">
        <v>2020</v>
      </c>
      <c r="D534">
        <v>5</v>
      </c>
      <c r="E534" t="s">
        <v>1358</v>
      </c>
      <c r="F534" t="s">
        <v>362</v>
      </c>
      <c r="G534">
        <v>9.0119089999999993</v>
      </c>
      <c r="H534" s="20">
        <f>IF(AND(A534=A533,F534=F533,F534="Winter wheat"),G534*0.9*'BAU Management details'!$F$46,
IF(AND(OR(A534&lt;&gt;A533,F534&lt;&gt;F533),F534="Winter wheat"),G534*'BAU Management details'!$F$46,
IF(F534="Oilseed Rape",G534*'BAU Management details'!$F$47)))</f>
        <v>69.752175659999992</v>
      </c>
      <c r="I534" t="s">
        <v>348</v>
      </c>
      <c r="J534">
        <v>10</v>
      </c>
      <c r="K534" t="s">
        <v>362</v>
      </c>
      <c r="L534" t="s">
        <v>727</v>
      </c>
      <c r="M534">
        <v>2.7</v>
      </c>
      <c r="N534" t="s">
        <v>349</v>
      </c>
      <c r="O534" t="s">
        <v>742</v>
      </c>
      <c r="P534">
        <v>6.8</v>
      </c>
      <c r="Q534" t="s">
        <v>743</v>
      </c>
      <c r="R534" t="s">
        <v>351</v>
      </c>
      <c r="S534">
        <v>220</v>
      </c>
      <c r="T534" s="47" t="s">
        <v>729</v>
      </c>
      <c r="U534" t="s">
        <v>733</v>
      </c>
      <c r="V534" t="s">
        <v>364</v>
      </c>
      <c r="W534" s="47" t="s">
        <v>736</v>
      </c>
      <c r="X534" s="47">
        <v>0</v>
      </c>
      <c r="Y534" s="47" t="s">
        <v>730</v>
      </c>
      <c r="Z534" s="47">
        <v>0</v>
      </c>
      <c r="AA534" s="47" t="s">
        <v>731</v>
      </c>
      <c r="AB534" s="47">
        <v>0</v>
      </c>
      <c r="AC534" s="47">
        <v>0</v>
      </c>
      <c r="AD534" s="47">
        <v>0</v>
      </c>
      <c r="AE534" s="47" t="s">
        <v>731</v>
      </c>
      <c r="AF534" s="47">
        <v>0</v>
      </c>
      <c r="AG534" s="47">
        <v>0</v>
      </c>
      <c r="AH534" s="47">
        <v>0</v>
      </c>
      <c r="AI534" s="47" t="s">
        <v>729</v>
      </c>
      <c r="AJ534">
        <v>1</v>
      </c>
      <c r="AK534">
        <v>100</v>
      </c>
    </row>
    <row r="535" spans="1:37" x14ac:dyDescent="0.2">
      <c r="A535" t="s">
        <v>1353</v>
      </c>
      <c r="B535" t="s">
        <v>361</v>
      </c>
      <c r="C535">
        <v>2021</v>
      </c>
      <c r="D535">
        <v>6</v>
      </c>
      <c r="E535" t="s">
        <v>1359</v>
      </c>
      <c r="F535" t="s">
        <v>365</v>
      </c>
      <c r="G535">
        <v>9.0119089999999993</v>
      </c>
      <c r="H535" s="20">
        <f>IF(AND(A535=A534,F535=F534,F535="Winter wheat"),G535*0.9*'BAU Management details'!$F$46,
IF(AND(OR(A535&lt;&gt;A534,F535&lt;&gt;F534),F535="Winter wheat"),G535*'BAU Management details'!$F$46,
IF(F535="Oilseed Rape",G535*'BAU Management details'!$F$47)))</f>
        <v>31.541681499999996</v>
      </c>
      <c r="I535" t="s">
        <v>348</v>
      </c>
      <c r="J535">
        <v>10</v>
      </c>
      <c r="K535" t="s">
        <v>532</v>
      </c>
      <c r="L535" t="s">
        <v>727</v>
      </c>
      <c r="M535">
        <v>2.7</v>
      </c>
      <c r="N535" t="s">
        <v>349</v>
      </c>
      <c r="O535" t="s">
        <v>742</v>
      </c>
      <c r="P535">
        <v>6.8</v>
      </c>
      <c r="Q535" t="s">
        <v>743</v>
      </c>
      <c r="R535" t="s">
        <v>351</v>
      </c>
      <c r="S535">
        <v>220</v>
      </c>
      <c r="T535" s="47" t="s">
        <v>735</v>
      </c>
      <c r="U535" t="s">
        <v>368</v>
      </c>
      <c r="V535" t="s">
        <v>364</v>
      </c>
      <c r="W535" s="47" t="s">
        <v>736</v>
      </c>
      <c r="X535" s="47">
        <v>0</v>
      </c>
      <c r="Y535" s="47" t="s">
        <v>736</v>
      </c>
      <c r="Z535" s="47">
        <v>0</v>
      </c>
      <c r="AA535" s="47" t="s">
        <v>736</v>
      </c>
      <c r="AB535" s="47">
        <v>0</v>
      </c>
      <c r="AC535" s="47">
        <v>0</v>
      </c>
      <c r="AD535" s="47">
        <v>0</v>
      </c>
      <c r="AE535" s="47" t="s">
        <v>731</v>
      </c>
      <c r="AF535" s="47">
        <v>0</v>
      </c>
      <c r="AG535" s="47" t="s">
        <v>731</v>
      </c>
      <c r="AH535" s="47">
        <v>0</v>
      </c>
      <c r="AI535" s="47" t="s">
        <v>735</v>
      </c>
      <c r="AJ535">
        <v>1</v>
      </c>
      <c r="AK535">
        <v>100</v>
      </c>
    </row>
    <row r="536" spans="1:37" x14ac:dyDescent="0.2">
      <c r="A536" t="s">
        <v>1360</v>
      </c>
      <c r="B536" t="s">
        <v>361</v>
      </c>
      <c r="C536">
        <v>2016</v>
      </c>
      <c r="D536">
        <v>1</v>
      </c>
      <c r="E536" t="s">
        <v>1361</v>
      </c>
      <c r="F536" t="s">
        <v>362</v>
      </c>
      <c r="G536">
        <v>6.521134</v>
      </c>
      <c r="H536" s="20">
        <f>IF(AND(A536=A535,F536=F535,F536="Winter wheat"),G536*0.9*'BAU Management details'!$F$46,
IF(AND(OR(A536&lt;&gt;A535,F536&lt;&gt;F535),F536="Winter wheat"),G536*'BAU Management details'!$F$46,
IF(F536="Oilseed Rape",G536*'BAU Management details'!$F$47)))</f>
        <v>56.081752399999999</v>
      </c>
      <c r="I536" t="s">
        <v>348</v>
      </c>
      <c r="J536">
        <v>10</v>
      </c>
      <c r="K536" t="s">
        <v>362</v>
      </c>
      <c r="L536" t="s">
        <v>727</v>
      </c>
      <c r="M536">
        <v>3.1</v>
      </c>
      <c r="N536" t="s">
        <v>349</v>
      </c>
      <c r="O536" t="s">
        <v>350</v>
      </c>
      <c r="P536">
        <v>7.5</v>
      </c>
      <c r="Q536" t="s">
        <v>728</v>
      </c>
      <c r="R536" t="s">
        <v>351</v>
      </c>
      <c r="S536">
        <v>220</v>
      </c>
      <c r="T536" s="47" t="s">
        <v>729</v>
      </c>
      <c r="U536" t="s">
        <v>366</v>
      </c>
      <c r="V536" t="s">
        <v>364</v>
      </c>
      <c r="W536" s="47" t="s">
        <v>736</v>
      </c>
      <c r="X536" s="47">
        <v>0</v>
      </c>
      <c r="Y536" s="47" t="s">
        <v>730</v>
      </c>
      <c r="Z536" s="47">
        <v>0</v>
      </c>
      <c r="AA536" s="47" t="s">
        <v>731</v>
      </c>
      <c r="AB536" s="47">
        <v>0</v>
      </c>
      <c r="AC536" s="47" t="s">
        <v>731</v>
      </c>
      <c r="AD536" s="47" t="s">
        <v>731</v>
      </c>
      <c r="AE536" s="47" t="s">
        <v>731</v>
      </c>
      <c r="AF536" s="47">
        <v>0</v>
      </c>
      <c r="AG536" s="47">
        <v>0</v>
      </c>
      <c r="AH536" s="47">
        <v>0</v>
      </c>
      <c r="AI536" s="47" t="s">
        <v>729</v>
      </c>
      <c r="AJ536">
        <v>1</v>
      </c>
      <c r="AK536">
        <v>100</v>
      </c>
    </row>
    <row r="537" spans="1:37" x14ac:dyDescent="0.2">
      <c r="A537" t="s">
        <v>1360</v>
      </c>
      <c r="B537" t="s">
        <v>361</v>
      </c>
      <c r="C537">
        <v>2017</v>
      </c>
      <c r="D537">
        <v>2</v>
      </c>
      <c r="E537" t="s">
        <v>1362</v>
      </c>
      <c r="F537" t="s">
        <v>362</v>
      </c>
      <c r="G537">
        <v>6.521134</v>
      </c>
      <c r="H537" s="20">
        <f>IF(AND(A537=A536,F537=F536,F537="Winter wheat"),G537*0.9*'BAU Management details'!$F$46,
IF(AND(OR(A537&lt;&gt;A536,F537&lt;&gt;F536),F537="Winter wheat"),G537*'BAU Management details'!$F$46,
IF(F537="Oilseed Rape",G537*'BAU Management details'!$F$47)))</f>
        <v>50.473577159999998</v>
      </c>
      <c r="I537" t="s">
        <v>348</v>
      </c>
      <c r="J537">
        <v>10</v>
      </c>
      <c r="K537" t="s">
        <v>362</v>
      </c>
      <c r="L537" t="s">
        <v>727</v>
      </c>
      <c r="M537">
        <v>3.1</v>
      </c>
      <c r="N537" t="s">
        <v>349</v>
      </c>
      <c r="O537" t="s">
        <v>350</v>
      </c>
      <c r="P537">
        <v>7.5</v>
      </c>
      <c r="Q537" t="s">
        <v>728</v>
      </c>
      <c r="R537" t="s">
        <v>351</v>
      </c>
      <c r="S537">
        <v>220</v>
      </c>
      <c r="T537" s="47" t="s">
        <v>729</v>
      </c>
      <c r="U537" t="s">
        <v>733</v>
      </c>
      <c r="V537" t="s">
        <v>364</v>
      </c>
      <c r="W537" s="47" t="s">
        <v>736</v>
      </c>
      <c r="X537" s="47">
        <v>0</v>
      </c>
      <c r="Y537" s="47" t="s">
        <v>730</v>
      </c>
      <c r="Z537" s="47">
        <v>0</v>
      </c>
      <c r="AA537" s="47" t="s">
        <v>731</v>
      </c>
      <c r="AB537" s="47">
        <v>0</v>
      </c>
      <c r="AC537" s="47">
        <v>0</v>
      </c>
      <c r="AD537" s="47">
        <v>0</v>
      </c>
      <c r="AE537" s="47" t="s">
        <v>731</v>
      </c>
      <c r="AF537" s="47">
        <v>0</v>
      </c>
      <c r="AG537" s="47">
        <v>0</v>
      </c>
      <c r="AH537" s="47">
        <v>0</v>
      </c>
      <c r="AI537" s="47" t="s">
        <v>729</v>
      </c>
      <c r="AJ537">
        <v>1</v>
      </c>
      <c r="AK537">
        <v>100</v>
      </c>
    </row>
    <row r="538" spans="1:37" x14ac:dyDescent="0.2">
      <c r="A538" t="s">
        <v>1360</v>
      </c>
      <c r="B538" t="s">
        <v>361</v>
      </c>
      <c r="C538">
        <v>2018</v>
      </c>
      <c r="D538">
        <v>3</v>
      </c>
      <c r="E538" t="s">
        <v>1363</v>
      </c>
      <c r="F538" t="s">
        <v>365</v>
      </c>
      <c r="G538">
        <v>6.521134</v>
      </c>
      <c r="H538" s="20">
        <f>IF(AND(A538=A537,F538=F537,F538="Winter wheat"),G538*0.9*'BAU Management details'!$F$46,
IF(AND(OR(A538&lt;&gt;A537,F538&lt;&gt;F537),F538="Winter wheat"),G538*'BAU Management details'!$F$46,
IF(F538="Oilseed Rape",G538*'BAU Management details'!$F$47)))</f>
        <v>22.823968999999998</v>
      </c>
      <c r="I538" t="s">
        <v>348</v>
      </c>
      <c r="J538">
        <v>10</v>
      </c>
      <c r="K538" t="s">
        <v>532</v>
      </c>
      <c r="L538" t="s">
        <v>727</v>
      </c>
      <c r="M538">
        <v>3.1</v>
      </c>
      <c r="N538" t="s">
        <v>349</v>
      </c>
      <c r="O538" t="s">
        <v>350</v>
      </c>
      <c r="P538">
        <v>7.5</v>
      </c>
      <c r="Q538" t="s">
        <v>728</v>
      </c>
      <c r="R538" t="s">
        <v>351</v>
      </c>
      <c r="S538">
        <v>220</v>
      </c>
      <c r="T538" s="47" t="s">
        <v>735</v>
      </c>
      <c r="U538" t="s">
        <v>368</v>
      </c>
      <c r="V538" t="s">
        <v>364</v>
      </c>
      <c r="W538" s="47" t="s">
        <v>736</v>
      </c>
      <c r="X538" s="47">
        <v>0</v>
      </c>
      <c r="Y538" s="47" t="s">
        <v>736</v>
      </c>
      <c r="Z538" s="47">
        <v>0</v>
      </c>
      <c r="AA538" s="47" t="s">
        <v>736</v>
      </c>
      <c r="AB538" s="47">
        <v>0</v>
      </c>
      <c r="AC538" s="47">
        <v>0</v>
      </c>
      <c r="AD538" s="47">
        <v>0</v>
      </c>
      <c r="AE538" s="47" t="s">
        <v>731</v>
      </c>
      <c r="AF538" s="47">
        <v>0</v>
      </c>
      <c r="AG538" s="47" t="s">
        <v>731</v>
      </c>
      <c r="AH538" s="47">
        <v>0</v>
      </c>
      <c r="AI538" s="47" t="s">
        <v>735</v>
      </c>
      <c r="AJ538">
        <v>1</v>
      </c>
      <c r="AK538">
        <v>100</v>
      </c>
    </row>
    <row r="539" spans="1:37" x14ac:dyDescent="0.2">
      <c r="A539" t="s">
        <v>1360</v>
      </c>
      <c r="B539" t="s">
        <v>361</v>
      </c>
      <c r="C539">
        <v>2019</v>
      </c>
      <c r="D539">
        <v>4</v>
      </c>
      <c r="E539" t="s">
        <v>1364</v>
      </c>
      <c r="F539" t="s">
        <v>362</v>
      </c>
      <c r="G539">
        <v>6.521134</v>
      </c>
      <c r="H539" s="20">
        <f>IF(AND(A539=A538,F539=F538,F539="Winter wheat"),G539*0.9*'BAU Management details'!$F$46,
IF(AND(OR(A539&lt;&gt;A538,F539&lt;&gt;F538),F539="Winter wheat"),G539*'BAU Management details'!$F$46,
IF(F539="Oilseed Rape",G539*'BAU Management details'!$F$47)))</f>
        <v>56.081752399999999</v>
      </c>
      <c r="I539" t="s">
        <v>348</v>
      </c>
      <c r="J539">
        <v>10</v>
      </c>
      <c r="K539" t="s">
        <v>362</v>
      </c>
      <c r="L539" t="s">
        <v>727</v>
      </c>
      <c r="M539">
        <v>3.1</v>
      </c>
      <c r="N539" t="s">
        <v>349</v>
      </c>
      <c r="O539" t="s">
        <v>350</v>
      </c>
      <c r="P539">
        <v>7.5</v>
      </c>
      <c r="Q539" t="s">
        <v>728</v>
      </c>
      <c r="R539" t="s">
        <v>351</v>
      </c>
      <c r="S539">
        <v>220</v>
      </c>
      <c r="T539" s="47" t="s">
        <v>729</v>
      </c>
      <c r="U539" t="s">
        <v>366</v>
      </c>
      <c r="V539" t="s">
        <v>364</v>
      </c>
      <c r="W539" s="47" t="s">
        <v>736</v>
      </c>
      <c r="X539" s="47">
        <v>0</v>
      </c>
      <c r="Y539" s="47" t="s">
        <v>730</v>
      </c>
      <c r="Z539" s="47">
        <v>0</v>
      </c>
      <c r="AA539" s="47" t="s">
        <v>731</v>
      </c>
      <c r="AB539" s="47">
        <v>0</v>
      </c>
      <c r="AC539" s="47" t="s">
        <v>731</v>
      </c>
      <c r="AD539" s="47" t="s">
        <v>731</v>
      </c>
      <c r="AE539" s="47" t="s">
        <v>731</v>
      </c>
      <c r="AF539" s="47">
        <v>0</v>
      </c>
      <c r="AG539" s="47">
        <v>0</v>
      </c>
      <c r="AH539" s="47">
        <v>0</v>
      </c>
      <c r="AI539" s="47" t="s">
        <v>729</v>
      </c>
      <c r="AJ539">
        <v>1</v>
      </c>
      <c r="AK539">
        <v>100</v>
      </c>
    </row>
    <row r="540" spans="1:37" x14ac:dyDescent="0.2">
      <c r="A540" t="s">
        <v>1360</v>
      </c>
      <c r="B540" t="s">
        <v>361</v>
      </c>
      <c r="C540">
        <v>2020</v>
      </c>
      <c r="D540">
        <v>5</v>
      </c>
      <c r="E540" t="s">
        <v>1365</v>
      </c>
      <c r="F540" t="s">
        <v>362</v>
      </c>
      <c r="G540">
        <v>6.521134</v>
      </c>
      <c r="H540" s="20">
        <f>IF(AND(A540=A539,F540=F539,F540="Winter wheat"),G540*0.9*'BAU Management details'!$F$46,
IF(AND(OR(A540&lt;&gt;A539,F540&lt;&gt;F539),F540="Winter wheat"),G540*'BAU Management details'!$F$46,
IF(F540="Oilseed Rape",G540*'BAU Management details'!$F$47)))</f>
        <v>50.473577159999998</v>
      </c>
      <c r="I540" t="s">
        <v>348</v>
      </c>
      <c r="J540">
        <v>10</v>
      </c>
      <c r="K540" t="s">
        <v>362</v>
      </c>
      <c r="L540" t="s">
        <v>727</v>
      </c>
      <c r="M540">
        <v>3.1</v>
      </c>
      <c r="N540" t="s">
        <v>349</v>
      </c>
      <c r="O540" t="s">
        <v>350</v>
      </c>
      <c r="P540">
        <v>7.5</v>
      </c>
      <c r="Q540" t="s">
        <v>728</v>
      </c>
      <c r="R540" t="s">
        <v>351</v>
      </c>
      <c r="S540">
        <v>220</v>
      </c>
      <c r="T540" s="47" t="s">
        <v>729</v>
      </c>
      <c r="U540" t="s">
        <v>733</v>
      </c>
      <c r="V540" t="s">
        <v>364</v>
      </c>
      <c r="W540" s="47" t="s">
        <v>736</v>
      </c>
      <c r="X540" s="47">
        <v>0</v>
      </c>
      <c r="Y540" s="47" t="s">
        <v>730</v>
      </c>
      <c r="Z540" s="47">
        <v>0</v>
      </c>
      <c r="AA540" s="47" t="s">
        <v>731</v>
      </c>
      <c r="AB540" s="47">
        <v>0</v>
      </c>
      <c r="AC540" s="47">
        <v>0</v>
      </c>
      <c r="AD540" s="47">
        <v>0</v>
      </c>
      <c r="AE540" s="47" t="s">
        <v>731</v>
      </c>
      <c r="AF540" s="47">
        <v>0</v>
      </c>
      <c r="AG540" s="47">
        <v>0</v>
      </c>
      <c r="AH540" s="47">
        <v>0</v>
      </c>
      <c r="AI540" s="47" t="s">
        <v>729</v>
      </c>
      <c r="AJ540">
        <v>1</v>
      </c>
      <c r="AK540">
        <v>100</v>
      </c>
    </row>
    <row r="541" spans="1:37" x14ac:dyDescent="0.2">
      <c r="A541" t="s">
        <v>1360</v>
      </c>
      <c r="B541" t="s">
        <v>361</v>
      </c>
      <c r="C541">
        <v>2021</v>
      </c>
      <c r="D541">
        <v>6</v>
      </c>
      <c r="E541" t="s">
        <v>1366</v>
      </c>
      <c r="F541" t="s">
        <v>365</v>
      </c>
      <c r="G541">
        <v>6.521134</v>
      </c>
      <c r="H541" s="20">
        <f>IF(AND(A541=A540,F541=F540,F541="Winter wheat"),G541*0.9*'BAU Management details'!$F$46,
IF(AND(OR(A541&lt;&gt;A540,F541&lt;&gt;F540),F541="Winter wheat"),G541*'BAU Management details'!$F$46,
IF(F541="Oilseed Rape",G541*'BAU Management details'!$F$47)))</f>
        <v>22.823968999999998</v>
      </c>
      <c r="I541" t="s">
        <v>348</v>
      </c>
      <c r="J541">
        <v>10</v>
      </c>
      <c r="K541" t="s">
        <v>532</v>
      </c>
      <c r="L541" t="s">
        <v>727</v>
      </c>
      <c r="M541">
        <v>3.1</v>
      </c>
      <c r="N541" t="s">
        <v>349</v>
      </c>
      <c r="O541" t="s">
        <v>350</v>
      </c>
      <c r="P541">
        <v>7.5</v>
      </c>
      <c r="Q541" t="s">
        <v>728</v>
      </c>
      <c r="R541" t="s">
        <v>351</v>
      </c>
      <c r="S541">
        <v>220</v>
      </c>
      <c r="T541" s="47" t="s">
        <v>735</v>
      </c>
      <c r="U541" t="s">
        <v>368</v>
      </c>
      <c r="V541" t="s">
        <v>364</v>
      </c>
      <c r="W541" s="47" t="s">
        <v>736</v>
      </c>
      <c r="X541" s="47">
        <v>0</v>
      </c>
      <c r="Y541" s="47" t="s">
        <v>736</v>
      </c>
      <c r="Z541" s="47">
        <v>0</v>
      </c>
      <c r="AA541" s="47" t="s">
        <v>736</v>
      </c>
      <c r="AB541" s="47">
        <v>0</v>
      </c>
      <c r="AC541" s="47">
        <v>0</v>
      </c>
      <c r="AD541" s="47">
        <v>0</v>
      </c>
      <c r="AE541" s="47" t="s">
        <v>731</v>
      </c>
      <c r="AF541" s="47">
        <v>0</v>
      </c>
      <c r="AG541" s="47" t="s">
        <v>731</v>
      </c>
      <c r="AH541" s="47">
        <v>0</v>
      </c>
      <c r="AI541" s="47" t="s">
        <v>735</v>
      </c>
      <c r="AJ541">
        <v>1</v>
      </c>
      <c r="AK541">
        <v>100</v>
      </c>
    </row>
    <row r="542" spans="1:37" x14ac:dyDescent="0.2">
      <c r="A542" t="s">
        <v>1367</v>
      </c>
      <c r="B542" t="s">
        <v>361</v>
      </c>
      <c r="C542">
        <v>2016</v>
      </c>
      <c r="D542">
        <v>1</v>
      </c>
      <c r="E542" t="s">
        <v>1368</v>
      </c>
      <c r="F542" t="s">
        <v>362</v>
      </c>
      <c r="G542">
        <v>4.590287</v>
      </c>
      <c r="H542" s="20">
        <f>IF(AND(A542=A541,F542=F541,F542="Winter wheat"),G542*0.9*'BAU Management details'!$F$46,
IF(AND(OR(A542&lt;&gt;A541,F542&lt;&gt;F541),F542="Winter wheat"),G542*'BAU Management details'!$F$46,
IF(F542="Oilseed Rape",G542*'BAU Management details'!$F$47)))</f>
        <v>39.476468199999999</v>
      </c>
      <c r="I542" t="s">
        <v>348</v>
      </c>
      <c r="J542">
        <v>10</v>
      </c>
      <c r="K542" t="s">
        <v>362</v>
      </c>
      <c r="L542" t="s">
        <v>787</v>
      </c>
      <c r="M542">
        <v>1</v>
      </c>
      <c r="N542" t="s">
        <v>349</v>
      </c>
      <c r="O542" t="s">
        <v>350</v>
      </c>
      <c r="P542">
        <v>6.8</v>
      </c>
      <c r="Q542" t="s">
        <v>743</v>
      </c>
      <c r="R542" t="s">
        <v>351</v>
      </c>
      <c r="S542">
        <v>220</v>
      </c>
      <c r="T542" s="47" t="s">
        <v>729</v>
      </c>
      <c r="U542" t="s">
        <v>366</v>
      </c>
      <c r="V542" t="s">
        <v>367</v>
      </c>
      <c r="W542" s="47" t="s">
        <v>736</v>
      </c>
      <c r="X542" s="47">
        <v>0</v>
      </c>
      <c r="Y542" s="47" t="s">
        <v>730</v>
      </c>
      <c r="Z542" s="47">
        <v>0</v>
      </c>
      <c r="AA542" s="47" t="s">
        <v>731</v>
      </c>
      <c r="AB542" s="47">
        <v>0</v>
      </c>
      <c r="AC542" s="47" t="s">
        <v>731</v>
      </c>
      <c r="AD542" s="47" t="s">
        <v>731</v>
      </c>
      <c r="AE542" s="47" t="s">
        <v>731</v>
      </c>
      <c r="AF542" s="47">
        <v>0</v>
      </c>
      <c r="AG542" s="47">
        <v>0</v>
      </c>
      <c r="AH542" s="47">
        <v>0</v>
      </c>
      <c r="AI542" s="47" t="s">
        <v>729</v>
      </c>
      <c r="AJ542">
        <v>1</v>
      </c>
      <c r="AK542">
        <v>100</v>
      </c>
    </row>
    <row r="543" spans="1:37" x14ac:dyDescent="0.2">
      <c r="A543" t="s">
        <v>1367</v>
      </c>
      <c r="B543" t="s">
        <v>361</v>
      </c>
      <c r="C543">
        <v>2017</v>
      </c>
      <c r="D543">
        <v>2</v>
      </c>
      <c r="E543" t="s">
        <v>1369</v>
      </c>
      <c r="F543" t="s">
        <v>362</v>
      </c>
      <c r="G543">
        <v>4.590287</v>
      </c>
      <c r="H543" s="20">
        <f>IF(AND(A543=A542,F543=F542,F543="Winter wheat"),G543*0.9*'BAU Management details'!$F$46,
IF(AND(OR(A543&lt;&gt;A542,F543&lt;&gt;F542),F543="Winter wheat"),G543*'BAU Management details'!$F$46,
IF(F543="Oilseed Rape",G543*'BAU Management details'!$F$47)))</f>
        <v>35.528821379999997</v>
      </c>
      <c r="I543" t="s">
        <v>348</v>
      </c>
      <c r="J543">
        <v>10</v>
      </c>
      <c r="K543" t="s">
        <v>362</v>
      </c>
      <c r="L543" t="s">
        <v>787</v>
      </c>
      <c r="M543">
        <v>1</v>
      </c>
      <c r="N543" t="s">
        <v>349</v>
      </c>
      <c r="O543" t="s">
        <v>350</v>
      </c>
      <c r="P543">
        <v>6.8</v>
      </c>
      <c r="Q543" t="s">
        <v>743</v>
      </c>
      <c r="R543" t="s">
        <v>351</v>
      </c>
      <c r="S543">
        <v>220</v>
      </c>
      <c r="T543" s="47" t="s">
        <v>729</v>
      </c>
      <c r="U543" t="s">
        <v>733</v>
      </c>
      <c r="V543" t="s">
        <v>369</v>
      </c>
      <c r="W543" s="47" t="s">
        <v>736</v>
      </c>
      <c r="X543" s="47">
        <v>0</v>
      </c>
      <c r="Y543" s="47" t="s">
        <v>730</v>
      </c>
      <c r="Z543" s="47">
        <v>0</v>
      </c>
      <c r="AA543" s="47" t="s">
        <v>731</v>
      </c>
      <c r="AB543" s="47">
        <v>0</v>
      </c>
      <c r="AC543" s="47">
        <v>0</v>
      </c>
      <c r="AD543" s="47">
        <v>0</v>
      </c>
      <c r="AE543" s="47" t="s">
        <v>731</v>
      </c>
      <c r="AF543" s="47">
        <v>0</v>
      </c>
      <c r="AG543" s="47">
        <v>0</v>
      </c>
      <c r="AH543" s="47">
        <v>0</v>
      </c>
      <c r="AI543" s="47" t="s">
        <v>729</v>
      </c>
      <c r="AJ543">
        <v>1</v>
      </c>
      <c r="AK543">
        <v>100</v>
      </c>
    </row>
    <row r="544" spans="1:37" x14ac:dyDescent="0.2">
      <c r="A544" t="s">
        <v>1367</v>
      </c>
      <c r="B544" t="s">
        <v>361</v>
      </c>
      <c r="C544">
        <v>2018</v>
      </c>
      <c r="D544">
        <v>3</v>
      </c>
      <c r="E544" t="s">
        <v>1370</v>
      </c>
      <c r="F544" t="s">
        <v>365</v>
      </c>
      <c r="G544">
        <v>4.590287</v>
      </c>
      <c r="H544" s="20">
        <f>IF(AND(A544=A543,F544=F543,F544="Winter wheat"),G544*0.9*'BAU Management details'!$F$46,
IF(AND(OR(A544&lt;&gt;A543,F544&lt;&gt;F543),F544="Winter wheat"),G544*'BAU Management details'!$F$46,
IF(F544="Oilseed Rape",G544*'BAU Management details'!$F$47)))</f>
        <v>16.066004499999998</v>
      </c>
      <c r="I544" t="s">
        <v>348</v>
      </c>
      <c r="J544">
        <v>10</v>
      </c>
      <c r="K544" t="s">
        <v>532</v>
      </c>
      <c r="L544" t="s">
        <v>787</v>
      </c>
      <c r="M544">
        <v>1</v>
      </c>
      <c r="N544" t="s">
        <v>349</v>
      </c>
      <c r="O544" t="s">
        <v>350</v>
      </c>
      <c r="P544">
        <v>6.8</v>
      </c>
      <c r="Q544" t="s">
        <v>743</v>
      </c>
      <c r="R544" t="s">
        <v>351</v>
      </c>
      <c r="S544">
        <v>220</v>
      </c>
      <c r="T544" s="47" t="s">
        <v>735</v>
      </c>
      <c r="U544" t="s">
        <v>368</v>
      </c>
      <c r="V544" t="s">
        <v>364</v>
      </c>
      <c r="W544" s="47" t="s">
        <v>736</v>
      </c>
      <c r="X544" s="47">
        <v>0</v>
      </c>
      <c r="Y544" s="47" t="s">
        <v>736</v>
      </c>
      <c r="Z544" s="47">
        <v>0</v>
      </c>
      <c r="AA544" s="47" t="s">
        <v>736</v>
      </c>
      <c r="AB544" s="47">
        <v>0</v>
      </c>
      <c r="AC544" s="47">
        <v>0</v>
      </c>
      <c r="AD544" s="47">
        <v>0</v>
      </c>
      <c r="AE544" s="47" t="s">
        <v>731</v>
      </c>
      <c r="AF544" s="47">
        <v>0</v>
      </c>
      <c r="AG544" s="47" t="s">
        <v>731</v>
      </c>
      <c r="AH544" s="47">
        <v>0</v>
      </c>
      <c r="AI544" s="47" t="s">
        <v>735</v>
      </c>
      <c r="AJ544">
        <v>1</v>
      </c>
      <c r="AK544">
        <v>100</v>
      </c>
    </row>
    <row r="545" spans="1:37" x14ac:dyDescent="0.2">
      <c r="A545" t="s">
        <v>1367</v>
      </c>
      <c r="B545" t="s">
        <v>361</v>
      </c>
      <c r="C545">
        <v>2019</v>
      </c>
      <c r="D545">
        <v>4</v>
      </c>
      <c r="E545" t="s">
        <v>1371</v>
      </c>
      <c r="F545" t="s">
        <v>362</v>
      </c>
      <c r="G545">
        <v>4.590287</v>
      </c>
      <c r="H545" s="20">
        <f>IF(AND(A545=A544,F545=F544,F545="Winter wheat"),G545*0.9*'BAU Management details'!$F$46,
IF(AND(OR(A545&lt;&gt;A544,F545&lt;&gt;F544),F545="Winter wheat"),G545*'BAU Management details'!$F$46,
IF(F545="Oilseed Rape",G545*'BAU Management details'!$F$47)))</f>
        <v>39.476468199999999</v>
      </c>
      <c r="I545" t="s">
        <v>348</v>
      </c>
      <c r="J545">
        <v>10</v>
      </c>
      <c r="K545" t="s">
        <v>362</v>
      </c>
      <c r="L545" t="s">
        <v>787</v>
      </c>
      <c r="M545">
        <v>1</v>
      </c>
      <c r="N545" t="s">
        <v>349</v>
      </c>
      <c r="O545" t="s">
        <v>350</v>
      </c>
      <c r="P545">
        <v>6.8</v>
      </c>
      <c r="Q545" t="s">
        <v>743</v>
      </c>
      <c r="R545" t="s">
        <v>351</v>
      </c>
      <c r="S545">
        <v>220</v>
      </c>
      <c r="T545" s="47" t="s">
        <v>729</v>
      </c>
      <c r="U545" t="s">
        <v>366</v>
      </c>
      <c r="V545" t="s">
        <v>367</v>
      </c>
      <c r="W545" s="47" t="s">
        <v>736</v>
      </c>
      <c r="X545" s="47">
        <v>0</v>
      </c>
      <c r="Y545" s="47" t="s">
        <v>730</v>
      </c>
      <c r="Z545" s="47">
        <v>0</v>
      </c>
      <c r="AA545" s="47" t="s">
        <v>731</v>
      </c>
      <c r="AB545" s="47">
        <v>0</v>
      </c>
      <c r="AC545" s="47" t="s">
        <v>731</v>
      </c>
      <c r="AD545" s="47" t="s">
        <v>731</v>
      </c>
      <c r="AE545" s="47" t="s">
        <v>731</v>
      </c>
      <c r="AF545" s="47">
        <v>0</v>
      </c>
      <c r="AG545" s="47">
        <v>0</v>
      </c>
      <c r="AH545" s="47">
        <v>0</v>
      </c>
      <c r="AI545" s="47" t="s">
        <v>729</v>
      </c>
      <c r="AJ545">
        <v>1</v>
      </c>
      <c r="AK545">
        <v>100</v>
      </c>
    </row>
    <row r="546" spans="1:37" x14ac:dyDescent="0.2">
      <c r="A546" t="s">
        <v>1367</v>
      </c>
      <c r="B546" t="s">
        <v>361</v>
      </c>
      <c r="C546">
        <v>2020</v>
      </c>
      <c r="D546">
        <v>5</v>
      </c>
      <c r="E546" t="s">
        <v>1372</v>
      </c>
      <c r="F546" t="s">
        <v>362</v>
      </c>
      <c r="G546">
        <v>4.590287</v>
      </c>
      <c r="H546" s="20">
        <f>IF(AND(A546=A545,F546=F545,F546="Winter wheat"),G546*0.9*'BAU Management details'!$F$46,
IF(AND(OR(A546&lt;&gt;A545,F546&lt;&gt;F545),F546="Winter wheat"),G546*'BAU Management details'!$F$46,
IF(F546="Oilseed Rape",G546*'BAU Management details'!$F$47)))</f>
        <v>35.528821379999997</v>
      </c>
      <c r="I546" t="s">
        <v>348</v>
      </c>
      <c r="J546">
        <v>10</v>
      </c>
      <c r="K546" t="s">
        <v>362</v>
      </c>
      <c r="L546" t="s">
        <v>787</v>
      </c>
      <c r="M546">
        <v>1</v>
      </c>
      <c r="N546" t="s">
        <v>349</v>
      </c>
      <c r="O546" t="s">
        <v>350</v>
      </c>
      <c r="P546">
        <v>6.8</v>
      </c>
      <c r="Q546" t="s">
        <v>743</v>
      </c>
      <c r="R546" t="s">
        <v>351</v>
      </c>
      <c r="S546">
        <v>220</v>
      </c>
      <c r="T546" s="47" t="s">
        <v>729</v>
      </c>
      <c r="U546" t="s">
        <v>733</v>
      </c>
      <c r="V546" t="s">
        <v>369</v>
      </c>
      <c r="W546" s="47" t="s">
        <v>736</v>
      </c>
      <c r="X546" s="47">
        <v>0</v>
      </c>
      <c r="Y546" s="47" t="s">
        <v>730</v>
      </c>
      <c r="Z546" s="47">
        <v>0</v>
      </c>
      <c r="AA546" s="47" t="s">
        <v>731</v>
      </c>
      <c r="AB546" s="47">
        <v>0</v>
      </c>
      <c r="AC546" s="47">
        <v>0</v>
      </c>
      <c r="AD546" s="47">
        <v>0</v>
      </c>
      <c r="AE546" s="47" t="s">
        <v>731</v>
      </c>
      <c r="AF546" s="47">
        <v>0</v>
      </c>
      <c r="AG546" s="47">
        <v>0</v>
      </c>
      <c r="AH546" s="47">
        <v>0</v>
      </c>
      <c r="AI546" s="47" t="s">
        <v>729</v>
      </c>
      <c r="AJ546">
        <v>1</v>
      </c>
      <c r="AK546">
        <v>100</v>
      </c>
    </row>
    <row r="547" spans="1:37" x14ac:dyDescent="0.2">
      <c r="A547" t="s">
        <v>1367</v>
      </c>
      <c r="B547" t="s">
        <v>361</v>
      </c>
      <c r="C547">
        <v>2021</v>
      </c>
      <c r="D547">
        <v>6</v>
      </c>
      <c r="E547" t="s">
        <v>1373</v>
      </c>
      <c r="F547" t="s">
        <v>365</v>
      </c>
      <c r="G547">
        <v>4.590287</v>
      </c>
      <c r="H547" s="20">
        <f>IF(AND(A547=A546,F547=F546,F547="Winter wheat"),G547*0.9*'BAU Management details'!$F$46,
IF(AND(OR(A547&lt;&gt;A546,F547&lt;&gt;F546),F547="Winter wheat"),G547*'BAU Management details'!$F$46,
IF(F547="Oilseed Rape",G547*'BAU Management details'!$F$47)))</f>
        <v>16.066004499999998</v>
      </c>
      <c r="I547" t="s">
        <v>348</v>
      </c>
      <c r="J547">
        <v>10</v>
      </c>
      <c r="K547" t="s">
        <v>532</v>
      </c>
      <c r="L547" t="s">
        <v>787</v>
      </c>
      <c r="M547">
        <v>1</v>
      </c>
      <c r="N547" t="s">
        <v>349</v>
      </c>
      <c r="O547" t="s">
        <v>350</v>
      </c>
      <c r="P547">
        <v>6.8</v>
      </c>
      <c r="Q547" t="s">
        <v>743</v>
      </c>
      <c r="R547" t="s">
        <v>351</v>
      </c>
      <c r="S547">
        <v>220</v>
      </c>
      <c r="T547" s="47" t="s">
        <v>735</v>
      </c>
      <c r="U547" t="s">
        <v>368</v>
      </c>
      <c r="V547" t="s">
        <v>364</v>
      </c>
      <c r="W547" s="47" t="s">
        <v>736</v>
      </c>
      <c r="X547" s="47">
        <v>0</v>
      </c>
      <c r="Y547" s="47" t="s">
        <v>736</v>
      </c>
      <c r="Z547" s="47">
        <v>0</v>
      </c>
      <c r="AA547" s="47" t="s">
        <v>736</v>
      </c>
      <c r="AB547" s="47">
        <v>0</v>
      </c>
      <c r="AC547" s="47">
        <v>0</v>
      </c>
      <c r="AD547" s="47">
        <v>0</v>
      </c>
      <c r="AE547" s="47" t="s">
        <v>731</v>
      </c>
      <c r="AF547" s="47">
        <v>0</v>
      </c>
      <c r="AG547" s="47" t="s">
        <v>731</v>
      </c>
      <c r="AH547" s="47">
        <v>0</v>
      </c>
      <c r="AI547" s="47" t="s">
        <v>735</v>
      </c>
      <c r="AJ547">
        <v>1</v>
      </c>
      <c r="AK547">
        <v>100</v>
      </c>
    </row>
    <row r="548" spans="1:37" x14ac:dyDescent="0.2">
      <c r="A548" t="s">
        <v>1374</v>
      </c>
      <c r="B548" t="s">
        <v>361</v>
      </c>
      <c r="C548">
        <v>2016</v>
      </c>
      <c r="D548">
        <v>1</v>
      </c>
      <c r="E548" t="s">
        <v>1375</v>
      </c>
      <c r="F548" t="s">
        <v>362</v>
      </c>
      <c r="G548">
        <v>2.8073519999999998</v>
      </c>
      <c r="H548" s="20">
        <f>IF(AND(A548=A547,F548=F547,F548="Winter wheat"),G548*0.9*'BAU Management details'!$F$46,
IF(AND(OR(A548&lt;&gt;A547,F548&lt;&gt;F547),F548="Winter wheat"),G548*'BAU Management details'!$F$46,
IF(F548="Oilseed Rape",G548*'BAU Management details'!$F$47)))</f>
        <v>24.143227199999998</v>
      </c>
      <c r="I548" t="s">
        <v>348</v>
      </c>
      <c r="J548">
        <v>10</v>
      </c>
      <c r="K548" t="s">
        <v>362</v>
      </c>
      <c r="L548" t="s">
        <v>727</v>
      </c>
      <c r="M548">
        <v>2.9</v>
      </c>
      <c r="N548" t="s">
        <v>349</v>
      </c>
      <c r="O548" t="s">
        <v>742</v>
      </c>
      <c r="P548">
        <v>6.3</v>
      </c>
      <c r="Q548" t="s">
        <v>743</v>
      </c>
      <c r="R548" t="s">
        <v>351</v>
      </c>
      <c r="S548">
        <v>220</v>
      </c>
      <c r="T548" s="47" t="s">
        <v>729</v>
      </c>
      <c r="U548" t="s">
        <v>366</v>
      </c>
      <c r="V548" t="s">
        <v>367</v>
      </c>
      <c r="W548" s="47" t="s">
        <v>736</v>
      </c>
      <c r="X548" s="47">
        <v>0</v>
      </c>
      <c r="Y548" s="47" t="s">
        <v>730</v>
      </c>
      <c r="Z548" s="47">
        <v>0</v>
      </c>
      <c r="AA548" s="47" t="s">
        <v>731</v>
      </c>
      <c r="AB548" s="47">
        <v>0</v>
      </c>
      <c r="AC548" s="47" t="s">
        <v>731</v>
      </c>
      <c r="AD548" s="47" t="s">
        <v>731</v>
      </c>
      <c r="AE548" s="47" t="s">
        <v>731</v>
      </c>
      <c r="AF548" s="47">
        <v>0</v>
      </c>
      <c r="AG548" s="47">
        <v>0</v>
      </c>
      <c r="AH548" s="47">
        <v>0</v>
      </c>
      <c r="AI548" s="47" t="s">
        <v>729</v>
      </c>
      <c r="AJ548">
        <v>1</v>
      </c>
      <c r="AK548">
        <v>100</v>
      </c>
    </row>
    <row r="549" spans="1:37" x14ac:dyDescent="0.2">
      <c r="A549" t="s">
        <v>1374</v>
      </c>
      <c r="B549" t="s">
        <v>361</v>
      </c>
      <c r="C549">
        <v>2017</v>
      </c>
      <c r="D549">
        <v>2</v>
      </c>
      <c r="E549" t="s">
        <v>1376</v>
      </c>
      <c r="F549" t="s">
        <v>362</v>
      </c>
      <c r="G549">
        <v>2.8073519999999998</v>
      </c>
      <c r="H549" s="20">
        <f>IF(AND(A549=A548,F549=F548,F549="Winter wheat"),G549*0.9*'BAU Management details'!$F$46,
IF(AND(OR(A549&lt;&gt;A548,F549&lt;&gt;F548),F549="Winter wheat"),G549*'BAU Management details'!$F$46,
IF(F549="Oilseed Rape",G549*'BAU Management details'!$F$47)))</f>
        <v>21.728904479999997</v>
      </c>
      <c r="I549" t="s">
        <v>348</v>
      </c>
      <c r="J549">
        <v>10</v>
      </c>
      <c r="K549" t="s">
        <v>362</v>
      </c>
      <c r="L549" t="s">
        <v>727</v>
      </c>
      <c r="M549">
        <v>2.9</v>
      </c>
      <c r="N549" t="s">
        <v>349</v>
      </c>
      <c r="O549" t="s">
        <v>742</v>
      </c>
      <c r="P549">
        <v>6.3</v>
      </c>
      <c r="Q549" t="s">
        <v>743</v>
      </c>
      <c r="R549" t="s">
        <v>351</v>
      </c>
      <c r="S549">
        <v>220</v>
      </c>
      <c r="T549" s="47" t="s">
        <v>729</v>
      </c>
      <c r="U549" t="s">
        <v>733</v>
      </c>
      <c r="V549" t="s">
        <v>369</v>
      </c>
      <c r="W549" s="47" t="s">
        <v>736</v>
      </c>
      <c r="X549" s="47">
        <v>0</v>
      </c>
      <c r="Y549" s="47" t="s">
        <v>730</v>
      </c>
      <c r="Z549" s="47">
        <v>0</v>
      </c>
      <c r="AA549" s="47" t="s">
        <v>731</v>
      </c>
      <c r="AB549" s="47">
        <v>0</v>
      </c>
      <c r="AC549" s="47">
        <v>0</v>
      </c>
      <c r="AD549" s="47">
        <v>0</v>
      </c>
      <c r="AE549" s="47" t="s">
        <v>731</v>
      </c>
      <c r="AF549" s="47">
        <v>0</v>
      </c>
      <c r="AG549" s="47">
        <v>0</v>
      </c>
      <c r="AH549" s="47">
        <v>0</v>
      </c>
      <c r="AI549" s="47" t="s">
        <v>729</v>
      </c>
      <c r="AJ549">
        <v>1</v>
      </c>
      <c r="AK549">
        <v>100</v>
      </c>
    </row>
    <row r="550" spans="1:37" x14ac:dyDescent="0.2">
      <c r="A550" t="s">
        <v>1374</v>
      </c>
      <c r="B550" t="s">
        <v>361</v>
      </c>
      <c r="C550">
        <v>2018</v>
      </c>
      <c r="D550">
        <v>3</v>
      </c>
      <c r="E550" t="s">
        <v>1377</v>
      </c>
      <c r="F550" t="s">
        <v>365</v>
      </c>
      <c r="G550">
        <v>2.8073519999999998</v>
      </c>
      <c r="H550" s="20">
        <f>IF(AND(A550=A549,F550=F549,F550="Winter wheat"),G550*0.9*'BAU Management details'!$F$46,
IF(AND(OR(A550&lt;&gt;A549,F550&lt;&gt;F549),F550="Winter wheat"),G550*'BAU Management details'!$F$46,
IF(F550="Oilseed Rape",G550*'BAU Management details'!$F$47)))</f>
        <v>9.8257319999999986</v>
      </c>
      <c r="I550" t="s">
        <v>348</v>
      </c>
      <c r="J550">
        <v>10</v>
      </c>
      <c r="K550" t="s">
        <v>532</v>
      </c>
      <c r="L550" t="s">
        <v>727</v>
      </c>
      <c r="M550">
        <v>2.9</v>
      </c>
      <c r="N550" t="s">
        <v>349</v>
      </c>
      <c r="O550" t="s">
        <v>742</v>
      </c>
      <c r="P550">
        <v>6.3</v>
      </c>
      <c r="Q550" t="s">
        <v>743</v>
      </c>
      <c r="R550" t="s">
        <v>351</v>
      </c>
      <c r="S550">
        <v>220</v>
      </c>
      <c r="T550" s="47" t="s">
        <v>735</v>
      </c>
      <c r="U550" t="s">
        <v>368</v>
      </c>
      <c r="V550" t="s">
        <v>364</v>
      </c>
      <c r="W550" s="47" t="s">
        <v>736</v>
      </c>
      <c r="X550" s="47">
        <v>0</v>
      </c>
      <c r="Y550" s="47" t="s">
        <v>736</v>
      </c>
      <c r="Z550" s="47">
        <v>0</v>
      </c>
      <c r="AA550" s="47" t="s">
        <v>736</v>
      </c>
      <c r="AB550" s="47">
        <v>0</v>
      </c>
      <c r="AC550" s="47">
        <v>0</v>
      </c>
      <c r="AD550" s="47">
        <v>0</v>
      </c>
      <c r="AE550" s="47" t="s">
        <v>731</v>
      </c>
      <c r="AF550" s="47">
        <v>0</v>
      </c>
      <c r="AG550" s="47" t="s">
        <v>731</v>
      </c>
      <c r="AH550" s="47">
        <v>0</v>
      </c>
      <c r="AI550" s="47" t="s">
        <v>735</v>
      </c>
      <c r="AJ550">
        <v>1</v>
      </c>
      <c r="AK550">
        <v>100</v>
      </c>
    </row>
    <row r="551" spans="1:37" x14ac:dyDescent="0.2">
      <c r="A551" t="s">
        <v>1374</v>
      </c>
      <c r="B551" t="s">
        <v>361</v>
      </c>
      <c r="C551">
        <v>2019</v>
      </c>
      <c r="D551">
        <v>4</v>
      </c>
      <c r="E551" t="s">
        <v>1378</v>
      </c>
      <c r="F551" t="s">
        <v>362</v>
      </c>
      <c r="G551">
        <v>2.8073519999999998</v>
      </c>
      <c r="H551" s="20">
        <f>IF(AND(A551=A550,F551=F550,F551="Winter wheat"),G551*0.9*'BAU Management details'!$F$46,
IF(AND(OR(A551&lt;&gt;A550,F551&lt;&gt;F550),F551="Winter wheat"),G551*'BAU Management details'!$F$46,
IF(F551="Oilseed Rape",G551*'BAU Management details'!$F$47)))</f>
        <v>24.143227199999998</v>
      </c>
      <c r="I551" t="s">
        <v>348</v>
      </c>
      <c r="J551">
        <v>10</v>
      </c>
      <c r="K551" t="s">
        <v>362</v>
      </c>
      <c r="L551" t="s">
        <v>727</v>
      </c>
      <c r="M551">
        <v>2.9</v>
      </c>
      <c r="N551" t="s">
        <v>349</v>
      </c>
      <c r="O551" t="s">
        <v>742</v>
      </c>
      <c r="P551">
        <v>6.3</v>
      </c>
      <c r="Q551" t="s">
        <v>743</v>
      </c>
      <c r="R551" t="s">
        <v>351</v>
      </c>
      <c r="S551">
        <v>220</v>
      </c>
      <c r="T551" s="47" t="s">
        <v>729</v>
      </c>
      <c r="U551" t="s">
        <v>366</v>
      </c>
      <c r="V551" t="s">
        <v>367</v>
      </c>
      <c r="W551" s="47" t="s">
        <v>736</v>
      </c>
      <c r="X551" s="47">
        <v>0</v>
      </c>
      <c r="Y551" s="47" t="s">
        <v>730</v>
      </c>
      <c r="Z551" s="47">
        <v>0</v>
      </c>
      <c r="AA551" s="47" t="s">
        <v>731</v>
      </c>
      <c r="AB551" s="47">
        <v>0</v>
      </c>
      <c r="AC551" s="47" t="s">
        <v>731</v>
      </c>
      <c r="AD551" s="47" t="s">
        <v>731</v>
      </c>
      <c r="AE551" s="47" t="s">
        <v>731</v>
      </c>
      <c r="AF551" s="47">
        <v>0</v>
      </c>
      <c r="AG551" s="47">
        <v>0</v>
      </c>
      <c r="AH551" s="47">
        <v>0</v>
      </c>
      <c r="AI551" s="47" t="s">
        <v>729</v>
      </c>
      <c r="AJ551">
        <v>1</v>
      </c>
      <c r="AK551">
        <v>100</v>
      </c>
    </row>
    <row r="552" spans="1:37" x14ac:dyDescent="0.2">
      <c r="A552" t="s">
        <v>1374</v>
      </c>
      <c r="B552" t="s">
        <v>361</v>
      </c>
      <c r="C552">
        <v>2020</v>
      </c>
      <c r="D552">
        <v>5</v>
      </c>
      <c r="E552" t="s">
        <v>1379</v>
      </c>
      <c r="F552" t="s">
        <v>362</v>
      </c>
      <c r="G552">
        <v>2.8073519999999998</v>
      </c>
      <c r="H552" s="20">
        <f>IF(AND(A552=A551,F552=F551,F552="Winter wheat"),G552*0.9*'BAU Management details'!$F$46,
IF(AND(OR(A552&lt;&gt;A551,F552&lt;&gt;F551),F552="Winter wheat"),G552*'BAU Management details'!$F$46,
IF(F552="Oilseed Rape",G552*'BAU Management details'!$F$47)))</f>
        <v>21.728904479999997</v>
      </c>
      <c r="I552" t="s">
        <v>348</v>
      </c>
      <c r="J552">
        <v>10</v>
      </c>
      <c r="K552" t="s">
        <v>362</v>
      </c>
      <c r="L552" t="s">
        <v>727</v>
      </c>
      <c r="M552">
        <v>2.9</v>
      </c>
      <c r="N552" t="s">
        <v>349</v>
      </c>
      <c r="O552" t="s">
        <v>742</v>
      </c>
      <c r="P552">
        <v>6.3</v>
      </c>
      <c r="Q552" t="s">
        <v>743</v>
      </c>
      <c r="R552" t="s">
        <v>351</v>
      </c>
      <c r="S552">
        <v>220</v>
      </c>
      <c r="T552" s="47" t="s">
        <v>729</v>
      </c>
      <c r="U552" t="s">
        <v>733</v>
      </c>
      <c r="V552" t="s">
        <v>369</v>
      </c>
      <c r="W552" s="47" t="s">
        <v>736</v>
      </c>
      <c r="X552" s="47">
        <v>0</v>
      </c>
      <c r="Y552" s="47" t="s">
        <v>730</v>
      </c>
      <c r="Z552" s="47">
        <v>0</v>
      </c>
      <c r="AA552" s="47" t="s">
        <v>731</v>
      </c>
      <c r="AB552" s="47">
        <v>0</v>
      </c>
      <c r="AC552" s="47">
        <v>0</v>
      </c>
      <c r="AD552" s="47">
        <v>0</v>
      </c>
      <c r="AE552" s="47" t="s">
        <v>731</v>
      </c>
      <c r="AF552" s="47">
        <v>0</v>
      </c>
      <c r="AG552" s="47">
        <v>0</v>
      </c>
      <c r="AH552" s="47">
        <v>0</v>
      </c>
      <c r="AI552" s="47" t="s">
        <v>729</v>
      </c>
      <c r="AJ552">
        <v>1</v>
      </c>
      <c r="AK552">
        <v>100</v>
      </c>
    </row>
    <row r="553" spans="1:37" x14ac:dyDescent="0.2">
      <c r="A553" t="s">
        <v>1374</v>
      </c>
      <c r="B553" t="s">
        <v>361</v>
      </c>
      <c r="C553">
        <v>2021</v>
      </c>
      <c r="D553">
        <v>6</v>
      </c>
      <c r="E553" t="s">
        <v>1380</v>
      </c>
      <c r="F553" t="s">
        <v>365</v>
      </c>
      <c r="G553">
        <v>2.8073519999999998</v>
      </c>
      <c r="H553" s="20">
        <f>IF(AND(A553=A552,F553=F552,F553="Winter wheat"),G553*0.9*'BAU Management details'!$F$46,
IF(AND(OR(A553&lt;&gt;A552,F553&lt;&gt;F552),F553="Winter wheat"),G553*'BAU Management details'!$F$46,
IF(F553="Oilseed Rape",G553*'BAU Management details'!$F$47)))</f>
        <v>9.8257319999999986</v>
      </c>
      <c r="I553" t="s">
        <v>348</v>
      </c>
      <c r="J553">
        <v>10</v>
      </c>
      <c r="K553" t="s">
        <v>532</v>
      </c>
      <c r="L553" t="s">
        <v>727</v>
      </c>
      <c r="M553">
        <v>2.9</v>
      </c>
      <c r="N553" t="s">
        <v>349</v>
      </c>
      <c r="O553" t="s">
        <v>742</v>
      </c>
      <c r="P553">
        <v>6.3</v>
      </c>
      <c r="Q553" t="s">
        <v>743</v>
      </c>
      <c r="R553" t="s">
        <v>351</v>
      </c>
      <c r="S553">
        <v>220</v>
      </c>
      <c r="T553" s="47" t="s">
        <v>735</v>
      </c>
      <c r="U553" t="s">
        <v>368</v>
      </c>
      <c r="V553" t="s">
        <v>364</v>
      </c>
      <c r="W553" s="47" t="s">
        <v>736</v>
      </c>
      <c r="X553" s="47">
        <v>0</v>
      </c>
      <c r="Y553" s="47" t="s">
        <v>736</v>
      </c>
      <c r="Z553" s="47">
        <v>0</v>
      </c>
      <c r="AA553" s="47" t="s">
        <v>736</v>
      </c>
      <c r="AB553" s="47">
        <v>0</v>
      </c>
      <c r="AC553" s="47">
        <v>0</v>
      </c>
      <c r="AD553" s="47">
        <v>0</v>
      </c>
      <c r="AE553" s="47" t="s">
        <v>731</v>
      </c>
      <c r="AF553" s="47">
        <v>0</v>
      </c>
      <c r="AG553" s="47" t="s">
        <v>731</v>
      </c>
      <c r="AH553" s="47">
        <v>0</v>
      </c>
      <c r="AI553" s="47" t="s">
        <v>735</v>
      </c>
      <c r="AJ553">
        <v>1</v>
      </c>
      <c r="AK553">
        <v>100</v>
      </c>
    </row>
    <row r="554" spans="1:37" x14ac:dyDescent="0.2">
      <c r="A554" t="s">
        <v>1381</v>
      </c>
      <c r="B554" t="s">
        <v>361</v>
      </c>
      <c r="C554">
        <v>2016</v>
      </c>
      <c r="D554">
        <v>1</v>
      </c>
      <c r="E554" t="s">
        <v>1382</v>
      </c>
      <c r="F554" t="s">
        <v>362</v>
      </c>
      <c r="G554">
        <v>8.635408</v>
      </c>
      <c r="H554" s="20">
        <f>IF(AND(A554=A553,F554=F553,F554="Winter wheat"),G554*0.9*'BAU Management details'!$F$46,
IF(AND(OR(A554&lt;&gt;A553,F554&lt;&gt;F553),F554="Winter wheat"),G554*'BAU Management details'!$F$46,
IF(F554="Oilseed Rape",G554*'BAU Management details'!$F$47)))</f>
        <v>74.264508800000002</v>
      </c>
      <c r="I554" t="s">
        <v>348</v>
      </c>
      <c r="J554">
        <v>10</v>
      </c>
      <c r="K554" t="s">
        <v>362</v>
      </c>
      <c r="L554" t="s">
        <v>751</v>
      </c>
      <c r="M554">
        <v>2.2000000000000002</v>
      </c>
      <c r="N554" t="s">
        <v>349</v>
      </c>
      <c r="O554" t="s">
        <v>742</v>
      </c>
      <c r="P554">
        <v>6.7</v>
      </c>
      <c r="Q554" t="s">
        <v>743</v>
      </c>
      <c r="R554" t="s">
        <v>351</v>
      </c>
      <c r="S554">
        <v>220</v>
      </c>
      <c r="T554" s="47" t="s">
        <v>729</v>
      </c>
      <c r="U554" t="s">
        <v>366</v>
      </c>
      <c r="V554" t="s">
        <v>364</v>
      </c>
      <c r="W554" s="47" t="s">
        <v>736</v>
      </c>
      <c r="X554" s="47">
        <v>0</v>
      </c>
      <c r="Y554" s="47" t="s">
        <v>730</v>
      </c>
      <c r="Z554" s="47">
        <v>0</v>
      </c>
      <c r="AA554" s="47" t="s">
        <v>731</v>
      </c>
      <c r="AB554" s="47">
        <v>0</v>
      </c>
      <c r="AC554" s="47" t="s">
        <v>731</v>
      </c>
      <c r="AD554" s="47" t="s">
        <v>731</v>
      </c>
      <c r="AE554" s="47" t="s">
        <v>731</v>
      </c>
      <c r="AF554" s="47">
        <v>0</v>
      </c>
      <c r="AG554" s="47">
        <v>0</v>
      </c>
      <c r="AH554" s="47">
        <v>0</v>
      </c>
      <c r="AI554" s="47" t="s">
        <v>729</v>
      </c>
      <c r="AJ554">
        <v>1</v>
      </c>
      <c r="AK554">
        <v>100</v>
      </c>
    </row>
    <row r="555" spans="1:37" x14ac:dyDescent="0.2">
      <c r="A555" t="s">
        <v>1381</v>
      </c>
      <c r="B555" t="s">
        <v>361</v>
      </c>
      <c r="C555">
        <v>2017</v>
      </c>
      <c r="D555">
        <v>2</v>
      </c>
      <c r="E555" t="s">
        <v>1383</v>
      </c>
      <c r="F555" t="s">
        <v>362</v>
      </c>
      <c r="G555">
        <v>8.635408</v>
      </c>
      <c r="H555" s="20">
        <f>IF(AND(A555=A554,F555=F554,F555="Winter wheat"),G555*0.9*'BAU Management details'!$F$46,
IF(AND(OR(A555&lt;&gt;A554,F555&lt;&gt;F554),F555="Winter wheat"),G555*'BAU Management details'!$F$46,
IF(F555="Oilseed Rape",G555*'BAU Management details'!$F$47)))</f>
        <v>66.838057919999997</v>
      </c>
      <c r="I555" t="s">
        <v>348</v>
      </c>
      <c r="J555">
        <v>10</v>
      </c>
      <c r="K555" t="s">
        <v>362</v>
      </c>
      <c r="L555" t="s">
        <v>751</v>
      </c>
      <c r="M555">
        <v>2.2000000000000002</v>
      </c>
      <c r="N555" t="s">
        <v>349</v>
      </c>
      <c r="O555" t="s">
        <v>742</v>
      </c>
      <c r="P555">
        <v>6.7</v>
      </c>
      <c r="Q555" t="s">
        <v>743</v>
      </c>
      <c r="R555" t="s">
        <v>351</v>
      </c>
      <c r="S555">
        <v>220</v>
      </c>
      <c r="T555" s="47" t="s">
        <v>729</v>
      </c>
      <c r="U555" t="s">
        <v>733</v>
      </c>
      <c r="V555" t="s">
        <v>364</v>
      </c>
      <c r="W555" s="47" t="s">
        <v>736</v>
      </c>
      <c r="X555" s="47">
        <v>0</v>
      </c>
      <c r="Y555" s="47" t="s">
        <v>730</v>
      </c>
      <c r="Z555" s="47">
        <v>0</v>
      </c>
      <c r="AA555" s="47" t="s">
        <v>731</v>
      </c>
      <c r="AB555" s="47">
        <v>0</v>
      </c>
      <c r="AC555" s="47">
        <v>0</v>
      </c>
      <c r="AD555" s="47">
        <v>0</v>
      </c>
      <c r="AE555" s="47" t="s">
        <v>731</v>
      </c>
      <c r="AF555" s="47">
        <v>0</v>
      </c>
      <c r="AG555" s="47">
        <v>0</v>
      </c>
      <c r="AH555" s="47">
        <v>0</v>
      </c>
      <c r="AI555" s="47" t="s">
        <v>729</v>
      </c>
      <c r="AJ555">
        <v>1</v>
      </c>
      <c r="AK555">
        <v>100</v>
      </c>
    </row>
    <row r="556" spans="1:37" x14ac:dyDescent="0.2">
      <c r="A556" t="s">
        <v>1381</v>
      </c>
      <c r="B556" t="s">
        <v>361</v>
      </c>
      <c r="C556">
        <v>2018</v>
      </c>
      <c r="D556">
        <v>3</v>
      </c>
      <c r="E556" t="s">
        <v>1384</v>
      </c>
      <c r="F556" t="s">
        <v>365</v>
      </c>
      <c r="G556">
        <v>8.635408</v>
      </c>
      <c r="H556" s="20">
        <f>IF(AND(A556=A555,F556=F555,F556="Winter wheat"),G556*0.9*'BAU Management details'!$F$46,
IF(AND(OR(A556&lt;&gt;A555,F556&lt;&gt;F555),F556="Winter wheat"),G556*'BAU Management details'!$F$46,
IF(F556="Oilseed Rape",G556*'BAU Management details'!$F$47)))</f>
        <v>30.223928000000001</v>
      </c>
      <c r="I556" t="s">
        <v>348</v>
      </c>
      <c r="J556">
        <v>10</v>
      </c>
      <c r="K556" t="s">
        <v>532</v>
      </c>
      <c r="L556" t="s">
        <v>751</v>
      </c>
      <c r="M556">
        <v>2.2000000000000002</v>
      </c>
      <c r="N556" t="s">
        <v>349</v>
      </c>
      <c r="O556" t="s">
        <v>742</v>
      </c>
      <c r="P556">
        <v>6.7</v>
      </c>
      <c r="Q556" t="s">
        <v>743</v>
      </c>
      <c r="R556" t="s">
        <v>351</v>
      </c>
      <c r="S556">
        <v>220</v>
      </c>
      <c r="T556" s="47" t="s">
        <v>735</v>
      </c>
      <c r="U556" t="s">
        <v>368</v>
      </c>
      <c r="V556" t="s">
        <v>364</v>
      </c>
      <c r="W556" s="47" t="s">
        <v>736</v>
      </c>
      <c r="X556" s="47">
        <v>0</v>
      </c>
      <c r="Y556" s="47" t="s">
        <v>736</v>
      </c>
      <c r="Z556" s="47">
        <v>0</v>
      </c>
      <c r="AA556" s="47" t="s">
        <v>736</v>
      </c>
      <c r="AB556" s="47">
        <v>0</v>
      </c>
      <c r="AC556" s="47">
        <v>0</v>
      </c>
      <c r="AD556" s="47">
        <v>0</v>
      </c>
      <c r="AE556" s="47" t="s">
        <v>731</v>
      </c>
      <c r="AF556" s="47">
        <v>0</v>
      </c>
      <c r="AG556" s="47" t="s">
        <v>731</v>
      </c>
      <c r="AH556" s="47">
        <v>0</v>
      </c>
      <c r="AI556" s="47" t="s">
        <v>735</v>
      </c>
      <c r="AJ556">
        <v>1</v>
      </c>
      <c r="AK556">
        <v>100</v>
      </c>
    </row>
    <row r="557" spans="1:37" x14ac:dyDescent="0.2">
      <c r="A557" t="s">
        <v>1381</v>
      </c>
      <c r="B557" t="s">
        <v>361</v>
      </c>
      <c r="C557">
        <v>2019</v>
      </c>
      <c r="D557">
        <v>4</v>
      </c>
      <c r="E557" t="s">
        <v>1385</v>
      </c>
      <c r="F557" t="s">
        <v>362</v>
      </c>
      <c r="G557">
        <v>8.635408</v>
      </c>
      <c r="H557" s="20">
        <f>IF(AND(A557=A556,F557=F556,F557="Winter wheat"),G557*0.9*'BAU Management details'!$F$46,
IF(AND(OR(A557&lt;&gt;A556,F557&lt;&gt;F556),F557="Winter wheat"),G557*'BAU Management details'!$F$46,
IF(F557="Oilseed Rape",G557*'BAU Management details'!$F$47)))</f>
        <v>74.264508800000002</v>
      </c>
      <c r="I557" t="s">
        <v>348</v>
      </c>
      <c r="J557">
        <v>10</v>
      </c>
      <c r="K557" t="s">
        <v>362</v>
      </c>
      <c r="L557" t="s">
        <v>751</v>
      </c>
      <c r="M557">
        <v>2.2000000000000002</v>
      </c>
      <c r="N557" t="s">
        <v>349</v>
      </c>
      <c r="O557" t="s">
        <v>742</v>
      </c>
      <c r="P557">
        <v>6.7</v>
      </c>
      <c r="Q557" t="s">
        <v>743</v>
      </c>
      <c r="R557" t="s">
        <v>351</v>
      </c>
      <c r="S557">
        <v>220</v>
      </c>
      <c r="T557" s="47" t="s">
        <v>729</v>
      </c>
      <c r="U557" t="s">
        <v>366</v>
      </c>
      <c r="V557" t="s">
        <v>364</v>
      </c>
      <c r="W557" s="47" t="s">
        <v>736</v>
      </c>
      <c r="X557" s="47">
        <v>0</v>
      </c>
      <c r="Y557" s="47" t="s">
        <v>730</v>
      </c>
      <c r="Z557" s="47">
        <v>0</v>
      </c>
      <c r="AA557" s="47" t="s">
        <v>731</v>
      </c>
      <c r="AB557" s="47">
        <v>0</v>
      </c>
      <c r="AC557" s="47" t="s">
        <v>731</v>
      </c>
      <c r="AD557" s="47" t="s">
        <v>731</v>
      </c>
      <c r="AE557" s="47" t="s">
        <v>731</v>
      </c>
      <c r="AF557" s="47">
        <v>0</v>
      </c>
      <c r="AG557" s="47">
        <v>0</v>
      </c>
      <c r="AH557" s="47">
        <v>0</v>
      </c>
      <c r="AI557" s="47" t="s">
        <v>729</v>
      </c>
      <c r="AJ557">
        <v>1</v>
      </c>
      <c r="AK557">
        <v>100</v>
      </c>
    </row>
    <row r="558" spans="1:37" x14ac:dyDescent="0.2">
      <c r="A558" t="s">
        <v>1381</v>
      </c>
      <c r="B558" t="s">
        <v>361</v>
      </c>
      <c r="C558">
        <v>2020</v>
      </c>
      <c r="D558">
        <v>5</v>
      </c>
      <c r="E558" t="s">
        <v>1386</v>
      </c>
      <c r="F558" t="s">
        <v>362</v>
      </c>
      <c r="G558">
        <v>8.635408</v>
      </c>
      <c r="H558" s="20">
        <f>IF(AND(A558=A557,F558=F557,F558="Winter wheat"),G558*0.9*'BAU Management details'!$F$46,
IF(AND(OR(A558&lt;&gt;A557,F558&lt;&gt;F557),F558="Winter wheat"),G558*'BAU Management details'!$F$46,
IF(F558="Oilseed Rape",G558*'BAU Management details'!$F$47)))</f>
        <v>66.838057919999997</v>
      </c>
      <c r="I558" t="s">
        <v>348</v>
      </c>
      <c r="J558">
        <v>10</v>
      </c>
      <c r="K558" t="s">
        <v>362</v>
      </c>
      <c r="L558" t="s">
        <v>751</v>
      </c>
      <c r="M558">
        <v>2.2000000000000002</v>
      </c>
      <c r="N558" t="s">
        <v>349</v>
      </c>
      <c r="O558" t="s">
        <v>742</v>
      </c>
      <c r="P558">
        <v>6.7</v>
      </c>
      <c r="Q558" t="s">
        <v>743</v>
      </c>
      <c r="R558" t="s">
        <v>351</v>
      </c>
      <c r="S558">
        <v>220</v>
      </c>
      <c r="T558" s="47" t="s">
        <v>729</v>
      </c>
      <c r="U558" t="s">
        <v>733</v>
      </c>
      <c r="V558" t="s">
        <v>364</v>
      </c>
      <c r="W558" s="47" t="s">
        <v>736</v>
      </c>
      <c r="X558" s="47">
        <v>0</v>
      </c>
      <c r="Y558" s="47" t="s">
        <v>730</v>
      </c>
      <c r="Z558" s="47">
        <v>0</v>
      </c>
      <c r="AA558" s="47" t="s">
        <v>731</v>
      </c>
      <c r="AB558" s="47">
        <v>0</v>
      </c>
      <c r="AC558" s="47">
        <v>0</v>
      </c>
      <c r="AD558" s="47">
        <v>0</v>
      </c>
      <c r="AE558" s="47" t="s">
        <v>731</v>
      </c>
      <c r="AF558" s="47">
        <v>0</v>
      </c>
      <c r="AG558" s="47">
        <v>0</v>
      </c>
      <c r="AH558" s="47">
        <v>0</v>
      </c>
      <c r="AI558" s="47" t="s">
        <v>729</v>
      </c>
      <c r="AJ558">
        <v>1</v>
      </c>
      <c r="AK558">
        <v>100</v>
      </c>
    </row>
    <row r="559" spans="1:37" x14ac:dyDescent="0.2">
      <c r="A559" t="s">
        <v>1381</v>
      </c>
      <c r="B559" t="s">
        <v>361</v>
      </c>
      <c r="C559">
        <v>2021</v>
      </c>
      <c r="D559">
        <v>6</v>
      </c>
      <c r="E559" t="s">
        <v>1387</v>
      </c>
      <c r="F559" t="s">
        <v>365</v>
      </c>
      <c r="G559">
        <v>8.635408</v>
      </c>
      <c r="H559" s="20">
        <f>IF(AND(A559=A558,F559=F558,F559="Winter wheat"),G559*0.9*'BAU Management details'!$F$46,
IF(AND(OR(A559&lt;&gt;A558,F559&lt;&gt;F558),F559="Winter wheat"),G559*'BAU Management details'!$F$46,
IF(F559="Oilseed Rape",G559*'BAU Management details'!$F$47)))</f>
        <v>30.223928000000001</v>
      </c>
      <c r="I559" t="s">
        <v>348</v>
      </c>
      <c r="J559">
        <v>10</v>
      </c>
      <c r="K559" t="s">
        <v>532</v>
      </c>
      <c r="L559" t="s">
        <v>751</v>
      </c>
      <c r="M559">
        <v>2.2000000000000002</v>
      </c>
      <c r="N559" t="s">
        <v>349</v>
      </c>
      <c r="O559" t="s">
        <v>742</v>
      </c>
      <c r="P559">
        <v>6.7</v>
      </c>
      <c r="Q559" t="s">
        <v>743</v>
      </c>
      <c r="R559" t="s">
        <v>351</v>
      </c>
      <c r="S559">
        <v>220</v>
      </c>
      <c r="T559" s="47" t="s">
        <v>735</v>
      </c>
      <c r="U559" t="s">
        <v>368</v>
      </c>
      <c r="V559" t="s">
        <v>364</v>
      </c>
      <c r="W559" s="47" t="s">
        <v>736</v>
      </c>
      <c r="X559" s="47">
        <v>0</v>
      </c>
      <c r="Y559" s="47" t="s">
        <v>736</v>
      </c>
      <c r="Z559" s="47">
        <v>0</v>
      </c>
      <c r="AA559" s="47" t="s">
        <v>736</v>
      </c>
      <c r="AB559" s="47">
        <v>0</v>
      </c>
      <c r="AC559" s="47">
        <v>0</v>
      </c>
      <c r="AD559" s="47">
        <v>0</v>
      </c>
      <c r="AE559" s="47" t="s">
        <v>731</v>
      </c>
      <c r="AF559" s="47">
        <v>0</v>
      </c>
      <c r="AG559" s="47" t="s">
        <v>731</v>
      </c>
      <c r="AH559" s="47">
        <v>0</v>
      </c>
      <c r="AI559" s="47" t="s">
        <v>735</v>
      </c>
      <c r="AJ559">
        <v>1</v>
      </c>
      <c r="AK559">
        <v>100</v>
      </c>
    </row>
    <row r="560" spans="1:37" x14ac:dyDescent="0.2">
      <c r="A560" t="s">
        <v>1388</v>
      </c>
      <c r="B560" t="s">
        <v>361</v>
      </c>
      <c r="C560">
        <v>2016</v>
      </c>
      <c r="D560">
        <v>1</v>
      </c>
      <c r="E560" t="s">
        <v>1389</v>
      </c>
      <c r="F560" t="s">
        <v>362</v>
      </c>
      <c r="G560">
        <v>12.251681</v>
      </c>
      <c r="H560" s="20">
        <f>IF(AND(A560=A559,F560=F559,F560="Winter wheat"),G560*0.9*'BAU Management details'!$F$46,
IF(AND(OR(A560&lt;&gt;A559,F560&lt;&gt;F559),F560="Winter wheat"),G560*'BAU Management details'!$F$46,
IF(F560="Oilseed Rape",G560*'BAU Management details'!$F$47)))</f>
        <v>105.3644566</v>
      </c>
      <c r="I560" t="s">
        <v>348</v>
      </c>
      <c r="J560">
        <v>10</v>
      </c>
      <c r="K560" t="s">
        <v>362</v>
      </c>
      <c r="L560" t="s">
        <v>751</v>
      </c>
      <c r="M560">
        <v>3.1</v>
      </c>
      <c r="N560" t="s">
        <v>349</v>
      </c>
      <c r="O560" t="s">
        <v>350</v>
      </c>
      <c r="P560">
        <v>7.5</v>
      </c>
      <c r="Q560" t="s">
        <v>728</v>
      </c>
      <c r="R560" t="s">
        <v>351</v>
      </c>
      <c r="S560">
        <v>220</v>
      </c>
      <c r="T560" s="47" t="s">
        <v>729</v>
      </c>
      <c r="U560" t="s">
        <v>366</v>
      </c>
      <c r="V560" t="s">
        <v>367</v>
      </c>
      <c r="W560" s="47" t="s">
        <v>736</v>
      </c>
      <c r="X560" s="47">
        <v>0</v>
      </c>
      <c r="Y560" s="47" t="s">
        <v>730</v>
      </c>
      <c r="Z560" s="47">
        <v>0</v>
      </c>
      <c r="AA560" s="47" t="s">
        <v>731</v>
      </c>
      <c r="AB560" s="47">
        <v>0</v>
      </c>
      <c r="AC560" s="47" t="s">
        <v>731</v>
      </c>
      <c r="AD560" s="47" t="s">
        <v>731</v>
      </c>
      <c r="AE560" s="47" t="s">
        <v>731</v>
      </c>
      <c r="AF560" s="47">
        <v>0</v>
      </c>
      <c r="AG560" s="47">
        <v>0</v>
      </c>
      <c r="AH560" s="47">
        <v>0</v>
      </c>
      <c r="AI560" s="47" t="s">
        <v>729</v>
      </c>
      <c r="AJ560">
        <v>1</v>
      </c>
      <c r="AK560">
        <v>100</v>
      </c>
    </row>
    <row r="561" spans="1:37" x14ac:dyDescent="0.2">
      <c r="A561" t="s">
        <v>1388</v>
      </c>
      <c r="B561" t="s">
        <v>361</v>
      </c>
      <c r="C561">
        <v>2017</v>
      </c>
      <c r="D561">
        <v>2</v>
      </c>
      <c r="E561" t="s">
        <v>1390</v>
      </c>
      <c r="F561" t="s">
        <v>362</v>
      </c>
      <c r="G561">
        <v>12.251681</v>
      </c>
      <c r="H561" s="20">
        <f>IF(AND(A561=A560,F561=F560,F561="Winter wheat"),G561*0.9*'BAU Management details'!$F$46,
IF(AND(OR(A561&lt;&gt;A560,F561&lt;&gt;F560),F561="Winter wheat"),G561*'BAU Management details'!$F$46,
IF(F561="Oilseed Rape",G561*'BAU Management details'!$F$47)))</f>
        <v>94.828010939999999</v>
      </c>
      <c r="I561" t="s">
        <v>348</v>
      </c>
      <c r="J561">
        <v>10</v>
      </c>
      <c r="K561" t="s">
        <v>362</v>
      </c>
      <c r="L561" t="s">
        <v>751</v>
      </c>
      <c r="M561">
        <v>3.1</v>
      </c>
      <c r="N561" t="s">
        <v>349</v>
      </c>
      <c r="O561" t="s">
        <v>350</v>
      </c>
      <c r="P561">
        <v>7.5</v>
      </c>
      <c r="Q561" t="s">
        <v>728</v>
      </c>
      <c r="R561" t="s">
        <v>351</v>
      </c>
      <c r="S561">
        <v>220</v>
      </c>
      <c r="T561" s="47" t="s">
        <v>729</v>
      </c>
      <c r="U561" t="s">
        <v>733</v>
      </c>
      <c r="V561" t="s">
        <v>369</v>
      </c>
      <c r="W561" s="47" t="s">
        <v>736</v>
      </c>
      <c r="X561" s="47">
        <v>0</v>
      </c>
      <c r="Y561" s="47" t="s">
        <v>730</v>
      </c>
      <c r="Z561" s="47">
        <v>0</v>
      </c>
      <c r="AA561" s="47" t="s">
        <v>731</v>
      </c>
      <c r="AB561" s="47">
        <v>0</v>
      </c>
      <c r="AC561" s="47">
        <v>0</v>
      </c>
      <c r="AD561" s="47">
        <v>0</v>
      </c>
      <c r="AE561" s="47" t="s">
        <v>731</v>
      </c>
      <c r="AF561" s="47">
        <v>0</v>
      </c>
      <c r="AG561" s="47">
        <v>0</v>
      </c>
      <c r="AH561" s="47">
        <v>0</v>
      </c>
      <c r="AI561" s="47" t="s">
        <v>729</v>
      </c>
      <c r="AJ561">
        <v>1</v>
      </c>
      <c r="AK561">
        <v>100</v>
      </c>
    </row>
    <row r="562" spans="1:37" x14ac:dyDescent="0.2">
      <c r="A562" t="s">
        <v>1388</v>
      </c>
      <c r="B562" t="s">
        <v>361</v>
      </c>
      <c r="C562">
        <v>2018</v>
      </c>
      <c r="D562">
        <v>3</v>
      </c>
      <c r="E562" t="s">
        <v>1391</v>
      </c>
      <c r="F562" t="s">
        <v>365</v>
      </c>
      <c r="G562">
        <v>12.251681</v>
      </c>
      <c r="H562" s="20">
        <f>IF(AND(A562=A561,F562=F561,F562="Winter wheat"),G562*0.9*'BAU Management details'!$F$46,
IF(AND(OR(A562&lt;&gt;A561,F562&lt;&gt;F561),F562="Winter wheat"),G562*'BAU Management details'!$F$46,
IF(F562="Oilseed Rape",G562*'BAU Management details'!$F$47)))</f>
        <v>42.880883499999996</v>
      </c>
      <c r="I562" t="s">
        <v>348</v>
      </c>
      <c r="J562">
        <v>10</v>
      </c>
      <c r="K562" t="s">
        <v>532</v>
      </c>
      <c r="L562" t="s">
        <v>751</v>
      </c>
      <c r="M562">
        <v>3.1</v>
      </c>
      <c r="N562" t="s">
        <v>349</v>
      </c>
      <c r="O562" t="s">
        <v>350</v>
      </c>
      <c r="P562">
        <v>7.5</v>
      </c>
      <c r="Q562" t="s">
        <v>728</v>
      </c>
      <c r="R562" t="s">
        <v>351</v>
      </c>
      <c r="S562">
        <v>220</v>
      </c>
      <c r="T562" s="47" t="s">
        <v>735</v>
      </c>
      <c r="U562" t="s">
        <v>368</v>
      </c>
      <c r="V562" t="s">
        <v>364</v>
      </c>
      <c r="W562" s="47" t="s">
        <v>736</v>
      </c>
      <c r="X562" s="47">
        <v>0</v>
      </c>
      <c r="Y562" s="47" t="s">
        <v>736</v>
      </c>
      <c r="Z562" s="47">
        <v>0</v>
      </c>
      <c r="AA562" s="47" t="s">
        <v>736</v>
      </c>
      <c r="AB562" s="47">
        <v>0</v>
      </c>
      <c r="AC562" s="47">
        <v>0</v>
      </c>
      <c r="AD562" s="47">
        <v>0</v>
      </c>
      <c r="AE562" s="47" t="s">
        <v>731</v>
      </c>
      <c r="AF562" s="47">
        <v>0</v>
      </c>
      <c r="AG562" s="47" t="s">
        <v>731</v>
      </c>
      <c r="AH562" s="47">
        <v>0</v>
      </c>
      <c r="AI562" s="47" t="s">
        <v>735</v>
      </c>
      <c r="AJ562">
        <v>1</v>
      </c>
      <c r="AK562">
        <v>100</v>
      </c>
    </row>
    <row r="563" spans="1:37" x14ac:dyDescent="0.2">
      <c r="A563" t="s">
        <v>1388</v>
      </c>
      <c r="B563" t="s">
        <v>361</v>
      </c>
      <c r="C563">
        <v>2019</v>
      </c>
      <c r="D563">
        <v>4</v>
      </c>
      <c r="E563" t="s">
        <v>1392</v>
      </c>
      <c r="F563" t="s">
        <v>362</v>
      </c>
      <c r="G563">
        <v>12.251681</v>
      </c>
      <c r="H563" s="20">
        <f>IF(AND(A563=A562,F563=F562,F563="Winter wheat"),G563*0.9*'BAU Management details'!$F$46,
IF(AND(OR(A563&lt;&gt;A562,F563&lt;&gt;F562),F563="Winter wheat"),G563*'BAU Management details'!$F$46,
IF(F563="Oilseed Rape",G563*'BAU Management details'!$F$47)))</f>
        <v>105.3644566</v>
      </c>
      <c r="I563" t="s">
        <v>348</v>
      </c>
      <c r="J563">
        <v>10</v>
      </c>
      <c r="K563" t="s">
        <v>362</v>
      </c>
      <c r="L563" t="s">
        <v>751</v>
      </c>
      <c r="M563">
        <v>3.1</v>
      </c>
      <c r="N563" t="s">
        <v>349</v>
      </c>
      <c r="O563" t="s">
        <v>350</v>
      </c>
      <c r="P563">
        <v>7.5</v>
      </c>
      <c r="Q563" t="s">
        <v>728</v>
      </c>
      <c r="R563" t="s">
        <v>351</v>
      </c>
      <c r="S563">
        <v>220</v>
      </c>
      <c r="T563" s="47" t="s">
        <v>729</v>
      </c>
      <c r="U563" t="s">
        <v>366</v>
      </c>
      <c r="V563" t="s">
        <v>367</v>
      </c>
      <c r="W563" s="47" t="s">
        <v>736</v>
      </c>
      <c r="X563" s="47">
        <v>0</v>
      </c>
      <c r="Y563" s="47" t="s">
        <v>730</v>
      </c>
      <c r="Z563" s="47">
        <v>0</v>
      </c>
      <c r="AA563" s="47" t="s">
        <v>731</v>
      </c>
      <c r="AB563" s="47">
        <v>0</v>
      </c>
      <c r="AC563" s="47" t="s">
        <v>731</v>
      </c>
      <c r="AD563" s="47" t="s">
        <v>731</v>
      </c>
      <c r="AE563" s="47" t="s">
        <v>731</v>
      </c>
      <c r="AF563" s="47">
        <v>0</v>
      </c>
      <c r="AG563" s="47">
        <v>0</v>
      </c>
      <c r="AH563" s="47">
        <v>0</v>
      </c>
      <c r="AI563" s="47" t="s">
        <v>729</v>
      </c>
      <c r="AJ563">
        <v>1</v>
      </c>
      <c r="AK563">
        <v>100</v>
      </c>
    </row>
    <row r="564" spans="1:37" x14ac:dyDescent="0.2">
      <c r="A564" t="s">
        <v>1388</v>
      </c>
      <c r="B564" t="s">
        <v>361</v>
      </c>
      <c r="C564">
        <v>2020</v>
      </c>
      <c r="D564">
        <v>5</v>
      </c>
      <c r="E564" t="s">
        <v>1393</v>
      </c>
      <c r="F564" t="s">
        <v>362</v>
      </c>
      <c r="G564">
        <v>12.251681</v>
      </c>
      <c r="H564" s="20">
        <f>IF(AND(A564=A563,F564=F563,F564="Winter wheat"),G564*0.9*'BAU Management details'!$F$46,
IF(AND(OR(A564&lt;&gt;A563,F564&lt;&gt;F563),F564="Winter wheat"),G564*'BAU Management details'!$F$46,
IF(F564="Oilseed Rape",G564*'BAU Management details'!$F$47)))</f>
        <v>94.828010939999999</v>
      </c>
      <c r="I564" t="s">
        <v>348</v>
      </c>
      <c r="J564">
        <v>10</v>
      </c>
      <c r="K564" t="s">
        <v>362</v>
      </c>
      <c r="L564" t="s">
        <v>751</v>
      </c>
      <c r="M564">
        <v>3.1</v>
      </c>
      <c r="N564" t="s">
        <v>349</v>
      </c>
      <c r="O564" t="s">
        <v>350</v>
      </c>
      <c r="P564">
        <v>7.5</v>
      </c>
      <c r="Q564" t="s">
        <v>728</v>
      </c>
      <c r="R564" t="s">
        <v>351</v>
      </c>
      <c r="S564">
        <v>220</v>
      </c>
      <c r="T564" s="47" t="s">
        <v>729</v>
      </c>
      <c r="U564" t="s">
        <v>733</v>
      </c>
      <c r="V564" t="s">
        <v>369</v>
      </c>
      <c r="W564" s="47" t="s">
        <v>736</v>
      </c>
      <c r="X564" s="47">
        <v>0</v>
      </c>
      <c r="Y564" s="47" t="s">
        <v>730</v>
      </c>
      <c r="Z564" s="47">
        <v>0</v>
      </c>
      <c r="AA564" s="47" t="s">
        <v>731</v>
      </c>
      <c r="AB564" s="47">
        <v>0</v>
      </c>
      <c r="AC564" s="47">
        <v>0</v>
      </c>
      <c r="AD564" s="47">
        <v>0</v>
      </c>
      <c r="AE564" s="47" t="s">
        <v>731</v>
      </c>
      <c r="AF564" s="47">
        <v>0</v>
      </c>
      <c r="AG564" s="47">
        <v>0</v>
      </c>
      <c r="AH564" s="47">
        <v>0</v>
      </c>
      <c r="AI564" s="47" t="s">
        <v>729</v>
      </c>
      <c r="AJ564">
        <v>1</v>
      </c>
      <c r="AK564">
        <v>100</v>
      </c>
    </row>
    <row r="565" spans="1:37" x14ac:dyDescent="0.2">
      <c r="A565" t="s">
        <v>1388</v>
      </c>
      <c r="B565" t="s">
        <v>361</v>
      </c>
      <c r="C565">
        <v>2021</v>
      </c>
      <c r="D565">
        <v>6</v>
      </c>
      <c r="E565" t="s">
        <v>1394</v>
      </c>
      <c r="F565" t="s">
        <v>365</v>
      </c>
      <c r="G565">
        <v>12.251681</v>
      </c>
      <c r="H565" s="20">
        <f>IF(AND(A565=A564,F565=F564,F565="Winter wheat"),G565*0.9*'BAU Management details'!$F$46,
IF(AND(OR(A565&lt;&gt;A564,F565&lt;&gt;F564),F565="Winter wheat"),G565*'BAU Management details'!$F$46,
IF(F565="Oilseed Rape",G565*'BAU Management details'!$F$47)))</f>
        <v>42.880883499999996</v>
      </c>
      <c r="I565" t="s">
        <v>348</v>
      </c>
      <c r="J565">
        <v>10</v>
      </c>
      <c r="K565" t="s">
        <v>532</v>
      </c>
      <c r="L565" t="s">
        <v>751</v>
      </c>
      <c r="M565">
        <v>3.1</v>
      </c>
      <c r="N565" t="s">
        <v>349</v>
      </c>
      <c r="O565" t="s">
        <v>350</v>
      </c>
      <c r="P565">
        <v>7.5</v>
      </c>
      <c r="Q565" t="s">
        <v>728</v>
      </c>
      <c r="R565" t="s">
        <v>351</v>
      </c>
      <c r="S565">
        <v>220</v>
      </c>
      <c r="T565" s="47" t="s">
        <v>735</v>
      </c>
      <c r="U565" t="s">
        <v>368</v>
      </c>
      <c r="V565" t="s">
        <v>364</v>
      </c>
      <c r="W565" s="47" t="s">
        <v>736</v>
      </c>
      <c r="X565" s="47">
        <v>0</v>
      </c>
      <c r="Y565" s="47" t="s">
        <v>736</v>
      </c>
      <c r="Z565" s="47">
        <v>0</v>
      </c>
      <c r="AA565" s="47" t="s">
        <v>736</v>
      </c>
      <c r="AB565" s="47">
        <v>0</v>
      </c>
      <c r="AC565" s="47">
        <v>0</v>
      </c>
      <c r="AD565" s="47">
        <v>0</v>
      </c>
      <c r="AE565" s="47" t="s">
        <v>731</v>
      </c>
      <c r="AF565" s="47">
        <v>0</v>
      </c>
      <c r="AG565" s="47" t="s">
        <v>731</v>
      </c>
      <c r="AH565" s="47">
        <v>0</v>
      </c>
      <c r="AI565" s="47" t="s">
        <v>735</v>
      </c>
      <c r="AJ565">
        <v>1</v>
      </c>
      <c r="AK565">
        <v>100</v>
      </c>
    </row>
    <row r="566" spans="1:37" x14ac:dyDescent="0.2">
      <c r="A566" t="s">
        <v>1395</v>
      </c>
      <c r="B566" t="s">
        <v>361</v>
      </c>
      <c r="C566">
        <v>2016</v>
      </c>
      <c r="D566">
        <v>1</v>
      </c>
      <c r="E566" t="s">
        <v>1396</v>
      </c>
      <c r="F566" t="s">
        <v>362</v>
      </c>
      <c r="G566">
        <v>2.729822</v>
      </c>
      <c r="H566" s="20">
        <f>IF(AND(A566=A565,F566=F565,F566="Winter wheat"),G566*0.9*'BAU Management details'!$F$46,
IF(AND(OR(A566&lt;&gt;A565,F566&lt;&gt;F565),F566="Winter wheat"),G566*'BAU Management details'!$F$46,
IF(F566="Oilseed Rape",G566*'BAU Management details'!$F$47)))</f>
        <v>23.4764692</v>
      </c>
      <c r="I566" t="s">
        <v>348</v>
      </c>
      <c r="J566">
        <v>10</v>
      </c>
      <c r="K566" t="s">
        <v>362</v>
      </c>
      <c r="L566" t="s">
        <v>751</v>
      </c>
      <c r="M566">
        <v>3.1</v>
      </c>
      <c r="N566" t="s">
        <v>349</v>
      </c>
      <c r="O566" t="s">
        <v>350</v>
      </c>
      <c r="P566">
        <v>7.5</v>
      </c>
      <c r="Q566" t="s">
        <v>728</v>
      </c>
      <c r="R566" t="s">
        <v>351</v>
      </c>
      <c r="S566">
        <v>220</v>
      </c>
      <c r="T566" s="47" t="s">
        <v>729</v>
      </c>
      <c r="U566" t="s">
        <v>366</v>
      </c>
      <c r="V566" t="s">
        <v>367</v>
      </c>
      <c r="W566" s="47" t="s">
        <v>736</v>
      </c>
      <c r="X566" s="47">
        <v>0</v>
      </c>
      <c r="Y566" s="47" t="s">
        <v>730</v>
      </c>
      <c r="Z566" s="47">
        <v>0</v>
      </c>
      <c r="AA566" s="47" t="s">
        <v>731</v>
      </c>
      <c r="AB566" s="47">
        <v>0</v>
      </c>
      <c r="AC566" s="47" t="s">
        <v>731</v>
      </c>
      <c r="AD566" s="47" t="s">
        <v>731</v>
      </c>
      <c r="AE566" s="47" t="s">
        <v>731</v>
      </c>
      <c r="AF566" s="47">
        <v>0</v>
      </c>
      <c r="AG566" s="47">
        <v>0</v>
      </c>
      <c r="AH566" s="47">
        <v>0</v>
      </c>
      <c r="AI566" s="47" t="s">
        <v>729</v>
      </c>
      <c r="AJ566">
        <v>1</v>
      </c>
      <c r="AK566">
        <v>100</v>
      </c>
    </row>
    <row r="567" spans="1:37" x14ac:dyDescent="0.2">
      <c r="A567" t="s">
        <v>1395</v>
      </c>
      <c r="B567" t="s">
        <v>361</v>
      </c>
      <c r="C567">
        <v>2017</v>
      </c>
      <c r="D567">
        <v>2</v>
      </c>
      <c r="E567" t="s">
        <v>1397</v>
      </c>
      <c r="F567" t="s">
        <v>362</v>
      </c>
      <c r="G567">
        <v>2.729822</v>
      </c>
      <c r="H567" s="20">
        <f>IF(AND(A567=A566,F567=F566,F567="Winter wheat"),G567*0.9*'BAU Management details'!$F$46,
IF(AND(OR(A567&lt;&gt;A566,F567&lt;&gt;F566),F567="Winter wheat"),G567*'BAU Management details'!$F$46,
IF(F567="Oilseed Rape",G567*'BAU Management details'!$F$47)))</f>
        <v>21.128822279999998</v>
      </c>
      <c r="I567" t="s">
        <v>348</v>
      </c>
      <c r="J567">
        <v>10</v>
      </c>
      <c r="K567" t="s">
        <v>362</v>
      </c>
      <c r="L567" t="s">
        <v>751</v>
      </c>
      <c r="M567">
        <v>3.1</v>
      </c>
      <c r="N567" t="s">
        <v>349</v>
      </c>
      <c r="O567" t="s">
        <v>350</v>
      </c>
      <c r="P567">
        <v>7.5</v>
      </c>
      <c r="Q567" t="s">
        <v>728</v>
      </c>
      <c r="R567" t="s">
        <v>351</v>
      </c>
      <c r="S567">
        <v>220</v>
      </c>
      <c r="T567" s="47" t="s">
        <v>729</v>
      </c>
      <c r="U567" t="s">
        <v>733</v>
      </c>
      <c r="V567" t="s">
        <v>369</v>
      </c>
      <c r="W567" s="47" t="s">
        <v>736</v>
      </c>
      <c r="X567" s="47">
        <v>0</v>
      </c>
      <c r="Y567" s="47" t="s">
        <v>730</v>
      </c>
      <c r="Z567" s="47">
        <v>0</v>
      </c>
      <c r="AA567" s="47" t="s">
        <v>731</v>
      </c>
      <c r="AB567" s="47">
        <v>0</v>
      </c>
      <c r="AC567" s="47">
        <v>0</v>
      </c>
      <c r="AD567" s="47">
        <v>0</v>
      </c>
      <c r="AE567" s="47" t="s">
        <v>731</v>
      </c>
      <c r="AF567" s="47">
        <v>0</v>
      </c>
      <c r="AG567" s="47">
        <v>0</v>
      </c>
      <c r="AH567" s="47">
        <v>0</v>
      </c>
      <c r="AI567" s="47" t="s">
        <v>729</v>
      </c>
      <c r="AJ567">
        <v>1</v>
      </c>
      <c r="AK567">
        <v>100</v>
      </c>
    </row>
    <row r="568" spans="1:37" x14ac:dyDescent="0.2">
      <c r="A568" t="s">
        <v>1395</v>
      </c>
      <c r="B568" t="s">
        <v>361</v>
      </c>
      <c r="C568">
        <v>2018</v>
      </c>
      <c r="D568">
        <v>3</v>
      </c>
      <c r="E568" t="s">
        <v>1398</v>
      </c>
      <c r="F568" t="s">
        <v>365</v>
      </c>
      <c r="G568">
        <v>2.729822</v>
      </c>
      <c r="H568" s="20">
        <f>IF(AND(A568=A567,F568=F567,F568="Winter wheat"),G568*0.9*'BAU Management details'!$F$46,
IF(AND(OR(A568&lt;&gt;A567,F568&lt;&gt;F567),F568="Winter wheat"),G568*'BAU Management details'!$F$46,
IF(F568="Oilseed Rape",G568*'BAU Management details'!$F$47)))</f>
        <v>9.5543770000000006</v>
      </c>
      <c r="I568" t="s">
        <v>348</v>
      </c>
      <c r="J568">
        <v>10</v>
      </c>
      <c r="K568" t="s">
        <v>532</v>
      </c>
      <c r="L568" t="s">
        <v>751</v>
      </c>
      <c r="M568">
        <v>3.1</v>
      </c>
      <c r="N568" t="s">
        <v>349</v>
      </c>
      <c r="O568" t="s">
        <v>350</v>
      </c>
      <c r="P568">
        <v>7.5</v>
      </c>
      <c r="Q568" t="s">
        <v>728</v>
      </c>
      <c r="R568" t="s">
        <v>351</v>
      </c>
      <c r="S568">
        <v>220</v>
      </c>
      <c r="T568" s="47" t="s">
        <v>735</v>
      </c>
      <c r="U568" t="s">
        <v>368</v>
      </c>
      <c r="V568" t="s">
        <v>364</v>
      </c>
      <c r="W568" s="47" t="s">
        <v>736</v>
      </c>
      <c r="X568" s="47">
        <v>0</v>
      </c>
      <c r="Y568" s="47" t="s">
        <v>736</v>
      </c>
      <c r="Z568" s="47">
        <v>0</v>
      </c>
      <c r="AA568" s="47" t="s">
        <v>736</v>
      </c>
      <c r="AB568" s="47">
        <v>0</v>
      </c>
      <c r="AC568" s="47">
        <v>0</v>
      </c>
      <c r="AD568" s="47">
        <v>0</v>
      </c>
      <c r="AE568" s="47" t="s">
        <v>731</v>
      </c>
      <c r="AF568" s="47">
        <v>0</v>
      </c>
      <c r="AG568" s="47" t="s">
        <v>731</v>
      </c>
      <c r="AH568" s="47">
        <v>0</v>
      </c>
      <c r="AI568" s="47" t="s">
        <v>735</v>
      </c>
      <c r="AJ568">
        <v>1</v>
      </c>
      <c r="AK568">
        <v>100</v>
      </c>
    </row>
    <row r="569" spans="1:37" x14ac:dyDescent="0.2">
      <c r="A569" t="s">
        <v>1395</v>
      </c>
      <c r="B569" t="s">
        <v>361</v>
      </c>
      <c r="C569">
        <v>2019</v>
      </c>
      <c r="D569">
        <v>4</v>
      </c>
      <c r="E569" t="s">
        <v>1399</v>
      </c>
      <c r="F569" t="s">
        <v>362</v>
      </c>
      <c r="G569">
        <v>2.729822</v>
      </c>
      <c r="H569" s="20">
        <f>IF(AND(A569=A568,F569=F568,F569="Winter wheat"),G569*0.9*'BAU Management details'!$F$46,
IF(AND(OR(A569&lt;&gt;A568,F569&lt;&gt;F568),F569="Winter wheat"),G569*'BAU Management details'!$F$46,
IF(F569="Oilseed Rape",G569*'BAU Management details'!$F$47)))</f>
        <v>23.4764692</v>
      </c>
      <c r="I569" t="s">
        <v>348</v>
      </c>
      <c r="J569">
        <v>10</v>
      </c>
      <c r="K569" t="s">
        <v>362</v>
      </c>
      <c r="L569" t="s">
        <v>751</v>
      </c>
      <c r="M569">
        <v>3.1</v>
      </c>
      <c r="N569" t="s">
        <v>349</v>
      </c>
      <c r="O569" t="s">
        <v>350</v>
      </c>
      <c r="P569">
        <v>7.5</v>
      </c>
      <c r="Q569" t="s">
        <v>728</v>
      </c>
      <c r="R569" t="s">
        <v>351</v>
      </c>
      <c r="S569">
        <v>220</v>
      </c>
      <c r="T569" s="47" t="s">
        <v>729</v>
      </c>
      <c r="U569" t="s">
        <v>366</v>
      </c>
      <c r="V569" t="s">
        <v>367</v>
      </c>
      <c r="W569" s="47" t="s">
        <v>736</v>
      </c>
      <c r="X569" s="47">
        <v>0</v>
      </c>
      <c r="Y569" s="47" t="s">
        <v>730</v>
      </c>
      <c r="Z569" s="47">
        <v>0</v>
      </c>
      <c r="AA569" s="47" t="s">
        <v>731</v>
      </c>
      <c r="AB569" s="47">
        <v>0</v>
      </c>
      <c r="AC569" s="47" t="s">
        <v>731</v>
      </c>
      <c r="AD569" s="47" t="s">
        <v>731</v>
      </c>
      <c r="AE569" s="47" t="s">
        <v>731</v>
      </c>
      <c r="AF569" s="47">
        <v>0</v>
      </c>
      <c r="AG569" s="47">
        <v>0</v>
      </c>
      <c r="AH569" s="47">
        <v>0</v>
      </c>
      <c r="AI569" s="47" t="s">
        <v>729</v>
      </c>
      <c r="AJ569">
        <v>1</v>
      </c>
      <c r="AK569">
        <v>100</v>
      </c>
    </row>
    <row r="570" spans="1:37" x14ac:dyDescent="0.2">
      <c r="A570" t="s">
        <v>1395</v>
      </c>
      <c r="B570" t="s">
        <v>361</v>
      </c>
      <c r="C570">
        <v>2020</v>
      </c>
      <c r="D570">
        <v>5</v>
      </c>
      <c r="E570" t="s">
        <v>1400</v>
      </c>
      <c r="F570" t="s">
        <v>362</v>
      </c>
      <c r="G570">
        <v>2.729822</v>
      </c>
      <c r="H570" s="20">
        <f>IF(AND(A570=A569,F570=F569,F570="Winter wheat"),G570*0.9*'BAU Management details'!$F$46,
IF(AND(OR(A570&lt;&gt;A569,F570&lt;&gt;F569),F570="Winter wheat"),G570*'BAU Management details'!$F$46,
IF(F570="Oilseed Rape",G570*'BAU Management details'!$F$47)))</f>
        <v>21.128822279999998</v>
      </c>
      <c r="I570" t="s">
        <v>348</v>
      </c>
      <c r="J570">
        <v>10</v>
      </c>
      <c r="K570" t="s">
        <v>362</v>
      </c>
      <c r="L570" t="s">
        <v>751</v>
      </c>
      <c r="M570">
        <v>3.1</v>
      </c>
      <c r="N570" t="s">
        <v>349</v>
      </c>
      <c r="O570" t="s">
        <v>350</v>
      </c>
      <c r="P570">
        <v>7.5</v>
      </c>
      <c r="Q570" t="s">
        <v>728</v>
      </c>
      <c r="R570" t="s">
        <v>351</v>
      </c>
      <c r="S570">
        <v>220</v>
      </c>
      <c r="T570" s="47" t="s">
        <v>729</v>
      </c>
      <c r="U570" t="s">
        <v>733</v>
      </c>
      <c r="V570" t="s">
        <v>369</v>
      </c>
      <c r="W570" s="47" t="s">
        <v>736</v>
      </c>
      <c r="X570" s="47">
        <v>0</v>
      </c>
      <c r="Y570" s="47" t="s">
        <v>730</v>
      </c>
      <c r="Z570" s="47">
        <v>0</v>
      </c>
      <c r="AA570" s="47" t="s">
        <v>731</v>
      </c>
      <c r="AB570" s="47">
        <v>0</v>
      </c>
      <c r="AC570" s="47">
        <v>0</v>
      </c>
      <c r="AD570" s="47">
        <v>0</v>
      </c>
      <c r="AE570" s="47" t="s">
        <v>731</v>
      </c>
      <c r="AF570" s="47">
        <v>0</v>
      </c>
      <c r="AG570" s="47">
        <v>0</v>
      </c>
      <c r="AH570" s="47">
        <v>0</v>
      </c>
      <c r="AI570" s="47" t="s">
        <v>729</v>
      </c>
      <c r="AJ570">
        <v>1</v>
      </c>
      <c r="AK570">
        <v>100</v>
      </c>
    </row>
    <row r="571" spans="1:37" x14ac:dyDescent="0.2">
      <c r="A571" t="s">
        <v>1395</v>
      </c>
      <c r="B571" t="s">
        <v>361</v>
      </c>
      <c r="C571">
        <v>2021</v>
      </c>
      <c r="D571">
        <v>6</v>
      </c>
      <c r="E571" t="s">
        <v>1401</v>
      </c>
      <c r="F571" t="s">
        <v>365</v>
      </c>
      <c r="G571">
        <v>2.729822</v>
      </c>
      <c r="H571" s="20">
        <f>IF(AND(A571=A570,F571=F570,F571="Winter wheat"),G571*0.9*'BAU Management details'!$F$46,
IF(AND(OR(A571&lt;&gt;A570,F571&lt;&gt;F570),F571="Winter wheat"),G571*'BAU Management details'!$F$46,
IF(F571="Oilseed Rape",G571*'BAU Management details'!$F$47)))</f>
        <v>9.5543770000000006</v>
      </c>
      <c r="I571" t="s">
        <v>348</v>
      </c>
      <c r="J571">
        <v>10</v>
      </c>
      <c r="K571" t="s">
        <v>532</v>
      </c>
      <c r="L571" t="s">
        <v>751</v>
      </c>
      <c r="M571">
        <v>3.1</v>
      </c>
      <c r="N571" t="s">
        <v>349</v>
      </c>
      <c r="O571" t="s">
        <v>350</v>
      </c>
      <c r="P571">
        <v>7.5</v>
      </c>
      <c r="Q571" t="s">
        <v>728</v>
      </c>
      <c r="R571" t="s">
        <v>351</v>
      </c>
      <c r="S571">
        <v>220</v>
      </c>
      <c r="T571" s="47" t="s">
        <v>735</v>
      </c>
      <c r="U571" t="s">
        <v>368</v>
      </c>
      <c r="V571" t="s">
        <v>364</v>
      </c>
      <c r="W571" s="47" t="s">
        <v>736</v>
      </c>
      <c r="X571" s="47">
        <v>0</v>
      </c>
      <c r="Y571" s="47" t="s">
        <v>736</v>
      </c>
      <c r="Z571" s="47">
        <v>0</v>
      </c>
      <c r="AA571" s="47" t="s">
        <v>736</v>
      </c>
      <c r="AB571" s="47">
        <v>0</v>
      </c>
      <c r="AC571" s="47">
        <v>0</v>
      </c>
      <c r="AD571" s="47">
        <v>0</v>
      </c>
      <c r="AE571" s="47" t="s">
        <v>731</v>
      </c>
      <c r="AF571" s="47">
        <v>0</v>
      </c>
      <c r="AG571" s="47" t="s">
        <v>731</v>
      </c>
      <c r="AH571" s="47">
        <v>0</v>
      </c>
      <c r="AI571" s="47" t="s">
        <v>735</v>
      </c>
      <c r="AJ571">
        <v>1</v>
      </c>
      <c r="AK571">
        <v>100</v>
      </c>
    </row>
    <row r="572" spans="1:37" x14ac:dyDescent="0.2">
      <c r="A572" t="s">
        <v>1402</v>
      </c>
      <c r="B572" t="s">
        <v>361</v>
      </c>
      <c r="C572">
        <v>2016</v>
      </c>
      <c r="D572">
        <v>1</v>
      </c>
      <c r="E572" t="s">
        <v>1403</v>
      </c>
      <c r="F572" t="s">
        <v>362</v>
      </c>
      <c r="G572">
        <v>4.3670460000000002</v>
      </c>
      <c r="H572" s="20">
        <f>IF(AND(A572=A571,F572=F571,F572="Winter wheat"),G572*0.9*'BAU Management details'!$F$46,
IF(AND(OR(A572&lt;&gt;A571,F572&lt;&gt;F571),F572="Winter wheat"),G572*'BAU Management details'!$F$46,
IF(F572="Oilseed Rape",G572*'BAU Management details'!$F$47)))</f>
        <v>37.556595600000001</v>
      </c>
      <c r="I572" t="s">
        <v>348</v>
      </c>
      <c r="J572">
        <v>10</v>
      </c>
      <c r="K572" t="s">
        <v>362</v>
      </c>
      <c r="L572" t="s">
        <v>727</v>
      </c>
      <c r="M572">
        <v>3.1</v>
      </c>
      <c r="N572" t="s">
        <v>349</v>
      </c>
      <c r="O572" t="s">
        <v>350</v>
      </c>
      <c r="P572">
        <v>7.5</v>
      </c>
      <c r="Q572" t="s">
        <v>728</v>
      </c>
      <c r="R572" t="s">
        <v>351</v>
      </c>
      <c r="S572">
        <v>220</v>
      </c>
      <c r="T572" s="47" t="s">
        <v>729</v>
      </c>
      <c r="U572" t="s">
        <v>366</v>
      </c>
      <c r="V572" t="s">
        <v>367</v>
      </c>
      <c r="W572" s="47" t="s">
        <v>736</v>
      </c>
      <c r="X572" s="47">
        <v>0</v>
      </c>
      <c r="Y572" s="47" t="s">
        <v>730</v>
      </c>
      <c r="Z572" s="47">
        <v>0</v>
      </c>
      <c r="AA572" s="47" t="s">
        <v>731</v>
      </c>
      <c r="AB572" s="47">
        <v>0</v>
      </c>
      <c r="AC572" s="47" t="s">
        <v>731</v>
      </c>
      <c r="AD572" s="47" t="s">
        <v>731</v>
      </c>
      <c r="AE572" s="47" t="s">
        <v>731</v>
      </c>
      <c r="AF572" s="47">
        <v>0</v>
      </c>
      <c r="AG572" s="47">
        <v>0</v>
      </c>
      <c r="AH572" s="47">
        <v>0</v>
      </c>
      <c r="AI572" s="47" t="s">
        <v>729</v>
      </c>
      <c r="AJ572">
        <v>1</v>
      </c>
      <c r="AK572">
        <v>100</v>
      </c>
    </row>
    <row r="573" spans="1:37" x14ac:dyDescent="0.2">
      <c r="A573" t="s">
        <v>1402</v>
      </c>
      <c r="B573" t="s">
        <v>361</v>
      </c>
      <c r="C573">
        <v>2017</v>
      </c>
      <c r="D573">
        <v>2</v>
      </c>
      <c r="E573" t="s">
        <v>1404</v>
      </c>
      <c r="F573" t="s">
        <v>362</v>
      </c>
      <c r="G573">
        <v>4.3670460000000002</v>
      </c>
      <c r="H573" s="20">
        <f>IF(AND(A573=A572,F573=F572,F573="Winter wheat"),G573*0.9*'BAU Management details'!$F$46,
IF(AND(OR(A573&lt;&gt;A572,F573&lt;&gt;F572),F573="Winter wheat"),G573*'BAU Management details'!$F$46,
IF(F573="Oilseed Rape",G573*'BAU Management details'!$F$47)))</f>
        <v>33.800936039999996</v>
      </c>
      <c r="I573" t="s">
        <v>348</v>
      </c>
      <c r="J573">
        <v>10</v>
      </c>
      <c r="K573" t="s">
        <v>362</v>
      </c>
      <c r="L573" t="s">
        <v>727</v>
      </c>
      <c r="M573">
        <v>3.1</v>
      </c>
      <c r="N573" t="s">
        <v>349</v>
      </c>
      <c r="O573" t="s">
        <v>350</v>
      </c>
      <c r="P573">
        <v>7.5</v>
      </c>
      <c r="Q573" t="s">
        <v>728</v>
      </c>
      <c r="R573" t="s">
        <v>351</v>
      </c>
      <c r="S573">
        <v>220</v>
      </c>
      <c r="T573" s="47" t="s">
        <v>729</v>
      </c>
      <c r="U573" t="s">
        <v>733</v>
      </c>
      <c r="V573" t="s">
        <v>369</v>
      </c>
      <c r="W573" s="47" t="s">
        <v>736</v>
      </c>
      <c r="X573" s="47">
        <v>0</v>
      </c>
      <c r="Y573" s="47" t="s">
        <v>730</v>
      </c>
      <c r="Z573" s="47">
        <v>0</v>
      </c>
      <c r="AA573" s="47" t="s">
        <v>731</v>
      </c>
      <c r="AB573" s="47">
        <v>0</v>
      </c>
      <c r="AC573" s="47">
        <v>0</v>
      </c>
      <c r="AD573" s="47">
        <v>0</v>
      </c>
      <c r="AE573" s="47" t="s">
        <v>731</v>
      </c>
      <c r="AF573" s="47">
        <v>0</v>
      </c>
      <c r="AG573" s="47">
        <v>0</v>
      </c>
      <c r="AH573" s="47">
        <v>0</v>
      </c>
      <c r="AI573" s="47" t="s">
        <v>729</v>
      </c>
      <c r="AJ573">
        <v>1</v>
      </c>
      <c r="AK573">
        <v>100</v>
      </c>
    </row>
    <row r="574" spans="1:37" x14ac:dyDescent="0.2">
      <c r="A574" t="s">
        <v>1402</v>
      </c>
      <c r="B574" t="s">
        <v>361</v>
      </c>
      <c r="C574">
        <v>2018</v>
      </c>
      <c r="D574">
        <v>3</v>
      </c>
      <c r="E574" t="s">
        <v>1405</v>
      </c>
      <c r="F574" t="s">
        <v>365</v>
      </c>
      <c r="G574">
        <v>4.3670460000000002</v>
      </c>
      <c r="H574" s="20">
        <f>IF(AND(A574=A573,F574=F573,F574="Winter wheat"),G574*0.9*'BAU Management details'!$F$46,
IF(AND(OR(A574&lt;&gt;A573,F574&lt;&gt;F573),F574="Winter wheat"),G574*'BAU Management details'!$F$46,
IF(F574="Oilseed Rape",G574*'BAU Management details'!$F$47)))</f>
        <v>15.284661</v>
      </c>
      <c r="I574" t="s">
        <v>348</v>
      </c>
      <c r="J574">
        <v>10</v>
      </c>
      <c r="K574" t="s">
        <v>532</v>
      </c>
      <c r="L574" t="s">
        <v>727</v>
      </c>
      <c r="M574">
        <v>3.1</v>
      </c>
      <c r="N574" t="s">
        <v>349</v>
      </c>
      <c r="O574" t="s">
        <v>350</v>
      </c>
      <c r="P574">
        <v>7.5</v>
      </c>
      <c r="Q574" t="s">
        <v>728</v>
      </c>
      <c r="R574" t="s">
        <v>351</v>
      </c>
      <c r="S574">
        <v>220</v>
      </c>
      <c r="T574" s="47" t="s">
        <v>735</v>
      </c>
      <c r="U574" t="s">
        <v>368</v>
      </c>
      <c r="V574" t="s">
        <v>364</v>
      </c>
      <c r="W574" s="47" t="s">
        <v>736</v>
      </c>
      <c r="X574" s="47">
        <v>0</v>
      </c>
      <c r="Y574" s="47" t="s">
        <v>736</v>
      </c>
      <c r="Z574" s="47">
        <v>0</v>
      </c>
      <c r="AA574" s="47" t="s">
        <v>736</v>
      </c>
      <c r="AB574" s="47">
        <v>0</v>
      </c>
      <c r="AC574" s="47">
        <v>0</v>
      </c>
      <c r="AD574" s="47">
        <v>0</v>
      </c>
      <c r="AE574" s="47" t="s">
        <v>731</v>
      </c>
      <c r="AF574" s="47">
        <v>0</v>
      </c>
      <c r="AG574" s="47" t="s">
        <v>731</v>
      </c>
      <c r="AH574" s="47">
        <v>0</v>
      </c>
      <c r="AI574" s="47" t="s">
        <v>735</v>
      </c>
      <c r="AJ574">
        <v>1</v>
      </c>
      <c r="AK574">
        <v>100</v>
      </c>
    </row>
    <row r="575" spans="1:37" x14ac:dyDescent="0.2">
      <c r="A575" t="s">
        <v>1402</v>
      </c>
      <c r="B575" t="s">
        <v>361</v>
      </c>
      <c r="C575">
        <v>2019</v>
      </c>
      <c r="D575">
        <v>4</v>
      </c>
      <c r="E575" t="s">
        <v>1406</v>
      </c>
      <c r="F575" t="s">
        <v>362</v>
      </c>
      <c r="G575">
        <v>4.3670460000000002</v>
      </c>
      <c r="H575" s="20">
        <f>IF(AND(A575=A574,F575=F574,F575="Winter wheat"),G575*0.9*'BAU Management details'!$F$46,
IF(AND(OR(A575&lt;&gt;A574,F575&lt;&gt;F574),F575="Winter wheat"),G575*'BAU Management details'!$F$46,
IF(F575="Oilseed Rape",G575*'BAU Management details'!$F$47)))</f>
        <v>37.556595600000001</v>
      </c>
      <c r="I575" t="s">
        <v>348</v>
      </c>
      <c r="J575">
        <v>10</v>
      </c>
      <c r="K575" t="s">
        <v>362</v>
      </c>
      <c r="L575" t="s">
        <v>727</v>
      </c>
      <c r="M575">
        <v>3.1</v>
      </c>
      <c r="N575" t="s">
        <v>349</v>
      </c>
      <c r="O575" t="s">
        <v>350</v>
      </c>
      <c r="P575">
        <v>7.5</v>
      </c>
      <c r="Q575" t="s">
        <v>728</v>
      </c>
      <c r="R575" t="s">
        <v>351</v>
      </c>
      <c r="S575">
        <v>220</v>
      </c>
      <c r="T575" s="47" t="s">
        <v>729</v>
      </c>
      <c r="U575" t="s">
        <v>366</v>
      </c>
      <c r="V575" t="s">
        <v>367</v>
      </c>
      <c r="W575" s="47" t="s">
        <v>736</v>
      </c>
      <c r="X575" s="47">
        <v>0</v>
      </c>
      <c r="Y575" s="47" t="s">
        <v>730</v>
      </c>
      <c r="Z575" s="47">
        <v>0</v>
      </c>
      <c r="AA575" s="47" t="s">
        <v>731</v>
      </c>
      <c r="AB575" s="47">
        <v>0</v>
      </c>
      <c r="AC575" s="47" t="s">
        <v>731</v>
      </c>
      <c r="AD575" s="47" t="s">
        <v>731</v>
      </c>
      <c r="AE575" s="47" t="s">
        <v>731</v>
      </c>
      <c r="AF575" s="47">
        <v>0</v>
      </c>
      <c r="AG575" s="47">
        <v>0</v>
      </c>
      <c r="AH575" s="47">
        <v>0</v>
      </c>
      <c r="AI575" s="47" t="s">
        <v>729</v>
      </c>
      <c r="AJ575">
        <v>1</v>
      </c>
      <c r="AK575">
        <v>100</v>
      </c>
    </row>
    <row r="576" spans="1:37" x14ac:dyDescent="0.2">
      <c r="A576" t="s">
        <v>1402</v>
      </c>
      <c r="B576" t="s">
        <v>361</v>
      </c>
      <c r="C576">
        <v>2020</v>
      </c>
      <c r="D576">
        <v>5</v>
      </c>
      <c r="E576" t="s">
        <v>1407</v>
      </c>
      <c r="F576" t="s">
        <v>362</v>
      </c>
      <c r="G576">
        <v>4.3670460000000002</v>
      </c>
      <c r="H576" s="20">
        <f>IF(AND(A576=A575,F576=F575,F576="Winter wheat"),G576*0.9*'BAU Management details'!$F$46,
IF(AND(OR(A576&lt;&gt;A575,F576&lt;&gt;F575),F576="Winter wheat"),G576*'BAU Management details'!$F$46,
IF(F576="Oilseed Rape",G576*'BAU Management details'!$F$47)))</f>
        <v>33.800936039999996</v>
      </c>
      <c r="I576" t="s">
        <v>348</v>
      </c>
      <c r="J576">
        <v>10</v>
      </c>
      <c r="K576" t="s">
        <v>362</v>
      </c>
      <c r="L576" t="s">
        <v>727</v>
      </c>
      <c r="M576">
        <v>3.1</v>
      </c>
      <c r="N576" t="s">
        <v>349</v>
      </c>
      <c r="O576" t="s">
        <v>350</v>
      </c>
      <c r="P576">
        <v>7.5</v>
      </c>
      <c r="Q576" t="s">
        <v>728</v>
      </c>
      <c r="R576" t="s">
        <v>351</v>
      </c>
      <c r="S576">
        <v>220</v>
      </c>
      <c r="T576" s="47" t="s">
        <v>729</v>
      </c>
      <c r="U576" t="s">
        <v>733</v>
      </c>
      <c r="V576" t="s">
        <v>369</v>
      </c>
      <c r="W576" s="47" t="s">
        <v>736</v>
      </c>
      <c r="X576" s="47">
        <v>0</v>
      </c>
      <c r="Y576" s="47" t="s">
        <v>730</v>
      </c>
      <c r="Z576" s="47">
        <v>0</v>
      </c>
      <c r="AA576" s="47" t="s">
        <v>731</v>
      </c>
      <c r="AB576" s="47">
        <v>0</v>
      </c>
      <c r="AC576" s="47">
        <v>0</v>
      </c>
      <c r="AD576" s="47">
        <v>0</v>
      </c>
      <c r="AE576" s="47" t="s">
        <v>731</v>
      </c>
      <c r="AF576" s="47">
        <v>0</v>
      </c>
      <c r="AG576" s="47">
        <v>0</v>
      </c>
      <c r="AH576" s="47">
        <v>0</v>
      </c>
      <c r="AI576" s="47" t="s">
        <v>729</v>
      </c>
      <c r="AJ576">
        <v>1</v>
      </c>
      <c r="AK576">
        <v>100</v>
      </c>
    </row>
    <row r="577" spans="1:37" x14ac:dyDescent="0.2">
      <c r="A577" t="s">
        <v>1402</v>
      </c>
      <c r="B577" t="s">
        <v>361</v>
      </c>
      <c r="C577">
        <v>2021</v>
      </c>
      <c r="D577">
        <v>6</v>
      </c>
      <c r="E577" t="s">
        <v>1408</v>
      </c>
      <c r="F577" t="s">
        <v>365</v>
      </c>
      <c r="G577">
        <v>4.3670460000000002</v>
      </c>
      <c r="H577" s="20">
        <f>IF(AND(A577=A576,F577=F576,F577="Winter wheat"),G577*0.9*'BAU Management details'!$F$46,
IF(AND(OR(A577&lt;&gt;A576,F577&lt;&gt;F576),F577="Winter wheat"),G577*'BAU Management details'!$F$46,
IF(F577="Oilseed Rape",G577*'BAU Management details'!$F$47)))</f>
        <v>15.284661</v>
      </c>
      <c r="I577" t="s">
        <v>348</v>
      </c>
      <c r="J577">
        <v>10</v>
      </c>
      <c r="K577" t="s">
        <v>532</v>
      </c>
      <c r="L577" t="s">
        <v>727</v>
      </c>
      <c r="M577">
        <v>3.1</v>
      </c>
      <c r="N577" t="s">
        <v>349</v>
      </c>
      <c r="O577" t="s">
        <v>350</v>
      </c>
      <c r="P577">
        <v>7.5</v>
      </c>
      <c r="Q577" t="s">
        <v>728</v>
      </c>
      <c r="R577" t="s">
        <v>351</v>
      </c>
      <c r="S577">
        <v>220</v>
      </c>
      <c r="T577" s="47" t="s">
        <v>735</v>
      </c>
      <c r="U577" t="s">
        <v>368</v>
      </c>
      <c r="V577" t="s">
        <v>364</v>
      </c>
      <c r="W577" s="47" t="s">
        <v>736</v>
      </c>
      <c r="X577" s="47">
        <v>0</v>
      </c>
      <c r="Y577" s="47" t="s">
        <v>736</v>
      </c>
      <c r="Z577" s="47">
        <v>0</v>
      </c>
      <c r="AA577" s="47" t="s">
        <v>736</v>
      </c>
      <c r="AB577" s="47">
        <v>0</v>
      </c>
      <c r="AC577" s="47">
        <v>0</v>
      </c>
      <c r="AD577" s="47">
        <v>0</v>
      </c>
      <c r="AE577" s="47" t="s">
        <v>731</v>
      </c>
      <c r="AF577" s="47">
        <v>0</v>
      </c>
      <c r="AG577" s="47" t="s">
        <v>731</v>
      </c>
      <c r="AH577" s="47">
        <v>0</v>
      </c>
      <c r="AI577" s="47" t="s">
        <v>735</v>
      </c>
      <c r="AJ577">
        <v>1</v>
      </c>
      <c r="AK577">
        <v>100</v>
      </c>
    </row>
    <row r="578" spans="1:37" x14ac:dyDescent="0.2">
      <c r="A578" t="s">
        <v>1409</v>
      </c>
      <c r="B578" t="s">
        <v>361</v>
      </c>
      <c r="C578">
        <v>2016</v>
      </c>
      <c r="D578">
        <v>1</v>
      </c>
      <c r="E578" t="s">
        <v>1410</v>
      </c>
      <c r="F578" t="s">
        <v>362</v>
      </c>
      <c r="G578">
        <v>10.68468</v>
      </c>
      <c r="H578" s="20">
        <f>IF(AND(A578=A577,F578=F577,F578="Winter wheat"),G578*0.9*'BAU Management details'!$F$46,
IF(AND(OR(A578&lt;&gt;A577,F578&lt;&gt;F577),F578="Winter wheat"),G578*'BAU Management details'!$F$46,
IF(F578="Oilseed Rape",G578*'BAU Management details'!$F$47)))</f>
        <v>91.888248000000004</v>
      </c>
      <c r="I578" t="s">
        <v>348</v>
      </c>
      <c r="J578">
        <v>10</v>
      </c>
      <c r="K578" t="s">
        <v>362</v>
      </c>
      <c r="L578" t="s">
        <v>727</v>
      </c>
      <c r="M578">
        <v>3.1</v>
      </c>
      <c r="N578" t="s">
        <v>349</v>
      </c>
      <c r="O578" t="s">
        <v>350</v>
      </c>
      <c r="P578">
        <v>7.5</v>
      </c>
      <c r="Q578" t="s">
        <v>728</v>
      </c>
      <c r="R578" t="s">
        <v>351</v>
      </c>
      <c r="S578">
        <v>220</v>
      </c>
      <c r="T578" s="47" t="s">
        <v>729</v>
      </c>
      <c r="U578" t="s">
        <v>366</v>
      </c>
      <c r="V578" t="s">
        <v>367</v>
      </c>
      <c r="W578" s="47" t="s">
        <v>736</v>
      </c>
      <c r="X578" s="47">
        <v>0</v>
      </c>
      <c r="Y578" s="47" t="s">
        <v>730</v>
      </c>
      <c r="Z578" s="47">
        <v>0</v>
      </c>
      <c r="AA578" s="47" t="s">
        <v>731</v>
      </c>
      <c r="AB578" s="47">
        <v>0</v>
      </c>
      <c r="AC578" s="47" t="s">
        <v>731</v>
      </c>
      <c r="AD578" s="47" t="s">
        <v>731</v>
      </c>
      <c r="AE578" s="47" t="s">
        <v>731</v>
      </c>
      <c r="AF578" s="47">
        <v>0</v>
      </c>
      <c r="AG578" s="47">
        <v>0</v>
      </c>
      <c r="AH578" s="47">
        <v>0</v>
      </c>
      <c r="AI578" s="47" t="s">
        <v>729</v>
      </c>
      <c r="AJ578">
        <v>1</v>
      </c>
      <c r="AK578">
        <v>100</v>
      </c>
    </row>
    <row r="579" spans="1:37" x14ac:dyDescent="0.2">
      <c r="A579" t="s">
        <v>1409</v>
      </c>
      <c r="B579" t="s">
        <v>361</v>
      </c>
      <c r="C579">
        <v>2017</v>
      </c>
      <c r="D579">
        <v>2</v>
      </c>
      <c r="E579" t="s">
        <v>1411</v>
      </c>
      <c r="F579" t="s">
        <v>362</v>
      </c>
      <c r="G579">
        <v>10.68468</v>
      </c>
      <c r="H579" s="20">
        <f>IF(AND(A579=A578,F579=F578,F579="Winter wheat"),G579*0.9*'BAU Management details'!$F$46,
IF(AND(OR(A579&lt;&gt;A578,F579&lt;&gt;F578),F579="Winter wheat"),G579*'BAU Management details'!$F$46,
IF(F579="Oilseed Rape",G579*'BAU Management details'!$F$47)))</f>
        <v>82.699423199999998</v>
      </c>
      <c r="I579" t="s">
        <v>348</v>
      </c>
      <c r="J579">
        <v>10</v>
      </c>
      <c r="K579" t="s">
        <v>362</v>
      </c>
      <c r="L579" t="s">
        <v>727</v>
      </c>
      <c r="M579">
        <v>3.1</v>
      </c>
      <c r="N579" t="s">
        <v>349</v>
      </c>
      <c r="O579" t="s">
        <v>350</v>
      </c>
      <c r="P579">
        <v>7.5</v>
      </c>
      <c r="Q579" t="s">
        <v>728</v>
      </c>
      <c r="R579" t="s">
        <v>351</v>
      </c>
      <c r="S579">
        <v>220</v>
      </c>
      <c r="T579" s="47" t="s">
        <v>729</v>
      </c>
      <c r="U579" t="s">
        <v>733</v>
      </c>
      <c r="V579" t="s">
        <v>369</v>
      </c>
      <c r="W579" s="47" t="s">
        <v>736</v>
      </c>
      <c r="X579" s="47">
        <v>0</v>
      </c>
      <c r="Y579" s="47" t="s">
        <v>730</v>
      </c>
      <c r="Z579" s="47">
        <v>0</v>
      </c>
      <c r="AA579" s="47" t="s">
        <v>731</v>
      </c>
      <c r="AB579" s="47">
        <v>0</v>
      </c>
      <c r="AC579" s="47">
        <v>0</v>
      </c>
      <c r="AD579" s="47">
        <v>0</v>
      </c>
      <c r="AE579" s="47" t="s">
        <v>731</v>
      </c>
      <c r="AF579" s="47">
        <v>0</v>
      </c>
      <c r="AG579" s="47">
        <v>0</v>
      </c>
      <c r="AH579" s="47">
        <v>0</v>
      </c>
      <c r="AI579" s="47" t="s">
        <v>729</v>
      </c>
      <c r="AJ579">
        <v>1</v>
      </c>
      <c r="AK579">
        <v>100</v>
      </c>
    </row>
    <row r="580" spans="1:37" x14ac:dyDescent="0.2">
      <c r="A580" t="s">
        <v>1409</v>
      </c>
      <c r="B580" t="s">
        <v>361</v>
      </c>
      <c r="C580">
        <v>2018</v>
      </c>
      <c r="D580">
        <v>3</v>
      </c>
      <c r="E580" t="s">
        <v>1412</v>
      </c>
      <c r="F580" t="s">
        <v>365</v>
      </c>
      <c r="G580">
        <v>10.68468</v>
      </c>
      <c r="H580" s="20">
        <f>IF(AND(A580=A579,F580=F579,F580="Winter wheat"),G580*0.9*'BAU Management details'!$F$46,
IF(AND(OR(A580&lt;&gt;A579,F580&lt;&gt;F579),F580="Winter wheat"),G580*'BAU Management details'!$F$46,
IF(F580="Oilseed Rape",G580*'BAU Management details'!$F$47)))</f>
        <v>37.396380000000001</v>
      </c>
      <c r="I580" t="s">
        <v>348</v>
      </c>
      <c r="J580">
        <v>10</v>
      </c>
      <c r="K580" t="s">
        <v>532</v>
      </c>
      <c r="L580" t="s">
        <v>727</v>
      </c>
      <c r="M580">
        <v>3.1</v>
      </c>
      <c r="N580" t="s">
        <v>349</v>
      </c>
      <c r="O580" t="s">
        <v>350</v>
      </c>
      <c r="P580">
        <v>7.5</v>
      </c>
      <c r="Q580" t="s">
        <v>728</v>
      </c>
      <c r="R580" t="s">
        <v>351</v>
      </c>
      <c r="S580">
        <v>220</v>
      </c>
      <c r="T580" s="47" t="s">
        <v>735</v>
      </c>
      <c r="U580" t="s">
        <v>368</v>
      </c>
      <c r="V580" t="s">
        <v>364</v>
      </c>
      <c r="W580" s="47" t="s">
        <v>736</v>
      </c>
      <c r="X580" s="47">
        <v>0</v>
      </c>
      <c r="Y580" s="47" t="s">
        <v>736</v>
      </c>
      <c r="Z580" s="47">
        <v>0</v>
      </c>
      <c r="AA580" s="47" t="s">
        <v>736</v>
      </c>
      <c r="AB580" s="47">
        <v>0</v>
      </c>
      <c r="AC580" s="47">
        <v>0</v>
      </c>
      <c r="AD580" s="47">
        <v>0</v>
      </c>
      <c r="AE580" s="47" t="s">
        <v>731</v>
      </c>
      <c r="AF580" s="47">
        <v>0</v>
      </c>
      <c r="AG580" s="47" t="s">
        <v>731</v>
      </c>
      <c r="AH580" s="47">
        <v>0</v>
      </c>
      <c r="AI580" s="47" t="s">
        <v>735</v>
      </c>
      <c r="AJ580">
        <v>1</v>
      </c>
      <c r="AK580">
        <v>100</v>
      </c>
    </row>
    <row r="581" spans="1:37" x14ac:dyDescent="0.2">
      <c r="A581" t="s">
        <v>1409</v>
      </c>
      <c r="B581" t="s">
        <v>361</v>
      </c>
      <c r="C581">
        <v>2019</v>
      </c>
      <c r="D581">
        <v>4</v>
      </c>
      <c r="E581" t="s">
        <v>1413</v>
      </c>
      <c r="F581" t="s">
        <v>362</v>
      </c>
      <c r="G581">
        <v>10.68468</v>
      </c>
      <c r="H581" s="20">
        <f>IF(AND(A581=A580,F581=F580,F581="Winter wheat"),G581*0.9*'BAU Management details'!$F$46,
IF(AND(OR(A581&lt;&gt;A580,F581&lt;&gt;F580),F581="Winter wheat"),G581*'BAU Management details'!$F$46,
IF(F581="Oilseed Rape",G581*'BAU Management details'!$F$47)))</f>
        <v>91.888248000000004</v>
      </c>
      <c r="I581" t="s">
        <v>348</v>
      </c>
      <c r="J581">
        <v>10</v>
      </c>
      <c r="K581" t="s">
        <v>362</v>
      </c>
      <c r="L581" t="s">
        <v>727</v>
      </c>
      <c r="M581">
        <v>3.1</v>
      </c>
      <c r="N581" t="s">
        <v>349</v>
      </c>
      <c r="O581" t="s">
        <v>350</v>
      </c>
      <c r="P581">
        <v>7.5</v>
      </c>
      <c r="Q581" t="s">
        <v>728</v>
      </c>
      <c r="R581" t="s">
        <v>351</v>
      </c>
      <c r="S581">
        <v>220</v>
      </c>
      <c r="T581" s="47" t="s">
        <v>729</v>
      </c>
      <c r="U581" t="s">
        <v>366</v>
      </c>
      <c r="V581" t="s">
        <v>367</v>
      </c>
      <c r="W581" s="47" t="s">
        <v>736</v>
      </c>
      <c r="X581" s="47">
        <v>0</v>
      </c>
      <c r="Y581" s="47" t="s">
        <v>730</v>
      </c>
      <c r="Z581" s="47">
        <v>0</v>
      </c>
      <c r="AA581" s="47" t="s">
        <v>731</v>
      </c>
      <c r="AB581" s="47">
        <v>0</v>
      </c>
      <c r="AC581" s="47" t="s">
        <v>731</v>
      </c>
      <c r="AD581" s="47" t="s">
        <v>731</v>
      </c>
      <c r="AE581" s="47" t="s">
        <v>731</v>
      </c>
      <c r="AF581" s="47">
        <v>0</v>
      </c>
      <c r="AG581" s="47">
        <v>0</v>
      </c>
      <c r="AH581" s="47">
        <v>0</v>
      </c>
      <c r="AI581" s="47" t="s">
        <v>729</v>
      </c>
      <c r="AJ581">
        <v>1</v>
      </c>
      <c r="AK581">
        <v>100</v>
      </c>
    </row>
    <row r="582" spans="1:37" x14ac:dyDescent="0.2">
      <c r="A582" t="s">
        <v>1409</v>
      </c>
      <c r="B582" t="s">
        <v>361</v>
      </c>
      <c r="C582">
        <v>2020</v>
      </c>
      <c r="D582">
        <v>5</v>
      </c>
      <c r="E582" t="s">
        <v>1414</v>
      </c>
      <c r="F582" t="s">
        <v>362</v>
      </c>
      <c r="G582">
        <v>10.68468</v>
      </c>
      <c r="H582" s="20">
        <f>IF(AND(A582=A581,F582=F581,F582="Winter wheat"),G582*0.9*'BAU Management details'!$F$46,
IF(AND(OR(A582&lt;&gt;A581,F582&lt;&gt;F581),F582="Winter wheat"),G582*'BAU Management details'!$F$46,
IF(F582="Oilseed Rape",G582*'BAU Management details'!$F$47)))</f>
        <v>82.699423199999998</v>
      </c>
      <c r="I582" t="s">
        <v>348</v>
      </c>
      <c r="J582">
        <v>10</v>
      </c>
      <c r="K582" t="s">
        <v>362</v>
      </c>
      <c r="L582" t="s">
        <v>727</v>
      </c>
      <c r="M582">
        <v>3.1</v>
      </c>
      <c r="N582" t="s">
        <v>349</v>
      </c>
      <c r="O582" t="s">
        <v>350</v>
      </c>
      <c r="P582">
        <v>7.5</v>
      </c>
      <c r="Q582" t="s">
        <v>728</v>
      </c>
      <c r="R582" t="s">
        <v>351</v>
      </c>
      <c r="S582">
        <v>220</v>
      </c>
      <c r="T582" s="47" t="s">
        <v>729</v>
      </c>
      <c r="U582" t="s">
        <v>733</v>
      </c>
      <c r="V582" t="s">
        <v>369</v>
      </c>
      <c r="W582" s="47" t="s">
        <v>736</v>
      </c>
      <c r="X582" s="47">
        <v>0</v>
      </c>
      <c r="Y582" s="47" t="s">
        <v>730</v>
      </c>
      <c r="Z582" s="47">
        <v>0</v>
      </c>
      <c r="AA582" s="47" t="s">
        <v>731</v>
      </c>
      <c r="AB582" s="47">
        <v>0</v>
      </c>
      <c r="AC582" s="47">
        <v>0</v>
      </c>
      <c r="AD582" s="47">
        <v>0</v>
      </c>
      <c r="AE582" s="47" t="s">
        <v>731</v>
      </c>
      <c r="AF582" s="47">
        <v>0</v>
      </c>
      <c r="AG582" s="47">
        <v>0</v>
      </c>
      <c r="AH582" s="47">
        <v>0</v>
      </c>
      <c r="AI582" s="47" t="s">
        <v>729</v>
      </c>
      <c r="AJ582">
        <v>1</v>
      </c>
      <c r="AK582">
        <v>100</v>
      </c>
    </row>
    <row r="583" spans="1:37" x14ac:dyDescent="0.2">
      <c r="A583" t="s">
        <v>1409</v>
      </c>
      <c r="B583" t="s">
        <v>361</v>
      </c>
      <c r="C583">
        <v>2021</v>
      </c>
      <c r="D583">
        <v>6</v>
      </c>
      <c r="E583" t="s">
        <v>1415</v>
      </c>
      <c r="F583" t="s">
        <v>365</v>
      </c>
      <c r="G583">
        <v>10.68468</v>
      </c>
      <c r="H583" s="20">
        <f>IF(AND(A583=A582,F583=F582,F583="Winter wheat"),G583*0.9*'BAU Management details'!$F$46,
IF(AND(OR(A583&lt;&gt;A582,F583&lt;&gt;F582),F583="Winter wheat"),G583*'BAU Management details'!$F$46,
IF(F583="Oilseed Rape",G583*'BAU Management details'!$F$47)))</f>
        <v>37.396380000000001</v>
      </c>
      <c r="I583" t="s">
        <v>348</v>
      </c>
      <c r="J583">
        <v>10</v>
      </c>
      <c r="K583" t="s">
        <v>532</v>
      </c>
      <c r="L583" t="s">
        <v>727</v>
      </c>
      <c r="M583">
        <v>3.1</v>
      </c>
      <c r="N583" t="s">
        <v>349</v>
      </c>
      <c r="O583" t="s">
        <v>350</v>
      </c>
      <c r="P583">
        <v>7.5</v>
      </c>
      <c r="Q583" t="s">
        <v>728</v>
      </c>
      <c r="R583" t="s">
        <v>351</v>
      </c>
      <c r="S583">
        <v>220</v>
      </c>
      <c r="T583" s="47" t="s">
        <v>735</v>
      </c>
      <c r="U583" t="s">
        <v>368</v>
      </c>
      <c r="V583" t="s">
        <v>364</v>
      </c>
      <c r="W583" s="47" t="s">
        <v>736</v>
      </c>
      <c r="X583" s="47">
        <v>0</v>
      </c>
      <c r="Y583" s="47" t="s">
        <v>736</v>
      </c>
      <c r="Z583" s="47">
        <v>0</v>
      </c>
      <c r="AA583" s="47" t="s">
        <v>736</v>
      </c>
      <c r="AB583" s="47">
        <v>0</v>
      </c>
      <c r="AC583" s="47">
        <v>0</v>
      </c>
      <c r="AD583" s="47">
        <v>0</v>
      </c>
      <c r="AE583" s="47" t="s">
        <v>731</v>
      </c>
      <c r="AF583" s="47">
        <v>0</v>
      </c>
      <c r="AG583" s="47" t="s">
        <v>731</v>
      </c>
      <c r="AH583" s="47">
        <v>0</v>
      </c>
      <c r="AI583" s="47" t="s">
        <v>735</v>
      </c>
      <c r="AJ583">
        <v>1</v>
      </c>
      <c r="AK583">
        <v>100</v>
      </c>
    </row>
    <row r="584" spans="1:37" x14ac:dyDescent="0.2">
      <c r="A584" t="s">
        <v>1416</v>
      </c>
      <c r="B584" t="s">
        <v>361</v>
      </c>
      <c r="C584">
        <v>2016</v>
      </c>
      <c r="D584">
        <v>1</v>
      </c>
      <c r="E584" t="s">
        <v>1417</v>
      </c>
      <c r="F584" t="s">
        <v>362</v>
      </c>
      <c r="G584">
        <v>4.7881679999999998</v>
      </c>
      <c r="H584" s="20">
        <f>IF(AND(A584=A583,F584=F583,F584="Winter wheat"),G584*0.9*'BAU Management details'!$F$46,
IF(AND(OR(A584&lt;&gt;A583,F584&lt;&gt;F583),F584="Winter wheat"),G584*'BAU Management details'!$F$46,
IF(F584="Oilseed Rape",G584*'BAU Management details'!$F$47)))</f>
        <v>41.178244799999995</v>
      </c>
      <c r="I584" t="s">
        <v>348</v>
      </c>
      <c r="J584">
        <v>10</v>
      </c>
      <c r="K584" t="s">
        <v>362</v>
      </c>
      <c r="L584" t="s">
        <v>727</v>
      </c>
      <c r="M584">
        <v>3.1</v>
      </c>
      <c r="N584" t="s">
        <v>349</v>
      </c>
      <c r="O584" t="s">
        <v>742</v>
      </c>
      <c r="P584">
        <v>7.5</v>
      </c>
      <c r="Q584" t="s">
        <v>728</v>
      </c>
      <c r="R584" t="s">
        <v>351</v>
      </c>
      <c r="S584">
        <v>220</v>
      </c>
      <c r="T584" s="47" t="s">
        <v>729</v>
      </c>
      <c r="U584" t="s">
        <v>366</v>
      </c>
      <c r="V584" t="s">
        <v>367</v>
      </c>
      <c r="W584" s="47" t="s">
        <v>736</v>
      </c>
      <c r="X584" s="47">
        <v>0</v>
      </c>
      <c r="Y584" s="47" t="s">
        <v>730</v>
      </c>
      <c r="Z584" s="47">
        <v>0</v>
      </c>
      <c r="AA584" s="47" t="s">
        <v>731</v>
      </c>
      <c r="AB584" s="47">
        <v>0</v>
      </c>
      <c r="AC584" s="47" t="s">
        <v>731</v>
      </c>
      <c r="AD584" s="47" t="s">
        <v>731</v>
      </c>
      <c r="AE584" s="47" t="s">
        <v>731</v>
      </c>
      <c r="AF584" s="47">
        <v>0</v>
      </c>
      <c r="AG584" s="47">
        <v>0</v>
      </c>
      <c r="AH584" s="47">
        <v>0</v>
      </c>
      <c r="AI584" s="47" t="s">
        <v>729</v>
      </c>
      <c r="AJ584">
        <v>1</v>
      </c>
      <c r="AK584">
        <v>100</v>
      </c>
    </row>
    <row r="585" spans="1:37" x14ac:dyDescent="0.2">
      <c r="A585" t="s">
        <v>1416</v>
      </c>
      <c r="B585" t="s">
        <v>361</v>
      </c>
      <c r="C585">
        <v>2017</v>
      </c>
      <c r="D585">
        <v>2</v>
      </c>
      <c r="E585" t="s">
        <v>1418</v>
      </c>
      <c r="F585" t="s">
        <v>362</v>
      </c>
      <c r="G585">
        <v>4.7881679999999998</v>
      </c>
      <c r="H585" s="20">
        <f>IF(AND(A585=A584,F585=F584,F585="Winter wheat"),G585*0.9*'BAU Management details'!$F$46,
IF(AND(OR(A585&lt;&gt;A584,F585&lt;&gt;F584),F585="Winter wheat"),G585*'BAU Management details'!$F$46,
IF(F585="Oilseed Rape",G585*'BAU Management details'!$F$47)))</f>
        <v>37.060420319999999</v>
      </c>
      <c r="I585" t="s">
        <v>348</v>
      </c>
      <c r="J585">
        <v>10</v>
      </c>
      <c r="K585" t="s">
        <v>362</v>
      </c>
      <c r="L585" t="s">
        <v>727</v>
      </c>
      <c r="M585">
        <v>3.1</v>
      </c>
      <c r="N585" t="s">
        <v>349</v>
      </c>
      <c r="O585" t="s">
        <v>742</v>
      </c>
      <c r="P585">
        <v>7.5</v>
      </c>
      <c r="Q585" t="s">
        <v>728</v>
      </c>
      <c r="R585" t="s">
        <v>351</v>
      </c>
      <c r="S585">
        <v>220</v>
      </c>
      <c r="T585" s="47" t="s">
        <v>729</v>
      </c>
      <c r="U585" t="s">
        <v>733</v>
      </c>
      <c r="V585" t="s">
        <v>369</v>
      </c>
      <c r="W585" s="47" t="s">
        <v>736</v>
      </c>
      <c r="X585" s="47">
        <v>0</v>
      </c>
      <c r="Y585" s="47" t="s">
        <v>730</v>
      </c>
      <c r="Z585" s="47">
        <v>0</v>
      </c>
      <c r="AA585" s="47" t="s">
        <v>731</v>
      </c>
      <c r="AB585" s="47">
        <v>0</v>
      </c>
      <c r="AC585" s="47">
        <v>0</v>
      </c>
      <c r="AD585" s="47">
        <v>0</v>
      </c>
      <c r="AE585" s="47" t="s">
        <v>731</v>
      </c>
      <c r="AF585" s="47">
        <v>0</v>
      </c>
      <c r="AG585" s="47">
        <v>0</v>
      </c>
      <c r="AH585" s="47">
        <v>0</v>
      </c>
      <c r="AI585" s="47" t="s">
        <v>729</v>
      </c>
      <c r="AJ585">
        <v>1</v>
      </c>
      <c r="AK585">
        <v>100</v>
      </c>
    </row>
    <row r="586" spans="1:37" x14ac:dyDescent="0.2">
      <c r="A586" t="s">
        <v>1416</v>
      </c>
      <c r="B586" t="s">
        <v>361</v>
      </c>
      <c r="C586">
        <v>2018</v>
      </c>
      <c r="D586">
        <v>3</v>
      </c>
      <c r="E586" t="s">
        <v>1419</v>
      </c>
      <c r="F586" t="s">
        <v>365</v>
      </c>
      <c r="G586">
        <v>4.7881679999999998</v>
      </c>
      <c r="H586" s="20">
        <f>IF(AND(A586=A585,F586=F585,F586="Winter wheat"),G586*0.9*'BAU Management details'!$F$46,
IF(AND(OR(A586&lt;&gt;A585,F586&lt;&gt;F585),F586="Winter wheat"),G586*'BAU Management details'!$F$46,
IF(F586="Oilseed Rape",G586*'BAU Management details'!$F$47)))</f>
        <v>16.758588</v>
      </c>
      <c r="I586" t="s">
        <v>348</v>
      </c>
      <c r="J586">
        <v>10</v>
      </c>
      <c r="K586" t="s">
        <v>532</v>
      </c>
      <c r="L586" t="s">
        <v>727</v>
      </c>
      <c r="M586">
        <v>3.1</v>
      </c>
      <c r="N586" t="s">
        <v>349</v>
      </c>
      <c r="O586" t="s">
        <v>742</v>
      </c>
      <c r="P586">
        <v>7.5</v>
      </c>
      <c r="Q586" t="s">
        <v>728</v>
      </c>
      <c r="R586" t="s">
        <v>351</v>
      </c>
      <c r="S586">
        <v>220</v>
      </c>
      <c r="T586" s="47" t="s">
        <v>735</v>
      </c>
      <c r="U586" t="s">
        <v>368</v>
      </c>
      <c r="V586" t="s">
        <v>364</v>
      </c>
      <c r="W586" s="47" t="s">
        <v>736</v>
      </c>
      <c r="X586" s="47">
        <v>0</v>
      </c>
      <c r="Y586" s="47" t="s">
        <v>736</v>
      </c>
      <c r="Z586" s="47">
        <v>0</v>
      </c>
      <c r="AA586" s="47" t="s">
        <v>736</v>
      </c>
      <c r="AB586" s="47">
        <v>0</v>
      </c>
      <c r="AC586" s="47">
        <v>0</v>
      </c>
      <c r="AD586" s="47">
        <v>0</v>
      </c>
      <c r="AE586" s="47" t="s">
        <v>731</v>
      </c>
      <c r="AF586" s="47">
        <v>0</v>
      </c>
      <c r="AG586" s="47" t="s">
        <v>731</v>
      </c>
      <c r="AH586" s="47">
        <v>0</v>
      </c>
      <c r="AI586" s="47" t="s">
        <v>735</v>
      </c>
      <c r="AJ586">
        <v>1</v>
      </c>
      <c r="AK586">
        <v>100</v>
      </c>
    </row>
    <row r="587" spans="1:37" x14ac:dyDescent="0.2">
      <c r="A587" t="s">
        <v>1416</v>
      </c>
      <c r="B587" t="s">
        <v>361</v>
      </c>
      <c r="C587">
        <v>2019</v>
      </c>
      <c r="D587">
        <v>4</v>
      </c>
      <c r="E587" t="s">
        <v>1420</v>
      </c>
      <c r="F587" t="s">
        <v>362</v>
      </c>
      <c r="G587">
        <v>4.7881679999999998</v>
      </c>
      <c r="H587" s="20">
        <f>IF(AND(A587=A586,F587=F586,F587="Winter wheat"),G587*0.9*'BAU Management details'!$F$46,
IF(AND(OR(A587&lt;&gt;A586,F587&lt;&gt;F586),F587="Winter wheat"),G587*'BAU Management details'!$F$46,
IF(F587="Oilseed Rape",G587*'BAU Management details'!$F$47)))</f>
        <v>41.178244799999995</v>
      </c>
      <c r="I587" t="s">
        <v>348</v>
      </c>
      <c r="J587">
        <v>10</v>
      </c>
      <c r="K587" t="s">
        <v>362</v>
      </c>
      <c r="L587" t="s">
        <v>727</v>
      </c>
      <c r="M587">
        <v>3.1</v>
      </c>
      <c r="N587" t="s">
        <v>349</v>
      </c>
      <c r="O587" t="s">
        <v>742</v>
      </c>
      <c r="P587">
        <v>7.5</v>
      </c>
      <c r="Q587" t="s">
        <v>728</v>
      </c>
      <c r="R587" t="s">
        <v>351</v>
      </c>
      <c r="S587">
        <v>220</v>
      </c>
      <c r="T587" s="47" t="s">
        <v>729</v>
      </c>
      <c r="U587" t="s">
        <v>366</v>
      </c>
      <c r="V587" t="s">
        <v>367</v>
      </c>
      <c r="W587" s="47" t="s">
        <v>736</v>
      </c>
      <c r="X587" s="47">
        <v>0</v>
      </c>
      <c r="Y587" s="47" t="s">
        <v>730</v>
      </c>
      <c r="Z587" s="47">
        <v>0</v>
      </c>
      <c r="AA587" s="47" t="s">
        <v>731</v>
      </c>
      <c r="AB587" s="47">
        <v>0</v>
      </c>
      <c r="AC587" s="47" t="s">
        <v>731</v>
      </c>
      <c r="AD587" s="47" t="s">
        <v>731</v>
      </c>
      <c r="AE587" s="47" t="s">
        <v>731</v>
      </c>
      <c r="AF587" s="47">
        <v>0</v>
      </c>
      <c r="AG587" s="47">
        <v>0</v>
      </c>
      <c r="AH587" s="47">
        <v>0</v>
      </c>
      <c r="AI587" s="47" t="s">
        <v>729</v>
      </c>
      <c r="AJ587">
        <v>1</v>
      </c>
      <c r="AK587">
        <v>100</v>
      </c>
    </row>
    <row r="588" spans="1:37" x14ac:dyDescent="0.2">
      <c r="A588" t="s">
        <v>1416</v>
      </c>
      <c r="B588" t="s">
        <v>361</v>
      </c>
      <c r="C588">
        <v>2020</v>
      </c>
      <c r="D588">
        <v>5</v>
      </c>
      <c r="E588" t="s">
        <v>1421</v>
      </c>
      <c r="F588" t="s">
        <v>362</v>
      </c>
      <c r="G588">
        <v>4.7881679999999998</v>
      </c>
      <c r="H588" s="20">
        <f>IF(AND(A588=A587,F588=F587,F588="Winter wheat"),G588*0.9*'BAU Management details'!$F$46,
IF(AND(OR(A588&lt;&gt;A587,F588&lt;&gt;F587),F588="Winter wheat"),G588*'BAU Management details'!$F$46,
IF(F588="Oilseed Rape",G588*'BAU Management details'!$F$47)))</f>
        <v>37.060420319999999</v>
      </c>
      <c r="I588" t="s">
        <v>348</v>
      </c>
      <c r="J588">
        <v>10</v>
      </c>
      <c r="K588" t="s">
        <v>362</v>
      </c>
      <c r="L588" t="s">
        <v>727</v>
      </c>
      <c r="M588">
        <v>3.1</v>
      </c>
      <c r="N588" t="s">
        <v>349</v>
      </c>
      <c r="O588" t="s">
        <v>742</v>
      </c>
      <c r="P588">
        <v>7.5</v>
      </c>
      <c r="Q588" t="s">
        <v>728</v>
      </c>
      <c r="R588" t="s">
        <v>351</v>
      </c>
      <c r="S588">
        <v>220</v>
      </c>
      <c r="T588" s="47" t="s">
        <v>729</v>
      </c>
      <c r="U588" t="s">
        <v>733</v>
      </c>
      <c r="V588" t="s">
        <v>369</v>
      </c>
      <c r="W588" s="47" t="s">
        <v>736</v>
      </c>
      <c r="X588" s="47">
        <v>0</v>
      </c>
      <c r="Y588" s="47" t="s">
        <v>730</v>
      </c>
      <c r="Z588" s="47">
        <v>0</v>
      </c>
      <c r="AA588" s="47" t="s">
        <v>731</v>
      </c>
      <c r="AB588" s="47">
        <v>0</v>
      </c>
      <c r="AC588" s="47">
        <v>0</v>
      </c>
      <c r="AD588" s="47">
        <v>0</v>
      </c>
      <c r="AE588" s="47" t="s">
        <v>731</v>
      </c>
      <c r="AF588" s="47">
        <v>0</v>
      </c>
      <c r="AG588" s="47">
        <v>0</v>
      </c>
      <c r="AH588" s="47">
        <v>0</v>
      </c>
      <c r="AI588" s="47" t="s">
        <v>729</v>
      </c>
      <c r="AJ588">
        <v>1</v>
      </c>
      <c r="AK588">
        <v>100</v>
      </c>
    </row>
    <row r="589" spans="1:37" x14ac:dyDescent="0.2">
      <c r="A589" t="s">
        <v>1416</v>
      </c>
      <c r="B589" t="s">
        <v>361</v>
      </c>
      <c r="C589">
        <v>2021</v>
      </c>
      <c r="D589">
        <v>6</v>
      </c>
      <c r="E589" t="s">
        <v>1422</v>
      </c>
      <c r="F589" t="s">
        <v>365</v>
      </c>
      <c r="G589">
        <v>4.7881679999999998</v>
      </c>
      <c r="H589" s="20">
        <f>IF(AND(A589=A588,F589=F588,F589="Winter wheat"),G589*0.9*'BAU Management details'!$F$46,
IF(AND(OR(A589&lt;&gt;A588,F589&lt;&gt;F588),F589="Winter wheat"),G589*'BAU Management details'!$F$46,
IF(F589="Oilseed Rape",G589*'BAU Management details'!$F$47)))</f>
        <v>16.758588</v>
      </c>
      <c r="I589" t="s">
        <v>348</v>
      </c>
      <c r="J589">
        <v>10</v>
      </c>
      <c r="K589" t="s">
        <v>532</v>
      </c>
      <c r="L589" t="s">
        <v>727</v>
      </c>
      <c r="M589">
        <v>3.1</v>
      </c>
      <c r="N589" t="s">
        <v>349</v>
      </c>
      <c r="O589" t="s">
        <v>742</v>
      </c>
      <c r="P589">
        <v>7.5</v>
      </c>
      <c r="Q589" t="s">
        <v>728</v>
      </c>
      <c r="R589" t="s">
        <v>351</v>
      </c>
      <c r="S589">
        <v>220</v>
      </c>
      <c r="T589" s="47" t="s">
        <v>735</v>
      </c>
      <c r="U589" t="s">
        <v>368</v>
      </c>
      <c r="V589" t="s">
        <v>364</v>
      </c>
      <c r="W589" s="47" t="s">
        <v>736</v>
      </c>
      <c r="X589" s="47">
        <v>0</v>
      </c>
      <c r="Y589" s="47" t="s">
        <v>736</v>
      </c>
      <c r="Z589" s="47">
        <v>0</v>
      </c>
      <c r="AA589" s="47" t="s">
        <v>736</v>
      </c>
      <c r="AB589" s="47">
        <v>0</v>
      </c>
      <c r="AC589" s="47">
        <v>0</v>
      </c>
      <c r="AD589" s="47">
        <v>0</v>
      </c>
      <c r="AE589" s="47" t="s">
        <v>731</v>
      </c>
      <c r="AF589" s="47">
        <v>0</v>
      </c>
      <c r="AG589" s="47" t="s">
        <v>731</v>
      </c>
      <c r="AH589" s="47">
        <v>0</v>
      </c>
      <c r="AI589" s="47" t="s">
        <v>735</v>
      </c>
      <c r="AJ589">
        <v>1</v>
      </c>
      <c r="AK589">
        <v>100</v>
      </c>
    </row>
    <row r="590" spans="1:37" x14ac:dyDescent="0.2">
      <c r="A590" t="s">
        <v>1423</v>
      </c>
      <c r="B590" t="s">
        <v>361</v>
      </c>
      <c r="C590">
        <v>2016</v>
      </c>
      <c r="D590">
        <v>1</v>
      </c>
      <c r="E590" t="s">
        <v>1424</v>
      </c>
      <c r="F590" t="s">
        <v>362</v>
      </c>
      <c r="G590">
        <v>3.211735</v>
      </c>
      <c r="H590" s="20">
        <f>IF(AND(A590=A589,F590=F589,F590="Winter wheat"),G590*0.9*'BAU Management details'!$F$46,
IF(AND(OR(A590&lt;&gt;A589,F590&lt;&gt;F589),F590="Winter wheat"),G590*'BAU Management details'!$F$46,
IF(F590="Oilseed Rape",G590*'BAU Management details'!$F$47)))</f>
        <v>27.620920999999999</v>
      </c>
      <c r="I590" t="s">
        <v>348</v>
      </c>
      <c r="J590">
        <v>10</v>
      </c>
      <c r="K590" t="s">
        <v>362</v>
      </c>
      <c r="L590" t="s">
        <v>751</v>
      </c>
      <c r="M590">
        <v>2.9</v>
      </c>
      <c r="N590" t="s">
        <v>349</v>
      </c>
      <c r="O590" t="s">
        <v>350</v>
      </c>
      <c r="P590">
        <v>7.7</v>
      </c>
      <c r="Q590" t="s">
        <v>728</v>
      </c>
      <c r="R590" t="s">
        <v>351</v>
      </c>
      <c r="S590">
        <v>220</v>
      </c>
      <c r="T590" s="47" t="s">
        <v>729</v>
      </c>
      <c r="U590" t="s">
        <v>366</v>
      </c>
      <c r="V590" t="s">
        <v>367</v>
      </c>
      <c r="W590" s="47" t="s">
        <v>736</v>
      </c>
      <c r="X590" s="47">
        <v>0</v>
      </c>
      <c r="Y590" s="47" t="s">
        <v>730</v>
      </c>
      <c r="Z590" s="47">
        <v>0</v>
      </c>
      <c r="AA590" s="47" t="s">
        <v>731</v>
      </c>
      <c r="AB590" s="47">
        <v>0</v>
      </c>
      <c r="AC590" s="47" t="s">
        <v>731</v>
      </c>
      <c r="AD590" s="47" t="s">
        <v>731</v>
      </c>
      <c r="AE590" s="47" t="s">
        <v>731</v>
      </c>
      <c r="AF590" s="47">
        <v>0</v>
      </c>
      <c r="AG590" s="47">
        <v>0</v>
      </c>
      <c r="AH590" s="47">
        <v>0</v>
      </c>
      <c r="AI590" s="47" t="s">
        <v>729</v>
      </c>
      <c r="AJ590">
        <v>1</v>
      </c>
      <c r="AK590">
        <v>100</v>
      </c>
    </row>
    <row r="591" spans="1:37" x14ac:dyDescent="0.2">
      <c r="A591" t="s">
        <v>1423</v>
      </c>
      <c r="B591" t="s">
        <v>361</v>
      </c>
      <c r="C591">
        <v>2017</v>
      </c>
      <c r="D591">
        <v>2</v>
      </c>
      <c r="E591" t="s">
        <v>1425</v>
      </c>
      <c r="F591" t="s">
        <v>362</v>
      </c>
      <c r="G591">
        <v>3.211735</v>
      </c>
      <c r="H591" s="20">
        <f>IF(AND(A591=A590,F591=F590,F591="Winter wheat"),G591*0.9*'BAU Management details'!$F$46,
IF(AND(OR(A591&lt;&gt;A590,F591&lt;&gt;F590),F591="Winter wheat"),G591*'BAU Management details'!$F$46,
IF(F591="Oilseed Rape",G591*'BAU Management details'!$F$47)))</f>
        <v>24.858828899999999</v>
      </c>
      <c r="I591" t="s">
        <v>348</v>
      </c>
      <c r="J591">
        <v>10</v>
      </c>
      <c r="K591" t="s">
        <v>362</v>
      </c>
      <c r="L591" t="s">
        <v>751</v>
      </c>
      <c r="M591">
        <v>2.9</v>
      </c>
      <c r="N591" t="s">
        <v>349</v>
      </c>
      <c r="O591" t="s">
        <v>350</v>
      </c>
      <c r="P591">
        <v>7.7</v>
      </c>
      <c r="Q591" t="s">
        <v>728</v>
      </c>
      <c r="R591" t="s">
        <v>351</v>
      </c>
      <c r="S591">
        <v>220</v>
      </c>
      <c r="T591" s="47" t="s">
        <v>729</v>
      </c>
      <c r="U591" t="s">
        <v>733</v>
      </c>
      <c r="V591" t="s">
        <v>369</v>
      </c>
      <c r="W591" s="47" t="s">
        <v>736</v>
      </c>
      <c r="X591" s="47">
        <v>0</v>
      </c>
      <c r="Y591" s="47" t="s">
        <v>730</v>
      </c>
      <c r="Z591" s="47">
        <v>0</v>
      </c>
      <c r="AA591" s="47" t="s">
        <v>731</v>
      </c>
      <c r="AB591" s="47">
        <v>0</v>
      </c>
      <c r="AC591" s="47">
        <v>0</v>
      </c>
      <c r="AD591" s="47">
        <v>0</v>
      </c>
      <c r="AE591" s="47" t="s">
        <v>731</v>
      </c>
      <c r="AF591" s="47">
        <v>0</v>
      </c>
      <c r="AG591" s="47">
        <v>0</v>
      </c>
      <c r="AH591" s="47">
        <v>0</v>
      </c>
      <c r="AI591" s="47" t="s">
        <v>729</v>
      </c>
      <c r="AJ591">
        <v>1</v>
      </c>
      <c r="AK591">
        <v>100</v>
      </c>
    </row>
    <row r="592" spans="1:37" x14ac:dyDescent="0.2">
      <c r="A592" t="s">
        <v>1423</v>
      </c>
      <c r="B592" t="s">
        <v>361</v>
      </c>
      <c r="C592">
        <v>2018</v>
      </c>
      <c r="D592">
        <v>3</v>
      </c>
      <c r="E592" t="s">
        <v>1426</v>
      </c>
      <c r="F592" t="s">
        <v>365</v>
      </c>
      <c r="G592">
        <v>3.211735</v>
      </c>
      <c r="H592" s="20">
        <f>IF(AND(A592=A591,F592=F591,F592="Winter wheat"),G592*0.9*'BAU Management details'!$F$46,
IF(AND(OR(A592&lt;&gt;A591,F592&lt;&gt;F591),F592="Winter wheat"),G592*'BAU Management details'!$F$46,
IF(F592="Oilseed Rape",G592*'BAU Management details'!$F$47)))</f>
        <v>11.2410725</v>
      </c>
      <c r="I592" t="s">
        <v>348</v>
      </c>
      <c r="J592">
        <v>10</v>
      </c>
      <c r="K592" t="s">
        <v>532</v>
      </c>
      <c r="L592" t="s">
        <v>751</v>
      </c>
      <c r="M592">
        <v>2.9</v>
      </c>
      <c r="N592" t="s">
        <v>349</v>
      </c>
      <c r="O592" t="s">
        <v>350</v>
      </c>
      <c r="P592">
        <v>7.7</v>
      </c>
      <c r="Q592" t="s">
        <v>728</v>
      </c>
      <c r="R592" t="s">
        <v>351</v>
      </c>
      <c r="S592">
        <v>220</v>
      </c>
      <c r="T592" s="47" t="s">
        <v>735</v>
      </c>
      <c r="U592" t="s">
        <v>368</v>
      </c>
      <c r="V592" t="s">
        <v>364</v>
      </c>
      <c r="W592" s="47" t="s">
        <v>736</v>
      </c>
      <c r="X592" s="47">
        <v>0</v>
      </c>
      <c r="Y592" s="47" t="s">
        <v>736</v>
      </c>
      <c r="Z592" s="47">
        <v>0</v>
      </c>
      <c r="AA592" s="47" t="s">
        <v>736</v>
      </c>
      <c r="AB592" s="47">
        <v>0</v>
      </c>
      <c r="AC592" s="47">
        <v>0</v>
      </c>
      <c r="AD592" s="47">
        <v>0</v>
      </c>
      <c r="AE592" s="47" t="s">
        <v>731</v>
      </c>
      <c r="AF592" s="47">
        <v>0</v>
      </c>
      <c r="AG592" s="47" t="s">
        <v>731</v>
      </c>
      <c r="AH592" s="47">
        <v>0</v>
      </c>
      <c r="AI592" s="47" t="s">
        <v>735</v>
      </c>
      <c r="AJ592">
        <v>1</v>
      </c>
      <c r="AK592">
        <v>100</v>
      </c>
    </row>
    <row r="593" spans="1:37" x14ac:dyDescent="0.2">
      <c r="A593" t="s">
        <v>1423</v>
      </c>
      <c r="B593" t="s">
        <v>361</v>
      </c>
      <c r="C593">
        <v>2019</v>
      </c>
      <c r="D593">
        <v>4</v>
      </c>
      <c r="E593" t="s">
        <v>1427</v>
      </c>
      <c r="F593" t="s">
        <v>362</v>
      </c>
      <c r="G593">
        <v>3.211735</v>
      </c>
      <c r="H593" s="20">
        <f>IF(AND(A593=A592,F593=F592,F593="Winter wheat"),G593*0.9*'BAU Management details'!$F$46,
IF(AND(OR(A593&lt;&gt;A592,F593&lt;&gt;F592),F593="Winter wheat"),G593*'BAU Management details'!$F$46,
IF(F593="Oilseed Rape",G593*'BAU Management details'!$F$47)))</f>
        <v>27.620920999999999</v>
      </c>
      <c r="I593" t="s">
        <v>348</v>
      </c>
      <c r="J593">
        <v>10</v>
      </c>
      <c r="K593" t="s">
        <v>362</v>
      </c>
      <c r="L593" t="s">
        <v>751</v>
      </c>
      <c r="M593">
        <v>2.9</v>
      </c>
      <c r="N593" t="s">
        <v>349</v>
      </c>
      <c r="O593" t="s">
        <v>350</v>
      </c>
      <c r="P593">
        <v>7.7</v>
      </c>
      <c r="Q593" t="s">
        <v>728</v>
      </c>
      <c r="R593" t="s">
        <v>351</v>
      </c>
      <c r="S593">
        <v>220</v>
      </c>
      <c r="T593" s="47" t="s">
        <v>729</v>
      </c>
      <c r="U593" t="s">
        <v>366</v>
      </c>
      <c r="V593" t="s">
        <v>367</v>
      </c>
      <c r="W593" s="47" t="s">
        <v>736</v>
      </c>
      <c r="X593" s="47">
        <v>0</v>
      </c>
      <c r="Y593" s="47" t="s">
        <v>730</v>
      </c>
      <c r="Z593" s="47">
        <v>0</v>
      </c>
      <c r="AA593" s="47" t="s">
        <v>731</v>
      </c>
      <c r="AB593" s="47">
        <v>0</v>
      </c>
      <c r="AC593" s="47" t="s">
        <v>731</v>
      </c>
      <c r="AD593" s="47" t="s">
        <v>731</v>
      </c>
      <c r="AE593" s="47" t="s">
        <v>731</v>
      </c>
      <c r="AF593" s="47">
        <v>0</v>
      </c>
      <c r="AG593" s="47">
        <v>0</v>
      </c>
      <c r="AH593" s="47">
        <v>0</v>
      </c>
      <c r="AI593" s="47" t="s">
        <v>729</v>
      </c>
      <c r="AJ593">
        <v>1</v>
      </c>
      <c r="AK593">
        <v>100</v>
      </c>
    </row>
    <row r="594" spans="1:37" x14ac:dyDescent="0.2">
      <c r="A594" t="s">
        <v>1423</v>
      </c>
      <c r="B594" t="s">
        <v>361</v>
      </c>
      <c r="C594">
        <v>2020</v>
      </c>
      <c r="D594">
        <v>5</v>
      </c>
      <c r="E594" t="s">
        <v>1428</v>
      </c>
      <c r="F594" t="s">
        <v>362</v>
      </c>
      <c r="G594">
        <v>3.211735</v>
      </c>
      <c r="H594" s="20">
        <f>IF(AND(A594=A593,F594=F593,F594="Winter wheat"),G594*0.9*'BAU Management details'!$F$46,
IF(AND(OR(A594&lt;&gt;A593,F594&lt;&gt;F593),F594="Winter wheat"),G594*'BAU Management details'!$F$46,
IF(F594="Oilseed Rape",G594*'BAU Management details'!$F$47)))</f>
        <v>24.858828899999999</v>
      </c>
      <c r="I594" t="s">
        <v>348</v>
      </c>
      <c r="J594">
        <v>10</v>
      </c>
      <c r="K594" t="s">
        <v>362</v>
      </c>
      <c r="L594" t="s">
        <v>751</v>
      </c>
      <c r="M594">
        <v>2.9</v>
      </c>
      <c r="N594" t="s">
        <v>349</v>
      </c>
      <c r="O594" t="s">
        <v>350</v>
      </c>
      <c r="P594">
        <v>7.7</v>
      </c>
      <c r="Q594" t="s">
        <v>728</v>
      </c>
      <c r="R594" t="s">
        <v>351</v>
      </c>
      <c r="S594">
        <v>220</v>
      </c>
      <c r="T594" s="47" t="s">
        <v>729</v>
      </c>
      <c r="U594" t="s">
        <v>733</v>
      </c>
      <c r="V594" t="s">
        <v>369</v>
      </c>
      <c r="W594" s="47" t="s">
        <v>736</v>
      </c>
      <c r="X594" s="47">
        <v>0</v>
      </c>
      <c r="Y594" s="47" t="s">
        <v>730</v>
      </c>
      <c r="Z594" s="47">
        <v>0</v>
      </c>
      <c r="AA594" s="47" t="s">
        <v>731</v>
      </c>
      <c r="AB594" s="47">
        <v>0</v>
      </c>
      <c r="AC594" s="47">
        <v>0</v>
      </c>
      <c r="AD594" s="47">
        <v>0</v>
      </c>
      <c r="AE594" s="47" t="s">
        <v>731</v>
      </c>
      <c r="AF594" s="47">
        <v>0</v>
      </c>
      <c r="AG594" s="47">
        <v>0</v>
      </c>
      <c r="AH594" s="47">
        <v>0</v>
      </c>
      <c r="AI594" s="47" t="s">
        <v>729</v>
      </c>
      <c r="AJ594">
        <v>1</v>
      </c>
      <c r="AK594">
        <v>100</v>
      </c>
    </row>
    <row r="595" spans="1:37" x14ac:dyDescent="0.2">
      <c r="A595" t="s">
        <v>1423</v>
      </c>
      <c r="B595" t="s">
        <v>361</v>
      </c>
      <c r="C595">
        <v>2021</v>
      </c>
      <c r="D595">
        <v>6</v>
      </c>
      <c r="E595" t="s">
        <v>1429</v>
      </c>
      <c r="F595" t="s">
        <v>365</v>
      </c>
      <c r="G595">
        <v>3.211735</v>
      </c>
      <c r="H595" s="20">
        <f>IF(AND(A595=A594,F595=F594,F595="Winter wheat"),G595*0.9*'BAU Management details'!$F$46,
IF(AND(OR(A595&lt;&gt;A594,F595&lt;&gt;F594),F595="Winter wheat"),G595*'BAU Management details'!$F$46,
IF(F595="Oilseed Rape",G595*'BAU Management details'!$F$47)))</f>
        <v>11.2410725</v>
      </c>
      <c r="I595" t="s">
        <v>348</v>
      </c>
      <c r="J595">
        <v>10</v>
      </c>
      <c r="K595" t="s">
        <v>532</v>
      </c>
      <c r="L595" t="s">
        <v>751</v>
      </c>
      <c r="M595">
        <v>2.9</v>
      </c>
      <c r="N595" t="s">
        <v>349</v>
      </c>
      <c r="O595" t="s">
        <v>350</v>
      </c>
      <c r="P595">
        <v>7.7</v>
      </c>
      <c r="Q595" t="s">
        <v>728</v>
      </c>
      <c r="R595" t="s">
        <v>351</v>
      </c>
      <c r="S595">
        <v>220</v>
      </c>
      <c r="T595" s="47" t="s">
        <v>735</v>
      </c>
      <c r="U595" t="s">
        <v>368</v>
      </c>
      <c r="V595" t="s">
        <v>364</v>
      </c>
      <c r="W595" s="47" t="s">
        <v>736</v>
      </c>
      <c r="X595" s="47">
        <v>0</v>
      </c>
      <c r="Y595" s="47" t="s">
        <v>736</v>
      </c>
      <c r="Z595" s="47">
        <v>0</v>
      </c>
      <c r="AA595" s="47" t="s">
        <v>736</v>
      </c>
      <c r="AB595" s="47">
        <v>0</v>
      </c>
      <c r="AC595" s="47">
        <v>0</v>
      </c>
      <c r="AD595" s="47">
        <v>0</v>
      </c>
      <c r="AE595" s="47" t="s">
        <v>731</v>
      </c>
      <c r="AF595" s="47">
        <v>0</v>
      </c>
      <c r="AG595" s="47" t="s">
        <v>731</v>
      </c>
      <c r="AH595" s="47">
        <v>0</v>
      </c>
      <c r="AI595" s="47" t="s">
        <v>735</v>
      </c>
      <c r="AJ595">
        <v>1</v>
      </c>
      <c r="AK595">
        <v>100</v>
      </c>
    </row>
    <row r="596" spans="1:37" x14ac:dyDescent="0.2">
      <c r="A596" t="s">
        <v>1430</v>
      </c>
      <c r="B596" t="s">
        <v>361</v>
      </c>
      <c r="C596">
        <v>2016</v>
      </c>
      <c r="D596">
        <v>1</v>
      </c>
      <c r="E596" t="s">
        <v>1431</v>
      </c>
      <c r="F596" t="s">
        <v>362</v>
      </c>
      <c r="G596">
        <v>8.3533530000000003</v>
      </c>
      <c r="H596" s="20">
        <f>IF(AND(A596=A595,F596=F595,F596="Winter wheat"),G596*0.9*'BAU Management details'!$F$46,
IF(AND(OR(A596&lt;&gt;A595,F596&lt;&gt;F595),F596="Winter wheat"),G596*'BAU Management details'!$F$46,
IF(F596="Oilseed Rape",G596*'BAU Management details'!$F$47)))</f>
        <v>71.838835799999998</v>
      </c>
      <c r="I596" t="s">
        <v>348</v>
      </c>
      <c r="J596">
        <v>10</v>
      </c>
      <c r="K596" t="s">
        <v>362</v>
      </c>
      <c r="L596" t="s">
        <v>751</v>
      </c>
      <c r="M596">
        <v>2.6</v>
      </c>
      <c r="N596" t="s">
        <v>349</v>
      </c>
      <c r="O596" t="s">
        <v>742</v>
      </c>
      <c r="P596">
        <v>7.7</v>
      </c>
      <c r="Q596" t="s">
        <v>728</v>
      </c>
      <c r="R596" t="s">
        <v>351</v>
      </c>
      <c r="S596">
        <v>220</v>
      </c>
      <c r="T596" s="47" t="s">
        <v>729</v>
      </c>
      <c r="U596" t="s">
        <v>366</v>
      </c>
      <c r="V596" t="s">
        <v>364</v>
      </c>
      <c r="W596" s="47" t="s">
        <v>736</v>
      </c>
      <c r="X596" s="47">
        <v>0</v>
      </c>
      <c r="Y596" s="47" t="s">
        <v>730</v>
      </c>
      <c r="Z596" s="47">
        <v>0</v>
      </c>
      <c r="AA596" s="47" t="s">
        <v>731</v>
      </c>
      <c r="AB596" s="47">
        <v>0</v>
      </c>
      <c r="AC596" s="47" t="s">
        <v>731</v>
      </c>
      <c r="AD596" s="47" t="s">
        <v>731</v>
      </c>
      <c r="AE596" s="47" t="s">
        <v>731</v>
      </c>
      <c r="AF596" s="47">
        <v>0</v>
      </c>
      <c r="AG596" s="47">
        <v>0</v>
      </c>
      <c r="AH596" s="47">
        <v>0</v>
      </c>
      <c r="AI596" s="47" t="s">
        <v>729</v>
      </c>
      <c r="AJ596">
        <v>1</v>
      </c>
      <c r="AK596">
        <v>100</v>
      </c>
    </row>
    <row r="597" spans="1:37" x14ac:dyDescent="0.2">
      <c r="A597" t="s">
        <v>1430</v>
      </c>
      <c r="B597" t="s">
        <v>361</v>
      </c>
      <c r="C597">
        <v>2017</v>
      </c>
      <c r="D597">
        <v>2</v>
      </c>
      <c r="E597" t="s">
        <v>1432</v>
      </c>
      <c r="F597" t="s">
        <v>362</v>
      </c>
      <c r="G597">
        <v>8.3533530000000003</v>
      </c>
      <c r="H597" s="20">
        <f>IF(AND(A597=A596,F597=F596,F597="Winter wheat"),G597*0.9*'BAU Management details'!$F$46,
IF(AND(OR(A597&lt;&gt;A596,F597&lt;&gt;F596),F597="Winter wheat"),G597*'BAU Management details'!$F$46,
IF(F597="Oilseed Rape",G597*'BAU Management details'!$F$47)))</f>
        <v>64.654952219999998</v>
      </c>
      <c r="I597" t="s">
        <v>348</v>
      </c>
      <c r="J597">
        <v>10</v>
      </c>
      <c r="K597" t="s">
        <v>362</v>
      </c>
      <c r="L597" t="s">
        <v>751</v>
      </c>
      <c r="M597">
        <v>2.6</v>
      </c>
      <c r="N597" t="s">
        <v>349</v>
      </c>
      <c r="O597" t="s">
        <v>742</v>
      </c>
      <c r="P597">
        <v>7.7</v>
      </c>
      <c r="Q597" t="s">
        <v>728</v>
      </c>
      <c r="R597" t="s">
        <v>351</v>
      </c>
      <c r="S597">
        <v>220</v>
      </c>
      <c r="T597" s="47" t="s">
        <v>729</v>
      </c>
      <c r="U597" t="s">
        <v>733</v>
      </c>
      <c r="V597" t="s">
        <v>364</v>
      </c>
      <c r="W597" s="47" t="s">
        <v>736</v>
      </c>
      <c r="X597" s="47">
        <v>0</v>
      </c>
      <c r="Y597" s="47" t="s">
        <v>730</v>
      </c>
      <c r="Z597" s="47">
        <v>0</v>
      </c>
      <c r="AA597" s="47" t="s">
        <v>731</v>
      </c>
      <c r="AB597" s="47">
        <v>0</v>
      </c>
      <c r="AC597" s="47">
        <v>0</v>
      </c>
      <c r="AD597" s="47">
        <v>0</v>
      </c>
      <c r="AE597" s="47" t="s">
        <v>731</v>
      </c>
      <c r="AF597" s="47">
        <v>0</v>
      </c>
      <c r="AG597" s="47">
        <v>0</v>
      </c>
      <c r="AH597" s="47">
        <v>0</v>
      </c>
      <c r="AI597" s="47" t="s">
        <v>729</v>
      </c>
      <c r="AJ597">
        <v>1</v>
      </c>
      <c r="AK597">
        <v>100</v>
      </c>
    </row>
    <row r="598" spans="1:37" x14ac:dyDescent="0.2">
      <c r="A598" t="s">
        <v>1430</v>
      </c>
      <c r="B598" t="s">
        <v>361</v>
      </c>
      <c r="C598">
        <v>2018</v>
      </c>
      <c r="D598">
        <v>3</v>
      </c>
      <c r="E598" t="s">
        <v>1433</v>
      </c>
      <c r="F598" t="s">
        <v>365</v>
      </c>
      <c r="G598">
        <v>8.3533530000000003</v>
      </c>
      <c r="H598" s="20">
        <f>IF(AND(A598=A597,F598=F597,F598="Winter wheat"),G598*0.9*'BAU Management details'!$F$46,
IF(AND(OR(A598&lt;&gt;A597,F598&lt;&gt;F597),F598="Winter wheat"),G598*'BAU Management details'!$F$46,
IF(F598="Oilseed Rape",G598*'BAU Management details'!$F$47)))</f>
        <v>29.236735500000002</v>
      </c>
      <c r="I598" t="s">
        <v>348</v>
      </c>
      <c r="J598">
        <v>10</v>
      </c>
      <c r="K598" t="s">
        <v>532</v>
      </c>
      <c r="L598" t="s">
        <v>751</v>
      </c>
      <c r="M598">
        <v>2.6</v>
      </c>
      <c r="N598" t="s">
        <v>349</v>
      </c>
      <c r="O598" t="s">
        <v>742</v>
      </c>
      <c r="P598">
        <v>7.7</v>
      </c>
      <c r="Q598" t="s">
        <v>728</v>
      </c>
      <c r="R598" t="s">
        <v>351</v>
      </c>
      <c r="S598">
        <v>220</v>
      </c>
      <c r="T598" s="47" t="s">
        <v>735</v>
      </c>
      <c r="U598" t="s">
        <v>368</v>
      </c>
      <c r="V598" t="s">
        <v>364</v>
      </c>
      <c r="W598" s="47" t="s">
        <v>736</v>
      </c>
      <c r="X598" s="47">
        <v>0</v>
      </c>
      <c r="Y598" s="47" t="s">
        <v>736</v>
      </c>
      <c r="Z598" s="47">
        <v>0</v>
      </c>
      <c r="AA598" s="47" t="s">
        <v>736</v>
      </c>
      <c r="AB598" s="47">
        <v>0</v>
      </c>
      <c r="AC598" s="47">
        <v>0</v>
      </c>
      <c r="AD598" s="47">
        <v>0</v>
      </c>
      <c r="AE598" s="47" t="s">
        <v>731</v>
      </c>
      <c r="AF598" s="47">
        <v>0</v>
      </c>
      <c r="AG598" s="47" t="s">
        <v>731</v>
      </c>
      <c r="AH598" s="47">
        <v>0</v>
      </c>
      <c r="AI598" s="47" t="s">
        <v>735</v>
      </c>
      <c r="AJ598">
        <v>1</v>
      </c>
      <c r="AK598">
        <v>100</v>
      </c>
    </row>
    <row r="599" spans="1:37" x14ac:dyDescent="0.2">
      <c r="A599" t="s">
        <v>1430</v>
      </c>
      <c r="B599" t="s">
        <v>361</v>
      </c>
      <c r="C599">
        <v>2019</v>
      </c>
      <c r="D599">
        <v>4</v>
      </c>
      <c r="E599" t="s">
        <v>1434</v>
      </c>
      <c r="F599" t="s">
        <v>362</v>
      </c>
      <c r="G599">
        <v>8.3533530000000003</v>
      </c>
      <c r="H599" s="20">
        <f>IF(AND(A599=A598,F599=F598,F599="Winter wheat"),G599*0.9*'BAU Management details'!$F$46,
IF(AND(OR(A599&lt;&gt;A598,F599&lt;&gt;F598),F599="Winter wheat"),G599*'BAU Management details'!$F$46,
IF(F599="Oilseed Rape",G599*'BAU Management details'!$F$47)))</f>
        <v>71.838835799999998</v>
      </c>
      <c r="I599" t="s">
        <v>348</v>
      </c>
      <c r="J599">
        <v>10</v>
      </c>
      <c r="K599" t="s">
        <v>362</v>
      </c>
      <c r="L599" t="s">
        <v>751</v>
      </c>
      <c r="M599">
        <v>2.6</v>
      </c>
      <c r="N599" t="s">
        <v>349</v>
      </c>
      <c r="O599" t="s">
        <v>742</v>
      </c>
      <c r="P599">
        <v>7.7</v>
      </c>
      <c r="Q599" t="s">
        <v>728</v>
      </c>
      <c r="R599" t="s">
        <v>351</v>
      </c>
      <c r="S599">
        <v>220</v>
      </c>
      <c r="T599" s="47" t="s">
        <v>729</v>
      </c>
      <c r="U599" t="s">
        <v>366</v>
      </c>
      <c r="V599" t="s">
        <v>364</v>
      </c>
      <c r="W599" s="47" t="s">
        <v>736</v>
      </c>
      <c r="X599" s="47">
        <v>0</v>
      </c>
      <c r="Y599" s="47" t="s">
        <v>730</v>
      </c>
      <c r="Z599" s="47">
        <v>0</v>
      </c>
      <c r="AA599" s="47" t="s">
        <v>731</v>
      </c>
      <c r="AB599" s="47">
        <v>0</v>
      </c>
      <c r="AC599" s="47" t="s">
        <v>731</v>
      </c>
      <c r="AD599" s="47" t="s">
        <v>731</v>
      </c>
      <c r="AE599" s="47" t="s">
        <v>731</v>
      </c>
      <c r="AF599" s="47">
        <v>0</v>
      </c>
      <c r="AG599" s="47">
        <v>0</v>
      </c>
      <c r="AH599" s="47">
        <v>0</v>
      </c>
      <c r="AI599" s="47" t="s">
        <v>729</v>
      </c>
      <c r="AJ599">
        <v>1</v>
      </c>
      <c r="AK599">
        <v>100</v>
      </c>
    </row>
    <row r="600" spans="1:37" x14ac:dyDescent="0.2">
      <c r="A600" t="s">
        <v>1430</v>
      </c>
      <c r="B600" t="s">
        <v>361</v>
      </c>
      <c r="C600">
        <v>2020</v>
      </c>
      <c r="D600">
        <v>5</v>
      </c>
      <c r="E600" t="s">
        <v>1435</v>
      </c>
      <c r="F600" t="s">
        <v>362</v>
      </c>
      <c r="G600">
        <v>8.3533530000000003</v>
      </c>
      <c r="H600" s="20">
        <f>IF(AND(A600=A599,F600=F599,F600="Winter wheat"),G600*0.9*'BAU Management details'!$F$46,
IF(AND(OR(A600&lt;&gt;A599,F600&lt;&gt;F599),F600="Winter wheat"),G600*'BAU Management details'!$F$46,
IF(F600="Oilseed Rape",G600*'BAU Management details'!$F$47)))</f>
        <v>64.654952219999998</v>
      </c>
      <c r="I600" t="s">
        <v>348</v>
      </c>
      <c r="J600">
        <v>10</v>
      </c>
      <c r="K600" t="s">
        <v>362</v>
      </c>
      <c r="L600" t="s">
        <v>751</v>
      </c>
      <c r="M600">
        <v>2.6</v>
      </c>
      <c r="N600" t="s">
        <v>349</v>
      </c>
      <c r="O600" t="s">
        <v>742</v>
      </c>
      <c r="P600">
        <v>7.7</v>
      </c>
      <c r="Q600" t="s">
        <v>728</v>
      </c>
      <c r="R600" t="s">
        <v>351</v>
      </c>
      <c r="S600">
        <v>220</v>
      </c>
      <c r="T600" s="47" t="s">
        <v>729</v>
      </c>
      <c r="U600" t="s">
        <v>733</v>
      </c>
      <c r="V600" t="s">
        <v>364</v>
      </c>
      <c r="W600" s="47" t="s">
        <v>736</v>
      </c>
      <c r="X600" s="47">
        <v>0</v>
      </c>
      <c r="Y600" s="47" t="s">
        <v>730</v>
      </c>
      <c r="Z600" s="47">
        <v>0</v>
      </c>
      <c r="AA600" s="47" t="s">
        <v>731</v>
      </c>
      <c r="AB600" s="47">
        <v>0</v>
      </c>
      <c r="AC600" s="47">
        <v>0</v>
      </c>
      <c r="AD600" s="47">
        <v>0</v>
      </c>
      <c r="AE600" s="47" t="s">
        <v>731</v>
      </c>
      <c r="AF600" s="47">
        <v>0</v>
      </c>
      <c r="AG600" s="47">
        <v>0</v>
      </c>
      <c r="AH600" s="47">
        <v>0</v>
      </c>
      <c r="AI600" s="47" t="s">
        <v>729</v>
      </c>
      <c r="AJ600">
        <v>1</v>
      </c>
      <c r="AK600">
        <v>100</v>
      </c>
    </row>
    <row r="601" spans="1:37" x14ac:dyDescent="0.2">
      <c r="A601" t="s">
        <v>1430</v>
      </c>
      <c r="B601" t="s">
        <v>361</v>
      </c>
      <c r="C601">
        <v>2021</v>
      </c>
      <c r="D601">
        <v>6</v>
      </c>
      <c r="E601" t="s">
        <v>1436</v>
      </c>
      <c r="F601" t="s">
        <v>365</v>
      </c>
      <c r="G601">
        <v>8.3533530000000003</v>
      </c>
      <c r="H601" s="20">
        <f>IF(AND(A601=A600,F601=F600,F601="Winter wheat"),G601*0.9*'BAU Management details'!$F$46,
IF(AND(OR(A601&lt;&gt;A600,F601&lt;&gt;F600),F601="Winter wheat"),G601*'BAU Management details'!$F$46,
IF(F601="Oilseed Rape",G601*'BAU Management details'!$F$47)))</f>
        <v>29.236735500000002</v>
      </c>
      <c r="I601" t="s">
        <v>348</v>
      </c>
      <c r="J601">
        <v>10</v>
      </c>
      <c r="K601" t="s">
        <v>532</v>
      </c>
      <c r="L601" t="s">
        <v>751</v>
      </c>
      <c r="M601">
        <v>2.6</v>
      </c>
      <c r="N601" t="s">
        <v>349</v>
      </c>
      <c r="O601" t="s">
        <v>742</v>
      </c>
      <c r="P601">
        <v>7.7</v>
      </c>
      <c r="Q601" t="s">
        <v>728</v>
      </c>
      <c r="R601" t="s">
        <v>351</v>
      </c>
      <c r="S601">
        <v>220</v>
      </c>
      <c r="T601" s="47" t="s">
        <v>735</v>
      </c>
      <c r="U601" t="s">
        <v>368</v>
      </c>
      <c r="V601" t="s">
        <v>364</v>
      </c>
      <c r="W601" s="47" t="s">
        <v>736</v>
      </c>
      <c r="X601" s="47">
        <v>0</v>
      </c>
      <c r="Y601" s="47" t="s">
        <v>736</v>
      </c>
      <c r="Z601" s="47">
        <v>0</v>
      </c>
      <c r="AA601" s="47" t="s">
        <v>736</v>
      </c>
      <c r="AB601" s="47">
        <v>0</v>
      </c>
      <c r="AC601" s="47">
        <v>0</v>
      </c>
      <c r="AD601" s="47">
        <v>0</v>
      </c>
      <c r="AE601" s="47" t="s">
        <v>731</v>
      </c>
      <c r="AF601" s="47">
        <v>0</v>
      </c>
      <c r="AG601" s="47" t="s">
        <v>731</v>
      </c>
      <c r="AH601" s="47">
        <v>0</v>
      </c>
      <c r="AI601" s="47" t="s">
        <v>735</v>
      </c>
      <c r="AJ601">
        <v>1</v>
      </c>
      <c r="AK601">
        <v>100</v>
      </c>
    </row>
    <row r="602" spans="1:37" x14ac:dyDescent="0.2">
      <c r="A602" t="s">
        <v>1437</v>
      </c>
      <c r="B602" t="s">
        <v>361</v>
      </c>
      <c r="C602">
        <v>2016</v>
      </c>
      <c r="D602">
        <v>1</v>
      </c>
      <c r="E602" t="s">
        <v>1438</v>
      </c>
      <c r="F602" t="s">
        <v>362</v>
      </c>
      <c r="G602">
        <v>9.2751750000000008</v>
      </c>
      <c r="H602" s="20">
        <f>IF(AND(A602=A601,F602=F601,F602="Winter wheat"),G602*0.9*'BAU Management details'!$F$46,
IF(AND(OR(A602&lt;&gt;A601,F602&lt;&gt;F601),F602="Winter wheat"),G602*'BAU Management details'!$F$46,
IF(F602="Oilseed Rape",G602*'BAU Management details'!$F$47)))</f>
        <v>79.766505000000009</v>
      </c>
      <c r="I602" t="s">
        <v>348</v>
      </c>
      <c r="J602">
        <v>10</v>
      </c>
      <c r="K602" t="s">
        <v>362</v>
      </c>
      <c r="L602" t="s">
        <v>727</v>
      </c>
      <c r="M602">
        <v>3.1</v>
      </c>
      <c r="N602" t="s">
        <v>349</v>
      </c>
      <c r="O602" t="s">
        <v>350</v>
      </c>
      <c r="P602">
        <v>7.5</v>
      </c>
      <c r="Q602" t="s">
        <v>728</v>
      </c>
      <c r="R602" t="s">
        <v>351</v>
      </c>
      <c r="S602">
        <v>220</v>
      </c>
      <c r="T602" s="47" t="s">
        <v>729</v>
      </c>
      <c r="U602" t="s">
        <v>366</v>
      </c>
      <c r="V602" t="s">
        <v>364</v>
      </c>
      <c r="W602" s="47" t="s">
        <v>736</v>
      </c>
      <c r="X602" s="47">
        <v>0</v>
      </c>
      <c r="Y602" s="47" t="s">
        <v>730</v>
      </c>
      <c r="Z602" s="47">
        <v>0</v>
      </c>
      <c r="AA602" s="47" t="s">
        <v>731</v>
      </c>
      <c r="AB602" s="47">
        <v>0</v>
      </c>
      <c r="AC602" s="47" t="s">
        <v>731</v>
      </c>
      <c r="AD602" s="47" t="s">
        <v>731</v>
      </c>
      <c r="AE602" s="47" t="s">
        <v>731</v>
      </c>
      <c r="AF602" s="47">
        <v>0</v>
      </c>
      <c r="AG602" s="47">
        <v>0</v>
      </c>
      <c r="AH602" s="47">
        <v>0</v>
      </c>
      <c r="AI602" s="47" t="s">
        <v>729</v>
      </c>
      <c r="AJ602">
        <v>1</v>
      </c>
      <c r="AK602">
        <v>100</v>
      </c>
    </row>
    <row r="603" spans="1:37" x14ac:dyDescent="0.2">
      <c r="A603" t="s">
        <v>1437</v>
      </c>
      <c r="B603" t="s">
        <v>361</v>
      </c>
      <c r="C603">
        <v>2017</v>
      </c>
      <c r="D603">
        <v>2</v>
      </c>
      <c r="E603" t="s">
        <v>1439</v>
      </c>
      <c r="F603" t="s">
        <v>362</v>
      </c>
      <c r="G603">
        <v>9.2751750000000008</v>
      </c>
      <c r="H603" s="20">
        <f>IF(AND(A603=A602,F603=F602,F603="Winter wheat"),G603*0.9*'BAU Management details'!$F$46,
IF(AND(OR(A603&lt;&gt;A602,F603&lt;&gt;F602),F603="Winter wheat"),G603*'BAU Management details'!$F$46,
IF(F603="Oilseed Rape",G603*'BAU Management details'!$F$47)))</f>
        <v>71.789854500000004</v>
      </c>
      <c r="I603" t="s">
        <v>348</v>
      </c>
      <c r="J603">
        <v>10</v>
      </c>
      <c r="K603" t="s">
        <v>362</v>
      </c>
      <c r="L603" t="s">
        <v>727</v>
      </c>
      <c r="M603">
        <v>3.1</v>
      </c>
      <c r="N603" t="s">
        <v>349</v>
      </c>
      <c r="O603" t="s">
        <v>350</v>
      </c>
      <c r="P603">
        <v>7.5</v>
      </c>
      <c r="Q603" t="s">
        <v>728</v>
      </c>
      <c r="R603" t="s">
        <v>351</v>
      </c>
      <c r="S603">
        <v>220</v>
      </c>
      <c r="T603" s="47" t="s">
        <v>729</v>
      </c>
      <c r="U603" t="s">
        <v>733</v>
      </c>
      <c r="V603" t="s">
        <v>364</v>
      </c>
      <c r="W603" s="47" t="s">
        <v>736</v>
      </c>
      <c r="X603" s="47">
        <v>0</v>
      </c>
      <c r="Y603" s="47" t="s">
        <v>730</v>
      </c>
      <c r="Z603" s="47">
        <v>0</v>
      </c>
      <c r="AA603" s="47" t="s">
        <v>731</v>
      </c>
      <c r="AB603" s="47">
        <v>0</v>
      </c>
      <c r="AC603" s="47">
        <v>0</v>
      </c>
      <c r="AD603" s="47">
        <v>0</v>
      </c>
      <c r="AE603" s="47" t="s">
        <v>731</v>
      </c>
      <c r="AF603" s="47">
        <v>0</v>
      </c>
      <c r="AG603" s="47">
        <v>0</v>
      </c>
      <c r="AH603" s="47">
        <v>0</v>
      </c>
      <c r="AI603" s="47" t="s">
        <v>729</v>
      </c>
      <c r="AJ603">
        <v>1</v>
      </c>
      <c r="AK603">
        <v>100</v>
      </c>
    </row>
    <row r="604" spans="1:37" x14ac:dyDescent="0.2">
      <c r="A604" t="s">
        <v>1437</v>
      </c>
      <c r="B604" t="s">
        <v>361</v>
      </c>
      <c r="C604">
        <v>2018</v>
      </c>
      <c r="D604">
        <v>3</v>
      </c>
      <c r="E604" t="s">
        <v>1440</v>
      </c>
      <c r="F604" t="s">
        <v>365</v>
      </c>
      <c r="G604">
        <v>9.2751750000000008</v>
      </c>
      <c r="H604" s="20">
        <f>IF(AND(A604=A603,F604=F603,F604="Winter wheat"),G604*0.9*'BAU Management details'!$F$46,
IF(AND(OR(A604&lt;&gt;A603,F604&lt;&gt;F603),F604="Winter wheat"),G604*'BAU Management details'!$F$46,
IF(F604="Oilseed Rape",G604*'BAU Management details'!$F$47)))</f>
        <v>32.463112500000001</v>
      </c>
      <c r="I604" t="s">
        <v>348</v>
      </c>
      <c r="J604">
        <v>10</v>
      </c>
      <c r="K604" t="s">
        <v>532</v>
      </c>
      <c r="L604" t="s">
        <v>727</v>
      </c>
      <c r="M604">
        <v>3.1</v>
      </c>
      <c r="N604" t="s">
        <v>349</v>
      </c>
      <c r="O604" t="s">
        <v>350</v>
      </c>
      <c r="P604">
        <v>7.5</v>
      </c>
      <c r="Q604" t="s">
        <v>728</v>
      </c>
      <c r="R604" t="s">
        <v>351</v>
      </c>
      <c r="S604">
        <v>220</v>
      </c>
      <c r="T604" s="47" t="s">
        <v>735</v>
      </c>
      <c r="U604" t="s">
        <v>368</v>
      </c>
      <c r="V604" t="s">
        <v>364</v>
      </c>
      <c r="W604" s="47" t="s">
        <v>736</v>
      </c>
      <c r="X604" s="47">
        <v>0</v>
      </c>
      <c r="Y604" s="47" t="s">
        <v>736</v>
      </c>
      <c r="Z604" s="47">
        <v>0</v>
      </c>
      <c r="AA604" s="47" t="s">
        <v>736</v>
      </c>
      <c r="AB604" s="47">
        <v>0</v>
      </c>
      <c r="AC604" s="47">
        <v>0</v>
      </c>
      <c r="AD604" s="47">
        <v>0</v>
      </c>
      <c r="AE604" s="47" t="s">
        <v>731</v>
      </c>
      <c r="AF604" s="47">
        <v>0</v>
      </c>
      <c r="AG604" s="47" t="s">
        <v>731</v>
      </c>
      <c r="AH604" s="47">
        <v>0</v>
      </c>
      <c r="AI604" s="47" t="s">
        <v>735</v>
      </c>
      <c r="AJ604">
        <v>1</v>
      </c>
      <c r="AK604">
        <v>100</v>
      </c>
    </row>
    <row r="605" spans="1:37" x14ac:dyDescent="0.2">
      <c r="A605" t="s">
        <v>1437</v>
      </c>
      <c r="B605" t="s">
        <v>361</v>
      </c>
      <c r="C605">
        <v>2019</v>
      </c>
      <c r="D605">
        <v>4</v>
      </c>
      <c r="E605" t="s">
        <v>1441</v>
      </c>
      <c r="F605" t="s">
        <v>362</v>
      </c>
      <c r="G605">
        <v>9.2751750000000008</v>
      </c>
      <c r="H605" s="20">
        <f>IF(AND(A605=A604,F605=F604,F605="Winter wheat"),G605*0.9*'BAU Management details'!$F$46,
IF(AND(OR(A605&lt;&gt;A604,F605&lt;&gt;F604),F605="Winter wheat"),G605*'BAU Management details'!$F$46,
IF(F605="Oilseed Rape",G605*'BAU Management details'!$F$47)))</f>
        <v>79.766505000000009</v>
      </c>
      <c r="I605" t="s">
        <v>348</v>
      </c>
      <c r="J605">
        <v>10</v>
      </c>
      <c r="K605" t="s">
        <v>362</v>
      </c>
      <c r="L605" t="s">
        <v>727</v>
      </c>
      <c r="M605">
        <v>3.1</v>
      </c>
      <c r="N605" t="s">
        <v>349</v>
      </c>
      <c r="O605" t="s">
        <v>350</v>
      </c>
      <c r="P605">
        <v>7.5</v>
      </c>
      <c r="Q605" t="s">
        <v>728</v>
      </c>
      <c r="R605" t="s">
        <v>351</v>
      </c>
      <c r="S605">
        <v>220</v>
      </c>
      <c r="T605" s="47" t="s">
        <v>729</v>
      </c>
      <c r="U605" t="s">
        <v>366</v>
      </c>
      <c r="V605" t="s">
        <v>364</v>
      </c>
      <c r="W605" s="47" t="s">
        <v>736</v>
      </c>
      <c r="X605" s="47">
        <v>0</v>
      </c>
      <c r="Y605" s="47" t="s">
        <v>730</v>
      </c>
      <c r="Z605" s="47">
        <v>0</v>
      </c>
      <c r="AA605" s="47" t="s">
        <v>731</v>
      </c>
      <c r="AB605" s="47">
        <v>0</v>
      </c>
      <c r="AC605" s="47" t="s">
        <v>731</v>
      </c>
      <c r="AD605" s="47" t="s">
        <v>731</v>
      </c>
      <c r="AE605" s="47" t="s">
        <v>731</v>
      </c>
      <c r="AF605" s="47">
        <v>0</v>
      </c>
      <c r="AG605" s="47">
        <v>0</v>
      </c>
      <c r="AH605" s="47">
        <v>0</v>
      </c>
      <c r="AI605" s="47" t="s">
        <v>729</v>
      </c>
      <c r="AJ605">
        <v>1</v>
      </c>
      <c r="AK605">
        <v>100</v>
      </c>
    </row>
    <row r="606" spans="1:37" x14ac:dyDescent="0.2">
      <c r="A606" t="s">
        <v>1437</v>
      </c>
      <c r="B606" t="s">
        <v>361</v>
      </c>
      <c r="C606">
        <v>2020</v>
      </c>
      <c r="D606">
        <v>5</v>
      </c>
      <c r="E606" t="s">
        <v>1442</v>
      </c>
      <c r="F606" t="s">
        <v>362</v>
      </c>
      <c r="G606">
        <v>9.2751750000000008</v>
      </c>
      <c r="H606" s="20">
        <f>IF(AND(A606=A605,F606=F605,F606="Winter wheat"),G606*0.9*'BAU Management details'!$F$46,
IF(AND(OR(A606&lt;&gt;A605,F606&lt;&gt;F605),F606="Winter wheat"),G606*'BAU Management details'!$F$46,
IF(F606="Oilseed Rape",G606*'BAU Management details'!$F$47)))</f>
        <v>71.789854500000004</v>
      </c>
      <c r="I606" t="s">
        <v>348</v>
      </c>
      <c r="J606">
        <v>10</v>
      </c>
      <c r="K606" t="s">
        <v>362</v>
      </c>
      <c r="L606" t="s">
        <v>727</v>
      </c>
      <c r="M606">
        <v>3.1</v>
      </c>
      <c r="N606" t="s">
        <v>349</v>
      </c>
      <c r="O606" t="s">
        <v>350</v>
      </c>
      <c r="P606">
        <v>7.5</v>
      </c>
      <c r="Q606" t="s">
        <v>728</v>
      </c>
      <c r="R606" t="s">
        <v>351</v>
      </c>
      <c r="S606">
        <v>220</v>
      </c>
      <c r="T606" s="47" t="s">
        <v>729</v>
      </c>
      <c r="U606" t="s">
        <v>733</v>
      </c>
      <c r="V606" t="s">
        <v>364</v>
      </c>
      <c r="W606" s="47" t="s">
        <v>736</v>
      </c>
      <c r="X606" s="47">
        <v>0</v>
      </c>
      <c r="Y606" s="47" t="s">
        <v>730</v>
      </c>
      <c r="Z606" s="47">
        <v>0</v>
      </c>
      <c r="AA606" s="47" t="s">
        <v>731</v>
      </c>
      <c r="AB606" s="47">
        <v>0</v>
      </c>
      <c r="AC606" s="47">
        <v>0</v>
      </c>
      <c r="AD606" s="47">
        <v>0</v>
      </c>
      <c r="AE606" s="47" t="s">
        <v>731</v>
      </c>
      <c r="AF606" s="47">
        <v>0</v>
      </c>
      <c r="AG606" s="47">
        <v>0</v>
      </c>
      <c r="AH606" s="47">
        <v>0</v>
      </c>
      <c r="AI606" s="47" t="s">
        <v>729</v>
      </c>
      <c r="AJ606">
        <v>1</v>
      </c>
      <c r="AK606">
        <v>100</v>
      </c>
    </row>
    <row r="607" spans="1:37" x14ac:dyDescent="0.2">
      <c r="A607" t="s">
        <v>1437</v>
      </c>
      <c r="B607" t="s">
        <v>361</v>
      </c>
      <c r="C607">
        <v>2021</v>
      </c>
      <c r="D607">
        <v>6</v>
      </c>
      <c r="E607" t="s">
        <v>1443</v>
      </c>
      <c r="F607" t="s">
        <v>365</v>
      </c>
      <c r="G607">
        <v>9.2751750000000008</v>
      </c>
      <c r="H607" s="20">
        <f>IF(AND(A607=A606,F607=F606,F607="Winter wheat"),G607*0.9*'BAU Management details'!$F$46,
IF(AND(OR(A607&lt;&gt;A606,F607&lt;&gt;F606),F607="Winter wheat"),G607*'BAU Management details'!$F$46,
IF(F607="Oilseed Rape",G607*'BAU Management details'!$F$47)))</f>
        <v>32.463112500000001</v>
      </c>
      <c r="I607" t="s">
        <v>348</v>
      </c>
      <c r="J607">
        <v>10</v>
      </c>
      <c r="K607" t="s">
        <v>532</v>
      </c>
      <c r="L607" t="s">
        <v>727</v>
      </c>
      <c r="M607">
        <v>3.1</v>
      </c>
      <c r="N607" t="s">
        <v>349</v>
      </c>
      <c r="O607" t="s">
        <v>350</v>
      </c>
      <c r="P607">
        <v>7.5</v>
      </c>
      <c r="Q607" t="s">
        <v>728</v>
      </c>
      <c r="R607" t="s">
        <v>351</v>
      </c>
      <c r="S607">
        <v>220</v>
      </c>
      <c r="T607" s="47" t="s">
        <v>735</v>
      </c>
      <c r="U607" t="s">
        <v>368</v>
      </c>
      <c r="V607" t="s">
        <v>364</v>
      </c>
      <c r="W607" s="47" t="s">
        <v>736</v>
      </c>
      <c r="X607" s="47">
        <v>0</v>
      </c>
      <c r="Y607" s="47" t="s">
        <v>736</v>
      </c>
      <c r="Z607" s="47">
        <v>0</v>
      </c>
      <c r="AA607" s="47" t="s">
        <v>736</v>
      </c>
      <c r="AB607" s="47">
        <v>0</v>
      </c>
      <c r="AC607" s="47">
        <v>0</v>
      </c>
      <c r="AD607" s="47">
        <v>0</v>
      </c>
      <c r="AE607" s="47" t="s">
        <v>731</v>
      </c>
      <c r="AF607" s="47">
        <v>0</v>
      </c>
      <c r="AG607" s="47" t="s">
        <v>731</v>
      </c>
      <c r="AH607" s="47">
        <v>0</v>
      </c>
      <c r="AI607" s="47" t="s">
        <v>735</v>
      </c>
      <c r="AJ607">
        <v>1</v>
      </c>
      <c r="AK607">
        <v>100</v>
      </c>
    </row>
    <row r="608" spans="1:37" x14ac:dyDescent="0.2">
      <c r="A608" t="s">
        <v>1444</v>
      </c>
      <c r="B608" t="s">
        <v>361</v>
      </c>
      <c r="C608">
        <v>2016</v>
      </c>
      <c r="D608">
        <v>1</v>
      </c>
      <c r="E608" t="s">
        <v>1445</v>
      </c>
      <c r="F608" t="s">
        <v>362</v>
      </c>
      <c r="G608">
        <v>5.3211630000000003</v>
      </c>
      <c r="H608" s="20">
        <f>IF(AND(A608=A607,F608=F607,F608="Winter wheat"),G608*0.9*'BAU Management details'!$F$46,
IF(AND(OR(A608&lt;&gt;A607,F608&lt;&gt;F607),F608="Winter wheat"),G608*'BAU Management details'!$F$46,
IF(F608="Oilseed Rape",G608*'BAU Management details'!$F$47)))</f>
        <v>45.7620018</v>
      </c>
      <c r="I608" t="s">
        <v>348</v>
      </c>
      <c r="J608">
        <v>10</v>
      </c>
      <c r="K608" t="s">
        <v>362</v>
      </c>
      <c r="L608" t="s">
        <v>751</v>
      </c>
      <c r="M608">
        <v>2.2000000000000002</v>
      </c>
      <c r="N608" t="s">
        <v>349</v>
      </c>
      <c r="O608" t="s">
        <v>742</v>
      </c>
      <c r="P608">
        <v>6.7</v>
      </c>
      <c r="Q608" t="s">
        <v>743</v>
      </c>
      <c r="R608" t="s">
        <v>351</v>
      </c>
      <c r="S608">
        <v>220</v>
      </c>
      <c r="T608" s="47" t="s">
        <v>729</v>
      </c>
      <c r="U608" t="s">
        <v>366</v>
      </c>
      <c r="V608" t="s">
        <v>364</v>
      </c>
      <c r="W608" s="47" t="s">
        <v>736</v>
      </c>
      <c r="X608" s="47">
        <v>0</v>
      </c>
      <c r="Y608" s="47" t="s">
        <v>730</v>
      </c>
      <c r="Z608" s="47">
        <v>0</v>
      </c>
      <c r="AA608" s="47" t="s">
        <v>731</v>
      </c>
      <c r="AB608" s="47">
        <v>0</v>
      </c>
      <c r="AC608" s="47" t="s">
        <v>731</v>
      </c>
      <c r="AD608" s="47" t="s">
        <v>731</v>
      </c>
      <c r="AE608" s="47" t="s">
        <v>731</v>
      </c>
      <c r="AF608" s="47">
        <v>0</v>
      </c>
      <c r="AG608" s="47">
        <v>0</v>
      </c>
      <c r="AH608" s="47">
        <v>0</v>
      </c>
      <c r="AI608" s="47" t="s">
        <v>729</v>
      </c>
      <c r="AJ608">
        <v>1</v>
      </c>
      <c r="AK608">
        <v>100</v>
      </c>
    </row>
    <row r="609" spans="1:37" x14ac:dyDescent="0.2">
      <c r="A609" t="s">
        <v>1444</v>
      </c>
      <c r="B609" t="s">
        <v>361</v>
      </c>
      <c r="C609">
        <v>2017</v>
      </c>
      <c r="D609">
        <v>2</v>
      </c>
      <c r="E609" t="s">
        <v>1446</v>
      </c>
      <c r="F609" t="s">
        <v>362</v>
      </c>
      <c r="G609">
        <v>5.3211630000000003</v>
      </c>
      <c r="H609" s="20">
        <f>IF(AND(A609=A608,F609=F608,F609="Winter wheat"),G609*0.9*'BAU Management details'!$F$46,
IF(AND(OR(A609&lt;&gt;A608,F609&lt;&gt;F608),F609="Winter wheat"),G609*'BAU Management details'!$F$46,
IF(F609="Oilseed Rape",G609*'BAU Management details'!$F$47)))</f>
        <v>41.185801619999999</v>
      </c>
      <c r="I609" t="s">
        <v>348</v>
      </c>
      <c r="J609">
        <v>10</v>
      </c>
      <c r="K609" t="s">
        <v>362</v>
      </c>
      <c r="L609" t="s">
        <v>751</v>
      </c>
      <c r="M609">
        <v>2.2000000000000002</v>
      </c>
      <c r="N609" t="s">
        <v>349</v>
      </c>
      <c r="O609" t="s">
        <v>742</v>
      </c>
      <c r="P609">
        <v>6.7</v>
      </c>
      <c r="Q609" t="s">
        <v>743</v>
      </c>
      <c r="R609" t="s">
        <v>351</v>
      </c>
      <c r="S609">
        <v>220</v>
      </c>
      <c r="T609" s="47" t="s">
        <v>729</v>
      </c>
      <c r="U609" t="s">
        <v>733</v>
      </c>
      <c r="V609" t="s">
        <v>364</v>
      </c>
      <c r="W609" s="47" t="s">
        <v>736</v>
      </c>
      <c r="X609" s="47">
        <v>0</v>
      </c>
      <c r="Y609" s="47" t="s">
        <v>730</v>
      </c>
      <c r="Z609" s="47">
        <v>0</v>
      </c>
      <c r="AA609" s="47" t="s">
        <v>731</v>
      </c>
      <c r="AB609" s="47">
        <v>0</v>
      </c>
      <c r="AC609" s="47">
        <v>0</v>
      </c>
      <c r="AD609" s="47">
        <v>0</v>
      </c>
      <c r="AE609" s="47" t="s">
        <v>731</v>
      </c>
      <c r="AF609" s="47">
        <v>0</v>
      </c>
      <c r="AG609" s="47">
        <v>0</v>
      </c>
      <c r="AH609" s="47">
        <v>0</v>
      </c>
      <c r="AI609" s="47" t="s">
        <v>729</v>
      </c>
      <c r="AJ609">
        <v>1</v>
      </c>
      <c r="AK609">
        <v>100</v>
      </c>
    </row>
    <row r="610" spans="1:37" x14ac:dyDescent="0.2">
      <c r="A610" t="s">
        <v>1444</v>
      </c>
      <c r="B610" t="s">
        <v>361</v>
      </c>
      <c r="C610">
        <v>2018</v>
      </c>
      <c r="D610">
        <v>3</v>
      </c>
      <c r="E610" t="s">
        <v>1447</v>
      </c>
      <c r="F610" t="s">
        <v>365</v>
      </c>
      <c r="G610">
        <v>5.3211630000000003</v>
      </c>
      <c r="H610" s="20">
        <f>IF(AND(A610=A609,F610=F609,F610="Winter wheat"),G610*0.9*'BAU Management details'!$F$46,
IF(AND(OR(A610&lt;&gt;A609,F610&lt;&gt;F609),F610="Winter wheat"),G610*'BAU Management details'!$F$46,
IF(F610="Oilseed Rape",G610*'BAU Management details'!$F$47)))</f>
        <v>18.624070500000002</v>
      </c>
      <c r="I610" t="s">
        <v>348</v>
      </c>
      <c r="J610">
        <v>10</v>
      </c>
      <c r="K610" t="s">
        <v>532</v>
      </c>
      <c r="L610" t="s">
        <v>751</v>
      </c>
      <c r="M610">
        <v>2.2000000000000002</v>
      </c>
      <c r="N610" t="s">
        <v>349</v>
      </c>
      <c r="O610" t="s">
        <v>742</v>
      </c>
      <c r="P610">
        <v>6.7</v>
      </c>
      <c r="Q610" t="s">
        <v>743</v>
      </c>
      <c r="R610" t="s">
        <v>351</v>
      </c>
      <c r="S610">
        <v>220</v>
      </c>
      <c r="T610" s="47" t="s">
        <v>735</v>
      </c>
      <c r="U610" t="s">
        <v>368</v>
      </c>
      <c r="V610" t="s">
        <v>364</v>
      </c>
      <c r="W610" s="47" t="s">
        <v>736</v>
      </c>
      <c r="X610" s="47">
        <v>0</v>
      </c>
      <c r="Y610" s="47" t="s">
        <v>736</v>
      </c>
      <c r="Z610" s="47">
        <v>0</v>
      </c>
      <c r="AA610" s="47" t="s">
        <v>736</v>
      </c>
      <c r="AB610" s="47">
        <v>0</v>
      </c>
      <c r="AC610" s="47">
        <v>0</v>
      </c>
      <c r="AD610" s="47">
        <v>0</v>
      </c>
      <c r="AE610" s="47" t="s">
        <v>731</v>
      </c>
      <c r="AF610" s="47">
        <v>0</v>
      </c>
      <c r="AG610" s="47" t="s">
        <v>731</v>
      </c>
      <c r="AH610" s="47">
        <v>0</v>
      </c>
      <c r="AI610" s="47" t="s">
        <v>735</v>
      </c>
      <c r="AJ610">
        <v>1</v>
      </c>
      <c r="AK610">
        <v>100</v>
      </c>
    </row>
    <row r="611" spans="1:37" x14ac:dyDescent="0.2">
      <c r="A611" t="s">
        <v>1444</v>
      </c>
      <c r="B611" t="s">
        <v>361</v>
      </c>
      <c r="C611">
        <v>2019</v>
      </c>
      <c r="D611">
        <v>4</v>
      </c>
      <c r="E611" t="s">
        <v>1448</v>
      </c>
      <c r="F611" t="s">
        <v>362</v>
      </c>
      <c r="G611">
        <v>5.3211630000000003</v>
      </c>
      <c r="H611" s="20">
        <f>IF(AND(A611=A610,F611=F610,F611="Winter wheat"),G611*0.9*'BAU Management details'!$F$46,
IF(AND(OR(A611&lt;&gt;A610,F611&lt;&gt;F610),F611="Winter wheat"),G611*'BAU Management details'!$F$46,
IF(F611="Oilseed Rape",G611*'BAU Management details'!$F$47)))</f>
        <v>45.7620018</v>
      </c>
      <c r="I611" t="s">
        <v>348</v>
      </c>
      <c r="J611">
        <v>10</v>
      </c>
      <c r="K611" t="s">
        <v>362</v>
      </c>
      <c r="L611" t="s">
        <v>751</v>
      </c>
      <c r="M611">
        <v>2.2000000000000002</v>
      </c>
      <c r="N611" t="s">
        <v>349</v>
      </c>
      <c r="O611" t="s">
        <v>742</v>
      </c>
      <c r="P611">
        <v>6.7</v>
      </c>
      <c r="Q611" t="s">
        <v>743</v>
      </c>
      <c r="R611" t="s">
        <v>351</v>
      </c>
      <c r="S611">
        <v>220</v>
      </c>
      <c r="T611" s="47" t="s">
        <v>729</v>
      </c>
      <c r="U611" t="s">
        <v>366</v>
      </c>
      <c r="V611" t="s">
        <v>364</v>
      </c>
      <c r="W611" s="47" t="s">
        <v>736</v>
      </c>
      <c r="X611" s="47">
        <v>0</v>
      </c>
      <c r="Y611" s="47" t="s">
        <v>730</v>
      </c>
      <c r="Z611" s="47">
        <v>0</v>
      </c>
      <c r="AA611" s="47" t="s">
        <v>731</v>
      </c>
      <c r="AB611" s="47">
        <v>0</v>
      </c>
      <c r="AC611" s="47" t="s">
        <v>731</v>
      </c>
      <c r="AD611" s="47" t="s">
        <v>731</v>
      </c>
      <c r="AE611" s="47" t="s">
        <v>731</v>
      </c>
      <c r="AF611" s="47">
        <v>0</v>
      </c>
      <c r="AG611" s="47">
        <v>0</v>
      </c>
      <c r="AH611" s="47">
        <v>0</v>
      </c>
      <c r="AI611" s="47" t="s">
        <v>729</v>
      </c>
      <c r="AJ611">
        <v>1</v>
      </c>
      <c r="AK611">
        <v>100</v>
      </c>
    </row>
    <row r="612" spans="1:37" x14ac:dyDescent="0.2">
      <c r="A612" t="s">
        <v>1444</v>
      </c>
      <c r="B612" t="s">
        <v>361</v>
      </c>
      <c r="C612">
        <v>2020</v>
      </c>
      <c r="D612">
        <v>5</v>
      </c>
      <c r="E612" t="s">
        <v>1449</v>
      </c>
      <c r="F612" t="s">
        <v>362</v>
      </c>
      <c r="G612">
        <v>5.3211630000000003</v>
      </c>
      <c r="H612" s="20">
        <f>IF(AND(A612=A611,F612=F611,F612="Winter wheat"),G612*0.9*'BAU Management details'!$F$46,
IF(AND(OR(A612&lt;&gt;A611,F612&lt;&gt;F611),F612="Winter wheat"),G612*'BAU Management details'!$F$46,
IF(F612="Oilseed Rape",G612*'BAU Management details'!$F$47)))</f>
        <v>41.185801619999999</v>
      </c>
      <c r="I612" t="s">
        <v>348</v>
      </c>
      <c r="J612">
        <v>10</v>
      </c>
      <c r="K612" t="s">
        <v>362</v>
      </c>
      <c r="L612" t="s">
        <v>751</v>
      </c>
      <c r="M612">
        <v>2.2000000000000002</v>
      </c>
      <c r="N612" t="s">
        <v>349</v>
      </c>
      <c r="O612" t="s">
        <v>742</v>
      </c>
      <c r="P612">
        <v>6.7</v>
      </c>
      <c r="Q612" t="s">
        <v>743</v>
      </c>
      <c r="R612" t="s">
        <v>351</v>
      </c>
      <c r="S612">
        <v>220</v>
      </c>
      <c r="T612" s="47" t="s">
        <v>729</v>
      </c>
      <c r="U612" t="s">
        <v>733</v>
      </c>
      <c r="V612" t="s">
        <v>364</v>
      </c>
      <c r="W612" s="47" t="s">
        <v>736</v>
      </c>
      <c r="X612" s="47">
        <v>0</v>
      </c>
      <c r="Y612" s="47" t="s">
        <v>730</v>
      </c>
      <c r="Z612" s="47">
        <v>0</v>
      </c>
      <c r="AA612" s="47" t="s">
        <v>731</v>
      </c>
      <c r="AB612" s="47">
        <v>0</v>
      </c>
      <c r="AC612" s="47">
        <v>0</v>
      </c>
      <c r="AD612" s="47">
        <v>0</v>
      </c>
      <c r="AE612" s="47" t="s">
        <v>731</v>
      </c>
      <c r="AF612" s="47">
        <v>0</v>
      </c>
      <c r="AG612" s="47">
        <v>0</v>
      </c>
      <c r="AH612" s="47">
        <v>0</v>
      </c>
      <c r="AI612" s="47" t="s">
        <v>729</v>
      </c>
      <c r="AJ612">
        <v>1</v>
      </c>
      <c r="AK612">
        <v>100</v>
      </c>
    </row>
    <row r="613" spans="1:37" x14ac:dyDescent="0.2">
      <c r="A613" t="s">
        <v>1444</v>
      </c>
      <c r="B613" t="s">
        <v>361</v>
      </c>
      <c r="C613">
        <v>2021</v>
      </c>
      <c r="D613">
        <v>6</v>
      </c>
      <c r="E613" t="s">
        <v>1450</v>
      </c>
      <c r="F613" t="s">
        <v>365</v>
      </c>
      <c r="G613">
        <v>5.3211630000000003</v>
      </c>
      <c r="H613" s="20">
        <f>IF(AND(A613=A612,F613=F612,F613="Winter wheat"),G613*0.9*'BAU Management details'!$F$46,
IF(AND(OR(A613&lt;&gt;A612,F613&lt;&gt;F612),F613="Winter wheat"),G613*'BAU Management details'!$F$46,
IF(F613="Oilseed Rape",G613*'BAU Management details'!$F$47)))</f>
        <v>18.624070500000002</v>
      </c>
      <c r="I613" t="s">
        <v>348</v>
      </c>
      <c r="J613">
        <v>10</v>
      </c>
      <c r="K613" t="s">
        <v>532</v>
      </c>
      <c r="L613" t="s">
        <v>751</v>
      </c>
      <c r="M613">
        <v>2.2000000000000002</v>
      </c>
      <c r="N613" t="s">
        <v>349</v>
      </c>
      <c r="O613" t="s">
        <v>742</v>
      </c>
      <c r="P613">
        <v>6.7</v>
      </c>
      <c r="Q613" t="s">
        <v>743</v>
      </c>
      <c r="R613" t="s">
        <v>351</v>
      </c>
      <c r="S613">
        <v>220</v>
      </c>
      <c r="T613" s="47" t="s">
        <v>735</v>
      </c>
      <c r="U613" t="s">
        <v>368</v>
      </c>
      <c r="V613" t="s">
        <v>364</v>
      </c>
      <c r="W613" s="47" t="s">
        <v>736</v>
      </c>
      <c r="X613" s="47">
        <v>0</v>
      </c>
      <c r="Y613" s="47" t="s">
        <v>736</v>
      </c>
      <c r="Z613" s="47">
        <v>0</v>
      </c>
      <c r="AA613" s="47" t="s">
        <v>736</v>
      </c>
      <c r="AB613" s="47">
        <v>0</v>
      </c>
      <c r="AC613" s="47">
        <v>0</v>
      </c>
      <c r="AD613" s="47">
        <v>0</v>
      </c>
      <c r="AE613" s="47" t="s">
        <v>731</v>
      </c>
      <c r="AF613" s="47">
        <v>0</v>
      </c>
      <c r="AG613" s="47" t="s">
        <v>731</v>
      </c>
      <c r="AH613" s="47">
        <v>0</v>
      </c>
      <c r="AI613" s="47" t="s">
        <v>735</v>
      </c>
      <c r="AJ613">
        <v>1</v>
      </c>
      <c r="AK613">
        <v>100</v>
      </c>
    </row>
    <row r="614" spans="1:37" x14ac:dyDescent="0.2">
      <c r="A614" t="s">
        <v>1451</v>
      </c>
      <c r="B614" t="s">
        <v>361</v>
      </c>
      <c r="C614">
        <v>2016</v>
      </c>
      <c r="D614">
        <v>1</v>
      </c>
      <c r="E614" t="s">
        <v>1452</v>
      </c>
      <c r="F614" t="s">
        <v>362</v>
      </c>
      <c r="G614">
        <v>8.7143870000000003</v>
      </c>
      <c r="H614" s="20">
        <f>IF(AND(A614=A613,F614=F613,F614="Winter wheat"),G614*0.9*'BAU Management details'!$F$46,
IF(AND(OR(A614&lt;&gt;A613,F614&lt;&gt;F613),F614="Winter wheat"),G614*'BAU Management details'!$F$46,
IF(F614="Oilseed Rape",G614*'BAU Management details'!$F$47)))</f>
        <v>74.943728199999995</v>
      </c>
      <c r="I614" t="s">
        <v>348</v>
      </c>
      <c r="J614">
        <v>10</v>
      </c>
      <c r="K614" t="s">
        <v>362</v>
      </c>
      <c r="L614" t="s">
        <v>787</v>
      </c>
      <c r="M614">
        <v>20.5</v>
      </c>
      <c r="N614" t="s">
        <v>349</v>
      </c>
      <c r="O614" t="s">
        <v>350</v>
      </c>
      <c r="P614">
        <v>6.6</v>
      </c>
      <c r="Q614" t="s">
        <v>743</v>
      </c>
      <c r="R614" t="s">
        <v>351</v>
      </c>
      <c r="S614">
        <v>220</v>
      </c>
      <c r="T614" s="47" t="s">
        <v>729</v>
      </c>
      <c r="U614" t="s">
        <v>366</v>
      </c>
      <c r="V614" t="s">
        <v>364</v>
      </c>
      <c r="W614" s="47" t="s">
        <v>736</v>
      </c>
      <c r="X614" s="47">
        <v>0</v>
      </c>
      <c r="Y614" s="47" t="s">
        <v>730</v>
      </c>
      <c r="Z614" s="47">
        <v>0</v>
      </c>
      <c r="AA614" s="47" t="s">
        <v>731</v>
      </c>
      <c r="AB614" s="47">
        <v>0</v>
      </c>
      <c r="AC614" s="47" t="s">
        <v>731</v>
      </c>
      <c r="AD614" s="47" t="s">
        <v>731</v>
      </c>
      <c r="AE614" s="47" t="s">
        <v>731</v>
      </c>
      <c r="AF614" s="47">
        <v>0</v>
      </c>
      <c r="AG614" s="47">
        <v>0</v>
      </c>
      <c r="AH614" s="47">
        <v>0</v>
      </c>
      <c r="AI614" s="47" t="s">
        <v>729</v>
      </c>
      <c r="AJ614">
        <v>1</v>
      </c>
      <c r="AK614">
        <v>100</v>
      </c>
    </row>
    <row r="615" spans="1:37" x14ac:dyDescent="0.2">
      <c r="A615" t="s">
        <v>1451</v>
      </c>
      <c r="B615" t="s">
        <v>361</v>
      </c>
      <c r="C615">
        <v>2017</v>
      </c>
      <c r="D615">
        <v>2</v>
      </c>
      <c r="E615" t="s">
        <v>1453</v>
      </c>
      <c r="F615" t="s">
        <v>362</v>
      </c>
      <c r="G615">
        <v>8.7143870000000003</v>
      </c>
      <c r="H615" s="20">
        <f>IF(AND(A615=A614,F615=F614,F615="Winter wheat"),G615*0.9*'BAU Management details'!$F$46,
IF(AND(OR(A615&lt;&gt;A614,F615&lt;&gt;F614),F615="Winter wheat"),G615*'BAU Management details'!$F$46,
IF(F615="Oilseed Rape",G615*'BAU Management details'!$F$47)))</f>
        <v>67.44935538</v>
      </c>
      <c r="I615" t="s">
        <v>348</v>
      </c>
      <c r="J615">
        <v>10</v>
      </c>
      <c r="K615" t="s">
        <v>362</v>
      </c>
      <c r="L615" t="s">
        <v>787</v>
      </c>
      <c r="M615">
        <v>20.5</v>
      </c>
      <c r="N615" t="s">
        <v>349</v>
      </c>
      <c r="O615" t="s">
        <v>350</v>
      </c>
      <c r="P615">
        <v>6.6</v>
      </c>
      <c r="Q615" t="s">
        <v>743</v>
      </c>
      <c r="R615" t="s">
        <v>351</v>
      </c>
      <c r="S615">
        <v>220</v>
      </c>
      <c r="T615" s="47" t="s">
        <v>729</v>
      </c>
      <c r="U615" t="s">
        <v>733</v>
      </c>
      <c r="V615" t="s">
        <v>364</v>
      </c>
      <c r="W615" s="47" t="s">
        <v>736</v>
      </c>
      <c r="X615" s="47">
        <v>0</v>
      </c>
      <c r="Y615" s="47" t="s">
        <v>730</v>
      </c>
      <c r="Z615" s="47">
        <v>0</v>
      </c>
      <c r="AA615" s="47" t="s">
        <v>731</v>
      </c>
      <c r="AB615" s="47">
        <v>0</v>
      </c>
      <c r="AC615" s="47">
        <v>0</v>
      </c>
      <c r="AD615" s="47">
        <v>0</v>
      </c>
      <c r="AE615" s="47" t="s">
        <v>731</v>
      </c>
      <c r="AF615" s="47">
        <v>0</v>
      </c>
      <c r="AG615" s="47">
        <v>0</v>
      </c>
      <c r="AH615" s="47">
        <v>0</v>
      </c>
      <c r="AI615" s="47" t="s">
        <v>729</v>
      </c>
      <c r="AJ615">
        <v>1</v>
      </c>
      <c r="AK615">
        <v>100</v>
      </c>
    </row>
    <row r="616" spans="1:37" x14ac:dyDescent="0.2">
      <c r="A616" t="s">
        <v>1451</v>
      </c>
      <c r="B616" t="s">
        <v>361</v>
      </c>
      <c r="C616">
        <v>2018</v>
      </c>
      <c r="D616">
        <v>3</v>
      </c>
      <c r="E616" t="s">
        <v>1454</v>
      </c>
      <c r="F616" t="s">
        <v>365</v>
      </c>
      <c r="G616">
        <v>8.7143870000000003</v>
      </c>
      <c r="H616" s="20">
        <f>IF(AND(A616=A615,F616=F615,F616="Winter wheat"),G616*0.9*'BAU Management details'!$F$46,
IF(AND(OR(A616&lt;&gt;A615,F616&lt;&gt;F615),F616="Winter wheat"),G616*'BAU Management details'!$F$46,
IF(F616="Oilseed Rape",G616*'BAU Management details'!$F$47)))</f>
        <v>30.5003545</v>
      </c>
      <c r="I616" t="s">
        <v>348</v>
      </c>
      <c r="J616">
        <v>10</v>
      </c>
      <c r="K616" t="s">
        <v>532</v>
      </c>
      <c r="L616" t="s">
        <v>787</v>
      </c>
      <c r="M616">
        <v>20.5</v>
      </c>
      <c r="N616" t="s">
        <v>349</v>
      </c>
      <c r="O616" t="s">
        <v>350</v>
      </c>
      <c r="P616">
        <v>6.6</v>
      </c>
      <c r="Q616" t="s">
        <v>743</v>
      </c>
      <c r="R616" t="s">
        <v>351</v>
      </c>
      <c r="S616">
        <v>220</v>
      </c>
      <c r="T616" s="47" t="s">
        <v>735</v>
      </c>
      <c r="U616" t="s">
        <v>368</v>
      </c>
      <c r="V616" t="s">
        <v>364</v>
      </c>
      <c r="W616" s="47" t="s">
        <v>736</v>
      </c>
      <c r="X616" s="47">
        <v>0</v>
      </c>
      <c r="Y616" s="47" t="s">
        <v>736</v>
      </c>
      <c r="Z616" s="47">
        <v>0</v>
      </c>
      <c r="AA616" s="47" t="s">
        <v>736</v>
      </c>
      <c r="AB616" s="47">
        <v>0</v>
      </c>
      <c r="AC616" s="47">
        <v>0</v>
      </c>
      <c r="AD616" s="47">
        <v>0</v>
      </c>
      <c r="AE616" s="47" t="s">
        <v>731</v>
      </c>
      <c r="AF616" s="47">
        <v>0</v>
      </c>
      <c r="AG616" s="47" t="s">
        <v>731</v>
      </c>
      <c r="AH616" s="47">
        <v>0</v>
      </c>
      <c r="AI616" s="47" t="s">
        <v>735</v>
      </c>
      <c r="AJ616">
        <v>1</v>
      </c>
      <c r="AK616">
        <v>100</v>
      </c>
    </row>
    <row r="617" spans="1:37" x14ac:dyDescent="0.2">
      <c r="A617" t="s">
        <v>1451</v>
      </c>
      <c r="B617" t="s">
        <v>361</v>
      </c>
      <c r="C617">
        <v>2019</v>
      </c>
      <c r="D617">
        <v>4</v>
      </c>
      <c r="E617" t="s">
        <v>1455</v>
      </c>
      <c r="F617" t="s">
        <v>362</v>
      </c>
      <c r="G617">
        <v>8.7143870000000003</v>
      </c>
      <c r="H617" s="20">
        <f>IF(AND(A617=A616,F617=F616,F617="Winter wheat"),G617*0.9*'BAU Management details'!$F$46,
IF(AND(OR(A617&lt;&gt;A616,F617&lt;&gt;F616),F617="Winter wheat"),G617*'BAU Management details'!$F$46,
IF(F617="Oilseed Rape",G617*'BAU Management details'!$F$47)))</f>
        <v>74.943728199999995</v>
      </c>
      <c r="I617" t="s">
        <v>348</v>
      </c>
      <c r="J617">
        <v>10</v>
      </c>
      <c r="K617" t="s">
        <v>362</v>
      </c>
      <c r="L617" t="s">
        <v>787</v>
      </c>
      <c r="M617">
        <v>20.5</v>
      </c>
      <c r="N617" t="s">
        <v>349</v>
      </c>
      <c r="O617" t="s">
        <v>350</v>
      </c>
      <c r="P617">
        <v>6.6</v>
      </c>
      <c r="Q617" t="s">
        <v>743</v>
      </c>
      <c r="R617" t="s">
        <v>351</v>
      </c>
      <c r="S617">
        <v>220</v>
      </c>
      <c r="T617" s="47" t="s">
        <v>729</v>
      </c>
      <c r="U617" t="s">
        <v>366</v>
      </c>
      <c r="V617" t="s">
        <v>364</v>
      </c>
      <c r="W617" s="47" t="s">
        <v>736</v>
      </c>
      <c r="X617" s="47">
        <v>0</v>
      </c>
      <c r="Y617" s="47" t="s">
        <v>730</v>
      </c>
      <c r="Z617" s="47">
        <v>0</v>
      </c>
      <c r="AA617" s="47" t="s">
        <v>731</v>
      </c>
      <c r="AB617" s="47">
        <v>0</v>
      </c>
      <c r="AC617" s="47" t="s">
        <v>731</v>
      </c>
      <c r="AD617" s="47" t="s">
        <v>731</v>
      </c>
      <c r="AE617" s="47" t="s">
        <v>731</v>
      </c>
      <c r="AF617" s="47">
        <v>0</v>
      </c>
      <c r="AG617" s="47">
        <v>0</v>
      </c>
      <c r="AH617" s="47">
        <v>0</v>
      </c>
      <c r="AI617" s="47" t="s">
        <v>729</v>
      </c>
      <c r="AJ617">
        <v>1</v>
      </c>
      <c r="AK617">
        <v>100</v>
      </c>
    </row>
    <row r="618" spans="1:37" x14ac:dyDescent="0.2">
      <c r="A618" t="s">
        <v>1451</v>
      </c>
      <c r="B618" t="s">
        <v>361</v>
      </c>
      <c r="C618">
        <v>2020</v>
      </c>
      <c r="D618">
        <v>5</v>
      </c>
      <c r="E618" t="s">
        <v>1456</v>
      </c>
      <c r="F618" t="s">
        <v>362</v>
      </c>
      <c r="G618">
        <v>8.7143870000000003</v>
      </c>
      <c r="H618" s="20">
        <f>IF(AND(A618=A617,F618=F617,F618="Winter wheat"),G618*0.9*'BAU Management details'!$F$46,
IF(AND(OR(A618&lt;&gt;A617,F618&lt;&gt;F617),F618="Winter wheat"),G618*'BAU Management details'!$F$46,
IF(F618="Oilseed Rape",G618*'BAU Management details'!$F$47)))</f>
        <v>67.44935538</v>
      </c>
      <c r="I618" t="s">
        <v>348</v>
      </c>
      <c r="J618">
        <v>10</v>
      </c>
      <c r="K618" t="s">
        <v>362</v>
      </c>
      <c r="L618" t="s">
        <v>787</v>
      </c>
      <c r="M618">
        <v>20.5</v>
      </c>
      <c r="N618" t="s">
        <v>349</v>
      </c>
      <c r="O618" t="s">
        <v>350</v>
      </c>
      <c r="P618">
        <v>6.6</v>
      </c>
      <c r="Q618" t="s">
        <v>743</v>
      </c>
      <c r="R618" t="s">
        <v>351</v>
      </c>
      <c r="S618">
        <v>220</v>
      </c>
      <c r="T618" s="47" t="s">
        <v>729</v>
      </c>
      <c r="U618" t="s">
        <v>733</v>
      </c>
      <c r="V618" t="s">
        <v>364</v>
      </c>
      <c r="W618" s="47" t="s">
        <v>736</v>
      </c>
      <c r="X618" s="47">
        <v>0</v>
      </c>
      <c r="Y618" s="47" t="s">
        <v>730</v>
      </c>
      <c r="Z618" s="47">
        <v>0</v>
      </c>
      <c r="AA618" s="47" t="s">
        <v>731</v>
      </c>
      <c r="AB618" s="47">
        <v>0</v>
      </c>
      <c r="AC618" s="47">
        <v>0</v>
      </c>
      <c r="AD618" s="47">
        <v>0</v>
      </c>
      <c r="AE618" s="47" t="s">
        <v>731</v>
      </c>
      <c r="AF618" s="47">
        <v>0</v>
      </c>
      <c r="AG618" s="47">
        <v>0</v>
      </c>
      <c r="AH618" s="47">
        <v>0</v>
      </c>
      <c r="AI618" s="47" t="s">
        <v>729</v>
      </c>
      <c r="AJ618">
        <v>1</v>
      </c>
      <c r="AK618">
        <v>100</v>
      </c>
    </row>
    <row r="619" spans="1:37" x14ac:dyDescent="0.2">
      <c r="A619" t="s">
        <v>1451</v>
      </c>
      <c r="B619" t="s">
        <v>361</v>
      </c>
      <c r="C619">
        <v>2021</v>
      </c>
      <c r="D619">
        <v>6</v>
      </c>
      <c r="E619" t="s">
        <v>1457</v>
      </c>
      <c r="F619" t="s">
        <v>365</v>
      </c>
      <c r="G619">
        <v>8.7143870000000003</v>
      </c>
      <c r="H619" s="20">
        <f>IF(AND(A619=A618,F619=F618,F619="Winter wheat"),G619*0.9*'BAU Management details'!$F$46,
IF(AND(OR(A619&lt;&gt;A618,F619&lt;&gt;F618),F619="Winter wheat"),G619*'BAU Management details'!$F$46,
IF(F619="Oilseed Rape",G619*'BAU Management details'!$F$47)))</f>
        <v>30.5003545</v>
      </c>
      <c r="I619" t="s">
        <v>348</v>
      </c>
      <c r="J619">
        <v>10</v>
      </c>
      <c r="K619" t="s">
        <v>532</v>
      </c>
      <c r="L619" t="s">
        <v>787</v>
      </c>
      <c r="M619">
        <v>20.5</v>
      </c>
      <c r="N619" t="s">
        <v>349</v>
      </c>
      <c r="O619" t="s">
        <v>350</v>
      </c>
      <c r="P619">
        <v>6.6</v>
      </c>
      <c r="Q619" t="s">
        <v>743</v>
      </c>
      <c r="R619" t="s">
        <v>351</v>
      </c>
      <c r="S619">
        <v>220</v>
      </c>
      <c r="T619" s="47" t="s">
        <v>735</v>
      </c>
      <c r="U619" t="s">
        <v>368</v>
      </c>
      <c r="V619" t="s">
        <v>364</v>
      </c>
      <c r="W619" s="47" t="s">
        <v>736</v>
      </c>
      <c r="X619" s="47">
        <v>0</v>
      </c>
      <c r="Y619" s="47" t="s">
        <v>736</v>
      </c>
      <c r="Z619" s="47">
        <v>0</v>
      </c>
      <c r="AA619" s="47" t="s">
        <v>736</v>
      </c>
      <c r="AB619" s="47">
        <v>0</v>
      </c>
      <c r="AC619" s="47">
        <v>0</v>
      </c>
      <c r="AD619" s="47">
        <v>0</v>
      </c>
      <c r="AE619" s="47" t="s">
        <v>731</v>
      </c>
      <c r="AF619" s="47">
        <v>0</v>
      </c>
      <c r="AG619" s="47" t="s">
        <v>731</v>
      </c>
      <c r="AH619" s="47">
        <v>0</v>
      </c>
      <c r="AI619" s="47" t="s">
        <v>735</v>
      </c>
      <c r="AJ619">
        <v>1</v>
      </c>
      <c r="AK619">
        <v>100</v>
      </c>
    </row>
    <row r="620" spans="1:37" x14ac:dyDescent="0.2">
      <c r="A620" t="s">
        <v>1458</v>
      </c>
      <c r="B620" t="s">
        <v>361</v>
      </c>
      <c r="C620">
        <v>2016</v>
      </c>
      <c r="D620">
        <v>1</v>
      </c>
      <c r="E620" t="s">
        <v>1459</v>
      </c>
      <c r="F620" t="s">
        <v>362</v>
      </c>
      <c r="G620">
        <v>7.4573960000000001</v>
      </c>
      <c r="H620" s="20">
        <f>IF(AND(A620=A619,F620=F619,F620="Winter wheat"),G620*0.9*'BAU Management details'!$F$46,
IF(AND(OR(A620&lt;&gt;A619,F620&lt;&gt;F619),F620="Winter wheat"),G620*'BAU Management details'!$F$46,
IF(F620="Oilseed Rape",G620*'BAU Management details'!$F$47)))</f>
        <v>64.133605599999996</v>
      </c>
      <c r="I620" t="s">
        <v>348</v>
      </c>
      <c r="J620">
        <v>10</v>
      </c>
      <c r="K620" t="s">
        <v>362</v>
      </c>
      <c r="L620" t="s">
        <v>787</v>
      </c>
      <c r="M620">
        <v>20.5</v>
      </c>
      <c r="N620" t="s">
        <v>349</v>
      </c>
      <c r="O620" t="s">
        <v>350</v>
      </c>
      <c r="P620">
        <v>6.6</v>
      </c>
      <c r="Q620" t="s">
        <v>743</v>
      </c>
      <c r="R620" t="s">
        <v>351</v>
      </c>
      <c r="S620">
        <v>220</v>
      </c>
      <c r="T620" s="47" t="s">
        <v>729</v>
      </c>
      <c r="U620" t="s">
        <v>366</v>
      </c>
      <c r="V620" t="s">
        <v>364</v>
      </c>
      <c r="W620" s="47" t="s">
        <v>736</v>
      </c>
      <c r="X620" s="47">
        <v>0</v>
      </c>
      <c r="Y620" s="47" t="s">
        <v>730</v>
      </c>
      <c r="Z620" s="47">
        <v>0</v>
      </c>
      <c r="AA620" s="47" t="s">
        <v>731</v>
      </c>
      <c r="AB620" s="47">
        <v>0</v>
      </c>
      <c r="AC620" s="47" t="s">
        <v>731</v>
      </c>
      <c r="AD620" s="47" t="s">
        <v>731</v>
      </c>
      <c r="AE620" s="47" t="s">
        <v>731</v>
      </c>
      <c r="AF620" s="47">
        <v>0</v>
      </c>
      <c r="AG620" s="47">
        <v>0</v>
      </c>
      <c r="AH620" s="47">
        <v>0</v>
      </c>
      <c r="AI620" s="47" t="s">
        <v>729</v>
      </c>
      <c r="AJ620">
        <v>1</v>
      </c>
      <c r="AK620">
        <v>100</v>
      </c>
    </row>
    <row r="621" spans="1:37" x14ac:dyDescent="0.2">
      <c r="A621" t="s">
        <v>1458</v>
      </c>
      <c r="B621" t="s">
        <v>361</v>
      </c>
      <c r="C621">
        <v>2017</v>
      </c>
      <c r="D621">
        <v>2</v>
      </c>
      <c r="E621" t="s">
        <v>1460</v>
      </c>
      <c r="F621" t="s">
        <v>362</v>
      </c>
      <c r="G621">
        <v>7.4573960000000001</v>
      </c>
      <c r="H621" s="20">
        <f>IF(AND(A621=A620,F621=F620,F621="Winter wheat"),G621*0.9*'BAU Management details'!$F$46,
IF(AND(OR(A621&lt;&gt;A620,F621&lt;&gt;F620),F621="Winter wheat"),G621*'BAU Management details'!$F$46,
IF(F621="Oilseed Rape",G621*'BAU Management details'!$F$47)))</f>
        <v>57.720245039999995</v>
      </c>
      <c r="I621" t="s">
        <v>348</v>
      </c>
      <c r="J621">
        <v>10</v>
      </c>
      <c r="K621" t="s">
        <v>362</v>
      </c>
      <c r="L621" t="s">
        <v>787</v>
      </c>
      <c r="M621">
        <v>20.5</v>
      </c>
      <c r="N621" t="s">
        <v>349</v>
      </c>
      <c r="O621" t="s">
        <v>350</v>
      </c>
      <c r="P621">
        <v>6.6</v>
      </c>
      <c r="Q621" t="s">
        <v>743</v>
      </c>
      <c r="R621" t="s">
        <v>351</v>
      </c>
      <c r="S621">
        <v>220</v>
      </c>
      <c r="T621" s="47" t="s">
        <v>729</v>
      </c>
      <c r="U621" t="s">
        <v>733</v>
      </c>
      <c r="V621" t="s">
        <v>364</v>
      </c>
      <c r="W621" s="47" t="s">
        <v>736</v>
      </c>
      <c r="X621" s="47">
        <v>0</v>
      </c>
      <c r="Y621" s="47" t="s">
        <v>730</v>
      </c>
      <c r="Z621" s="47">
        <v>0</v>
      </c>
      <c r="AA621" s="47" t="s">
        <v>731</v>
      </c>
      <c r="AB621" s="47">
        <v>0</v>
      </c>
      <c r="AC621" s="47">
        <v>0</v>
      </c>
      <c r="AD621" s="47">
        <v>0</v>
      </c>
      <c r="AE621" s="47" t="s">
        <v>731</v>
      </c>
      <c r="AF621" s="47">
        <v>0</v>
      </c>
      <c r="AG621" s="47">
        <v>0</v>
      </c>
      <c r="AH621" s="47">
        <v>0</v>
      </c>
      <c r="AI621" s="47" t="s">
        <v>729</v>
      </c>
      <c r="AJ621">
        <v>1</v>
      </c>
      <c r="AK621">
        <v>100</v>
      </c>
    </row>
    <row r="622" spans="1:37" x14ac:dyDescent="0.2">
      <c r="A622" t="s">
        <v>1458</v>
      </c>
      <c r="B622" t="s">
        <v>361</v>
      </c>
      <c r="C622">
        <v>2018</v>
      </c>
      <c r="D622">
        <v>3</v>
      </c>
      <c r="E622" t="s">
        <v>1461</v>
      </c>
      <c r="F622" t="s">
        <v>365</v>
      </c>
      <c r="G622">
        <v>7.4573960000000001</v>
      </c>
      <c r="H622" s="20">
        <f>IF(AND(A622=A621,F622=F621,F622="Winter wheat"),G622*0.9*'BAU Management details'!$F$46,
IF(AND(OR(A622&lt;&gt;A621,F622&lt;&gt;F621),F622="Winter wheat"),G622*'BAU Management details'!$F$46,
IF(F622="Oilseed Rape",G622*'BAU Management details'!$F$47)))</f>
        <v>26.100885999999999</v>
      </c>
      <c r="I622" t="s">
        <v>348</v>
      </c>
      <c r="J622">
        <v>10</v>
      </c>
      <c r="K622" t="s">
        <v>532</v>
      </c>
      <c r="L622" t="s">
        <v>787</v>
      </c>
      <c r="M622">
        <v>20.5</v>
      </c>
      <c r="N622" t="s">
        <v>349</v>
      </c>
      <c r="O622" t="s">
        <v>350</v>
      </c>
      <c r="P622">
        <v>6.6</v>
      </c>
      <c r="Q622" t="s">
        <v>743</v>
      </c>
      <c r="R622" t="s">
        <v>351</v>
      </c>
      <c r="S622">
        <v>220</v>
      </c>
      <c r="T622" s="47" t="s">
        <v>735</v>
      </c>
      <c r="U622" t="s">
        <v>368</v>
      </c>
      <c r="V622" t="s">
        <v>364</v>
      </c>
      <c r="W622" s="47" t="s">
        <v>736</v>
      </c>
      <c r="X622" s="47">
        <v>0</v>
      </c>
      <c r="Y622" s="47" t="s">
        <v>736</v>
      </c>
      <c r="Z622" s="47">
        <v>0</v>
      </c>
      <c r="AA622" s="47" t="s">
        <v>736</v>
      </c>
      <c r="AB622" s="47">
        <v>0</v>
      </c>
      <c r="AC622" s="47">
        <v>0</v>
      </c>
      <c r="AD622" s="47">
        <v>0</v>
      </c>
      <c r="AE622" s="47" t="s">
        <v>731</v>
      </c>
      <c r="AF622" s="47">
        <v>0</v>
      </c>
      <c r="AG622" s="47" t="s">
        <v>731</v>
      </c>
      <c r="AH622" s="47">
        <v>0</v>
      </c>
      <c r="AI622" s="47" t="s">
        <v>735</v>
      </c>
      <c r="AJ622">
        <v>1</v>
      </c>
      <c r="AK622">
        <v>100</v>
      </c>
    </row>
    <row r="623" spans="1:37" x14ac:dyDescent="0.2">
      <c r="A623" t="s">
        <v>1458</v>
      </c>
      <c r="B623" t="s">
        <v>361</v>
      </c>
      <c r="C623">
        <v>2019</v>
      </c>
      <c r="D623">
        <v>4</v>
      </c>
      <c r="E623" t="s">
        <v>1462</v>
      </c>
      <c r="F623" t="s">
        <v>362</v>
      </c>
      <c r="G623">
        <v>7.4573960000000001</v>
      </c>
      <c r="H623" s="20">
        <f>IF(AND(A623=A622,F623=F622,F623="Winter wheat"),G623*0.9*'BAU Management details'!$F$46,
IF(AND(OR(A623&lt;&gt;A622,F623&lt;&gt;F622),F623="Winter wheat"),G623*'BAU Management details'!$F$46,
IF(F623="Oilseed Rape",G623*'BAU Management details'!$F$47)))</f>
        <v>64.133605599999996</v>
      </c>
      <c r="I623" t="s">
        <v>348</v>
      </c>
      <c r="J623">
        <v>10</v>
      </c>
      <c r="K623" t="s">
        <v>362</v>
      </c>
      <c r="L623" t="s">
        <v>787</v>
      </c>
      <c r="M623">
        <v>20.5</v>
      </c>
      <c r="N623" t="s">
        <v>349</v>
      </c>
      <c r="O623" t="s">
        <v>350</v>
      </c>
      <c r="P623">
        <v>6.6</v>
      </c>
      <c r="Q623" t="s">
        <v>743</v>
      </c>
      <c r="R623" t="s">
        <v>351</v>
      </c>
      <c r="S623">
        <v>220</v>
      </c>
      <c r="T623" s="47" t="s">
        <v>729</v>
      </c>
      <c r="U623" t="s">
        <v>366</v>
      </c>
      <c r="V623" t="s">
        <v>364</v>
      </c>
      <c r="W623" s="47" t="s">
        <v>736</v>
      </c>
      <c r="X623" s="47">
        <v>0</v>
      </c>
      <c r="Y623" s="47" t="s">
        <v>730</v>
      </c>
      <c r="Z623" s="47">
        <v>0</v>
      </c>
      <c r="AA623" s="47" t="s">
        <v>731</v>
      </c>
      <c r="AB623" s="47">
        <v>0</v>
      </c>
      <c r="AC623" s="47" t="s">
        <v>731</v>
      </c>
      <c r="AD623" s="47" t="s">
        <v>731</v>
      </c>
      <c r="AE623" s="47" t="s">
        <v>731</v>
      </c>
      <c r="AF623" s="47">
        <v>0</v>
      </c>
      <c r="AG623" s="47">
        <v>0</v>
      </c>
      <c r="AH623" s="47">
        <v>0</v>
      </c>
      <c r="AI623" s="47" t="s">
        <v>729</v>
      </c>
      <c r="AJ623">
        <v>1</v>
      </c>
      <c r="AK623">
        <v>100</v>
      </c>
    </row>
    <row r="624" spans="1:37" x14ac:dyDescent="0.2">
      <c r="A624" t="s">
        <v>1458</v>
      </c>
      <c r="B624" t="s">
        <v>361</v>
      </c>
      <c r="C624">
        <v>2020</v>
      </c>
      <c r="D624">
        <v>5</v>
      </c>
      <c r="E624" t="s">
        <v>1463</v>
      </c>
      <c r="F624" t="s">
        <v>362</v>
      </c>
      <c r="G624">
        <v>7.4573960000000001</v>
      </c>
      <c r="H624" s="20">
        <f>IF(AND(A624=A623,F624=F623,F624="Winter wheat"),G624*0.9*'BAU Management details'!$F$46,
IF(AND(OR(A624&lt;&gt;A623,F624&lt;&gt;F623),F624="Winter wheat"),G624*'BAU Management details'!$F$46,
IF(F624="Oilseed Rape",G624*'BAU Management details'!$F$47)))</f>
        <v>57.720245039999995</v>
      </c>
      <c r="I624" t="s">
        <v>348</v>
      </c>
      <c r="J624">
        <v>10</v>
      </c>
      <c r="K624" t="s">
        <v>362</v>
      </c>
      <c r="L624" t="s">
        <v>787</v>
      </c>
      <c r="M624">
        <v>20.5</v>
      </c>
      <c r="N624" t="s">
        <v>349</v>
      </c>
      <c r="O624" t="s">
        <v>350</v>
      </c>
      <c r="P624">
        <v>6.6</v>
      </c>
      <c r="Q624" t="s">
        <v>743</v>
      </c>
      <c r="R624" t="s">
        <v>351</v>
      </c>
      <c r="S624">
        <v>220</v>
      </c>
      <c r="T624" s="47" t="s">
        <v>729</v>
      </c>
      <c r="U624" t="s">
        <v>733</v>
      </c>
      <c r="V624" t="s">
        <v>364</v>
      </c>
      <c r="W624" s="47" t="s">
        <v>736</v>
      </c>
      <c r="X624" s="47">
        <v>0</v>
      </c>
      <c r="Y624" s="47" t="s">
        <v>730</v>
      </c>
      <c r="Z624" s="47">
        <v>0</v>
      </c>
      <c r="AA624" s="47" t="s">
        <v>731</v>
      </c>
      <c r="AB624" s="47">
        <v>0</v>
      </c>
      <c r="AC624" s="47">
        <v>0</v>
      </c>
      <c r="AD624" s="47">
        <v>0</v>
      </c>
      <c r="AE624" s="47" t="s">
        <v>731</v>
      </c>
      <c r="AF624" s="47">
        <v>0</v>
      </c>
      <c r="AG624" s="47">
        <v>0</v>
      </c>
      <c r="AH624" s="47">
        <v>0</v>
      </c>
      <c r="AI624" s="47" t="s">
        <v>729</v>
      </c>
      <c r="AJ624">
        <v>1</v>
      </c>
      <c r="AK624">
        <v>100</v>
      </c>
    </row>
    <row r="625" spans="1:37" x14ac:dyDescent="0.2">
      <c r="A625" t="s">
        <v>1458</v>
      </c>
      <c r="B625" t="s">
        <v>361</v>
      </c>
      <c r="C625">
        <v>2021</v>
      </c>
      <c r="D625">
        <v>6</v>
      </c>
      <c r="E625" t="s">
        <v>1464</v>
      </c>
      <c r="F625" t="s">
        <v>365</v>
      </c>
      <c r="G625">
        <v>7.4573960000000001</v>
      </c>
      <c r="H625" s="20">
        <f>IF(AND(A625=A624,F625=F624,F625="Winter wheat"),G625*0.9*'BAU Management details'!$F$46,
IF(AND(OR(A625&lt;&gt;A624,F625&lt;&gt;F624),F625="Winter wheat"),G625*'BAU Management details'!$F$46,
IF(F625="Oilseed Rape",G625*'BAU Management details'!$F$47)))</f>
        <v>26.100885999999999</v>
      </c>
      <c r="I625" t="s">
        <v>348</v>
      </c>
      <c r="J625">
        <v>10</v>
      </c>
      <c r="K625" t="s">
        <v>532</v>
      </c>
      <c r="L625" t="s">
        <v>787</v>
      </c>
      <c r="M625">
        <v>20.5</v>
      </c>
      <c r="N625" t="s">
        <v>349</v>
      </c>
      <c r="O625" t="s">
        <v>350</v>
      </c>
      <c r="P625">
        <v>6.6</v>
      </c>
      <c r="Q625" t="s">
        <v>743</v>
      </c>
      <c r="R625" t="s">
        <v>351</v>
      </c>
      <c r="S625">
        <v>220</v>
      </c>
      <c r="T625" s="47" t="s">
        <v>735</v>
      </c>
      <c r="U625" t="s">
        <v>368</v>
      </c>
      <c r="V625" t="s">
        <v>364</v>
      </c>
      <c r="W625" s="47" t="s">
        <v>736</v>
      </c>
      <c r="X625" s="47">
        <v>0</v>
      </c>
      <c r="Y625" s="47" t="s">
        <v>736</v>
      </c>
      <c r="Z625" s="47">
        <v>0</v>
      </c>
      <c r="AA625" s="47" t="s">
        <v>736</v>
      </c>
      <c r="AB625" s="47">
        <v>0</v>
      </c>
      <c r="AC625" s="47">
        <v>0</v>
      </c>
      <c r="AD625" s="47">
        <v>0</v>
      </c>
      <c r="AE625" s="47" t="s">
        <v>731</v>
      </c>
      <c r="AF625" s="47">
        <v>0</v>
      </c>
      <c r="AG625" s="47" t="s">
        <v>731</v>
      </c>
      <c r="AH625" s="47">
        <v>0</v>
      </c>
      <c r="AI625" s="47" t="s">
        <v>735</v>
      </c>
      <c r="AJ625">
        <v>1</v>
      </c>
      <c r="AK625">
        <v>100</v>
      </c>
    </row>
    <row r="626" spans="1:37" x14ac:dyDescent="0.2">
      <c r="A626" t="s">
        <v>1465</v>
      </c>
      <c r="B626" t="s">
        <v>361</v>
      </c>
      <c r="C626">
        <v>2016</v>
      </c>
      <c r="D626">
        <v>1</v>
      </c>
      <c r="E626" t="s">
        <v>1466</v>
      </c>
      <c r="F626" t="s">
        <v>362</v>
      </c>
      <c r="G626">
        <v>7.0119470000000002</v>
      </c>
      <c r="H626" s="20">
        <f>IF(AND(A626=A625,F626=F625,F626="Winter wheat"),G626*0.9*'BAU Management details'!$F$46,
IF(AND(OR(A626&lt;&gt;A625,F626&lt;&gt;F625),F626="Winter wheat"),G626*'BAU Management details'!$F$46,
IF(F626="Oilseed Rape",G626*'BAU Management details'!$F$47)))</f>
        <v>60.302744199999999</v>
      </c>
      <c r="I626" t="s">
        <v>348</v>
      </c>
      <c r="J626">
        <v>10</v>
      </c>
      <c r="K626" t="s">
        <v>362</v>
      </c>
      <c r="L626" t="s">
        <v>751</v>
      </c>
      <c r="M626">
        <v>2.8</v>
      </c>
      <c r="N626" t="s">
        <v>349</v>
      </c>
      <c r="O626" t="s">
        <v>350</v>
      </c>
      <c r="P626">
        <v>6.5</v>
      </c>
      <c r="Q626" t="s">
        <v>743</v>
      </c>
      <c r="R626" t="s">
        <v>351</v>
      </c>
      <c r="S626">
        <v>220</v>
      </c>
      <c r="T626" s="47" t="s">
        <v>729</v>
      </c>
      <c r="U626" t="s">
        <v>366</v>
      </c>
      <c r="V626" t="s">
        <v>364</v>
      </c>
      <c r="W626" s="47" t="s">
        <v>736</v>
      </c>
      <c r="X626" s="47">
        <v>0</v>
      </c>
      <c r="Y626" s="47" t="s">
        <v>730</v>
      </c>
      <c r="Z626" s="47">
        <v>0</v>
      </c>
      <c r="AA626" s="47" t="s">
        <v>731</v>
      </c>
      <c r="AB626" s="47">
        <v>0</v>
      </c>
      <c r="AC626" s="47" t="s">
        <v>731</v>
      </c>
      <c r="AD626" s="47" t="s">
        <v>731</v>
      </c>
      <c r="AE626" s="47" t="s">
        <v>731</v>
      </c>
      <c r="AF626" s="47">
        <v>0</v>
      </c>
      <c r="AG626" s="47">
        <v>0</v>
      </c>
      <c r="AH626" s="47">
        <v>0</v>
      </c>
      <c r="AI626" s="47" t="s">
        <v>729</v>
      </c>
      <c r="AJ626">
        <v>1</v>
      </c>
      <c r="AK626">
        <v>100</v>
      </c>
    </row>
    <row r="627" spans="1:37" x14ac:dyDescent="0.2">
      <c r="A627" t="s">
        <v>1465</v>
      </c>
      <c r="B627" t="s">
        <v>361</v>
      </c>
      <c r="C627">
        <v>2017</v>
      </c>
      <c r="D627">
        <v>2</v>
      </c>
      <c r="E627" t="s">
        <v>1467</v>
      </c>
      <c r="F627" t="s">
        <v>362</v>
      </c>
      <c r="G627">
        <v>7.0119470000000002</v>
      </c>
      <c r="H627" s="20">
        <f>IF(AND(A627=A626,F627=F626,F627="Winter wheat"),G627*0.9*'BAU Management details'!$F$46,
IF(AND(OR(A627&lt;&gt;A626,F627&lt;&gt;F626),F627="Winter wheat"),G627*'BAU Management details'!$F$46,
IF(F627="Oilseed Rape",G627*'BAU Management details'!$F$47)))</f>
        <v>54.272469779999994</v>
      </c>
      <c r="I627" t="s">
        <v>348</v>
      </c>
      <c r="J627">
        <v>10</v>
      </c>
      <c r="K627" t="s">
        <v>362</v>
      </c>
      <c r="L627" t="s">
        <v>751</v>
      </c>
      <c r="M627">
        <v>2.8</v>
      </c>
      <c r="N627" t="s">
        <v>349</v>
      </c>
      <c r="O627" t="s">
        <v>350</v>
      </c>
      <c r="P627">
        <v>6.5</v>
      </c>
      <c r="Q627" t="s">
        <v>743</v>
      </c>
      <c r="R627" t="s">
        <v>351</v>
      </c>
      <c r="S627">
        <v>220</v>
      </c>
      <c r="T627" s="47" t="s">
        <v>729</v>
      </c>
      <c r="U627" t="s">
        <v>733</v>
      </c>
      <c r="V627" t="s">
        <v>364</v>
      </c>
      <c r="W627" s="47" t="s">
        <v>736</v>
      </c>
      <c r="X627" s="47">
        <v>0</v>
      </c>
      <c r="Y627" s="47" t="s">
        <v>730</v>
      </c>
      <c r="Z627" s="47">
        <v>0</v>
      </c>
      <c r="AA627" s="47" t="s">
        <v>731</v>
      </c>
      <c r="AB627" s="47">
        <v>0</v>
      </c>
      <c r="AC627" s="47">
        <v>0</v>
      </c>
      <c r="AD627" s="47">
        <v>0</v>
      </c>
      <c r="AE627" s="47" t="s">
        <v>731</v>
      </c>
      <c r="AF627" s="47">
        <v>0</v>
      </c>
      <c r="AG627" s="47">
        <v>0</v>
      </c>
      <c r="AH627" s="47">
        <v>0</v>
      </c>
      <c r="AI627" s="47" t="s">
        <v>729</v>
      </c>
      <c r="AJ627">
        <v>1</v>
      </c>
      <c r="AK627">
        <v>100</v>
      </c>
    </row>
    <row r="628" spans="1:37" x14ac:dyDescent="0.2">
      <c r="A628" t="s">
        <v>1465</v>
      </c>
      <c r="B628" t="s">
        <v>361</v>
      </c>
      <c r="C628">
        <v>2018</v>
      </c>
      <c r="D628">
        <v>3</v>
      </c>
      <c r="E628" t="s">
        <v>1468</v>
      </c>
      <c r="F628" t="s">
        <v>365</v>
      </c>
      <c r="G628">
        <v>7.0119470000000002</v>
      </c>
      <c r="H628" s="20">
        <f>IF(AND(A628=A627,F628=F627,F628="Winter wheat"),G628*0.9*'BAU Management details'!$F$46,
IF(AND(OR(A628&lt;&gt;A627,F628&lt;&gt;F627),F628="Winter wheat"),G628*'BAU Management details'!$F$46,
IF(F628="Oilseed Rape",G628*'BAU Management details'!$F$47)))</f>
        <v>24.541814500000001</v>
      </c>
      <c r="I628" t="s">
        <v>348</v>
      </c>
      <c r="J628">
        <v>10</v>
      </c>
      <c r="K628" t="s">
        <v>532</v>
      </c>
      <c r="L628" t="s">
        <v>751</v>
      </c>
      <c r="M628">
        <v>2.8</v>
      </c>
      <c r="N628" t="s">
        <v>349</v>
      </c>
      <c r="O628" t="s">
        <v>350</v>
      </c>
      <c r="P628">
        <v>6.5</v>
      </c>
      <c r="Q628" t="s">
        <v>743</v>
      </c>
      <c r="R628" t="s">
        <v>351</v>
      </c>
      <c r="S628">
        <v>220</v>
      </c>
      <c r="T628" s="47" t="s">
        <v>735</v>
      </c>
      <c r="U628" t="s">
        <v>368</v>
      </c>
      <c r="V628" t="s">
        <v>364</v>
      </c>
      <c r="W628" s="47" t="s">
        <v>736</v>
      </c>
      <c r="X628" s="47">
        <v>0</v>
      </c>
      <c r="Y628" s="47" t="s">
        <v>736</v>
      </c>
      <c r="Z628" s="47">
        <v>0</v>
      </c>
      <c r="AA628" s="47" t="s">
        <v>736</v>
      </c>
      <c r="AB628" s="47">
        <v>0</v>
      </c>
      <c r="AC628" s="47">
        <v>0</v>
      </c>
      <c r="AD628" s="47">
        <v>0</v>
      </c>
      <c r="AE628" s="47" t="s">
        <v>731</v>
      </c>
      <c r="AF628" s="47">
        <v>0</v>
      </c>
      <c r="AG628" s="47" t="s">
        <v>731</v>
      </c>
      <c r="AH628" s="47">
        <v>0</v>
      </c>
      <c r="AI628" s="47" t="s">
        <v>735</v>
      </c>
      <c r="AJ628">
        <v>1</v>
      </c>
      <c r="AK628">
        <v>100</v>
      </c>
    </row>
    <row r="629" spans="1:37" x14ac:dyDescent="0.2">
      <c r="A629" t="s">
        <v>1465</v>
      </c>
      <c r="B629" t="s">
        <v>361</v>
      </c>
      <c r="C629">
        <v>2019</v>
      </c>
      <c r="D629">
        <v>4</v>
      </c>
      <c r="E629" t="s">
        <v>1469</v>
      </c>
      <c r="F629" t="s">
        <v>362</v>
      </c>
      <c r="G629">
        <v>7.0119470000000002</v>
      </c>
      <c r="H629" s="20">
        <f>IF(AND(A629=A628,F629=F628,F629="Winter wheat"),G629*0.9*'BAU Management details'!$F$46,
IF(AND(OR(A629&lt;&gt;A628,F629&lt;&gt;F628),F629="Winter wheat"),G629*'BAU Management details'!$F$46,
IF(F629="Oilseed Rape",G629*'BAU Management details'!$F$47)))</f>
        <v>60.302744199999999</v>
      </c>
      <c r="I629" t="s">
        <v>348</v>
      </c>
      <c r="J629">
        <v>10</v>
      </c>
      <c r="K629" t="s">
        <v>362</v>
      </c>
      <c r="L629" t="s">
        <v>751</v>
      </c>
      <c r="M629">
        <v>2.8</v>
      </c>
      <c r="N629" t="s">
        <v>349</v>
      </c>
      <c r="O629" t="s">
        <v>350</v>
      </c>
      <c r="P629">
        <v>6.5</v>
      </c>
      <c r="Q629" t="s">
        <v>743</v>
      </c>
      <c r="R629" t="s">
        <v>351</v>
      </c>
      <c r="S629">
        <v>220</v>
      </c>
      <c r="T629" s="47" t="s">
        <v>729</v>
      </c>
      <c r="U629" t="s">
        <v>366</v>
      </c>
      <c r="V629" t="s">
        <v>364</v>
      </c>
      <c r="W629" s="47" t="s">
        <v>736</v>
      </c>
      <c r="X629" s="47">
        <v>0</v>
      </c>
      <c r="Y629" s="47" t="s">
        <v>730</v>
      </c>
      <c r="Z629" s="47">
        <v>0</v>
      </c>
      <c r="AA629" s="47" t="s">
        <v>731</v>
      </c>
      <c r="AB629" s="47">
        <v>0</v>
      </c>
      <c r="AC629" s="47" t="s">
        <v>731</v>
      </c>
      <c r="AD629" s="47" t="s">
        <v>731</v>
      </c>
      <c r="AE629" s="47" t="s">
        <v>731</v>
      </c>
      <c r="AF629" s="47">
        <v>0</v>
      </c>
      <c r="AG629" s="47">
        <v>0</v>
      </c>
      <c r="AH629" s="47">
        <v>0</v>
      </c>
      <c r="AI629" s="47" t="s">
        <v>729</v>
      </c>
      <c r="AJ629">
        <v>1</v>
      </c>
      <c r="AK629">
        <v>100</v>
      </c>
    </row>
    <row r="630" spans="1:37" x14ac:dyDescent="0.2">
      <c r="A630" t="s">
        <v>1465</v>
      </c>
      <c r="B630" t="s">
        <v>361</v>
      </c>
      <c r="C630">
        <v>2020</v>
      </c>
      <c r="D630">
        <v>5</v>
      </c>
      <c r="E630" t="s">
        <v>1470</v>
      </c>
      <c r="F630" t="s">
        <v>362</v>
      </c>
      <c r="G630">
        <v>7.0119470000000002</v>
      </c>
      <c r="H630" s="20">
        <f>IF(AND(A630=A629,F630=F629,F630="Winter wheat"),G630*0.9*'BAU Management details'!$F$46,
IF(AND(OR(A630&lt;&gt;A629,F630&lt;&gt;F629),F630="Winter wheat"),G630*'BAU Management details'!$F$46,
IF(F630="Oilseed Rape",G630*'BAU Management details'!$F$47)))</f>
        <v>54.272469779999994</v>
      </c>
      <c r="I630" t="s">
        <v>348</v>
      </c>
      <c r="J630">
        <v>10</v>
      </c>
      <c r="K630" t="s">
        <v>362</v>
      </c>
      <c r="L630" t="s">
        <v>751</v>
      </c>
      <c r="M630">
        <v>2.8</v>
      </c>
      <c r="N630" t="s">
        <v>349</v>
      </c>
      <c r="O630" t="s">
        <v>350</v>
      </c>
      <c r="P630">
        <v>6.5</v>
      </c>
      <c r="Q630" t="s">
        <v>743</v>
      </c>
      <c r="R630" t="s">
        <v>351</v>
      </c>
      <c r="S630">
        <v>220</v>
      </c>
      <c r="T630" s="47" t="s">
        <v>729</v>
      </c>
      <c r="U630" t="s">
        <v>733</v>
      </c>
      <c r="V630" t="s">
        <v>364</v>
      </c>
      <c r="W630" s="47" t="s">
        <v>736</v>
      </c>
      <c r="X630" s="47">
        <v>0</v>
      </c>
      <c r="Y630" s="47" t="s">
        <v>730</v>
      </c>
      <c r="Z630" s="47">
        <v>0</v>
      </c>
      <c r="AA630" s="47" t="s">
        <v>731</v>
      </c>
      <c r="AB630" s="47">
        <v>0</v>
      </c>
      <c r="AC630" s="47">
        <v>0</v>
      </c>
      <c r="AD630" s="47">
        <v>0</v>
      </c>
      <c r="AE630" s="47" t="s">
        <v>731</v>
      </c>
      <c r="AF630" s="47">
        <v>0</v>
      </c>
      <c r="AG630" s="47">
        <v>0</v>
      </c>
      <c r="AH630" s="47">
        <v>0</v>
      </c>
      <c r="AI630" s="47" t="s">
        <v>729</v>
      </c>
      <c r="AJ630">
        <v>1</v>
      </c>
      <c r="AK630">
        <v>100</v>
      </c>
    </row>
    <row r="631" spans="1:37" x14ac:dyDescent="0.2">
      <c r="A631" t="s">
        <v>1465</v>
      </c>
      <c r="B631" t="s">
        <v>361</v>
      </c>
      <c r="C631">
        <v>2021</v>
      </c>
      <c r="D631">
        <v>6</v>
      </c>
      <c r="E631" t="s">
        <v>1471</v>
      </c>
      <c r="F631" t="s">
        <v>365</v>
      </c>
      <c r="G631">
        <v>7.0119470000000002</v>
      </c>
      <c r="H631" s="20">
        <f>IF(AND(A631=A630,F631=F630,F631="Winter wheat"),G631*0.9*'BAU Management details'!$F$46,
IF(AND(OR(A631&lt;&gt;A630,F631&lt;&gt;F630),F631="Winter wheat"),G631*'BAU Management details'!$F$46,
IF(F631="Oilseed Rape",G631*'BAU Management details'!$F$47)))</f>
        <v>24.541814500000001</v>
      </c>
      <c r="I631" t="s">
        <v>348</v>
      </c>
      <c r="J631">
        <v>10</v>
      </c>
      <c r="K631" t="s">
        <v>532</v>
      </c>
      <c r="L631" t="s">
        <v>751</v>
      </c>
      <c r="M631">
        <v>2.8</v>
      </c>
      <c r="N631" t="s">
        <v>349</v>
      </c>
      <c r="O631" t="s">
        <v>350</v>
      </c>
      <c r="P631">
        <v>6.5</v>
      </c>
      <c r="Q631" t="s">
        <v>743</v>
      </c>
      <c r="R631" t="s">
        <v>351</v>
      </c>
      <c r="S631">
        <v>220</v>
      </c>
      <c r="T631" s="47" t="s">
        <v>735</v>
      </c>
      <c r="U631" t="s">
        <v>368</v>
      </c>
      <c r="V631" t="s">
        <v>364</v>
      </c>
      <c r="W631" s="47" t="s">
        <v>736</v>
      </c>
      <c r="X631" s="47">
        <v>0</v>
      </c>
      <c r="Y631" s="47" t="s">
        <v>736</v>
      </c>
      <c r="Z631" s="47">
        <v>0</v>
      </c>
      <c r="AA631" s="47" t="s">
        <v>736</v>
      </c>
      <c r="AB631" s="47">
        <v>0</v>
      </c>
      <c r="AC631" s="47">
        <v>0</v>
      </c>
      <c r="AD631" s="47">
        <v>0</v>
      </c>
      <c r="AE631" s="47" t="s">
        <v>731</v>
      </c>
      <c r="AF631" s="47">
        <v>0</v>
      </c>
      <c r="AG631" s="47" t="s">
        <v>731</v>
      </c>
      <c r="AH631" s="47">
        <v>0</v>
      </c>
      <c r="AI631" s="47" t="s">
        <v>735</v>
      </c>
      <c r="AJ631">
        <v>1</v>
      </c>
      <c r="AK631">
        <v>100</v>
      </c>
    </row>
    <row r="632" spans="1:37" x14ac:dyDescent="0.2">
      <c r="A632" t="s">
        <v>1472</v>
      </c>
      <c r="B632" t="s">
        <v>361</v>
      </c>
      <c r="C632">
        <v>2016</v>
      </c>
      <c r="D632">
        <v>1</v>
      </c>
      <c r="E632" t="s">
        <v>1473</v>
      </c>
      <c r="F632" t="s">
        <v>362</v>
      </c>
      <c r="G632">
        <v>5.9075709999999999</v>
      </c>
      <c r="H632" s="20">
        <f>IF(AND(A632=A631,F632=F631,F632="Winter wheat"),G632*0.9*'BAU Management details'!$F$46,
IF(AND(OR(A632&lt;&gt;A631,F632&lt;&gt;F631),F632="Winter wheat"),G632*'BAU Management details'!$F$46,
IF(F632="Oilseed Rape",G632*'BAU Management details'!$F$47)))</f>
        <v>50.805110599999999</v>
      </c>
      <c r="I632" t="s">
        <v>348</v>
      </c>
      <c r="J632">
        <v>10</v>
      </c>
      <c r="K632" t="s">
        <v>362</v>
      </c>
      <c r="L632" t="s">
        <v>787</v>
      </c>
      <c r="M632">
        <v>6.2</v>
      </c>
      <c r="N632" t="s">
        <v>349</v>
      </c>
      <c r="O632" t="s">
        <v>350</v>
      </c>
      <c r="P632">
        <v>6.4</v>
      </c>
      <c r="Q632" t="s">
        <v>743</v>
      </c>
      <c r="R632" t="s">
        <v>351</v>
      </c>
      <c r="S632">
        <v>220</v>
      </c>
      <c r="T632" s="47" t="s">
        <v>729</v>
      </c>
      <c r="U632" t="s">
        <v>366</v>
      </c>
      <c r="V632" t="s">
        <v>364</v>
      </c>
      <c r="W632" s="47" t="s">
        <v>736</v>
      </c>
      <c r="X632" s="47">
        <v>0</v>
      </c>
      <c r="Y632" s="47" t="s">
        <v>730</v>
      </c>
      <c r="Z632" s="47">
        <v>0</v>
      </c>
      <c r="AA632" s="47" t="s">
        <v>731</v>
      </c>
      <c r="AB632" s="47">
        <v>0</v>
      </c>
      <c r="AC632" s="47" t="s">
        <v>731</v>
      </c>
      <c r="AD632" s="47" t="s">
        <v>731</v>
      </c>
      <c r="AE632" s="47" t="s">
        <v>731</v>
      </c>
      <c r="AF632" s="47">
        <v>0</v>
      </c>
      <c r="AG632" s="47">
        <v>0</v>
      </c>
      <c r="AH632" s="47">
        <v>0</v>
      </c>
      <c r="AI632" s="47" t="s">
        <v>729</v>
      </c>
      <c r="AJ632">
        <v>1</v>
      </c>
      <c r="AK632">
        <v>100</v>
      </c>
    </row>
    <row r="633" spans="1:37" x14ac:dyDescent="0.2">
      <c r="A633" t="s">
        <v>1472</v>
      </c>
      <c r="B633" t="s">
        <v>361</v>
      </c>
      <c r="C633">
        <v>2017</v>
      </c>
      <c r="D633">
        <v>2</v>
      </c>
      <c r="E633" t="s">
        <v>1474</v>
      </c>
      <c r="F633" t="s">
        <v>362</v>
      </c>
      <c r="G633">
        <v>5.9075709999999999</v>
      </c>
      <c r="H633" s="20">
        <f>IF(AND(A633=A632,F633=F632,F633="Winter wheat"),G633*0.9*'BAU Management details'!$F$46,
IF(AND(OR(A633&lt;&gt;A632,F633&lt;&gt;F632),F633="Winter wheat"),G633*'BAU Management details'!$F$46,
IF(F633="Oilseed Rape",G633*'BAU Management details'!$F$47)))</f>
        <v>45.724599539999993</v>
      </c>
      <c r="I633" t="s">
        <v>348</v>
      </c>
      <c r="J633">
        <v>10</v>
      </c>
      <c r="K633" t="s">
        <v>362</v>
      </c>
      <c r="L633" t="s">
        <v>787</v>
      </c>
      <c r="M633">
        <v>6.2</v>
      </c>
      <c r="N633" t="s">
        <v>349</v>
      </c>
      <c r="O633" t="s">
        <v>350</v>
      </c>
      <c r="P633">
        <v>6.4</v>
      </c>
      <c r="Q633" t="s">
        <v>743</v>
      </c>
      <c r="R633" t="s">
        <v>351</v>
      </c>
      <c r="S633">
        <v>220</v>
      </c>
      <c r="T633" s="47" t="s">
        <v>729</v>
      </c>
      <c r="U633" t="s">
        <v>733</v>
      </c>
      <c r="V633" t="s">
        <v>364</v>
      </c>
      <c r="W633" s="47" t="s">
        <v>736</v>
      </c>
      <c r="X633" s="47">
        <v>0</v>
      </c>
      <c r="Y633" s="47" t="s">
        <v>730</v>
      </c>
      <c r="Z633" s="47">
        <v>0</v>
      </c>
      <c r="AA633" s="47" t="s">
        <v>731</v>
      </c>
      <c r="AB633" s="47">
        <v>0</v>
      </c>
      <c r="AC633" s="47">
        <v>0</v>
      </c>
      <c r="AD633" s="47">
        <v>0</v>
      </c>
      <c r="AE633" s="47" t="s">
        <v>731</v>
      </c>
      <c r="AF633" s="47">
        <v>0</v>
      </c>
      <c r="AG633" s="47">
        <v>0</v>
      </c>
      <c r="AH633" s="47">
        <v>0</v>
      </c>
      <c r="AI633" s="47" t="s">
        <v>729</v>
      </c>
      <c r="AJ633">
        <v>1</v>
      </c>
      <c r="AK633">
        <v>100</v>
      </c>
    </row>
    <row r="634" spans="1:37" x14ac:dyDescent="0.2">
      <c r="A634" t="s">
        <v>1472</v>
      </c>
      <c r="B634" t="s">
        <v>361</v>
      </c>
      <c r="C634">
        <v>2018</v>
      </c>
      <c r="D634">
        <v>3</v>
      </c>
      <c r="E634" t="s">
        <v>1475</v>
      </c>
      <c r="F634" t="s">
        <v>365</v>
      </c>
      <c r="G634">
        <v>5.9075709999999999</v>
      </c>
      <c r="H634" s="20">
        <f>IF(AND(A634=A633,F634=F633,F634="Winter wheat"),G634*0.9*'BAU Management details'!$F$46,
IF(AND(OR(A634&lt;&gt;A633,F634&lt;&gt;F633),F634="Winter wheat"),G634*'BAU Management details'!$F$46,
IF(F634="Oilseed Rape",G634*'BAU Management details'!$F$47)))</f>
        <v>20.676498500000001</v>
      </c>
      <c r="I634" t="s">
        <v>348</v>
      </c>
      <c r="J634">
        <v>10</v>
      </c>
      <c r="K634" t="s">
        <v>532</v>
      </c>
      <c r="L634" t="s">
        <v>787</v>
      </c>
      <c r="M634">
        <v>6.2</v>
      </c>
      <c r="N634" t="s">
        <v>349</v>
      </c>
      <c r="O634" t="s">
        <v>350</v>
      </c>
      <c r="P634">
        <v>6.4</v>
      </c>
      <c r="Q634" t="s">
        <v>743</v>
      </c>
      <c r="R634" t="s">
        <v>351</v>
      </c>
      <c r="S634">
        <v>220</v>
      </c>
      <c r="T634" s="47" t="s">
        <v>735</v>
      </c>
      <c r="U634" t="s">
        <v>368</v>
      </c>
      <c r="V634" t="s">
        <v>364</v>
      </c>
      <c r="W634" s="47" t="s">
        <v>736</v>
      </c>
      <c r="X634" s="47">
        <v>0</v>
      </c>
      <c r="Y634" s="47" t="s">
        <v>736</v>
      </c>
      <c r="Z634" s="47">
        <v>0</v>
      </c>
      <c r="AA634" s="47" t="s">
        <v>736</v>
      </c>
      <c r="AB634" s="47">
        <v>0</v>
      </c>
      <c r="AC634" s="47">
        <v>0</v>
      </c>
      <c r="AD634" s="47">
        <v>0</v>
      </c>
      <c r="AE634" s="47" t="s">
        <v>731</v>
      </c>
      <c r="AF634" s="47">
        <v>0</v>
      </c>
      <c r="AG634" s="47" t="s">
        <v>731</v>
      </c>
      <c r="AH634" s="47">
        <v>0</v>
      </c>
      <c r="AI634" s="47" t="s">
        <v>735</v>
      </c>
      <c r="AJ634">
        <v>1</v>
      </c>
      <c r="AK634">
        <v>100</v>
      </c>
    </row>
    <row r="635" spans="1:37" x14ac:dyDescent="0.2">
      <c r="A635" t="s">
        <v>1472</v>
      </c>
      <c r="B635" t="s">
        <v>361</v>
      </c>
      <c r="C635">
        <v>2019</v>
      </c>
      <c r="D635">
        <v>4</v>
      </c>
      <c r="E635" t="s">
        <v>1476</v>
      </c>
      <c r="F635" t="s">
        <v>362</v>
      </c>
      <c r="G635">
        <v>5.9075709999999999</v>
      </c>
      <c r="H635" s="20">
        <f>IF(AND(A635=A634,F635=F634,F635="Winter wheat"),G635*0.9*'BAU Management details'!$F$46,
IF(AND(OR(A635&lt;&gt;A634,F635&lt;&gt;F634),F635="Winter wheat"),G635*'BAU Management details'!$F$46,
IF(F635="Oilseed Rape",G635*'BAU Management details'!$F$47)))</f>
        <v>50.805110599999999</v>
      </c>
      <c r="I635" t="s">
        <v>348</v>
      </c>
      <c r="J635">
        <v>10</v>
      </c>
      <c r="K635" t="s">
        <v>362</v>
      </c>
      <c r="L635" t="s">
        <v>787</v>
      </c>
      <c r="M635">
        <v>6.2</v>
      </c>
      <c r="N635" t="s">
        <v>349</v>
      </c>
      <c r="O635" t="s">
        <v>350</v>
      </c>
      <c r="P635">
        <v>6.4</v>
      </c>
      <c r="Q635" t="s">
        <v>743</v>
      </c>
      <c r="R635" t="s">
        <v>351</v>
      </c>
      <c r="S635">
        <v>220</v>
      </c>
      <c r="T635" s="47" t="s">
        <v>729</v>
      </c>
      <c r="U635" t="s">
        <v>366</v>
      </c>
      <c r="V635" t="s">
        <v>364</v>
      </c>
      <c r="W635" s="47" t="s">
        <v>736</v>
      </c>
      <c r="X635" s="47">
        <v>0</v>
      </c>
      <c r="Y635" s="47" t="s">
        <v>730</v>
      </c>
      <c r="Z635" s="47">
        <v>0</v>
      </c>
      <c r="AA635" s="47" t="s">
        <v>731</v>
      </c>
      <c r="AB635" s="47">
        <v>0</v>
      </c>
      <c r="AC635" s="47" t="s">
        <v>731</v>
      </c>
      <c r="AD635" s="47" t="s">
        <v>731</v>
      </c>
      <c r="AE635" s="47" t="s">
        <v>731</v>
      </c>
      <c r="AF635" s="47">
        <v>0</v>
      </c>
      <c r="AG635" s="47">
        <v>0</v>
      </c>
      <c r="AH635" s="47">
        <v>0</v>
      </c>
      <c r="AI635" s="47" t="s">
        <v>729</v>
      </c>
      <c r="AJ635">
        <v>1</v>
      </c>
      <c r="AK635">
        <v>100</v>
      </c>
    </row>
    <row r="636" spans="1:37" x14ac:dyDescent="0.2">
      <c r="A636" t="s">
        <v>1472</v>
      </c>
      <c r="B636" t="s">
        <v>361</v>
      </c>
      <c r="C636">
        <v>2020</v>
      </c>
      <c r="D636">
        <v>5</v>
      </c>
      <c r="E636" t="s">
        <v>1477</v>
      </c>
      <c r="F636" t="s">
        <v>362</v>
      </c>
      <c r="G636">
        <v>5.9075709999999999</v>
      </c>
      <c r="H636" s="20">
        <f>IF(AND(A636=A635,F636=F635,F636="Winter wheat"),G636*0.9*'BAU Management details'!$F$46,
IF(AND(OR(A636&lt;&gt;A635,F636&lt;&gt;F635),F636="Winter wheat"),G636*'BAU Management details'!$F$46,
IF(F636="Oilseed Rape",G636*'BAU Management details'!$F$47)))</f>
        <v>45.724599539999993</v>
      </c>
      <c r="I636" t="s">
        <v>348</v>
      </c>
      <c r="J636">
        <v>10</v>
      </c>
      <c r="K636" t="s">
        <v>362</v>
      </c>
      <c r="L636" t="s">
        <v>787</v>
      </c>
      <c r="M636">
        <v>6.2</v>
      </c>
      <c r="N636" t="s">
        <v>349</v>
      </c>
      <c r="O636" t="s">
        <v>350</v>
      </c>
      <c r="P636">
        <v>6.4</v>
      </c>
      <c r="Q636" t="s">
        <v>743</v>
      </c>
      <c r="R636" t="s">
        <v>351</v>
      </c>
      <c r="S636">
        <v>220</v>
      </c>
      <c r="T636" s="47" t="s">
        <v>729</v>
      </c>
      <c r="U636" t="s">
        <v>733</v>
      </c>
      <c r="V636" t="s">
        <v>364</v>
      </c>
      <c r="W636" s="47" t="s">
        <v>736</v>
      </c>
      <c r="X636" s="47">
        <v>0</v>
      </c>
      <c r="Y636" s="47" t="s">
        <v>730</v>
      </c>
      <c r="Z636" s="47">
        <v>0</v>
      </c>
      <c r="AA636" s="47" t="s">
        <v>731</v>
      </c>
      <c r="AB636" s="47">
        <v>0</v>
      </c>
      <c r="AC636" s="47">
        <v>0</v>
      </c>
      <c r="AD636" s="47">
        <v>0</v>
      </c>
      <c r="AE636" s="47" t="s">
        <v>731</v>
      </c>
      <c r="AF636" s="47">
        <v>0</v>
      </c>
      <c r="AG636" s="47">
        <v>0</v>
      </c>
      <c r="AH636" s="47">
        <v>0</v>
      </c>
      <c r="AI636" s="47" t="s">
        <v>729</v>
      </c>
      <c r="AJ636">
        <v>1</v>
      </c>
      <c r="AK636">
        <v>100</v>
      </c>
    </row>
    <row r="637" spans="1:37" x14ac:dyDescent="0.2">
      <c r="A637" t="s">
        <v>1472</v>
      </c>
      <c r="B637" t="s">
        <v>361</v>
      </c>
      <c r="C637">
        <v>2021</v>
      </c>
      <c r="D637">
        <v>6</v>
      </c>
      <c r="E637" t="s">
        <v>1478</v>
      </c>
      <c r="F637" t="s">
        <v>365</v>
      </c>
      <c r="G637">
        <v>5.9075709999999999</v>
      </c>
      <c r="H637" s="20">
        <f>IF(AND(A637=A636,F637=F636,F637="Winter wheat"),G637*0.9*'BAU Management details'!$F$46,
IF(AND(OR(A637&lt;&gt;A636,F637&lt;&gt;F636),F637="Winter wheat"),G637*'BAU Management details'!$F$46,
IF(F637="Oilseed Rape",G637*'BAU Management details'!$F$47)))</f>
        <v>20.676498500000001</v>
      </c>
      <c r="I637" t="s">
        <v>348</v>
      </c>
      <c r="J637">
        <v>10</v>
      </c>
      <c r="K637" t="s">
        <v>532</v>
      </c>
      <c r="L637" t="s">
        <v>787</v>
      </c>
      <c r="M637">
        <v>6.2</v>
      </c>
      <c r="N637" t="s">
        <v>349</v>
      </c>
      <c r="O637" t="s">
        <v>350</v>
      </c>
      <c r="P637">
        <v>6.4</v>
      </c>
      <c r="Q637" t="s">
        <v>743</v>
      </c>
      <c r="R637" t="s">
        <v>351</v>
      </c>
      <c r="S637">
        <v>220</v>
      </c>
      <c r="T637" s="47" t="s">
        <v>735</v>
      </c>
      <c r="U637" t="s">
        <v>368</v>
      </c>
      <c r="V637" t="s">
        <v>364</v>
      </c>
      <c r="W637" s="47" t="s">
        <v>736</v>
      </c>
      <c r="X637" s="47">
        <v>0</v>
      </c>
      <c r="Y637" s="47" t="s">
        <v>736</v>
      </c>
      <c r="Z637" s="47">
        <v>0</v>
      </c>
      <c r="AA637" s="47" t="s">
        <v>736</v>
      </c>
      <c r="AB637" s="47">
        <v>0</v>
      </c>
      <c r="AC637" s="47">
        <v>0</v>
      </c>
      <c r="AD637" s="47">
        <v>0</v>
      </c>
      <c r="AE637" s="47" t="s">
        <v>731</v>
      </c>
      <c r="AF637" s="47">
        <v>0</v>
      </c>
      <c r="AG637" s="47" t="s">
        <v>731</v>
      </c>
      <c r="AH637" s="47">
        <v>0</v>
      </c>
      <c r="AI637" s="47" t="s">
        <v>735</v>
      </c>
      <c r="AJ637">
        <v>1</v>
      </c>
      <c r="AK637">
        <v>100</v>
      </c>
    </row>
    <row r="638" spans="1:37" x14ac:dyDescent="0.2">
      <c r="A638" t="s">
        <v>1479</v>
      </c>
      <c r="B638" t="s">
        <v>361</v>
      </c>
      <c r="C638">
        <v>2016</v>
      </c>
      <c r="D638">
        <v>1</v>
      </c>
      <c r="E638" t="s">
        <v>1480</v>
      </c>
      <c r="F638" t="s">
        <v>362</v>
      </c>
      <c r="G638">
        <v>7.513541</v>
      </c>
      <c r="H638" s="20">
        <f>IF(AND(A638=A637,F638=F637,F638="Winter wheat"),G638*0.9*'BAU Management details'!$F$46,
IF(AND(OR(A638&lt;&gt;A637,F638&lt;&gt;F637),F638="Winter wheat"),G638*'BAU Management details'!$F$46,
IF(F638="Oilseed Rape",G638*'BAU Management details'!$F$47)))</f>
        <v>64.616452600000002</v>
      </c>
      <c r="I638" t="s">
        <v>348</v>
      </c>
      <c r="J638">
        <v>10</v>
      </c>
      <c r="K638" t="s">
        <v>362</v>
      </c>
      <c r="L638" t="s">
        <v>751</v>
      </c>
      <c r="M638">
        <v>1.7</v>
      </c>
      <c r="N638" t="s">
        <v>349</v>
      </c>
      <c r="O638" t="s">
        <v>350</v>
      </c>
      <c r="P638">
        <v>7.4</v>
      </c>
      <c r="Q638" t="s">
        <v>728</v>
      </c>
      <c r="R638" t="s">
        <v>351</v>
      </c>
      <c r="S638">
        <v>220</v>
      </c>
      <c r="T638" s="47" t="s">
        <v>729</v>
      </c>
      <c r="U638" t="s">
        <v>366</v>
      </c>
      <c r="V638" t="s">
        <v>364</v>
      </c>
      <c r="W638" s="47" t="s">
        <v>736</v>
      </c>
      <c r="X638" s="47">
        <v>0</v>
      </c>
      <c r="Y638" s="47" t="s">
        <v>730</v>
      </c>
      <c r="Z638" s="47">
        <v>0</v>
      </c>
      <c r="AA638" s="47" t="s">
        <v>731</v>
      </c>
      <c r="AB638" s="47">
        <v>0</v>
      </c>
      <c r="AC638" s="47" t="s">
        <v>731</v>
      </c>
      <c r="AD638" s="47" t="s">
        <v>731</v>
      </c>
      <c r="AE638" s="47" t="s">
        <v>731</v>
      </c>
      <c r="AF638" s="47">
        <v>0</v>
      </c>
      <c r="AG638" s="47">
        <v>0</v>
      </c>
      <c r="AH638" s="47">
        <v>0</v>
      </c>
      <c r="AI638" s="47" t="s">
        <v>729</v>
      </c>
      <c r="AJ638">
        <v>1</v>
      </c>
      <c r="AK638">
        <v>100</v>
      </c>
    </row>
    <row r="639" spans="1:37" x14ac:dyDescent="0.2">
      <c r="A639" t="s">
        <v>1479</v>
      </c>
      <c r="B639" t="s">
        <v>361</v>
      </c>
      <c r="C639">
        <v>2017</v>
      </c>
      <c r="D639">
        <v>2</v>
      </c>
      <c r="E639" t="s">
        <v>1481</v>
      </c>
      <c r="F639" t="s">
        <v>362</v>
      </c>
      <c r="G639">
        <v>7.513541</v>
      </c>
      <c r="H639" s="20">
        <f>IF(AND(A639=A638,F639=F638,F639="Winter wheat"),G639*0.9*'BAU Management details'!$F$46,
IF(AND(OR(A639&lt;&gt;A638,F639&lt;&gt;F638),F639="Winter wheat"),G639*'BAU Management details'!$F$46,
IF(F639="Oilseed Rape",G639*'BAU Management details'!$F$47)))</f>
        <v>58.154807340000005</v>
      </c>
      <c r="I639" t="s">
        <v>348</v>
      </c>
      <c r="J639">
        <v>10</v>
      </c>
      <c r="K639" t="s">
        <v>362</v>
      </c>
      <c r="L639" t="s">
        <v>751</v>
      </c>
      <c r="M639">
        <v>1.7</v>
      </c>
      <c r="N639" t="s">
        <v>349</v>
      </c>
      <c r="O639" t="s">
        <v>350</v>
      </c>
      <c r="P639">
        <v>7.4</v>
      </c>
      <c r="Q639" t="s">
        <v>728</v>
      </c>
      <c r="R639" t="s">
        <v>351</v>
      </c>
      <c r="S639">
        <v>220</v>
      </c>
      <c r="T639" s="47" t="s">
        <v>729</v>
      </c>
      <c r="U639" t="s">
        <v>733</v>
      </c>
      <c r="V639" t="s">
        <v>364</v>
      </c>
      <c r="W639" s="47" t="s">
        <v>736</v>
      </c>
      <c r="X639" s="47">
        <v>0</v>
      </c>
      <c r="Y639" s="47" t="s">
        <v>730</v>
      </c>
      <c r="Z639" s="47">
        <v>0</v>
      </c>
      <c r="AA639" s="47" t="s">
        <v>731</v>
      </c>
      <c r="AB639" s="47">
        <v>0</v>
      </c>
      <c r="AC639" s="47">
        <v>0</v>
      </c>
      <c r="AD639" s="47">
        <v>0</v>
      </c>
      <c r="AE639" s="47" t="s">
        <v>731</v>
      </c>
      <c r="AF639" s="47">
        <v>0</v>
      </c>
      <c r="AG639" s="47">
        <v>0</v>
      </c>
      <c r="AH639" s="47">
        <v>0</v>
      </c>
      <c r="AI639" s="47" t="s">
        <v>729</v>
      </c>
      <c r="AJ639">
        <v>1</v>
      </c>
      <c r="AK639">
        <v>100</v>
      </c>
    </row>
    <row r="640" spans="1:37" x14ac:dyDescent="0.2">
      <c r="A640" t="s">
        <v>1479</v>
      </c>
      <c r="B640" t="s">
        <v>361</v>
      </c>
      <c r="C640">
        <v>2018</v>
      </c>
      <c r="D640">
        <v>3</v>
      </c>
      <c r="E640" t="s">
        <v>1482</v>
      </c>
      <c r="F640" t="s">
        <v>365</v>
      </c>
      <c r="G640">
        <v>7.513541</v>
      </c>
      <c r="H640" s="20">
        <f>IF(AND(A640=A639,F640=F639,F640="Winter wheat"),G640*0.9*'BAU Management details'!$F$46,
IF(AND(OR(A640&lt;&gt;A639,F640&lt;&gt;F639),F640="Winter wheat"),G640*'BAU Management details'!$F$46,
IF(F640="Oilseed Rape",G640*'BAU Management details'!$F$47)))</f>
        <v>26.297393499999998</v>
      </c>
      <c r="I640" t="s">
        <v>348</v>
      </c>
      <c r="J640">
        <v>10</v>
      </c>
      <c r="K640" t="s">
        <v>532</v>
      </c>
      <c r="L640" t="s">
        <v>751</v>
      </c>
      <c r="M640">
        <v>1.7</v>
      </c>
      <c r="N640" t="s">
        <v>349</v>
      </c>
      <c r="O640" t="s">
        <v>350</v>
      </c>
      <c r="P640">
        <v>7.4</v>
      </c>
      <c r="Q640" t="s">
        <v>728</v>
      </c>
      <c r="R640" t="s">
        <v>351</v>
      </c>
      <c r="S640">
        <v>220</v>
      </c>
      <c r="T640" s="47" t="s">
        <v>735</v>
      </c>
      <c r="U640" t="s">
        <v>368</v>
      </c>
      <c r="V640" t="s">
        <v>364</v>
      </c>
      <c r="W640" s="47" t="s">
        <v>736</v>
      </c>
      <c r="X640" s="47">
        <v>0</v>
      </c>
      <c r="Y640" s="47" t="s">
        <v>736</v>
      </c>
      <c r="Z640" s="47">
        <v>0</v>
      </c>
      <c r="AA640" s="47" t="s">
        <v>736</v>
      </c>
      <c r="AB640" s="47">
        <v>0</v>
      </c>
      <c r="AC640" s="47">
        <v>0</v>
      </c>
      <c r="AD640" s="47">
        <v>0</v>
      </c>
      <c r="AE640" s="47" t="s">
        <v>731</v>
      </c>
      <c r="AF640" s="47">
        <v>0</v>
      </c>
      <c r="AG640" s="47" t="s">
        <v>731</v>
      </c>
      <c r="AH640" s="47">
        <v>0</v>
      </c>
      <c r="AI640" s="47" t="s">
        <v>735</v>
      </c>
      <c r="AJ640">
        <v>1</v>
      </c>
      <c r="AK640">
        <v>100</v>
      </c>
    </row>
    <row r="641" spans="1:37" x14ac:dyDescent="0.2">
      <c r="A641" t="s">
        <v>1479</v>
      </c>
      <c r="B641" t="s">
        <v>361</v>
      </c>
      <c r="C641">
        <v>2019</v>
      </c>
      <c r="D641">
        <v>4</v>
      </c>
      <c r="E641" t="s">
        <v>1483</v>
      </c>
      <c r="F641" t="s">
        <v>362</v>
      </c>
      <c r="G641">
        <v>7.513541</v>
      </c>
      <c r="H641" s="20">
        <f>IF(AND(A641=A640,F641=F640,F641="Winter wheat"),G641*0.9*'BAU Management details'!$F$46,
IF(AND(OR(A641&lt;&gt;A640,F641&lt;&gt;F640),F641="Winter wheat"),G641*'BAU Management details'!$F$46,
IF(F641="Oilseed Rape",G641*'BAU Management details'!$F$47)))</f>
        <v>64.616452600000002</v>
      </c>
      <c r="I641" t="s">
        <v>348</v>
      </c>
      <c r="J641">
        <v>10</v>
      </c>
      <c r="K641" t="s">
        <v>362</v>
      </c>
      <c r="L641" t="s">
        <v>751</v>
      </c>
      <c r="M641">
        <v>1.7</v>
      </c>
      <c r="N641" t="s">
        <v>349</v>
      </c>
      <c r="O641" t="s">
        <v>350</v>
      </c>
      <c r="P641">
        <v>7.4</v>
      </c>
      <c r="Q641" t="s">
        <v>728</v>
      </c>
      <c r="R641" t="s">
        <v>351</v>
      </c>
      <c r="S641">
        <v>220</v>
      </c>
      <c r="T641" s="47" t="s">
        <v>729</v>
      </c>
      <c r="U641" t="s">
        <v>366</v>
      </c>
      <c r="V641" t="s">
        <v>364</v>
      </c>
      <c r="W641" s="47" t="s">
        <v>736</v>
      </c>
      <c r="X641" s="47">
        <v>0</v>
      </c>
      <c r="Y641" s="47" t="s">
        <v>730</v>
      </c>
      <c r="Z641" s="47">
        <v>0</v>
      </c>
      <c r="AA641" s="47" t="s">
        <v>731</v>
      </c>
      <c r="AB641" s="47">
        <v>0</v>
      </c>
      <c r="AC641" s="47" t="s">
        <v>731</v>
      </c>
      <c r="AD641" s="47" t="s">
        <v>731</v>
      </c>
      <c r="AE641" s="47" t="s">
        <v>731</v>
      </c>
      <c r="AF641" s="47">
        <v>0</v>
      </c>
      <c r="AG641" s="47">
        <v>0</v>
      </c>
      <c r="AH641" s="47">
        <v>0</v>
      </c>
      <c r="AI641" s="47" t="s">
        <v>729</v>
      </c>
      <c r="AJ641">
        <v>1</v>
      </c>
      <c r="AK641">
        <v>100</v>
      </c>
    </row>
    <row r="642" spans="1:37" x14ac:dyDescent="0.2">
      <c r="A642" t="s">
        <v>1479</v>
      </c>
      <c r="B642" t="s">
        <v>361</v>
      </c>
      <c r="C642">
        <v>2020</v>
      </c>
      <c r="D642">
        <v>5</v>
      </c>
      <c r="E642" t="s">
        <v>1484</v>
      </c>
      <c r="F642" t="s">
        <v>362</v>
      </c>
      <c r="G642">
        <v>7.513541</v>
      </c>
      <c r="H642" s="20">
        <f>IF(AND(A642=A641,F642=F641,F642="Winter wheat"),G642*0.9*'BAU Management details'!$F$46,
IF(AND(OR(A642&lt;&gt;A641,F642&lt;&gt;F641),F642="Winter wheat"),G642*'BAU Management details'!$F$46,
IF(F642="Oilseed Rape",G642*'BAU Management details'!$F$47)))</f>
        <v>58.154807340000005</v>
      </c>
      <c r="I642" t="s">
        <v>348</v>
      </c>
      <c r="J642">
        <v>10</v>
      </c>
      <c r="K642" t="s">
        <v>362</v>
      </c>
      <c r="L642" t="s">
        <v>751</v>
      </c>
      <c r="M642">
        <v>1.7</v>
      </c>
      <c r="N642" t="s">
        <v>349</v>
      </c>
      <c r="O642" t="s">
        <v>350</v>
      </c>
      <c r="P642">
        <v>7.4</v>
      </c>
      <c r="Q642" t="s">
        <v>728</v>
      </c>
      <c r="R642" t="s">
        <v>351</v>
      </c>
      <c r="S642">
        <v>220</v>
      </c>
      <c r="T642" s="47" t="s">
        <v>729</v>
      </c>
      <c r="U642" t="s">
        <v>733</v>
      </c>
      <c r="V642" t="s">
        <v>364</v>
      </c>
      <c r="W642" s="47" t="s">
        <v>736</v>
      </c>
      <c r="X642" s="47">
        <v>0</v>
      </c>
      <c r="Y642" s="47" t="s">
        <v>730</v>
      </c>
      <c r="Z642" s="47">
        <v>0</v>
      </c>
      <c r="AA642" s="47" t="s">
        <v>731</v>
      </c>
      <c r="AB642" s="47">
        <v>0</v>
      </c>
      <c r="AC642" s="47">
        <v>0</v>
      </c>
      <c r="AD642" s="47">
        <v>0</v>
      </c>
      <c r="AE642" s="47" t="s">
        <v>731</v>
      </c>
      <c r="AF642" s="47">
        <v>0</v>
      </c>
      <c r="AG642" s="47">
        <v>0</v>
      </c>
      <c r="AH642" s="47">
        <v>0</v>
      </c>
      <c r="AI642" s="47" t="s">
        <v>729</v>
      </c>
      <c r="AJ642">
        <v>1</v>
      </c>
      <c r="AK642">
        <v>100</v>
      </c>
    </row>
    <row r="643" spans="1:37" x14ac:dyDescent="0.2">
      <c r="A643" t="s">
        <v>1479</v>
      </c>
      <c r="B643" t="s">
        <v>361</v>
      </c>
      <c r="C643">
        <v>2021</v>
      </c>
      <c r="D643">
        <v>6</v>
      </c>
      <c r="E643" t="s">
        <v>1485</v>
      </c>
      <c r="F643" t="s">
        <v>365</v>
      </c>
      <c r="G643">
        <v>7.513541</v>
      </c>
      <c r="H643" s="20">
        <f>IF(AND(A643=A642,F643=F642,F643="Winter wheat"),G643*0.9*'BAU Management details'!$F$46,
IF(AND(OR(A643&lt;&gt;A642,F643&lt;&gt;F642),F643="Winter wheat"),G643*'BAU Management details'!$F$46,
IF(F643="Oilseed Rape",G643*'BAU Management details'!$F$47)))</f>
        <v>26.297393499999998</v>
      </c>
      <c r="I643" t="s">
        <v>348</v>
      </c>
      <c r="J643">
        <v>10</v>
      </c>
      <c r="K643" t="s">
        <v>532</v>
      </c>
      <c r="L643" t="s">
        <v>751</v>
      </c>
      <c r="M643">
        <v>1.7</v>
      </c>
      <c r="N643" t="s">
        <v>349</v>
      </c>
      <c r="O643" t="s">
        <v>350</v>
      </c>
      <c r="P643">
        <v>7.4</v>
      </c>
      <c r="Q643" t="s">
        <v>728</v>
      </c>
      <c r="R643" t="s">
        <v>351</v>
      </c>
      <c r="S643">
        <v>220</v>
      </c>
      <c r="T643" s="47" t="s">
        <v>735</v>
      </c>
      <c r="U643" t="s">
        <v>368</v>
      </c>
      <c r="V643" t="s">
        <v>364</v>
      </c>
      <c r="W643" s="47" t="s">
        <v>736</v>
      </c>
      <c r="X643" s="47">
        <v>0</v>
      </c>
      <c r="Y643" s="47" t="s">
        <v>736</v>
      </c>
      <c r="Z643" s="47">
        <v>0</v>
      </c>
      <c r="AA643" s="47" t="s">
        <v>736</v>
      </c>
      <c r="AB643" s="47">
        <v>0</v>
      </c>
      <c r="AC643" s="47">
        <v>0</v>
      </c>
      <c r="AD643" s="47">
        <v>0</v>
      </c>
      <c r="AE643" s="47" t="s">
        <v>731</v>
      </c>
      <c r="AF643" s="47">
        <v>0</v>
      </c>
      <c r="AG643" s="47" t="s">
        <v>731</v>
      </c>
      <c r="AH643" s="47">
        <v>0</v>
      </c>
      <c r="AI643" s="47" t="s">
        <v>735</v>
      </c>
      <c r="AJ643">
        <v>1</v>
      </c>
      <c r="AK643">
        <v>100</v>
      </c>
    </row>
    <row r="644" spans="1:37" x14ac:dyDescent="0.2">
      <c r="A644" t="s">
        <v>1486</v>
      </c>
      <c r="B644" t="s">
        <v>361</v>
      </c>
      <c r="C644">
        <v>2016</v>
      </c>
      <c r="D644">
        <v>1</v>
      </c>
      <c r="E644" t="s">
        <v>1487</v>
      </c>
      <c r="F644" t="s">
        <v>362</v>
      </c>
      <c r="G644">
        <v>4.7715269999999999</v>
      </c>
      <c r="H644" s="20">
        <f>IF(AND(A644=A643,F644=F643,F644="Winter wheat"),G644*0.9*'BAU Management details'!$F$46,
IF(AND(OR(A644&lt;&gt;A643,F644&lt;&gt;F643),F644="Winter wheat"),G644*'BAU Management details'!$F$46,
IF(F644="Oilseed Rape",G644*'BAU Management details'!$F$47)))</f>
        <v>41.0351322</v>
      </c>
      <c r="I644" t="s">
        <v>348</v>
      </c>
      <c r="J644">
        <v>10</v>
      </c>
      <c r="K644" t="s">
        <v>362</v>
      </c>
      <c r="L644" t="s">
        <v>751</v>
      </c>
      <c r="M644">
        <v>1.7</v>
      </c>
      <c r="N644" t="s">
        <v>349</v>
      </c>
      <c r="O644" t="s">
        <v>350</v>
      </c>
      <c r="P644">
        <v>7.4</v>
      </c>
      <c r="Q644" t="s">
        <v>728</v>
      </c>
      <c r="R644" t="s">
        <v>351</v>
      </c>
      <c r="S644">
        <v>220</v>
      </c>
      <c r="T644" s="47" t="s">
        <v>729</v>
      </c>
      <c r="U644" t="s">
        <v>366</v>
      </c>
      <c r="V644" t="s">
        <v>364</v>
      </c>
      <c r="W644" s="47" t="s">
        <v>736</v>
      </c>
      <c r="X644" s="47">
        <v>0</v>
      </c>
      <c r="Y644" s="47" t="s">
        <v>730</v>
      </c>
      <c r="Z644" s="47">
        <v>0</v>
      </c>
      <c r="AA644" s="47" t="s">
        <v>731</v>
      </c>
      <c r="AB644" s="47">
        <v>0</v>
      </c>
      <c r="AC644" s="47" t="s">
        <v>731</v>
      </c>
      <c r="AD644" s="47" t="s">
        <v>731</v>
      </c>
      <c r="AE644" s="47" t="s">
        <v>731</v>
      </c>
      <c r="AF644" s="47">
        <v>0</v>
      </c>
      <c r="AG644" s="47">
        <v>0</v>
      </c>
      <c r="AH644" s="47">
        <v>0</v>
      </c>
      <c r="AI644" s="47" t="s">
        <v>729</v>
      </c>
      <c r="AJ644">
        <v>1</v>
      </c>
      <c r="AK644">
        <v>100</v>
      </c>
    </row>
    <row r="645" spans="1:37" x14ac:dyDescent="0.2">
      <c r="A645" t="s">
        <v>1486</v>
      </c>
      <c r="B645" t="s">
        <v>361</v>
      </c>
      <c r="C645">
        <v>2017</v>
      </c>
      <c r="D645">
        <v>2</v>
      </c>
      <c r="E645" t="s">
        <v>1488</v>
      </c>
      <c r="F645" t="s">
        <v>362</v>
      </c>
      <c r="G645">
        <v>4.7715269999999999</v>
      </c>
      <c r="H645" s="20">
        <f>IF(AND(A645=A644,F645=F644,F645="Winter wheat"),G645*0.9*'BAU Management details'!$F$46,
IF(AND(OR(A645&lt;&gt;A644,F645&lt;&gt;F644),F645="Winter wheat"),G645*'BAU Management details'!$F$46,
IF(F645="Oilseed Rape",G645*'BAU Management details'!$F$47)))</f>
        <v>36.931618980000003</v>
      </c>
      <c r="I645" t="s">
        <v>348</v>
      </c>
      <c r="J645">
        <v>10</v>
      </c>
      <c r="K645" t="s">
        <v>362</v>
      </c>
      <c r="L645" t="s">
        <v>751</v>
      </c>
      <c r="M645">
        <v>1.7</v>
      </c>
      <c r="N645" t="s">
        <v>349</v>
      </c>
      <c r="O645" t="s">
        <v>350</v>
      </c>
      <c r="P645">
        <v>7.4</v>
      </c>
      <c r="Q645" t="s">
        <v>728</v>
      </c>
      <c r="R645" t="s">
        <v>351</v>
      </c>
      <c r="S645">
        <v>220</v>
      </c>
      <c r="T645" s="47" t="s">
        <v>729</v>
      </c>
      <c r="U645" t="s">
        <v>733</v>
      </c>
      <c r="V645" t="s">
        <v>364</v>
      </c>
      <c r="W645" s="47" t="s">
        <v>736</v>
      </c>
      <c r="X645" s="47">
        <v>0</v>
      </c>
      <c r="Y645" s="47" t="s">
        <v>730</v>
      </c>
      <c r="Z645" s="47">
        <v>0</v>
      </c>
      <c r="AA645" s="47" t="s">
        <v>731</v>
      </c>
      <c r="AB645" s="47">
        <v>0</v>
      </c>
      <c r="AC645" s="47">
        <v>0</v>
      </c>
      <c r="AD645" s="47">
        <v>0</v>
      </c>
      <c r="AE645" s="47" t="s">
        <v>731</v>
      </c>
      <c r="AF645" s="47">
        <v>0</v>
      </c>
      <c r="AG645" s="47">
        <v>0</v>
      </c>
      <c r="AH645" s="47">
        <v>0</v>
      </c>
      <c r="AI645" s="47" t="s">
        <v>729</v>
      </c>
      <c r="AJ645">
        <v>1</v>
      </c>
      <c r="AK645">
        <v>100</v>
      </c>
    </row>
    <row r="646" spans="1:37" x14ac:dyDescent="0.2">
      <c r="A646" t="s">
        <v>1486</v>
      </c>
      <c r="B646" t="s">
        <v>361</v>
      </c>
      <c r="C646">
        <v>2018</v>
      </c>
      <c r="D646">
        <v>3</v>
      </c>
      <c r="E646" t="s">
        <v>1489</v>
      </c>
      <c r="F646" t="s">
        <v>365</v>
      </c>
      <c r="G646">
        <v>4.7715269999999999</v>
      </c>
      <c r="H646" s="20">
        <f>IF(AND(A646=A645,F646=F645,F646="Winter wheat"),G646*0.9*'BAU Management details'!$F$46,
IF(AND(OR(A646&lt;&gt;A645,F646&lt;&gt;F645),F646="Winter wheat"),G646*'BAU Management details'!$F$46,
IF(F646="Oilseed Rape",G646*'BAU Management details'!$F$47)))</f>
        <v>16.7003445</v>
      </c>
      <c r="I646" t="s">
        <v>348</v>
      </c>
      <c r="J646">
        <v>10</v>
      </c>
      <c r="K646" t="s">
        <v>532</v>
      </c>
      <c r="L646" t="s">
        <v>751</v>
      </c>
      <c r="M646">
        <v>1.7</v>
      </c>
      <c r="N646" t="s">
        <v>349</v>
      </c>
      <c r="O646" t="s">
        <v>350</v>
      </c>
      <c r="P646">
        <v>7.4</v>
      </c>
      <c r="Q646" t="s">
        <v>728</v>
      </c>
      <c r="R646" t="s">
        <v>351</v>
      </c>
      <c r="S646">
        <v>220</v>
      </c>
      <c r="T646" s="47" t="s">
        <v>735</v>
      </c>
      <c r="U646" t="s">
        <v>368</v>
      </c>
      <c r="V646" t="s">
        <v>364</v>
      </c>
      <c r="W646" s="47" t="s">
        <v>736</v>
      </c>
      <c r="X646" s="47">
        <v>0</v>
      </c>
      <c r="Y646" s="47" t="s">
        <v>736</v>
      </c>
      <c r="Z646" s="47">
        <v>0</v>
      </c>
      <c r="AA646" s="47" t="s">
        <v>736</v>
      </c>
      <c r="AB646" s="47">
        <v>0</v>
      </c>
      <c r="AC646" s="47">
        <v>0</v>
      </c>
      <c r="AD646" s="47">
        <v>0</v>
      </c>
      <c r="AE646" s="47" t="s">
        <v>731</v>
      </c>
      <c r="AF646" s="47">
        <v>0</v>
      </c>
      <c r="AG646" s="47" t="s">
        <v>731</v>
      </c>
      <c r="AH646" s="47">
        <v>0</v>
      </c>
      <c r="AI646" s="47" t="s">
        <v>735</v>
      </c>
      <c r="AJ646">
        <v>1</v>
      </c>
      <c r="AK646">
        <v>100</v>
      </c>
    </row>
    <row r="647" spans="1:37" x14ac:dyDescent="0.2">
      <c r="A647" t="s">
        <v>1486</v>
      </c>
      <c r="B647" t="s">
        <v>361</v>
      </c>
      <c r="C647">
        <v>2019</v>
      </c>
      <c r="D647">
        <v>4</v>
      </c>
      <c r="E647" t="s">
        <v>1490</v>
      </c>
      <c r="F647" t="s">
        <v>362</v>
      </c>
      <c r="G647">
        <v>4.7715269999999999</v>
      </c>
      <c r="H647" s="20">
        <f>IF(AND(A647=A646,F647=F646,F647="Winter wheat"),G647*0.9*'BAU Management details'!$F$46,
IF(AND(OR(A647&lt;&gt;A646,F647&lt;&gt;F646),F647="Winter wheat"),G647*'BAU Management details'!$F$46,
IF(F647="Oilseed Rape",G647*'BAU Management details'!$F$47)))</f>
        <v>41.0351322</v>
      </c>
      <c r="I647" t="s">
        <v>348</v>
      </c>
      <c r="J647">
        <v>10</v>
      </c>
      <c r="K647" t="s">
        <v>362</v>
      </c>
      <c r="L647" t="s">
        <v>751</v>
      </c>
      <c r="M647">
        <v>1.7</v>
      </c>
      <c r="N647" t="s">
        <v>349</v>
      </c>
      <c r="O647" t="s">
        <v>350</v>
      </c>
      <c r="P647">
        <v>7.4</v>
      </c>
      <c r="Q647" t="s">
        <v>728</v>
      </c>
      <c r="R647" t="s">
        <v>351</v>
      </c>
      <c r="S647">
        <v>220</v>
      </c>
      <c r="T647" s="47" t="s">
        <v>729</v>
      </c>
      <c r="U647" t="s">
        <v>366</v>
      </c>
      <c r="V647" t="s">
        <v>364</v>
      </c>
      <c r="W647" s="47" t="s">
        <v>736</v>
      </c>
      <c r="X647" s="47">
        <v>0</v>
      </c>
      <c r="Y647" s="47" t="s">
        <v>730</v>
      </c>
      <c r="Z647" s="47">
        <v>0</v>
      </c>
      <c r="AA647" s="47" t="s">
        <v>731</v>
      </c>
      <c r="AB647" s="47">
        <v>0</v>
      </c>
      <c r="AC647" s="47" t="s">
        <v>731</v>
      </c>
      <c r="AD647" s="47" t="s">
        <v>731</v>
      </c>
      <c r="AE647" s="47" t="s">
        <v>731</v>
      </c>
      <c r="AF647" s="47">
        <v>0</v>
      </c>
      <c r="AG647" s="47">
        <v>0</v>
      </c>
      <c r="AH647" s="47">
        <v>0</v>
      </c>
      <c r="AI647" s="47" t="s">
        <v>729</v>
      </c>
      <c r="AJ647">
        <v>1</v>
      </c>
      <c r="AK647">
        <v>100</v>
      </c>
    </row>
    <row r="648" spans="1:37" x14ac:dyDescent="0.2">
      <c r="A648" t="s">
        <v>1486</v>
      </c>
      <c r="B648" t="s">
        <v>361</v>
      </c>
      <c r="C648">
        <v>2020</v>
      </c>
      <c r="D648">
        <v>5</v>
      </c>
      <c r="E648" t="s">
        <v>1491</v>
      </c>
      <c r="F648" t="s">
        <v>362</v>
      </c>
      <c r="G648">
        <v>4.7715269999999999</v>
      </c>
      <c r="H648" s="20">
        <f>IF(AND(A648=A647,F648=F647,F648="Winter wheat"),G648*0.9*'BAU Management details'!$F$46,
IF(AND(OR(A648&lt;&gt;A647,F648&lt;&gt;F647),F648="Winter wheat"),G648*'BAU Management details'!$F$46,
IF(F648="Oilseed Rape",G648*'BAU Management details'!$F$47)))</f>
        <v>36.931618980000003</v>
      </c>
      <c r="I648" t="s">
        <v>348</v>
      </c>
      <c r="J648">
        <v>10</v>
      </c>
      <c r="K648" t="s">
        <v>362</v>
      </c>
      <c r="L648" t="s">
        <v>751</v>
      </c>
      <c r="M648">
        <v>1.7</v>
      </c>
      <c r="N648" t="s">
        <v>349</v>
      </c>
      <c r="O648" t="s">
        <v>350</v>
      </c>
      <c r="P648">
        <v>7.4</v>
      </c>
      <c r="Q648" t="s">
        <v>728</v>
      </c>
      <c r="R648" t="s">
        <v>351</v>
      </c>
      <c r="S648">
        <v>220</v>
      </c>
      <c r="T648" s="47" t="s">
        <v>729</v>
      </c>
      <c r="U648" t="s">
        <v>733</v>
      </c>
      <c r="V648" t="s">
        <v>364</v>
      </c>
      <c r="W648" s="47" t="s">
        <v>736</v>
      </c>
      <c r="X648" s="47">
        <v>0</v>
      </c>
      <c r="Y648" s="47" t="s">
        <v>730</v>
      </c>
      <c r="Z648" s="47">
        <v>0</v>
      </c>
      <c r="AA648" s="47" t="s">
        <v>731</v>
      </c>
      <c r="AB648" s="47">
        <v>0</v>
      </c>
      <c r="AC648" s="47">
        <v>0</v>
      </c>
      <c r="AD648" s="47">
        <v>0</v>
      </c>
      <c r="AE648" s="47" t="s">
        <v>731</v>
      </c>
      <c r="AF648" s="47">
        <v>0</v>
      </c>
      <c r="AG648" s="47">
        <v>0</v>
      </c>
      <c r="AH648" s="47">
        <v>0</v>
      </c>
      <c r="AI648" s="47" t="s">
        <v>729</v>
      </c>
      <c r="AJ648">
        <v>1</v>
      </c>
      <c r="AK648">
        <v>100</v>
      </c>
    </row>
    <row r="649" spans="1:37" x14ac:dyDescent="0.2">
      <c r="A649" t="s">
        <v>1486</v>
      </c>
      <c r="B649" t="s">
        <v>361</v>
      </c>
      <c r="C649">
        <v>2021</v>
      </c>
      <c r="D649">
        <v>6</v>
      </c>
      <c r="E649" t="s">
        <v>1492</v>
      </c>
      <c r="F649" t="s">
        <v>365</v>
      </c>
      <c r="G649">
        <v>4.7715269999999999</v>
      </c>
      <c r="H649" s="20">
        <f>IF(AND(A649=A648,F649=F648,F649="Winter wheat"),G649*0.9*'BAU Management details'!$F$46,
IF(AND(OR(A649&lt;&gt;A648,F649&lt;&gt;F648),F649="Winter wheat"),G649*'BAU Management details'!$F$46,
IF(F649="Oilseed Rape",G649*'BAU Management details'!$F$47)))</f>
        <v>16.7003445</v>
      </c>
      <c r="I649" t="s">
        <v>348</v>
      </c>
      <c r="J649">
        <v>10</v>
      </c>
      <c r="K649" t="s">
        <v>532</v>
      </c>
      <c r="L649" t="s">
        <v>751</v>
      </c>
      <c r="M649">
        <v>1.7</v>
      </c>
      <c r="N649" t="s">
        <v>349</v>
      </c>
      <c r="O649" t="s">
        <v>350</v>
      </c>
      <c r="P649">
        <v>7.4</v>
      </c>
      <c r="Q649" t="s">
        <v>728</v>
      </c>
      <c r="R649" t="s">
        <v>351</v>
      </c>
      <c r="S649">
        <v>220</v>
      </c>
      <c r="T649" s="47" t="s">
        <v>735</v>
      </c>
      <c r="U649" t="s">
        <v>368</v>
      </c>
      <c r="V649" t="s">
        <v>364</v>
      </c>
      <c r="W649" s="47" t="s">
        <v>736</v>
      </c>
      <c r="X649" s="47">
        <v>0</v>
      </c>
      <c r="Y649" s="47" t="s">
        <v>736</v>
      </c>
      <c r="Z649" s="47">
        <v>0</v>
      </c>
      <c r="AA649" s="47" t="s">
        <v>736</v>
      </c>
      <c r="AB649" s="47">
        <v>0</v>
      </c>
      <c r="AC649" s="47">
        <v>0</v>
      </c>
      <c r="AD649" s="47">
        <v>0</v>
      </c>
      <c r="AE649" s="47" t="s">
        <v>731</v>
      </c>
      <c r="AF649" s="47">
        <v>0</v>
      </c>
      <c r="AG649" s="47" t="s">
        <v>731</v>
      </c>
      <c r="AH649" s="47">
        <v>0</v>
      </c>
      <c r="AI649" s="47" t="s">
        <v>735</v>
      </c>
      <c r="AJ649">
        <v>1</v>
      </c>
      <c r="AK649">
        <v>100</v>
      </c>
    </row>
    <row r="650" spans="1:37" x14ac:dyDescent="0.2">
      <c r="A650" t="s">
        <v>1493</v>
      </c>
      <c r="B650" t="s">
        <v>361</v>
      </c>
      <c r="C650">
        <v>2016</v>
      </c>
      <c r="D650">
        <v>1</v>
      </c>
      <c r="E650" t="s">
        <v>1494</v>
      </c>
      <c r="F650" t="s">
        <v>362</v>
      </c>
      <c r="G650">
        <v>8.2080380000000002</v>
      </c>
      <c r="H650" s="20">
        <f>IF(AND(A650=A649,F650=F649,F650="Winter wheat"),G650*0.9*'BAU Management details'!$F$46,
IF(AND(OR(A650&lt;&gt;A649,F650&lt;&gt;F649),F650="Winter wheat"),G650*'BAU Management details'!$F$46,
IF(F650="Oilseed Rape",G650*'BAU Management details'!$F$47)))</f>
        <v>70.589126800000003</v>
      </c>
      <c r="I650" t="s">
        <v>348</v>
      </c>
      <c r="J650">
        <v>10</v>
      </c>
      <c r="K650" t="s">
        <v>362</v>
      </c>
      <c r="L650" t="s">
        <v>751</v>
      </c>
      <c r="M650">
        <v>3.7</v>
      </c>
      <c r="N650" t="s">
        <v>349</v>
      </c>
      <c r="O650" t="s">
        <v>350</v>
      </c>
      <c r="P650">
        <v>7</v>
      </c>
      <c r="Q650" t="s">
        <v>743</v>
      </c>
      <c r="R650" t="s">
        <v>351</v>
      </c>
      <c r="S650">
        <v>220</v>
      </c>
      <c r="T650" s="47" t="s">
        <v>729</v>
      </c>
      <c r="U650" t="s">
        <v>366</v>
      </c>
      <c r="V650" t="s">
        <v>364</v>
      </c>
      <c r="W650" s="47" t="s">
        <v>736</v>
      </c>
      <c r="X650" s="47">
        <v>0</v>
      </c>
      <c r="Y650" s="47" t="s">
        <v>730</v>
      </c>
      <c r="Z650" s="47">
        <v>0</v>
      </c>
      <c r="AA650" s="47" t="s">
        <v>731</v>
      </c>
      <c r="AB650" s="47">
        <v>0</v>
      </c>
      <c r="AC650" s="47" t="s">
        <v>731</v>
      </c>
      <c r="AD650" s="47" t="s">
        <v>731</v>
      </c>
      <c r="AE650" s="47" t="s">
        <v>731</v>
      </c>
      <c r="AF650" s="47">
        <v>0</v>
      </c>
      <c r="AG650" s="47">
        <v>0</v>
      </c>
      <c r="AH650" s="47">
        <v>0</v>
      </c>
      <c r="AI650" s="47" t="s">
        <v>729</v>
      </c>
      <c r="AJ650">
        <v>1</v>
      </c>
      <c r="AK650">
        <v>100</v>
      </c>
    </row>
    <row r="651" spans="1:37" x14ac:dyDescent="0.2">
      <c r="A651" t="s">
        <v>1493</v>
      </c>
      <c r="B651" t="s">
        <v>361</v>
      </c>
      <c r="C651">
        <v>2017</v>
      </c>
      <c r="D651">
        <v>2</v>
      </c>
      <c r="E651" t="s">
        <v>1495</v>
      </c>
      <c r="F651" t="s">
        <v>362</v>
      </c>
      <c r="G651">
        <v>8.2080380000000002</v>
      </c>
      <c r="H651" s="20">
        <f>IF(AND(A651=A650,F651=F650,F651="Winter wheat"),G651*0.9*'BAU Management details'!$F$46,
IF(AND(OR(A651&lt;&gt;A650,F651&lt;&gt;F650),F651="Winter wheat"),G651*'BAU Management details'!$F$46,
IF(F651="Oilseed Rape",G651*'BAU Management details'!$F$47)))</f>
        <v>63.530214119999997</v>
      </c>
      <c r="I651" t="s">
        <v>348</v>
      </c>
      <c r="J651">
        <v>10</v>
      </c>
      <c r="K651" t="s">
        <v>362</v>
      </c>
      <c r="L651" t="s">
        <v>751</v>
      </c>
      <c r="M651">
        <v>3.7</v>
      </c>
      <c r="N651" t="s">
        <v>349</v>
      </c>
      <c r="O651" t="s">
        <v>350</v>
      </c>
      <c r="P651">
        <v>7</v>
      </c>
      <c r="Q651" t="s">
        <v>743</v>
      </c>
      <c r="R651" t="s">
        <v>351</v>
      </c>
      <c r="S651">
        <v>220</v>
      </c>
      <c r="T651" s="47" t="s">
        <v>729</v>
      </c>
      <c r="U651" t="s">
        <v>733</v>
      </c>
      <c r="V651" t="s">
        <v>364</v>
      </c>
      <c r="W651" s="47" t="s">
        <v>736</v>
      </c>
      <c r="X651" s="47">
        <v>0</v>
      </c>
      <c r="Y651" s="47" t="s">
        <v>730</v>
      </c>
      <c r="Z651" s="47">
        <v>0</v>
      </c>
      <c r="AA651" s="47" t="s">
        <v>731</v>
      </c>
      <c r="AB651" s="47">
        <v>0</v>
      </c>
      <c r="AC651" s="47">
        <v>0</v>
      </c>
      <c r="AD651" s="47">
        <v>0</v>
      </c>
      <c r="AE651" s="47" t="s">
        <v>731</v>
      </c>
      <c r="AF651" s="47">
        <v>0</v>
      </c>
      <c r="AG651" s="47">
        <v>0</v>
      </c>
      <c r="AH651" s="47">
        <v>0</v>
      </c>
      <c r="AI651" s="47" t="s">
        <v>729</v>
      </c>
      <c r="AJ651">
        <v>1</v>
      </c>
      <c r="AK651">
        <v>100</v>
      </c>
    </row>
    <row r="652" spans="1:37" x14ac:dyDescent="0.2">
      <c r="A652" t="s">
        <v>1493</v>
      </c>
      <c r="B652" t="s">
        <v>361</v>
      </c>
      <c r="C652">
        <v>2018</v>
      </c>
      <c r="D652">
        <v>3</v>
      </c>
      <c r="E652" t="s">
        <v>1496</v>
      </c>
      <c r="F652" t="s">
        <v>365</v>
      </c>
      <c r="G652">
        <v>8.2080380000000002</v>
      </c>
      <c r="H652" s="20">
        <f>IF(AND(A652=A651,F652=F651,F652="Winter wheat"),G652*0.9*'BAU Management details'!$F$46,
IF(AND(OR(A652&lt;&gt;A651,F652&lt;&gt;F651),F652="Winter wheat"),G652*'BAU Management details'!$F$46,
IF(F652="Oilseed Rape",G652*'BAU Management details'!$F$47)))</f>
        <v>28.728133</v>
      </c>
      <c r="I652" t="s">
        <v>348</v>
      </c>
      <c r="J652">
        <v>10</v>
      </c>
      <c r="K652" t="s">
        <v>532</v>
      </c>
      <c r="L652" t="s">
        <v>751</v>
      </c>
      <c r="M652">
        <v>3.7</v>
      </c>
      <c r="N652" t="s">
        <v>349</v>
      </c>
      <c r="O652" t="s">
        <v>350</v>
      </c>
      <c r="P652">
        <v>7</v>
      </c>
      <c r="Q652" t="s">
        <v>743</v>
      </c>
      <c r="R652" t="s">
        <v>351</v>
      </c>
      <c r="S652">
        <v>220</v>
      </c>
      <c r="T652" s="47" t="s">
        <v>735</v>
      </c>
      <c r="U652" t="s">
        <v>368</v>
      </c>
      <c r="V652" t="s">
        <v>364</v>
      </c>
      <c r="W652" s="47" t="s">
        <v>736</v>
      </c>
      <c r="X652" s="47">
        <v>0</v>
      </c>
      <c r="Y652" s="47" t="s">
        <v>736</v>
      </c>
      <c r="Z652" s="47">
        <v>0</v>
      </c>
      <c r="AA652" s="47" t="s">
        <v>736</v>
      </c>
      <c r="AB652" s="47">
        <v>0</v>
      </c>
      <c r="AC652" s="47">
        <v>0</v>
      </c>
      <c r="AD652" s="47">
        <v>0</v>
      </c>
      <c r="AE652" s="47" t="s">
        <v>731</v>
      </c>
      <c r="AF652" s="47">
        <v>0</v>
      </c>
      <c r="AG652" s="47" t="s">
        <v>731</v>
      </c>
      <c r="AH652" s="47">
        <v>0</v>
      </c>
      <c r="AI652" s="47" t="s">
        <v>735</v>
      </c>
      <c r="AJ652">
        <v>1</v>
      </c>
      <c r="AK652">
        <v>100</v>
      </c>
    </row>
    <row r="653" spans="1:37" x14ac:dyDescent="0.2">
      <c r="A653" t="s">
        <v>1493</v>
      </c>
      <c r="B653" t="s">
        <v>361</v>
      </c>
      <c r="C653">
        <v>2019</v>
      </c>
      <c r="D653">
        <v>4</v>
      </c>
      <c r="E653" t="s">
        <v>1497</v>
      </c>
      <c r="F653" t="s">
        <v>362</v>
      </c>
      <c r="G653">
        <v>8.2080380000000002</v>
      </c>
      <c r="H653" s="20">
        <f>IF(AND(A653=A652,F653=F652,F653="Winter wheat"),G653*0.9*'BAU Management details'!$F$46,
IF(AND(OR(A653&lt;&gt;A652,F653&lt;&gt;F652),F653="Winter wheat"),G653*'BAU Management details'!$F$46,
IF(F653="Oilseed Rape",G653*'BAU Management details'!$F$47)))</f>
        <v>70.589126800000003</v>
      </c>
      <c r="I653" t="s">
        <v>348</v>
      </c>
      <c r="J653">
        <v>10</v>
      </c>
      <c r="K653" t="s">
        <v>362</v>
      </c>
      <c r="L653" t="s">
        <v>751</v>
      </c>
      <c r="M653">
        <v>3.7</v>
      </c>
      <c r="N653" t="s">
        <v>349</v>
      </c>
      <c r="O653" t="s">
        <v>350</v>
      </c>
      <c r="P653">
        <v>7</v>
      </c>
      <c r="Q653" t="s">
        <v>743</v>
      </c>
      <c r="R653" t="s">
        <v>351</v>
      </c>
      <c r="S653">
        <v>220</v>
      </c>
      <c r="T653" s="47" t="s">
        <v>729</v>
      </c>
      <c r="U653" t="s">
        <v>366</v>
      </c>
      <c r="V653" t="s">
        <v>364</v>
      </c>
      <c r="W653" s="47" t="s">
        <v>736</v>
      </c>
      <c r="X653" s="47">
        <v>0</v>
      </c>
      <c r="Y653" s="47" t="s">
        <v>730</v>
      </c>
      <c r="Z653" s="47">
        <v>0</v>
      </c>
      <c r="AA653" s="47" t="s">
        <v>731</v>
      </c>
      <c r="AB653" s="47">
        <v>0</v>
      </c>
      <c r="AC653" s="47" t="s">
        <v>731</v>
      </c>
      <c r="AD653" s="47" t="s">
        <v>731</v>
      </c>
      <c r="AE653" s="47" t="s">
        <v>731</v>
      </c>
      <c r="AF653" s="47">
        <v>0</v>
      </c>
      <c r="AG653" s="47">
        <v>0</v>
      </c>
      <c r="AH653" s="47">
        <v>0</v>
      </c>
      <c r="AI653" s="47" t="s">
        <v>729</v>
      </c>
      <c r="AJ653">
        <v>1</v>
      </c>
      <c r="AK653">
        <v>100</v>
      </c>
    </row>
    <row r="654" spans="1:37" x14ac:dyDescent="0.2">
      <c r="A654" t="s">
        <v>1493</v>
      </c>
      <c r="B654" t="s">
        <v>361</v>
      </c>
      <c r="C654">
        <v>2020</v>
      </c>
      <c r="D654">
        <v>5</v>
      </c>
      <c r="E654" t="s">
        <v>1498</v>
      </c>
      <c r="F654" t="s">
        <v>362</v>
      </c>
      <c r="G654">
        <v>8.2080380000000002</v>
      </c>
      <c r="H654" s="20">
        <f>IF(AND(A654=A653,F654=F653,F654="Winter wheat"),G654*0.9*'BAU Management details'!$F$46,
IF(AND(OR(A654&lt;&gt;A653,F654&lt;&gt;F653),F654="Winter wheat"),G654*'BAU Management details'!$F$46,
IF(F654="Oilseed Rape",G654*'BAU Management details'!$F$47)))</f>
        <v>63.530214119999997</v>
      </c>
      <c r="I654" t="s">
        <v>348</v>
      </c>
      <c r="J654">
        <v>10</v>
      </c>
      <c r="K654" t="s">
        <v>362</v>
      </c>
      <c r="L654" t="s">
        <v>751</v>
      </c>
      <c r="M654">
        <v>3.7</v>
      </c>
      <c r="N654" t="s">
        <v>349</v>
      </c>
      <c r="O654" t="s">
        <v>350</v>
      </c>
      <c r="P654">
        <v>7</v>
      </c>
      <c r="Q654" t="s">
        <v>743</v>
      </c>
      <c r="R654" t="s">
        <v>351</v>
      </c>
      <c r="S654">
        <v>220</v>
      </c>
      <c r="T654" s="47" t="s">
        <v>729</v>
      </c>
      <c r="U654" t="s">
        <v>733</v>
      </c>
      <c r="V654" t="s">
        <v>364</v>
      </c>
      <c r="W654" s="47" t="s">
        <v>736</v>
      </c>
      <c r="X654" s="47">
        <v>0</v>
      </c>
      <c r="Y654" s="47" t="s">
        <v>730</v>
      </c>
      <c r="Z654" s="47">
        <v>0</v>
      </c>
      <c r="AA654" s="47" t="s">
        <v>731</v>
      </c>
      <c r="AB654" s="47">
        <v>0</v>
      </c>
      <c r="AC654" s="47">
        <v>0</v>
      </c>
      <c r="AD654" s="47">
        <v>0</v>
      </c>
      <c r="AE654" s="47" t="s">
        <v>731</v>
      </c>
      <c r="AF654" s="47">
        <v>0</v>
      </c>
      <c r="AG654" s="47">
        <v>0</v>
      </c>
      <c r="AH654" s="47">
        <v>0</v>
      </c>
      <c r="AI654" s="47" t="s">
        <v>729</v>
      </c>
      <c r="AJ654">
        <v>1</v>
      </c>
      <c r="AK654">
        <v>100</v>
      </c>
    </row>
    <row r="655" spans="1:37" x14ac:dyDescent="0.2">
      <c r="A655" t="s">
        <v>1493</v>
      </c>
      <c r="B655" t="s">
        <v>361</v>
      </c>
      <c r="C655">
        <v>2021</v>
      </c>
      <c r="D655">
        <v>6</v>
      </c>
      <c r="E655" t="s">
        <v>1499</v>
      </c>
      <c r="F655" t="s">
        <v>365</v>
      </c>
      <c r="G655">
        <v>8.2080380000000002</v>
      </c>
      <c r="H655" s="20">
        <f>IF(AND(A655=A654,F655=F654,F655="Winter wheat"),G655*0.9*'BAU Management details'!$F$46,
IF(AND(OR(A655&lt;&gt;A654,F655&lt;&gt;F654),F655="Winter wheat"),G655*'BAU Management details'!$F$46,
IF(F655="Oilseed Rape",G655*'BAU Management details'!$F$47)))</f>
        <v>28.728133</v>
      </c>
      <c r="I655" t="s">
        <v>348</v>
      </c>
      <c r="J655">
        <v>10</v>
      </c>
      <c r="K655" t="s">
        <v>532</v>
      </c>
      <c r="L655" t="s">
        <v>751</v>
      </c>
      <c r="M655">
        <v>3.7</v>
      </c>
      <c r="N655" t="s">
        <v>349</v>
      </c>
      <c r="O655" t="s">
        <v>350</v>
      </c>
      <c r="P655">
        <v>7</v>
      </c>
      <c r="Q655" t="s">
        <v>743</v>
      </c>
      <c r="R655" t="s">
        <v>351</v>
      </c>
      <c r="S655">
        <v>220</v>
      </c>
      <c r="T655" s="47" t="s">
        <v>735</v>
      </c>
      <c r="U655" t="s">
        <v>368</v>
      </c>
      <c r="V655" t="s">
        <v>364</v>
      </c>
      <c r="W655" s="47" t="s">
        <v>736</v>
      </c>
      <c r="X655" s="47">
        <v>0</v>
      </c>
      <c r="Y655" s="47" t="s">
        <v>736</v>
      </c>
      <c r="Z655" s="47">
        <v>0</v>
      </c>
      <c r="AA655" s="47" t="s">
        <v>736</v>
      </c>
      <c r="AB655" s="47">
        <v>0</v>
      </c>
      <c r="AC655" s="47">
        <v>0</v>
      </c>
      <c r="AD655" s="47">
        <v>0</v>
      </c>
      <c r="AE655" s="47" t="s">
        <v>731</v>
      </c>
      <c r="AF655" s="47">
        <v>0</v>
      </c>
      <c r="AG655" s="47" t="s">
        <v>731</v>
      </c>
      <c r="AH655" s="47">
        <v>0</v>
      </c>
      <c r="AI655" s="47" t="s">
        <v>735</v>
      </c>
      <c r="AJ655">
        <v>1</v>
      </c>
      <c r="AK655">
        <v>100</v>
      </c>
    </row>
    <row r="656" spans="1:37" x14ac:dyDescent="0.2">
      <c r="A656" t="s">
        <v>1500</v>
      </c>
      <c r="B656" t="s">
        <v>361</v>
      </c>
      <c r="C656">
        <v>2016</v>
      </c>
      <c r="D656">
        <v>1</v>
      </c>
      <c r="E656" t="s">
        <v>1501</v>
      </c>
      <c r="F656" t="s">
        <v>362</v>
      </c>
      <c r="G656">
        <v>8.1192820000000001</v>
      </c>
      <c r="H656" s="20">
        <f>IF(AND(A656=A655,F656=F655,F656="Winter wheat"),G656*0.9*'BAU Management details'!$F$46,
IF(AND(OR(A656&lt;&gt;A655,F656&lt;&gt;F655),F656="Winter wheat"),G656*'BAU Management details'!$F$46,
IF(F656="Oilseed Rape",G656*'BAU Management details'!$F$47)))</f>
        <v>69.825825199999997</v>
      </c>
      <c r="I656" t="s">
        <v>348</v>
      </c>
      <c r="J656">
        <v>10</v>
      </c>
      <c r="K656" t="s">
        <v>362</v>
      </c>
      <c r="L656" t="s">
        <v>751</v>
      </c>
      <c r="M656">
        <v>3.7</v>
      </c>
      <c r="N656" t="s">
        <v>349</v>
      </c>
      <c r="O656" t="s">
        <v>350</v>
      </c>
      <c r="P656">
        <v>7</v>
      </c>
      <c r="Q656" t="s">
        <v>743</v>
      </c>
      <c r="R656" t="s">
        <v>351</v>
      </c>
      <c r="S656">
        <v>220</v>
      </c>
      <c r="T656" s="47" t="s">
        <v>729</v>
      </c>
      <c r="U656" t="s">
        <v>366</v>
      </c>
      <c r="V656" t="s">
        <v>364</v>
      </c>
      <c r="W656" s="47" t="s">
        <v>736</v>
      </c>
      <c r="X656" s="47">
        <v>0</v>
      </c>
      <c r="Y656" s="47" t="s">
        <v>730</v>
      </c>
      <c r="Z656" s="47">
        <v>0</v>
      </c>
      <c r="AA656" s="47" t="s">
        <v>731</v>
      </c>
      <c r="AB656" s="47">
        <v>0</v>
      </c>
      <c r="AC656" s="47" t="s">
        <v>731</v>
      </c>
      <c r="AD656" s="47" t="s">
        <v>731</v>
      </c>
      <c r="AE656" s="47" t="s">
        <v>731</v>
      </c>
      <c r="AF656" s="47">
        <v>0</v>
      </c>
      <c r="AG656" s="47">
        <v>0</v>
      </c>
      <c r="AH656" s="47">
        <v>0</v>
      </c>
      <c r="AI656" s="47" t="s">
        <v>729</v>
      </c>
      <c r="AJ656">
        <v>1</v>
      </c>
      <c r="AK656">
        <v>100</v>
      </c>
    </row>
    <row r="657" spans="1:37" x14ac:dyDescent="0.2">
      <c r="A657" t="s">
        <v>1500</v>
      </c>
      <c r="B657" t="s">
        <v>361</v>
      </c>
      <c r="C657">
        <v>2017</v>
      </c>
      <c r="D657">
        <v>2</v>
      </c>
      <c r="E657" t="s">
        <v>1502</v>
      </c>
      <c r="F657" t="s">
        <v>362</v>
      </c>
      <c r="G657">
        <v>8.1192820000000001</v>
      </c>
      <c r="H657" s="20">
        <f>IF(AND(A657=A656,F657=F656,F657="Winter wheat"),G657*0.9*'BAU Management details'!$F$46,
IF(AND(OR(A657&lt;&gt;A656,F657&lt;&gt;F656),F657="Winter wheat"),G657*'BAU Management details'!$F$46,
IF(F657="Oilseed Rape",G657*'BAU Management details'!$F$47)))</f>
        <v>62.843242680000003</v>
      </c>
      <c r="I657" t="s">
        <v>348</v>
      </c>
      <c r="J657">
        <v>10</v>
      </c>
      <c r="K657" t="s">
        <v>362</v>
      </c>
      <c r="L657" t="s">
        <v>751</v>
      </c>
      <c r="M657">
        <v>3.7</v>
      </c>
      <c r="N657" t="s">
        <v>349</v>
      </c>
      <c r="O657" t="s">
        <v>350</v>
      </c>
      <c r="P657">
        <v>7</v>
      </c>
      <c r="Q657" t="s">
        <v>743</v>
      </c>
      <c r="R657" t="s">
        <v>351</v>
      </c>
      <c r="S657">
        <v>220</v>
      </c>
      <c r="T657" s="47" t="s">
        <v>729</v>
      </c>
      <c r="U657" t="s">
        <v>733</v>
      </c>
      <c r="V657" t="s">
        <v>364</v>
      </c>
      <c r="W657" s="47" t="s">
        <v>736</v>
      </c>
      <c r="X657" s="47">
        <v>0</v>
      </c>
      <c r="Y657" s="47" t="s">
        <v>730</v>
      </c>
      <c r="Z657" s="47">
        <v>0</v>
      </c>
      <c r="AA657" s="47" t="s">
        <v>731</v>
      </c>
      <c r="AB657" s="47">
        <v>0</v>
      </c>
      <c r="AC657" s="47">
        <v>0</v>
      </c>
      <c r="AD657" s="47">
        <v>0</v>
      </c>
      <c r="AE657" s="47" t="s">
        <v>731</v>
      </c>
      <c r="AF657" s="47">
        <v>0</v>
      </c>
      <c r="AG657" s="47">
        <v>0</v>
      </c>
      <c r="AH657" s="47">
        <v>0</v>
      </c>
      <c r="AI657" s="47" t="s">
        <v>729</v>
      </c>
      <c r="AJ657">
        <v>1</v>
      </c>
      <c r="AK657">
        <v>100</v>
      </c>
    </row>
    <row r="658" spans="1:37" x14ac:dyDescent="0.2">
      <c r="A658" t="s">
        <v>1500</v>
      </c>
      <c r="B658" t="s">
        <v>361</v>
      </c>
      <c r="C658">
        <v>2018</v>
      </c>
      <c r="D658">
        <v>3</v>
      </c>
      <c r="E658" t="s">
        <v>1503</v>
      </c>
      <c r="F658" t="s">
        <v>365</v>
      </c>
      <c r="G658">
        <v>8.1192820000000001</v>
      </c>
      <c r="H658" s="20">
        <f>IF(AND(A658=A657,F658=F657,F658="Winter wheat"),G658*0.9*'BAU Management details'!$F$46,
IF(AND(OR(A658&lt;&gt;A657,F658&lt;&gt;F657),F658="Winter wheat"),G658*'BAU Management details'!$F$46,
IF(F658="Oilseed Rape",G658*'BAU Management details'!$F$47)))</f>
        <v>28.417487000000001</v>
      </c>
      <c r="I658" t="s">
        <v>348</v>
      </c>
      <c r="J658">
        <v>10</v>
      </c>
      <c r="K658" t="s">
        <v>532</v>
      </c>
      <c r="L658" t="s">
        <v>751</v>
      </c>
      <c r="M658">
        <v>3.7</v>
      </c>
      <c r="N658" t="s">
        <v>349</v>
      </c>
      <c r="O658" t="s">
        <v>350</v>
      </c>
      <c r="P658">
        <v>7</v>
      </c>
      <c r="Q658" t="s">
        <v>743</v>
      </c>
      <c r="R658" t="s">
        <v>351</v>
      </c>
      <c r="S658">
        <v>220</v>
      </c>
      <c r="T658" s="47" t="s">
        <v>735</v>
      </c>
      <c r="U658" t="s">
        <v>368</v>
      </c>
      <c r="V658" t="s">
        <v>364</v>
      </c>
      <c r="W658" s="47" t="s">
        <v>736</v>
      </c>
      <c r="X658" s="47">
        <v>0</v>
      </c>
      <c r="Y658" s="47" t="s">
        <v>736</v>
      </c>
      <c r="Z658" s="47">
        <v>0</v>
      </c>
      <c r="AA658" s="47" t="s">
        <v>736</v>
      </c>
      <c r="AB658" s="47">
        <v>0</v>
      </c>
      <c r="AC658" s="47">
        <v>0</v>
      </c>
      <c r="AD658" s="47">
        <v>0</v>
      </c>
      <c r="AE658" s="47" t="s">
        <v>731</v>
      </c>
      <c r="AF658" s="47">
        <v>0</v>
      </c>
      <c r="AG658" s="47" t="s">
        <v>731</v>
      </c>
      <c r="AH658" s="47">
        <v>0</v>
      </c>
      <c r="AI658" s="47" t="s">
        <v>735</v>
      </c>
      <c r="AJ658">
        <v>1</v>
      </c>
      <c r="AK658">
        <v>100</v>
      </c>
    </row>
    <row r="659" spans="1:37" x14ac:dyDescent="0.2">
      <c r="A659" t="s">
        <v>1500</v>
      </c>
      <c r="B659" t="s">
        <v>361</v>
      </c>
      <c r="C659">
        <v>2019</v>
      </c>
      <c r="D659">
        <v>4</v>
      </c>
      <c r="E659" t="s">
        <v>1504</v>
      </c>
      <c r="F659" t="s">
        <v>362</v>
      </c>
      <c r="G659">
        <v>8.1192820000000001</v>
      </c>
      <c r="H659" s="20">
        <f>IF(AND(A659=A658,F659=F658,F659="Winter wheat"),G659*0.9*'BAU Management details'!$F$46,
IF(AND(OR(A659&lt;&gt;A658,F659&lt;&gt;F658),F659="Winter wheat"),G659*'BAU Management details'!$F$46,
IF(F659="Oilseed Rape",G659*'BAU Management details'!$F$47)))</f>
        <v>69.825825199999997</v>
      </c>
      <c r="I659" t="s">
        <v>348</v>
      </c>
      <c r="J659">
        <v>10</v>
      </c>
      <c r="K659" t="s">
        <v>362</v>
      </c>
      <c r="L659" t="s">
        <v>751</v>
      </c>
      <c r="M659">
        <v>3.7</v>
      </c>
      <c r="N659" t="s">
        <v>349</v>
      </c>
      <c r="O659" t="s">
        <v>350</v>
      </c>
      <c r="P659">
        <v>7</v>
      </c>
      <c r="Q659" t="s">
        <v>743</v>
      </c>
      <c r="R659" t="s">
        <v>351</v>
      </c>
      <c r="S659">
        <v>220</v>
      </c>
      <c r="T659" s="47" t="s">
        <v>729</v>
      </c>
      <c r="U659" t="s">
        <v>366</v>
      </c>
      <c r="V659" t="s">
        <v>364</v>
      </c>
      <c r="W659" s="47" t="s">
        <v>736</v>
      </c>
      <c r="X659" s="47">
        <v>0</v>
      </c>
      <c r="Y659" s="47" t="s">
        <v>730</v>
      </c>
      <c r="Z659" s="47">
        <v>0</v>
      </c>
      <c r="AA659" s="47" t="s">
        <v>731</v>
      </c>
      <c r="AB659" s="47">
        <v>0</v>
      </c>
      <c r="AC659" s="47" t="s">
        <v>731</v>
      </c>
      <c r="AD659" s="47" t="s">
        <v>731</v>
      </c>
      <c r="AE659" s="47" t="s">
        <v>731</v>
      </c>
      <c r="AF659" s="47">
        <v>0</v>
      </c>
      <c r="AG659" s="47">
        <v>0</v>
      </c>
      <c r="AH659" s="47">
        <v>0</v>
      </c>
      <c r="AI659" s="47" t="s">
        <v>729</v>
      </c>
      <c r="AJ659">
        <v>1</v>
      </c>
      <c r="AK659">
        <v>100</v>
      </c>
    </row>
    <row r="660" spans="1:37" x14ac:dyDescent="0.2">
      <c r="A660" t="s">
        <v>1500</v>
      </c>
      <c r="B660" t="s">
        <v>361</v>
      </c>
      <c r="C660">
        <v>2020</v>
      </c>
      <c r="D660">
        <v>5</v>
      </c>
      <c r="E660" t="s">
        <v>1505</v>
      </c>
      <c r="F660" t="s">
        <v>362</v>
      </c>
      <c r="G660">
        <v>8.1192820000000001</v>
      </c>
      <c r="H660" s="20">
        <f>IF(AND(A660=A659,F660=F659,F660="Winter wheat"),G660*0.9*'BAU Management details'!$F$46,
IF(AND(OR(A660&lt;&gt;A659,F660&lt;&gt;F659),F660="Winter wheat"),G660*'BAU Management details'!$F$46,
IF(F660="Oilseed Rape",G660*'BAU Management details'!$F$47)))</f>
        <v>62.843242680000003</v>
      </c>
      <c r="I660" t="s">
        <v>348</v>
      </c>
      <c r="J660">
        <v>10</v>
      </c>
      <c r="K660" t="s">
        <v>362</v>
      </c>
      <c r="L660" t="s">
        <v>751</v>
      </c>
      <c r="M660">
        <v>3.7</v>
      </c>
      <c r="N660" t="s">
        <v>349</v>
      </c>
      <c r="O660" t="s">
        <v>350</v>
      </c>
      <c r="P660">
        <v>7</v>
      </c>
      <c r="Q660" t="s">
        <v>743</v>
      </c>
      <c r="R660" t="s">
        <v>351</v>
      </c>
      <c r="S660">
        <v>220</v>
      </c>
      <c r="T660" s="47" t="s">
        <v>729</v>
      </c>
      <c r="U660" t="s">
        <v>733</v>
      </c>
      <c r="V660" t="s">
        <v>364</v>
      </c>
      <c r="W660" s="47" t="s">
        <v>736</v>
      </c>
      <c r="X660" s="47">
        <v>0</v>
      </c>
      <c r="Y660" s="47" t="s">
        <v>730</v>
      </c>
      <c r="Z660" s="47">
        <v>0</v>
      </c>
      <c r="AA660" s="47" t="s">
        <v>731</v>
      </c>
      <c r="AB660" s="47">
        <v>0</v>
      </c>
      <c r="AC660" s="47">
        <v>0</v>
      </c>
      <c r="AD660" s="47">
        <v>0</v>
      </c>
      <c r="AE660" s="47" t="s">
        <v>731</v>
      </c>
      <c r="AF660" s="47">
        <v>0</v>
      </c>
      <c r="AG660" s="47">
        <v>0</v>
      </c>
      <c r="AH660" s="47">
        <v>0</v>
      </c>
      <c r="AI660" s="47" t="s">
        <v>729</v>
      </c>
      <c r="AJ660">
        <v>1</v>
      </c>
      <c r="AK660">
        <v>100</v>
      </c>
    </row>
    <row r="661" spans="1:37" x14ac:dyDescent="0.2">
      <c r="A661" t="s">
        <v>1500</v>
      </c>
      <c r="B661" t="s">
        <v>361</v>
      </c>
      <c r="C661">
        <v>2021</v>
      </c>
      <c r="D661">
        <v>6</v>
      </c>
      <c r="E661" t="s">
        <v>1506</v>
      </c>
      <c r="F661" t="s">
        <v>365</v>
      </c>
      <c r="G661">
        <v>8.1192820000000001</v>
      </c>
      <c r="H661" s="20">
        <f>IF(AND(A661=A660,F661=F660,F661="Winter wheat"),G661*0.9*'BAU Management details'!$F$46,
IF(AND(OR(A661&lt;&gt;A660,F661&lt;&gt;F660),F661="Winter wheat"),G661*'BAU Management details'!$F$46,
IF(F661="Oilseed Rape",G661*'BAU Management details'!$F$47)))</f>
        <v>28.417487000000001</v>
      </c>
      <c r="I661" t="s">
        <v>348</v>
      </c>
      <c r="J661">
        <v>10</v>
      </c>
      <c r="K661" t="s">
        <v>532</v>
      </c>
      <c r="L661" t="s">
        <v>751</v>
      </c>
      <c r="M661">
        <v>3.7</v>
      </c>
      <c r="N661" t="s">
        <v>349</v>
      </c>
      <c r="O661" t="s">
        <v>350</v>
      </c>
      <c r="P661">
        <v>7</v>
      </c>
      <c r="Q661" t="s">
        <v>743</v>
      </c>
      <c r="R661" t="s">
        <v>351</v>
      </c>
      <c r="S661">
        <v>220</v>
      </c>
      <c r="T661" s="47" t="s">
        <v>735</v>
      </c>
      <c r="U661" t="s">
        <v>368</v>
      </c>
      <c r="V661" t="s">
        <v>364</v>
      </c>
      <c r="W661" s="47" t="s">
        <v>736</v>
      </c>
      <c r="X661" s="47">
        <v>0</v>
      </c>
      <c r="Y661" s="47" t="s">
        <v>736</v>
      </c>
      <c r="Z661" s="47">
        <v>0</v>
      </c>
      <c r="AA661" s="47" t="s">
        <v>736</v>
      </c>
      <c r="AB661" s="47">
        <v>0</v>
      </c>
      <c r="AC661" s="47">
        <v>0</v>
      </c>
      <c r="AD661" s="47">
        <v>0</v>
      </c>
      <c r="AE661" s="47" t="s">
        <v>731</v>
      </c>
      <c r="AF661" s="47">
        <v>0</v>
      </c>
      <c r="AG661" s="47" t="s">
        <v>731</v>
      </c>
      <c r="AH661" s="47">
        <v>0</v>
      </c>
      <c r="AI661" s="47" t="s">
        <v>735</v>
      </c>
      <c r="AJ661">
        <v>1</v>
      </c>
      <c r="AK661">
        <v>100</v>
      </c>
    </row>
    <row r="662" spans="1:37" x14ac:dyDescent="0.2">
      <c r="A662" t="s">
        <v>1507</v>
      </c>
      <c r="B662" t="s">
        <v>361</v>
      </c>
      <c r="C662">
        <v>2016</v>
      </c>
      <c r="D662">
        <v>1</v>
      </c>
      <c r="E662" t="s">
        <v>1508</v>
      </c>
      <c r="F662" t="s">
        <v>362</v>
      </c>
      <c r="G662">
        <v>5.2331060000000003</v>
      </c>
      <c r="H662" s="20">
        <f>IF(AND(A662=A661,F662=F661,F662="Winter wheat"),G662*0.9*'BAU Management details'!$F$46,
IF(AND(OR(A662&lt;&gt;A661,F662&lt;&gt;F661),F662="Winter wheat"),G662*'BAU Management details'!$F$46,
IF(F662="Oilseed Rape",G662*'BAU Management details'!$F$47)))</f>
        <v>45.0047116</v>
      </c>
      <c r="I662" t="s">
        <v>348</v>
      </c>
      <c r="J662">
        <v>10</v>
      </c>
      <c r="K662" t="s">
        <v>362</v>
      </c>
      <c r="L662" t="s">
        <v>727</v>
      </c>
      <c r="M662">
        <v>2.7</v>
      </c>
      <c r="N662" t="s">
        <v>349</v>
      </c>
      <c r="O662" t="s">
        <v>742</v>
      </c>
      <c r="P662">
        <v>6.8</v>
      </c>
      <c r="Q662" t="s">
        <v>743</v>
      </c>
      <c r="R662" t="s">
        <v>351</v>
      </c>
      <c r="S662">
        <v>220</v>
      </c>
      <c r="T662" s="47" t="s">
        <v>729</v>
      </c>
      <c r="U662" t="s">
        <v>366</v>
      </c>
      <c r="V662" t="s">
        <v>364</v>
      </c>
      <c r="W662" s="47" t="s">
        <v>736</v>
      </c>
      <c r="X662" s="47">
        <v>0</v>
      </c>
      <c r="Y662" s="47" t="s">
        <v>730</v>
      </c>
      <c r="Z662" s="47">
        <v>0</v>
      </c>
      <c r="AA662" s="47" t="s">
        <v>731</v>
      </c>
      <c r="AB662" s="47">
        <v>0</v>
      </c>
      <c r="AC662" s="47" t="s">
        <v>731</v>
      </c>
      <c r="AD662" s="47" t="s">
        <v>731</v>
      </c>
      <c r="AE662" s="47" t="s">
        <v>731</v>
      </c>
      <c r="AF662" s="47">
        <v>0</v>
      </c>
      <c r="AG662" s="47">
        <v>0</v>
      </c>
      <c r="AH662" s="47">
        <v>0</v>
      </c>
      <c r="AI662" s="47" t="s">
        <v>729</v>
      </c>
      <c r="AJ662">
        <v>1</v>
      </c>
      <c r="AK662">
        <v>100</v>
      </c>
    </row>
    <row r="663" spans="1:37" x14ac:dyDescent="0.2">
      <c r="A663" t="s">
        <v>1507</v>
      </c>
      <c r="B663" t="s">
        <v>361</v>
      </c>
      <c r="C663">
        <v>2017</v>
      </c>
      <c r="D663">
        <v>2</v>
      </c>
      <c r="E663" t="s">
        <v>1509</v>
      </c>
      <c r="F663" t="s">
        <v>362</v>
      </c>
      <c r="G663">
        <v>5.2331060000000003</v>
      </c>
      <c r="H663" s="20">
        <f>IF(AND(A663=A662,F663=F662,F663="Winter wheat"),G663*0.9*'BAU Management details'!$F$46,
IF(AND(OR(A663&lt;&gt;A662,F663&lt;&gt;F662),F663="Winter wheat"),G663*'BAU Management details'!$F$46,
IF(F663="Oilseed Rape",G663*'BAU Management details'!$F$47)))</f>
        <v>40.504240439999997</v>
      </c>
      <c r="I663" t="s">
        <v>348</v>
      </c>
      <c r="J663">
        <v>10</v>
      </c>
      <c r="K663" t="s">
        <v>362</v>
      </c>
      <c r="L663" t="s">
        <v>727</v>
      </c>
      <c r="M663">
        <v>2.7</v>
      </c>
      <c r="N663" t="s">
        <v>349</v>
      </c>
      <c r="O663" t="s">
        <v>742</v>
      </c>
      <c r="P663">
        <v>6.8</v>
      </c>
      <c r="Q663" t="s">
        <v>743</v>
      </c>
      <c r="R663" t="s">
        <v>351</v>
      </c>
      <c r="S663">
        <v>220</v>
      </c>
      <c r="T663" s="47" t="s">
        <v>729</v>
      </c>
      <c r="U663" t="s">
        <v>733</v>
      </c>
      <c r="V663" t="s">
        <v>364</v>
      </c>
      <c r="W663" s="47" t="s">
        <v>736</v>
      </c>
      <c r="X663" s="47">
        <v>0</v>
      </c>
      <c r="Y663" s="47" t="s">
        <v>730</v>
      </c>
      <c r="Z663" s="47">
        <v>0</v>
      </c>
      <c r="AA663" s="47" t="s">
        <v>731</v>
      </c>
      <c r="AB663" s="47">
        <v>0</v>
      </c>
      <c r="AC663" s="47">
        <v>0</v>
      </c>
      <c r="AD663" s="47">
        <v>0</v>
      </c>
      <c r="AE663" s="47" t="s">
        <v>731</v>
      </c>
      <c r="AF663" s="47">
        <v>0</v>
      </c>
      <c r="AG663" s="47">
        <v>0</v>
      </c>
      <c r="AH663" s="47">
        <v>0</v>
      </c>
      <c r="AI663" s="47" t="s">
        <v>729</v>
      </c>
      <c r="AJ663">
        <v>1</v>
      </c>
      <c r="AK663">
        <v>100</v>
      </c>
    </row>
    <row r="664" spans="1:37" x14ac:dyDescent="0.2">
      <c r="A664" t="s">
        <v>1507</v>
      </c>
      <c r="B664" t="s">
        <v>361</v>
      </c>
      <c r="C664">
        <v>2018</v>
      </c>
      <c r="D664">
        <v>3</v>
      </c>
      <c r="E664" t="s">
        <v>1510</v>
      </c>
      <c r="F664" t="s">
        <v>365</v>
      </c>
      <c r="G664">
        <v>5.2331060000000003</v>
      </c>
      <c r="H664" s="20">
        <f>IF(AND(A664=A663,F664=F663,F664="Winter wheat"),G664*0.9*'BAU Management details'!$F$46,
IF(AND(OR(A664&lt;&gt;A663,F664&lt;&gt;F663),F664="Winter wheat"),G664*'BAU Management details'!$F$46,
IF(F664="Oilseed Rape",G664*'BAU Management details'!$F$47)))</f>
        <v>18.315871000000001</v>
      </c>
      <c r="I664" t="s">
        <v>348</v>
      </c>
      <c r="J664">
        <v>10</v>
      </c>
      <c r="K664" t="s">
        <v>532</v>
      </c>
      <c r="L664" t="s">
        <v>727</v>
      </c>
      <c r="M664">
        <v>2.7</v>
      </c>
      <c r="N664" t="s">
        <v>349</v>
      </c>
      <c r="O664" t="s">
        <v>742</v>
      </c>
      <c r="P664">
        <v>6.8</v>
      </c>
      <c r="Q664" t="s">
        <v>743</v>
      </c>
      <c r="R664" t="s">
        <v>351</v>
      </c>
      <c r="S664">
        <v>220</v>
      </c>
      <c r="T664" s="47" t="s">
        <v>735</v>
      </c>
      <c r="U664" t="s">
        <v>368</v>
      </c>
      <c r="V664" t="s">
        <v>364</v>
      </c>
      <c r="W664" s="47" t="s">
        <v>736</v>
      </c>
      <c r="X664" s="47">
        <v>0</v>
      </c>
      <c r="Y664" s="47" t="s">
        <v>736</v>
      </c>
      <c r="Z664" s="47">
        <v>0</v>
      </c>
      <c r="AA664" s="47" t="s">
        <v>736</v>
      </c>
      <c r="AB664" s="47">
        <v>0</v>
      </c>
      <c r="AC664" s="47">
        <v>0</v>
      </c>
      <c r="AD664" s="47">
        <v>0</v>
      </c>
      <c r="AE664" s="47" t="s">
        <v>731</v>
      </c>
      <c r="AF664" s="47">
        <v>0</v>
      </c>
      <c r="AG664" s="47" t="s">
        <v>731</v>
      </c>
      <c r="AH664" s="47">
        <v>0</v>
      </c>
      <c r="AI664" s="47" t="s">
        <v>735</v>
      </c>
      <c r="AJ664">
        <v>1</v>
      </c>
      <c r="AK664">
        <v>100</v>
      </c>
    </row>
    <row r="665" spans="1:37" x14ac:dyDescent="0.2">
      <c r="A665" t="s">
        <v>1507</v>
      </c>
      <c r="B665" t="s">
        <v>361</v>
      </c>
      <c r="C665">
        <v>2019</v>
      </c>
      <c r="D665">
        <v>4</v>
      </c>
      <c r="E665" t="s">
        <v>1511</v>
      </c>
      <c r="F665" t="s">
        <v>362</v>
      </c>
      <c r="G665">
        <v>5.2331060000000003</v>
      </c>
      <c r="H665" s="20">
        <f>IF(AND(A665=A664,F665=F664,F665="Winter wheat"),G665*0.9*'BAU Management details'!$F$46,
IF(AND(OR(A665&lt;&gt;A664,F665&lt;&gt;F664),F665="Winter wheat"),G665*'BAU Management details'!$F$46,
IF(F665="Oilseed Rape",G665*'BAU Management details'!$F$47)))</f>
        <v>45.0047116</v>
      </c>
      <c r="I665" t="s">
        <v>348</v>
      </c>
      <c r="J665">
        <v>10</v>
      </c>
      <c r="K665" t="s">
        <v>362</v>
      </c>
      <c r="L665" t="s">
        <v>727</v>
      </c>
      <c r="M665">
        <v>2.7</v>
      </c>
      <c r="N665" t="s">
        <v>349</v>
      </c>
      <c r="O665" t="s">
        <v>742</v>
      </c>
      <c r="P665">
        <v>6.8</v>
      </c>
      <c r="Q665" t="s">
        <v>743</v>
      </c>
      <c r="R665" t="s">
        <v>351</v>
      </c>
      <c r="S665">
        <v>220</v>
      </c>
      <c r="T665" s="47" t="s">
        <v>729</v>
      </c>
      <c r="U665" t="s">
        <v>366</v>
      </c>
      <c r="V665" t="s">
        <v>364</v>
      </c>
      <c r="W665" s="47" t="s">
        <v>736</v>
      </c>
      <c r="X665" s="47">
        <v>0</v>
      </c>
      <c r="Y665" s="47" t="s">
        <v>730</v>
      </c>
      <c r="Z665" s="47">
        <v>0</v>
      </c>
      <c r="AA665" s="47" t="s">
        <v>731</v>
      </c>
      <c r="AB665" s="47">
        <v>0</v>
      </c>
      <c r="AC665" s="47" t="s">
        <v>731</v>
      </c>
      <c r="AD665" s="47" t="s">
        <v>731</v>
      </c>
      <c r="AE665" s="47" t="s">
        <v>731</v>
      </c>
      <c r="AF665" s="47">
        <v>0</v>
      </c>
      <c r="AG665" s="47">
        <v>0</v>
      </c>
      <c r="AH665" s="47">
        <v>0</v>
      </c>
      <c r="AI665" s="47" t="s">
        <v>729</v>
      </c>
      <c r="AJ665">
        <v>1</v>
      </c>
      <c r="AK665">
        <v>100</v>
      </c>
    </row>
    <row r="666" spans="1:37" x14ac:dyDescent="0.2">
      <c r="A666" t="s">
        <v>1507</v>
      </c>
      <c r="B666" t="s">
        <v>361</v>
      </c>
      <c r="C666">
        <v>2020</v>
      </c>
      <c r="D666">
        <v>5</v>
      </c>
      <c r="E666" t="s">
        <v>1512</v>
      </c>
      <c r="F666" t="s">
        <v>362</v>
      </c>
      <c r="G666">
        <v>5.2331060000000003</v>
      </c>
      <c r="H666" s="20">
        <f>IF(AND(A666=A665,F666=F665,F666="Winter wheat"),G666*0.9*'BAU Management details'!$F$46,
IF(AND(OR(A666&lt;&gt;A665,F666&lt;&gt;F665),F666="Winter wheat"),G666*'BAU Management details'!$F$46,
IF(F666="Oilseed Rape",G666*'BAU Management details'!$F$47)))</f>
        <v>40.504240439999997</v>
      </c>
      <c r="I666" t="s">
        <v>348</v>
      </c>
      <c r="J666">
        <v>10</v>
      </c>
      <c r="K666" t="s">
        <v>362</v>
      </c>
      <c r="L666" t="s">
        <v>727</v>
      </c>
      <c r="M666">
        <v>2.7</v>
      </c>
      <c r="N666" t="s">
        <v>349</v>
      </c>
      <c r="O666" t="s">
        <v>742</v>
      </c>
      <c r="P666">
        <v>6.8</v>
      </c>
      <c r="Q666" t="s">
        <v>743</v>
      </c>
      <c r="R666" t="s">
        <v>351</v>
      </c>
      <c r="S666">
        <v>220</v>
      </c>
      <c r="T666" s="47" t="s">
        <v>729</v>
      </c>
      <c r="U666" t="s">
        <v>733</v>
      </c>
      <c r="V666" t="s">
        <v>364</v>
      </c>
      <c r="W666" s="47" t="s">
        <v>736</v>
      </c>
      <c r="X666" s="47">
        <v>0</v>
      </c>
      <c r="Y666" s="47" t="s">
        <v>730</v>
      </c>
      <c r="Z666" s="47">
        <v>0</v>
      </c>
      <c r="AA666" s="47" t="s">
        <v>731</v>
      </c>
      <c r="AB666" s="47">
        <v>0</v>
      </c>
      <c r="AC666" s="47">
        <v>0</v>
      </c>
      <c r="AD666" s="47">
        <v>0</v>
      </c>
      <c r="AE666" s="47" t="s">
        <v>731</v>
      </c>
      <c r="AF666" s="47">
        <v>0</v>
      </c>
      <c r="AG666" s="47">
        <v>0</v>
      </c>
      <c r="AH666" s="47">
        <v>0</v>
      </c>
      <c r="AI666" s="47" t="s">
        <v>729</v>
      </c>
      <c r="AJ666">
        <v>1</v>
      </c>
      <c r="AK666">
        <v>100</v>
      </c>
    </row>
    <row r="667" spans="1:37" x14ac:dyDescent="0.2">
      <c r="A667" t="s">
        <v>1507</v>
      </c>
      <c r="B667" t="s">
        <v>361</v>
      </c>
      <c r="C667">
        <v>2021</v>
      </c>
      <c r="D667">
        <v>6</v>
      </c>
      <c r="E667" t="s">
        <v>1513</v>
      </c>
      <c r="F667" t="s">
        <v>365</v>
      </c>
      <c r="G667">
        <v>5.2331060000000003</v>
      </c>
      <c r="H667" s="20">
        <f>IF(AND(A667=A666,F667=F666,F667="Winter wheat"),G667*0.9*'BAU Management details'!$F$46,
IF(AND(OR(A667&lt;&gt;A666,F667&lt;&gt;F666),F667="Winter wheat"),G667*'BAU Management details'!$F$46,
IF(F667="Oilseed Rape",G667*'BAU Management details'!$F$47)))</f>
        <v>18.315871000000001</v>
      </c>
      <c r="I667" t="s">
        <v>348</v>
      </c>
      <c r="J667">
        <v>10</v>
      </c>
      <c r="K667" t="s">
        <v>532</v>
      </c>
      <c r="L667" t="s">
        <v>727</v>
      </c>
      <c r="M667">
        <v>2.7</v>
      </c>
      <c r="N667" t="s">
        <v>349</v>
      </c>
      <c r="O667" t="s">
        <v>742</v>
      </c>
      <c r="P667">
        <v>6.8</v>
      </c>
      <c r="Q667" t="s">
        <v>743</v>
      </c>
      <c r="R667" t="s">
        <v>351</v>
      </c>
      <c r="S667">
        <v>220</v>
      </c>
      <c r="T667" s="47" t="s">
        <v>735</v>
      </c>
      <c r="U667" t="s">
        <v>368</v>
      </c>
      <c r="V667" t="s">
        <v>364</v>
      </c>
      <c r="W667" s="47" t="s">
        <v>736</v>
      </c>
      <c r="X667" s="47">
        <v>0</v>
      </c>
      <c r="Y667" s="47" t="s">
        <v>730</v>
      </c>
      <c r="Z667" s="47">
        <v>0</v>
      </c>
      <c r="AA667" s="47" t="s">
        <v>731</v>
      </c>
      <c r="AB667" s="47">
        <v>0</v>
      </c>
      <c r="AC667" s="47" t="s">
        <v>731</v>
      </c>
      <c r="AD667" s="47" t="s">
        <v>731</v>
      </c>
      <c r="AE667" s="47" t="s">
        <v>731</v>
      </c>
      <c r="AF667" s="47">
        <v>0</v>
      </c>
      <c r="AG667" s="47">
        <v>0</v>
      </c>
      <c r="AH667" s="47">
        <v>0</v>
      </c>
      <c r="AI667" s="47" t="s">
        <v>735</v>
      </c>
      <c r="AJ667">
        <v>1</v>
      </c>
      <c r="AK667">
        <v>100</v>
      </c>
    </row>
  </sheetData>
  <autoFilter ref="A1:AK667" xr:uid="{B462A193-3071-42FB-9FC9-99ED1DEAE56E}"/>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308B9-88E1-40B1-8977-20722BDF884B}">
  <dimension ref="B2:N21"/>
  <sheetViews>
    <sheetView topLeftCell="I3" workbookViewId="0">
      <selection activeCell="K26" sqref="K26"/>
    </sheetView>
  </sheetViews>
  <sheetFormatPr baseColWidth="10" defaultColWidth="8.83203125" defaultRowHeight="15" x14ac:dyDescent="0.2"/>
  <cols>
    <col min="2" max="2" width="16" bestFit="1" customWidth="1"/>
    <col min="3" max="3" width="17.1640625" customWidth="1"/>
    <col min="4" max="4" width="17.5" customWidth="1"/>
    <col min="6" max="6" width="20.83203125" bestFit="1" customWidth="1"/>
    <col min="7" max="7" width="12.6640625" bestFit="1" customWidth="1"/>
    <col min="10" max="10" width="23.6640625" bestFit="1" customWidth="1"/>
    <col min="12" max="12" width="37.5" bestFit="1" customWidth="1"/>
    <col min="13" max="13" width="8.83203125" customWidth="1"/>
    <col min="14" max="14" width="33.5" bestFit="1" customWidth="1"/>
  </cols>
  <sheetData>
    <row r="2" spans="2:14" ht="16" x14ac:dyDescent="0.2">
      <c r="B2" s="51" t="s">
        <v>1514</v>
      </c>
      <c r="C2" s="62"/>
      <c r="D2" s="63"/>
      <c r="F2" s="51" t="s">
        <v>1515</v>
      </c>
      <c r="G2" s="52"/>
      <c r="H2" s="52"/>
      <c r="J2" s="105" t="s">
        <v>1516</v>
      </c>
      <c r="L2" s="105" t="s">
        <v>1517</v>
      </c>
      <c r="M2" s="105"/>
      <c r="N2" s="105" t="s">
        <v>1518</v>
      </c>
    </row>
    <row r="3" spans="2:14" x14ac:dyDescent="0.2">
      <c r="B3" s="64"/>
      <c r="C3" s="64"/>
      <c r="D3" s="52"/>
      <c r="F3" s="53"/>
      <c r="G3" s="52"/>
      <c r="H3" s="52"/>
    </row>
    <row r="4" spans="2:14" ht="33" thickBot="1" x14ac:dyDescent="0.25">
      <c r="B4" s="54" t="s">
        <v>1519</v>
      </c>
      <c r="C4" s="65" t="s">
        <v>1520</v>
      </c>
      <c r="D4" s="65" t="s">
        <v>1521</v>
      </c>
      <c r="F4" s="54" t="s">
        <v>1522</v>
      </c>
      <c r="G4" s="55" t="s">
        <v>1523</v>
      </c>
      <c r="H4" s="56"/>
      <c r="J4" s="106" t="s">
        <v>1524</v>
      </c>
      <c r="L4" s="147" t="s">
        <v>1525</v>
      </c>
      <c r="M4" s="152"/>
      <c r="N4" s="106" t="s">
        <v>1526</v>
      </c>
    </row>
    <row r="5" spans="2:14" ht="18.5" customHeight="1" thickTop="1" x14ac:dyDescent="0.2">
      <c r="B5" s="57" t="s">
        <v>1527</v>
      </c>
      <c r="C5" s="58" t="s">
        <v>281</v>
      </c>
      <c r="D5" s="66" t="s">
        <v>663</v>
      </c>
      <c r="F5" s="57" t="s">
        <v>1528</v>
      </c>
      <c r="G5" s="58" t="s">
        <v>301</v>
      </c>
      <c r="H5" s="58"/>
      <c r="J5" s="107" t="s">
        <v>363</v>
      </c>
      <c r="L5" s="148" t="s">
        <v>1529</v>
      </c>
      <c r="M5" s="153"/>
      <c r="N5" s="107" t="s">
        <v>364</v>
      </c>
    </row>
    <row r="6" spans="2:14" ht="35" customHeight="1" x14ac:dyDescent="0.2">
      <c r="B6" s="61" t="s">
        <v>523</v>
      </c>
      <c r="C6" s="60" t="s">
        <v>282</v>
      </c>
      <c r="D6" s="67" t="s">
        <v>664</v>
      </c>
      <c r="F6" s="59" t="s">
        <v>1530</v>
      </c>
      <c r="G6" s="60" t="s">
        <v>273</v>
      </c>
      <c r="H6" s="60"/>
      <c r="J6" s="108" t="s">
        <v>368</v>
      </c>
      <c r="L6" s="149" t="s">
        <v>1531</v>
      </c>
      <c r="M6" s="151"/>
      <c r="N6" s="108" t="s">
        <v>367</v>
      </c>
    </row>
    <row r="7" spans="2:14" ht="18.5" customHeight="1" x14ac:dyDescent="0.2">
      <c r="B7" s="61" t="s">
        <v>625</v>
      </c>
      <c r="C7" s="60" t="s">
        <v>250</v>
      </c>
      <c r="D7" s="67" t="s">
        <v>43</v>
      </c>
      <c r="F7" s="61" t="s">
        <v>1532</v>
      </c>
      <c r="G7" s="60" t="s">
        <v>1533</v>
      </c>
      <c r="H7" s="60"/>
      <c r="J7" s="109" t="s">
        <v>1534</v>
      </c>
      <c r="L7" s="150" t="s">
        <v>1535</v>
      </c>
      <c r="M7" s="153"/>
      <c r="N7" s="109" t="s">
        <v>369</v>
      </c>
    </row>
    <row r="8" spans="2:14" ht="18.5" customHeight="1" x14ac:dyDescent="0.2">
      <c r="B8" s="61" t="s">
        <v>627</v>
      </c>
      <c r="C8" s="60" t="s">
        <v>247</v>
      </c>
      <c r="D8" s="67" t="s">
        <v>55</v>
      </c>
      <c r="F8" s="61" t="s">
        <v>1536</v>
      </c>
      <c r="G8" s="60" t="s">
        <v>259</v>
      </c>
      <c r="H8" s="60"/>
      <c r="J8" s="109" t="s">
        <v>366</v>
      </c>
      <c r="L8" s="150" t="s">
        <v>352</v>
      </c>
      <c r="M8" s="153"/>
    </row>
    <row r="9" spans="2:14" ht="18.5" customHeight="1" x14ac:dyDescent="0.2">
      <c r="B9" s="61" t="s">
        <v>629</v>
      </c>
      <c r="C9" s="60" t="s">
        <v>283</v>
      </c>
      <c r="D9" s="67" t="s">
        <v>38</v>
      </c>
      <c r="F9" s="61" t="s">
        <v>1537</v>
      </c>
      <c r="G9" s="60" t="s">
        <v>302</v>
      </c>
      <c r="H9" s="60"/>
      <c r="J9" s="109" t="s">
        <v>1538</v>
      </c>
      <c r="L9" s="150" t="s">
        <v>1539</v>
      </c>
      <c r="M9" s="153"/>
    </row>
    <row r="10" spans="2:14" ht="18.5" customHeight="1" x14ac:dyDescent="0.2">
      <c r="B10" s="61" t="s">
        <v>631</v>
      </c>
      <c r="C10" s="60" t="s">
        <v>252</v>
      </c>
      <c r="D10" s="67" t="s">
        <v>51</v>
      </c>
      <c r="F10" s="61" t="s">
        <v>1540</v>
      </c>
      <c r="G10" s="60" t="s">
        <v>300</v>
      </c>
      <c r="H10" s="60"/>
      <c r="J10" s="109" t="s">
        <v>1541</v>
      </c>
      <c r="L10" s="150" t="s">
        <v>1542</v>
      </c>
      <c r="M10" s="153"/>
    </row>
    <row r="11" spans="2:14" ht="18.5" customHeight="1" x14ac:dyDescent="0.2">
      <c r="B11" s="61" t="s">
        <v>1543</v>
      </c>
      <c r="C11" s="60" t="s">
        <v>284</v>
      </c>
      <c r="D11" s="67" t="s">
        <v>665</v>
      </c>
      <c r="F11" s="59" t="s">
        <v>1544</v>
      </c>
      <c r="G11" s="60" t="s">
        <v>260</v>
      </c>
      <c r="H11" s="60"/>
      <c r="J11" s="108" t="s">
        <v>1545</v>
      </c>
      <c r="M11" s="154"/>
    </row>
    <row r="12" spans="2:14" ht="18.5" customHeight="1" x14ac:dyDescent="0.2">
      <c r="B12" s="61" t="s">
        <v>1546</v>
      </c>
      <c r="C12" s="60" t="s">
        <v>195</v>
      </c>
      <c r="D12" s="67" t="s">
        <v>34</v>
      </c>
    </row>
    <row r="13" spans="2:14" ht="18.5" customHeight="1" x14ac:dyDescent="0.2">
      <c r="B13" s="61" t="s">
        <v>1547</v>
      </c>
      <c r="C13" s="60" t="s">
        <v>285</v>
      </c>
      <c r="D13" s="67" t="s">
        <v>47</v>
      </c>
    </row>
    <row r="14" spans="2:14" ht="18.5" customHeight="1" x14ac:dyDescent="0.2">
      <c r="B14" s="61" t="s">
        <v>1548</v>
      </c>
      <c r="C14" s="60" t="s">
        <v>272</v>
      </c>
      <c r="D14" s="67" t="s">
        <v>666</v>
      </c>
    </row>
    <row r="15" spans="2:14" ht="18.5" customHeight="1" x14ac:dyDescent="0.2">
      <c r="B15" s="61" t="s">
        <v>1549</v>
      </c>
      <c r="C15" s="60" t="s">
        <v>286</v>
      </c>
      <c r="D15" s="67" t="s">
        <v>668</v>
      </c>
    </row>
    <row r="16" spans="2:14" ht="18.5" customHeight="1" x14ac:dyDescent="0.2">
      <c r="B16" s="61" t="s">
        <v>1550</v>
      </c>
      <c r="C16" s="60" t="s">
        <v>269</v>
      </c>
      <c r="D16" s="67" t="s">
        <v>669</v>
      </c>
    </row>
    <row r="17" spans="2:10" ht="18.5" customHeight="1" x14ac:dyDescent="0.2">
      <c r="B17" s="61" t="s">
        <v>633</v>
      </c>
      <c r="C17" s="60" t="s">
        <v>253</v>
      </c>
      <c r="D17" s="67" t="s">
        <v>670</v>
      </c>
    </row>
    <row r="18" spans="2:10" ht="18.5" customHeight="1" x14ac:dyDescent="0.2">
      <c r="B18" s="61" t="s">
        <v>1551</v>
      </c>
      <c r="C18" s="60" t="s">
        <v>246</v>
      </c>
      <c r="D18" s="67" t="s">
        <v>667</v>
      </c>
      <c r="J18" s="110"/>
    </row>
    <row r="19" spans="2:10" x14ac:dyDescent="0.2">
      <c r="J19" s="110"/>
    </row>
    <row r="20" spans="2:10" x14ac:dyDescent="0.2">
      <c r="J20" s="110"/>
    </row>
    <row r="21" spans="2:10" x14ac:dyDescent="0.2">
      <c r="J21" s="111"/>
    </row>
  </sheetData>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9E0C-506B-4DEE-8A38-BC7395356C1E}">
  <dimension ref="A1:AM97"/>
  <sheetViews>
    <sheetView workbookViewId="0">
      <selection activeCell="E19" sqref="E19"/>
    </sheetView>
  </sheetViews>
  <sheetFormatPr baseColWidth="10" defaultColWidth="8.83203125" defaultRowHeight="15" x14ac:dyDescent="0.2"/>
  <cols>
    <col min="1" max="1" width="19.5" bestFit="1" customWidth="1"/>
    <col min="2" max="2" width="7.83203125" bestFit="1" customWidth="1"/>
    <col min="3" max="3" width="4.83203125" customWidth="1"/>
    <col min="4" max="4" width="2.83203125" customWidth="1"/>
    <col min="5" max="5" width="19.5" customWidth="1"/>
    <col min="6" max="6" width="11.5" bestFit="1" customWidth="1"/>
    <col min="7" max="7" width="6.5" customWidth="1"/>
    <col min="8" max="8" width="6.83203125" customWidth="1"/>
    <col min="9" max="9" width="8.83203125" bestFit="1" customWidth="1"/>
    <col min="10" max="10" width="15.83203125" bestFit="1" customWidth="1"/>
    <col min="11" max="11" width="11.5" bestFit="1" customWidth="1"/>
    <col min="12" max="12" width="7.83203125" customWidth="1"/>
    <col min="13" max="13" width="4.6640625" bestFit="1" customWidth="1"/>
    <col min="14" max="14" width="7.5" customWidth="1"/>
    <col min="15" max="15" width="6.1640625" customWidth="1"/>
    <col min="16" max="16" width="4.33203125" customWidth="1"/>
    <col min="17" max="17" width="12.5" bestFit="1" customWidth="1"/>
    <col min="18" max="18" width="22.1640625" bestFit="1" customWidth="1"/>
    <col min="19" max="19" width="12.5" bestFit="1" customWidth="1"/>
    <col min="20" max="20" width="12.5" customWidth="1"/>
    <col min="21" max="21" width="15" bestFit="1" customWidth="1"/>
    <col min="22" max="22" width="20.1640625" bestFit="1" customWidth="1"/>
    <col min="23" max="23" width="17.1640625" bestFit="1" customWidth="1"/>
    <col min="24" max="24" width="15.5" bestFit="1" customWidth="1"/>
    <col min="25" max="25" width="28.5" bestFit="1" customWidth="1"/>
    <col min="26" max="26" width="18.1640625" bestFit="1" customWidth="1"/>
    <col min="27" max="27" width="11.5" bestFit="1" customWidth="1"/>
    <col min="28" max="28" width="8.5" bestFit="1" customWidth="1"/>
    <col min="29" max="29" width="10.5" bestFit="1" customWidth="1"/>
    <col min="30" max="30" width="18.33203125" bestFit="1" customWidth="1"/>
    <col min="31" max="31" width="8.5" bestFit="1" customWidth="1"/>
    <col min="32" max="32" width="13.1640625" bestFit="1" customWidth="1"/>
    <col min="33" max="33" width="15.6640625" bestFit="1" customWidth="1"/>
    <col min="34" max="34" width="11.5" bestFit="1" customWidth="1"/>
    <col min="35" max="35" width="11.1640625" bestFit="1" customWidth="1"/>
    <col min="36" max="36" width="17.33203125" bestFit="1" customWidth="1"/>
    <col min="37" max="37" width="7.83203125" bestFit="1" customWidth="1"/>
    <col min="38" max="38" width="10.5" bestFit="1" customWidth="1"/>
    <col min="39" max="39" width="14.1640625" bestFit="1" customWidth="1"/>
  </cols>
  <sheetData>
    <row r="1" spans="1:39" ht="32" x14ac:dyDescent="0.2">
      <c r="A1" s="103" t="s">
        <v>309</v>
      </c>
      <c r="B1" s="103" t="s">
        <v>310</v>
      </c>
      <c r="C1" s="103" t="s">
        <v>181</v>
      </c>
      <c r="D1" s="103" t="s">
        <v>311</v>
      </c>
      <c r="E1" s="103" t="s">
        <v>312</v>
      </c>
      <c r="F1" s="103" t="s">
        <v>313</v>
      </c>
      <c r="G1" s="103" t="s">
        <v>314</v>
      </c>
      <c r="H1" s="103" t="s">
        <v>315</v>
      </c>
      <c r="I1" s="103" t="s">
        <v>316</v>
      </c>
      <c r="J1" s="103" t="s">
        <v>317</v>
      </c>
      <c r="K1" s="103" t="s">
        <v>318</v>
      </c>
      <c r="L1" s="103" t="s">
        <v>319</v>
      </c>
      <c r="M1" s="103" t="s">
        <v>320</v>
      </c>
      <c r="N1" s="103" t="s">
        <v>321</v>
      </c>
      <c r="O1" s="103" t="s">
        <v>322</v>
      </c>
      <c r="P1" s="103" t="s">
        <v>323</v>
      </c>
      <c r="Q1" s="103" t="s">
        <v>324</v>
      </c>
      <c r="R1" s="103" t="s">
        <v>325</v>
      </c>
      <c r="S1" s="103" t="s">
        <v>326</v>
      </c>
      <c r="T1" s="146" t="s">
        <v>327</v>
      </c>
      <c r="U1" s="155" t="s">
        <v>328</v>
      </c>
      <c r="V1" s="103" t="s">
        <v>329</v>
      </c>
      <c r="W1" s="155" t="s">
        <v>330</v>
      </c>
      <c r="X1" s="103" t="s">
        <v>331</v>
      </c>
      <c r="Y1" s="103" t="s">
        <v>332</v>
      </c>
      <c r="Z1" s="103" t="s">
        <v>333</v>
      </c>
      <c r="AA1" s="104" t="s">
        <v>334</v>
      </c>
      <c r="AB1" s="104" t="s">
        <v>335</v>
      </c>
      <c r="AC1" s="104" t="s">
        <v>336</v>
      </c>
      <c r="AD1" s="104" t="s">
        <v>337</v>
      </c>
      <c r="AE1" s="104" t="s">
        <v>338</v>
      </c>
      <c r="AF1" s="104" t="s">
        <v>339</v>
      </c>
      <c r="AG1" s="104" t="s">
        <v>340</v>
      </c>
      <c r="AH1" s="104" t="s">
        <v>341</v>
      </c>
      <c r="AI1" s="104" t="s">
        <v>342</v>
      </c>
      <c r="AJ1" s="104" t="s">
        <v>343</v>
      </c>
      <c r="AK1" s="104" t="s">
        <v>344</v>
      </c>
      <c r="AL1" s="104" t="s">
        <v>345</v>
      </c>
      <c r="AM1" s="104" t="s">
        <v>346</v>
      </c>
    </row>
    <row r="2" spans="1:39" x14ac:dyDescent="0.2">
      <c r="A2" t="s">
        <v>347</v>
      </c>
      <c r="B2" t="s">
        <v>361</v>
      </c>
      <c r="C2">
        <v>2020</v>
      </c>
      <c r="D2">
        <v>1</v>
      </c>
      <c r="E2" t="s">
        <v>347</v>
      </c>
      <c r="F2" t="s">
        <v>362</v>
      </c>
      <c r="G2">
        <v>7.2</v>
      </c>
      <c r="H2" s="20">
        <f>IF(AND(A2=A1,F2=F1,F2="Winter wheat"),G2*0.9*'BAU Management details'!$F$46,
IF(AND(OR(A2&lt;&gt;A1,F2&lt;&gt;F1),F2="Winter wheat"),G2*'BAU Management details'!$F$46,
IF(F2="Oilseed Rape",G2*'BAU Management details'!$F$47)))</f>
        <v>61.92</v>
      </c>
      <c r="I2" t="s">
        <v>348</v>
      </c>
      <c r="J2">
        <v>10</v>
      </c>
      <c r="K2" t="str">
        <f>IF(F2="Winter wheat","Winter wheat",
IF(F2="Oilseed Rape","Other"))</f>
        <v>Winter wheat</v>
      </c>
      <c r="L2" t="str">
        <f>IF(ISNUMBER(SEARCH("heavy",$A2))=TRUE,"Fine",
IF(ISNUMBER(SEARCH("medium",$A2))=TRUE,"Medium",
IF(ISNUMBER(SEARCH("light",$A2))=TRUE,"Coarse")))</f>
        <v>Fine</v>
      </c>
      <c r="M2">
        <f>IF($L2="Fine",3.4*1.72,
IF($L2="Medium",2.6*1.72,
IF($L2="Coarse",3*1.72)))</f>
        <v>5.8479999999999999</v>
      </c>
      <c r="N2" t="s">
        <v>349</v>
      </c>
      <c r="O2" t="s">
        <v>350</v>
      </c>
      <c r="P2">
        <v>7</v>
      </c>
      <c r="Q2" t="str">
        <f>IF(AND(P2&gt;5.4,P2&lt;=7.3),"5.5 &lt; pH &lt;= 7.3",
IF(AND(P2&gt;7.3,P2&lt;=8.5),"7.3 &lt; pH &lt;= 8.5"))</f>
        <v>5.5 &lt; pH &lt;= 7.3</v>
      </c>
      <c r="R2" t="s">
        <v>351</v>
      </c>
      <c r="S2">
        <f>IF(AND((ISNUMBER(SEARCH("heavy",$A2))=TRUE),$F2="Winter wheat"),'BAU Management details'!$O$11,
IF(AND((ISNUMBER(SEARCH("medium",$A2))=TRUE),$F2="Winter wheat"),'BAU Management details'!$P$11,
IF(AND((ISNUMBER(SEARCH("light",$A2))=TRUE),$F2="Winter wheat"),'BAU Management details'!$Q$11,
IF($F2="Oilseed Rape",'BAU Management details'!$O$12))))</f>
        <v>240</v>
      </c>
      <c r="T2">
        <v>3</v>
      </c>
      <c r="U2" s="102">
        <f>IF(AND(ISNUMBER(SEARCH("L-Den",$A2))=TRUE,F2="Winter wheat"),'BAU Management details'!$AB$22,
IF(AND(ISNUMBER(SEARCH("H-Den",$A2))=TRUE,F2="Winter wheat"),'BAU Management details'!$AF$22,
IF(F2="Oilseed Rape",'BAU Management details'!$AB$30)))</f>
        <v>10.2576</v>
      </c>
      <c r="V2" t="s">
        <v>363</v>
      </c>
      <c r="W2">
        <v>1</v>
      </c>
      <c r="X2">
        <v>100</v>
      </c>
      <c r="Y2" t="s">
        <v>352</v>
      </c>
      <c r="Z2" t="s">
        <v>364</v>
      </c>
      <c r="AA2">
        <v>0</v>
      </c>
      <c r="AB2">
        <v>0</v>
      </c>
      <c r="AC2" s="102">
        <f>IF(AND(F2&lt;&gt;F1,$F2="Winter wheat"),1,
IF(AND(F2=F1,$F2="Winter wheat"),2,
IF($F2="Oilseed Rape",0)))</f>
        <v>1</v>
      </c>
      <c r="AD2">
        <v>0</v>
      </c>
      <c r="AE2" s="102">
        <f>IF(AG2=1,1,0)</f>
        <v>0</v>
      </c>
      <c r="AF2" s="102">
        <f>IF($AE2=1,0,
IF(F2="Oilseed Rape",0,
1))</f>
        <v>1</v>
      </c>
      <c r="AG2" s="102">
        <f>IF(AND(ISNUMBER(SEARCH("heavy",$A2))=TRUE,$F2="Winter wheat"),0,
IF(AND(ISNUMBER(SEARCH("medium",$A2))=TRUE,$F2="Winter wheat"),1,
IF(AND(ISNUMBER(SEARCH("light",$A2))=TRUE,$F2="Winter wheat"),1,
IF($F2="Oilseed Rape",0
))))</f>
        <v>0</v>
      </c>
      <c r="AH2">
        <v>0</v>
      </c>
      <c r="AI2">
        <v>2</v>
      </c>
      <c r="AJ2">
        <v>0</v>
      </c>
      <c r="AK2">
        <v>0</v>
      </c>
      <c r="AL2">
        <v>0</v>
      </c>
      <c r="AM2" s="102">
        <f>IF(AND(ISNUMBER(SEARCH("L-Den",$A2))=TRUE,$F2="Winter wheat"),'BAU Management details'!$F$32,
IF(AND(ISNUMBER(SEARCH("H-Den",$A2))=TRUE,$F2="Winter wheat"),'BAU Management details'!$G$32,
IF(AND(ISNUMBER(SEARCH("L-Den",$A2))=TRUE,$F2="Oilseed Rape"),'BAU Management details'!$F$33,
IF(AND(ISNUMBER(SEARCH("H-Den",$A2))=TRUE,$F2="Oilseed Rape"),'BAU Management details'!$G$33))))</f>
        <v>4</v>
      </c>
    </row>
    <row r="3" spans="1:39" x14ac:dyDescent="0.2">
      <c r="A3" t="s">
        <v>347</v>
      </c>
      <c r="B3" t="s">
        <v>361</v>
      </c>
      <c r="C3">
        <v>2020</v>
      </c>
      <c r="D3">
        <v>2</v>
      </c>
      <c r="E3" t="s">
        <v>347</v>
      </c>
      <c r="F3" t="s">
        <v>362</v>
      </c>
      <c r="G3">
        <v>7.2</v>
      </c>
      <c r="H3" s="20">
        <f>IF(AND(A3=A2,F3=F2,F3="Winter wheat"),G3*0.9*'BAU Management details'!$F$46,
IF(AND(OR(A3&lt;&gt;A2,F3&lt;&gt;F2),F3="Winter wheat"),G3*'BAU Management details'!$F$46,
IF(F3="Oilseed Rape",G3*'BAU Management details'!$F$47)))</f>
        <v>55.728000000000002</v>
      </c>
      <c r="I3" t="s">
        <v>348</v>
      </c>
      <c r="J3">
        <v>10</v>
      </c>
      <c r="K3" t="str">
        <f t="shared" ref="K3:K55" si="0">IF(F3="Winter wheat","Winter wheat",
IF(F3="Oilseed Rape","Other"))</f>
        <v>Winter wheat</v>
      </c>
      <c r="L3" t="str">
        <f t="shared" ref="L3:L55" si="1">IF(ISNUMBER(SEARCH("heavy",$A3))=TRUE,"Fine",
IF(ISNUMBER(SEARCH("medium",$A3))=TRUE,"Medium",
IF(ISNUMBER(SEARCH("light",$A3))=TRUE,"Coarse")))</f>
        <v>Fine</v>
      </c>
      <c r="M3">
        <f t="shared" ref="M3:M55" si="2">IF($L3="Fine",3.4*1.72,
IF($L3="Medium",2.6*1.72,
IF($L3="Coarse",3*1.72)))</f>
        <v>5.8479999999999999</v>
      </c>
      <c r="N3" t="s">
        <v>349</v>
      </c>
      <c r="O3" t="s">
        <v>350</v>
      </c>
      <c r="P3">
        <v>7</v>
      </c>
      <c r="Q3" t="str">
        <f>IF(AND(P3&gt;5.4,P3&lt;=7.3),"5.5 &lt; pH &lt;= 7.3",
IF(AND(P3&gt;7.3,P3&lt;=8.5),"7.3 &lt; pH &lt;= 8.5"))</f>
        <v>5.5 &lt; pH &lt;= 7.3</v>
      </c>
      <c r="R3" t="s">
        <v>351</v>
      </c>
      <c r="S3">
        <f>IF(AND((ISNUMBER(SEARCH("heavy",$A3))=TRUE),$F3="Winter wheat"),'BAU Management details'!$O$11,
IF(AND((ISNUMBER(SEARCH("medium",$A3))=TRUE),$F3="Winter wheat"),'BAU Management details'!$P$11,
IF(AND((ISNUMBER(SEARCH("light",$A3))=TRUE),$F3="Winter wheat"),'BAU Management details'!$Q$11,
IF($F3="Oilseed Rape",'BAU Management details'!$O$12))))</f>
        <v>240</v>
      </c>
      <c r="T3">
        <v>3</v>
      </c>
      <c r="U3" s="102">
        <f>IF(AND(ISNUMBER(SEARCH("L-Den",$A3))=TRUE,F3="Winter wheat"),'BAU Management details'!$AB$22,
IF(AND(ISNUMBER(SEARCH("H-Den",$A3))=TRUE,F3="Winter wheat"),'BAU Management details'!$AF$22,
IF(F3="Oilseed Rape",'BAU Management details'!$AB$30)))</f>
        <v>10.2576</v>
      </c>
      <c r="V3" t="s">
        <v>363</v>
      </c>
      <c r="W3">
        <v>1</v>
      </c>
      <c r="X3">
        <v>100</v>
      </c>
      <c r="Y3" t="s">
        <v>352</v>
      </c>
      <c r="Z3" t="s">
        <v>364</v>
      </c>
      <c r="AA3">
        <v>0</v>
      </c>
      <c r="AB3">
        <v>0</v>
      </c>
      <c r="AC3" s="102">
        <f>IF(AND(F3&lt;&gt;F2,$F3="Winter wheat"),1,
IF(AND(F3=F2,$F3="Winter wheat"),2,
IF($F3="Oilseed Rape",0)))</f>
        <v>2</v>
      </c>
      <c r="AD3">
        <v>0</v>
      </c>
      <c r="AE3" s="102">
        <f t="shared" ref="AE3:AE7" si="3">IF(AG3=1,1,0)</f>
        <v>0</v>
      </c>
      <c r="AF3" s="102">
        <f t="shared" ref="AF3:AF19" si="4">IF($AE3=1,0,
IF(F3="Oilseed Rape",0,
1))</f>
        <v>1</v>
      </c>
      <c r="AG3" s="102">
        <f t="shared" ref="AG3" si="5">IF(AND(ISNUMBER(SEARCH("heavy",$A3))=TRUE,$F3="Winter wheat"),0,
IF(AND(ISNUMBER(SEARCH("medium",$A3))=TRUE,$F3="Winter wheat"),1,
IF(AND(ISNUMBER(SEARCH("light",$A3))=TRUE,$F3="Winter wheat"),1,
IF($F3="Oilseed Rape",0
))))</f>
        <v>0</v>
      </c>
      <c r="AH3">
        <v>1</v>
      </c>
      <c r="AI3">
        <v>2</v>
      </c>
      <c r="AJ3">
        <v>0</v>
      </c>
      <c r="AK3">
        <v>0</v>
      </c>
      <c r="AL3">
        <v>0</v>
      </c>
      <c r="AM3" s="102">
        <f>IF(AND(ISNUMBER(SEARCH("L-Den",$A3))=TRUE,$F3="Winter wheat"),'BAU Management details'!$F$32,
IF(AND(ISNUMBER(SEARCH("H-Den",$A3))=TRUE,$F3="Winter wheat"),'BAU Management details'!$G$32,
IF(AND(ISNUMBER(SEARCH("L-Den",$A3))=TRUE,$F3="Oilseed Rape"),'BAU Management details'!$F$33,
IF(AND(ISNUMBER(SEARCH("H-Den",$A3))=TRUE,$F3="Oilseed Rape"),'BAU Management details'!$G$33))))</f>
        <v>4</v>
      </c>
    </row>
    <row r="4" spans="1:39" x14ac:dyDescent="0.2">
      <c r="A4" t="s">
        <v>347</v>
      </c>
      <c r="B4" t="s">
        <v>361</v>
      </c>
      <c r="C4">
        <v>2020</v>
      </c>
      <c r="D4">
        <v>3</v>
      </c>
      <c r="E4" t="s">
        <v>347</v>
      </c>
      <c r="F4" t="s">
        <v>365</v>
      </c>
      <c r="G4">
        <v>7.2</v>
      </c>
      <c r="H4" s="20">
        <f>IF(AND(A4=A3,F4=F3,F4="Winter wheat"),G4*0.9*'BAU Management details'!$F$46,
IF(AND(OR(A4&lt;&gt;A3,F4&lt;&gt;F3),F4="Winter wheat"),G4*'BAU Management details'!$F$46,
IF(F4="Oilseed Rape",G4*'BAU Management details'!$F$47)))</f>
        <v>25.2</v>
      </c>
      <c r="I4" t="s">
        <v>348</v>
      </c>
      <c r="J4">
        <v>10</v>
      </c>
      <c r="K4" t="str">
        <f t="shared" si="0"/>
        <v>Other</v>
      </c>
      <c r="L4" t="str">
        <f t="shared" si="1"/>
        <v>Fine</v>
      </c>
      <c r="M4">
        <f t="shared" si="2"/>
        <v>5.8479999999999999</v>
      </c>
      <c r="N4" t="s">
        <v>349</v>
      </c>
      <c r="O4" t="s">
        <v>350</v>
      </c>
      <c r="P4">
        <v>7</v>
      </c>
      <c r="Q4" t="str">
        <f t="shared" ref="Q4:Q55" si="6">IF(AND(P4&gt;5.4,P4&lt;=7.3),"5.5 &lt; pH &lt;= 7.3",
IF(AND(P4&gt;7.3,P4&lt;=8.5),"7.3 &lt; pH &lt;= 8.5"))</f>
        <v>5.5 &lt; pH &lt;= 7.3</v>
      </c>
      <c r="R4" t="s">
        <v>351</v>
      </c>
      <c r="S4">
        <f>IF(AND((ISNUMBER(SEARCH("heavy",$A4))=TRUE),$F4="Winter wheat"),'BAU Management details'!$O$11,
IF(AND((ISNUMBER(SEARCH("medium",$A4))=TRUE),$F4="Winter wheat"),'BAU Management details'!$P$11,
IF(AND((ISNUMBER(SEARCH("light",$A4))=TRUE),$F4="Winter wheat"),'BAU Management details'!$Q$11,
IF($F4="Oilseed Rape",'BAU Management details'!$O$12))))</f>
        <v>190</v>
      </c>
      <c r="T4">
        <v>3</v>
      </c>
      <c r="U4" s="102">
        <f>IF(AND(ISNUMBER(SEARCH("L-Den",$A4))=TRUE,F4="Winter wheat"),'BAU Management details'!$AB$22,
IF(AND(ISNUMBER(SEARCH("H-Den",$A4))=TRUE,F4="Winter wheat"),'BAU Management details'!$AF$22,
IF(F4="Oilseed Rape",'BAU Management details'!$AB$30)))</f>
        <v>2</v>
      </c>
      <c r="V4" t="s">
        <v>363</v>
      </c>
      <c r="W4">
        <v>1</v>
      </c>
      <c r="X4">
        <v>100</v>
      </c>
      <c r="Y4" t="s">
        <v>352</v>
      </c>
      <c r="Z4" t="s">
        <v>364</v>
      </c>
      <c r="AA4">
        <v>0</v>
      </c>
      <c r="AB4">
        <v>0</v>
      </c>
      <c r="AC4" s="102">
        <f t="shared" ref="AC4:AC55" si="7">IF(AND(F4&lt;&gt;F3,$F4="Winter wheat"),1,
IF(AND(F4=F3,$F4="Winter wheat"),2,
IF($F4="Oilseed Rape",0)))</f>
        <v>0</v>
      </c>
      <c r="AD4">
        <v>0</v>
      </c>
      <c r="AE4" s="102">
        <f t="shared" si="3"/>
        <v>0</v>
      </c>
      <c r="AF4" s="102">
        <f t="shared" si="4"/>
        <v>0</v>
      </c>
      <c r="AG4" s="102">
        <f t="shared" ref="AG4:AG19" si="8">IF(AND(ISNUMBER(SEARCH("heavy",$A4))=TRUE,$F4="Winter wheat"),0,
IF(AND(F4=F3,ISNUMBER(SEARCH("medium",$A4))=TRUE,$F4="Winter wheat"),1,
IF(AND(F4=F3,ISNUMBER(SEARCH("light",$A4))=TRUE,$F4="Winter wheat"),1,
IF(AND(F4&lt;&gt;F3,ISNUMBER(SEARCH("medium",$A4))=TRUE,$F4="Winter wheat"),0,
IF(AND(F4&lt;&gt;F3,ISNUMBER(SEARCH("light",$A4))=TRUE,$F4="Winter wheat"),0,
IF($F4="Oilseed Rape",0
))))))</f>
        <v>0</v>
      </c>
      <c r="AH4">
        <v>0</v>
      </c>
      <c r="AI4">
        <v>1</v>
      </c>
      <c r="AJ4">
        <v>0</v>
      </c>
      <c r="AK4">
        <v>1</v>
      </c>
      <c r="AL4">
        <v>0</v>
      </c>
      <c r="AM4" s="102">
        <f>IF(AND(ISNUMBER(SEARCH("L-Den",$A4))=TRUE,$F4="Winter wheat"),'BAU Management details'!$F$32,
IF(AND(ISNUMBER(SEARCH("H-Den",$A4))=TRUE,$F4="Winter wheat"),'BAU Management details'!$G$32,
IF(AND(ISNUMBER(SEARCH("L-Den",$A4))=TRUE,$F4="Oilseed Rape"),'BAU Management details'!$F$33,
IF(AND(ISNUMBER(SEARCH("H-Den",$A4))=TRUE,$F4="Oilseed Rape"),'BAU Management details'!$G$33))))</f>
        <v>3</v>
      </c>
    </row>
    <row r="5" spans="1:39" x14ac:dyDescent="0.2">
      <c r="A5" t="s">
        <v>347</v>
      </c>
      <c r="B5" t="s">
        <v>361</v>
      </c>
      <c r="C5">
        <v>2020</v>
      </c>
      <c r="D5">
        <v>4</v>
      </c>
      <c r="E5" t="s">
        <v>347</v>
      </c>
      <c r="F5" t="s">
        <v>362</v>
      </c>
      <c r="G5">
        <v>7.2</v>
      </c>
      <c r="H5" s="20">
        <f>IF(AND(A5=A4,F5=F4,F5="Winter wheat"),G5*0.9*'BAU Management details'!$F$46,
IF(AND(OR(A5&lt;&gt;A4,F5&lt;&gt;F4),F5="Winter wheat"),G5*'BAU Management details'!$F$46,
IF(F5="Oilseed Rape",G5*'BAU Management details'!$F$47)))</f>
        <v>61.92</v>
      </c>
      <c r="I5" t="s">
        <v>348</v>
      </c>
      <c r="J5">
        <v>10</v>
      </c>
      <c r="K5" t="str">
        <f>IF(F5="Winter wheat","Winter wheat",
IF(F5="Oilseed Rape","Other"))</f>
        <v>Winter wheat</v>
      </c>
      <c r="L5" t="str">
        <f t="shared" si="1"/>
        <v>Fine</v>
      </c>
      <c r="M5">
        <f t="shared" si="2"/>
        <v>5.8479999999999999</v>
      </c>
      <c r="N5" t="s">
        <v>349</v>
      </c>
      <c r="O5" t="s">
        <v>350</v>
      </c>
      <c r="P5">
        <v>7</v>
      </c>
      <c r="Q5" t="str">
        <f t="shared" si="6"/>
        <v>5.5 &lt; pH &lt;= 7.3</v>
      </c>
      <c r="R5" t="s">
        <v>351</v>
      </c>
      <c r="S5">
        <f>IF(AND((ISNUMBER(SEARCH("heavy",$A5))=TRUE),$F5="Winter wheat"),'BAU Management details'!$O$11,
IF(AND((ISNUMBER(SEARCH("medium",$A5))=TRUE),$F5="Winter wheat"),'BAU Management details'!$P$11,
IF(AND((ISNUMBER(SEARCH("light",$A5))=TRUE),$F5="Winter wheat"),'BAU Management details'!$Q$11,
IF($F5="Oilseed Rape",'BAU Management details'!$O$12))))</f>
        <v>240</v>
      </c>
      <c r="T5">
        <v>3</v>
      </c>
      <c r="U5" s="102">
        <f>IF(AND(ISNUMBER(SEARCH("L-Den",$A5))=TRUE,F5="Winter wheat"),'BAU Management details'!$AB$22,
IF(AND(ISNUMBER(SEARCH("H-Den",$A5))=TRUE,F5="Winter wheat"),'BAU Management details'!$AF$22,
IF(F5="Oilseed Rape",'BAU Management details'!$AB$30)))</f>
        <v>10.2576</v>
      </c>
      <c r="V5" t="s">
        <v>363</v>
      </c>
      <c r="W5">
        <v>1</v>
      </c>
      <c r="X5">
        <v>100</v>
      </c>
      <c r="Y5" t="s">
        <v>352</v>
      </c>
      <c r="Z5" t="s">
        <v>364</v>
      </c>
      <c r="AA5">
        <v>0</v>
      </c>
      <c r="AB5">
        <v>0</v>
      </c>
      <c r="AC5" s="102">
        <f t="shared" si="7"/>
        <v>1</v>
      </c>
      <c r="AD5">
        <v>0</v>
      </c>
      <c r="AE5" s="102">
        <f t="shared" si="3"/>
        <v>0</v>
      </c>
      <c r="AF5" s="102">
        <f t="shared" si="4"/>
        <v>1</v>
      </c>
      <c r="AG5" s="102">
        <f t="shared" si="8"/>
        <v>0</v>
      </c>
      <c r="AH5">
        <v>0</v>
      </c>
      <c r="AI5">
        <v>2</v>
      </c>
      <c r="AJ5">
        <v>0</v>
      </c>
      <c r="AK5">
        <v>0</v>
      </c>
      <c r="AL5">
        <v>0</v>
      </c>
      <c r="AM5" s="102">
        <f>IF(AND(ISNUMBER(SEARCH("L-Den",$A5))=TRUE,$F5="Winter wheat"),'BAU Management details'!$F$32,
IF(AND(ISNUMBER(SEARCH("H-Den",$A5))=TRUE,$F5="Winter wheat"),'BAU Management details'!$G$32,
IF(AND(ISNUMBER(SEARCH("L-Den",$A5))=TRUE,$F5="Oilseed Rape"),'BAU Management details'!$F$33,
IF(AND(ISNUMBER(SEARCH("H-Den",$A5))=TRUE,$F5="Oilseed Rape"),'BAU Management details'!$G$33))))</f>
        <v>4</v>
      </c>
    </row>
    <row r="6" spans="1:39" x14ac:dyDescent="0.2">
      <c r="A6" t="s">
        <v>347</v>
      </c>
      <c r="B6" t="s">
        <v>361</v>
      </c>
      <c r="C6">
        <v>2020</v>
      </c>
      <c r="D6">
        <v>5</v>
      </c>
      <c r="E6" t="s">
        <v>347</v>
      </c>
      <c r="F6" t="s">
        <v>362</v>
      </c>
      <c r="G6">
        <v>7.2</v>
      </c>
      <c r="H6" s="20">
        <f>IF(AND(A6=A5,F6=F5,F6="Winter wheat"),G6*0.9*'BAU Management details'!$F$46,
IF(AND(OR(A6&lt;&gt;A5,F6&lt;&gt;F5),F6="Winter wheat"),G6*'BAU Management details'!$F$46,
IF(F6="Oilseed Rape",G6*'BAU Management details'!$F$47)))</f>
        <v>55.728000000000002</v>
      </c>
      <c r="I6" t="s">
        <v>348</v>
      </c>
      <c r="J6">
        <v>10</v>
      </c>
      <c r="K6" t="str">
        <f t="shared" si="0"/>
        <v>Winter wheat</v>
      </c>
      <c r="L6" t="str">
        <f t="shared" si="1"/>
        <v>Fine</v>
      </c>
      <c r="M6">
        <f t="shared" si="2"/>
        <v>5.8479999999999999</v>
      </c>
      <c r="N6" t="s">
        <v>349</v>
      </c>
      <c r="O6" t="s">
        <v>350</v>
      </c>
      <c r="P6">
        <v>7</v>
      </c>
      <c r="Q6" t="str">
        <f t="shared" si="6"/>
        <v>5.5 &lt; pH &lt;= 7.3</v>
      </c>
      <c r="R6" t="s">
        <v>351</v>
      </c>
      <c r="S6">
        <f>IF(AND((ISNUMBER(SEARCH("heavy",$A6))=TRUE),$F6="Winter wheat"),'BAU Management details'!$O$11,
IF(AND((ISNUMBER(SEARCH("medium",$A6))=TRUE),$F6="Winter wheat"),'BAU Management details'!$P$11,
IF(AND((ISNUMBER(SEARCH("light",$A6))=TRUE),$F6="Winter wheat"),'BAU Management details'!$Q$11,
IF($F6="Oilseed Rape",'BAU Management details'!$O$12))))</f>
        <v>240</v>
      </c>
      <c r="T6">
        <v>3</v>
      </c>
      <c r="U6" s="102">
        <f>IF(AND(ISNUMBER(SEARCH("L-Den",$A6))=TRUE,F6="Winter wheat"),'BAU Management details'!$AB$22,
IF(AND(ISNUMBER(SEARCH("H-Den",$A6))=TRUE,F6="Winter wheat"),'BAU Management details'!$AF$22,
IF(F6="Oilseed Rape",'BAU Management details'!$AB$30)))</f>
        <v>10.2576</v>
      </c>
      <c r="V6" t="s">
        <v>363</v>
      </c>
      <c r="W6">
        <v>1</v>
      </c>
      <c r="X6">
        <v>100</v>
      </c>
      <c r="Y6" t="s">
        <v>352</v>
      </c>
      <c r="Z6" t="s">
        <v>364</v>
      </c>
      <c r="AA6">
        <v>0</v>
      </c>
      <c r="AB6">
        <v>0</v>
      </c>
      <c r="AC6" s="102">
        <f t="shared" si="7"/>
        <v>2</v>
      </c>
      <c r="AD6">
        <v>0</v>
      </c>
      <c r="AE6" s="102">
        <f t="shared" si="3"/>
        <v>0</v>
      </c>
      <c r="AF6" s="102">
        <f t="shared" si="4"/>
        <v>1</v>
      </c>
      <c r="AG6" s="102">
        <f t="shared" si="8"/>
        <v>0</v>
      </c>
      <c r="AH6">
        <v>1</v>
      </c>
      <c r="AI6">
        <v>2</v>
      </c>
      <c r="AJ6">
        <v>0</v>
      </c>
      <c r="AK6">
        <v>0</v>
      </c>
      <c r="AL6">
        <v>0</v>
      </c>
      <c r="AM6" s="102">
        <f>IF(AND(ISNUMBER(SEARCH("L-Den",$A6))=TRUE,$F6="Winter wheat"),'BAU Management details'!$F$32,
IF(AND(ISNUMBER(SEARCH("H-Den",$A6))=TRUE,$F6="Winter wheat"),'BAU Management details'!$G$32,
IF(AND(ISNUMBER(SEARCH("L-Den",$A6))=TRUE,$F6="Oilseed Rape"),'BAU Management details'!$F$33,
IF(AND(ISNUMBER(SEARCH("H-Den",$A6))=TRUE,$F6="Oilseed Rape"),'BAU Management details'!$G$33))))</f>
        <v>4</v>
      </c>
    </row>
    <row r="7" spans="1:39" x14ac:dyDescent="0.2">
      <c r="A7" t="s">
        <v>347</v>
      </c>
      <c r="B7" t="s">
        <v>361</v>
      </c>
      <c r="C7">
        <v>2020</v>
      </c>
      <c r="D7">
        <v>6</v>
      </c>
      <c r="E7" t="s">
        <v>347</v>
      </c>
      <c r="F7" t="s">
        <v>365</v>
      </c>
      <c r="G7">
        <v>7.2</v>
      </c>
      <c r="H7" s="20">
        <f>IF(AND(A7=A6,F7=F6,F7="Winter wheat"),G7*0.9*'BAU Management details'!$F$46,
IF(AND(OR(A7&lt;&gt;A6,F7&lt;&gt;F6),F7="Winter wheat"),G7*'BAU Management details'!$F$46,
IF(F7="Oilseed Rape",G7*'BAU Management details'!$F$47)))</f>
        <v>25.2</v>
      </c>
      <c r="I7" t="s">
        <v>348</v>
      </c>
      <c r="J7">
        <v>10</v>
      </c>
      <c r="K7" t="str">
        <f t="shared" si="0"/>
        <v>Other</v>
      </c>
      <c r="L7" t="str">
        <f t="shared" si="1"/>
        <v>Fine</v>
      </c>
      <c r="M7">
        <f t="shared" si="2"/>
        <v>5.8479999999999999</v>
      </c>
      <c r="N7" t="s">
        <v>349</v>
      </c>
      <c r="O7" t="s">
        <v>350</v>
      </c>
      <c r="P7">
        <v>7</v>
      </c>
      <c r="Q7" t="str">
        <f t="shared" si="6"/>
        <v>5.5 &lt; pH &lt;= 7.3</v>
      </c>
      <c r="R7" t="s">
        <v>351</v>
      </c>
      <c r="S7">
        <f>IF(AND((ISNUMBER(SEARCH("heavy",$A7))=TRUE),$F7="Winter wheat"),'BAU Management details'!$O$11,
IF(AND((ISNUMBER(SEARCH("medium",$A7))=TRUE),$F7="Winter wheat"),'BAU Management details'!$P$11,
IF(AND((ISNUMBER(SEARCH("light",$A7))=TRUE),$F7="Winter wheat"),'BAU Management details'!$Q$11,
IF($F7="Oilseed Rape",'BAU Management details'!$O$12))))</f>
        <v>190</v>
      </c>
      <c r="T7">
        <v>3</v>
      </c>
      <c r="U7" s="102">
        <f>IF(AND(ISNUMBER(SEARCH("L-Den",$A7))=TRUE,F7="Winter wheat"),'BAU Management details'!$AB$22,
IF(AND(ISNUMBER(SEARCH("H-Den",$A7))=TRUE,F7="Winter wheat"),'BAU Management details'!$AF$22,
IF(F7="Oilseed Rape",'BAU Management details'!$AB$30)))</f>
        <v>2</v>
      </c>
      <c r="V7" t="s">
        <v>363</v>
      </c>
      <c r="W7">
        <v>1</v>
      </c>
      <c r="X7">
        <v>100</v>
      </c>
      <c r="Y7" t="s">
        <v>352</v>
      </c>
      <c r="Z7" t="s">
        <v>364</v>
      </c>
      <c r="AA7">
        <v>0</v>
      </c>
      <c r="AB7">
        <v>0</v>
      </c>
      <c r="AC7" s="102">
        <f t="shared" si="7"/>
        <v>0</v>
      </c>
      <c r="AD7">
        <v>0</v>
      </c>
      <c r="AE7" s="102">
        <f t="shared" si="3"/>
        <v>0</v>
      </c>
      <c r="AF7" s="102">
        <f t="shared" si="4"/>
        <v>0</v>
      </c>
      <c r="AG7" s="102">
        <f t="shared" si="8"/>
        <v>0</v>
      </c>
      <c r="AH7">
        <v>0</v>
      </c>
      <c r="AI7">
        <v>1</v>
      </c>
      <c r="AJ7">
        <v>0</v>
      </c>
      <c r="AK7">
        <v>1</v>
      </c>
      <c r="AL7">
        <v>0</v>
      </c>
      <c r="AM7" s="102">
        <f>IF(AND(ISNUMBER(SEARCH("L-Den",$A7))=TRUE,$F7="Winter wheat"),'BAU Management details'!$F$32,
IF(AND(ISNUMBER(SEARCH("H-Den",$A7))=TRUE,$F7="Winter wheat"),'BAU Management details'!$G$32,
IF(AND(ISNUMBER(SEARCH("L-Den",$A7))=TRUE,$F7="Oilseed Rape"),'BAU Management details'!$F$33,
IF(AND(ISNUMBER(SEARCH("H-Den",$A7))=TRUE,$F7="Oilseed Rape"),'BAU Management details'!$G$33))))</f>
        <v>3</v>
      </c>
    </row>
    <row r="8" spans="1:39" x14ac:dyDescent="0.2">
      <c r="A8" t="s">
        <v>353</v>
      </c>
      <c r="B8" t="s">
        <v>361</v>
      </c>
      <c r="C8">
        <v>2020</v>
      </c>
      <c r="D8">
        <v>1</v>
      </c>
      <c r="E8" t="s">
        <v>353</v>
      </c>
      <c r="F8" t="s">
        <v>362</v>
      </c>
      <c r="G8">
        <v>7.2</v>
      </c>
      <c r="H8" s="20">
        <f>IF(AND(A8=A7,F8=F7,F8="Winter wheat"),G8*0.9*'BAU Management details'!$F$46,
IF(AND(OR(A8&lt;&gt;A7,F8&lt;&gt;F7),F8="Winter wheat"),G8*'BAU Management details'!$F$46,
IF(F8="Oilseed Rape",G8*'BAU Management details'!$F$47)))</f>
        <v>61.92</v>
      </c>
      <c r="I8" t="s">
        <v>348</v>
      </c>
      <c r="J8">
        <v>10</v>
      </c>
      <c r="K8" t="str">
        <f t="shared" si="0"/>
        <v>Winter wheat</v>
      </c>
      <c r="L8" t="str">
        <f t="shared" si="1"/>
        <v>Fine</v>
      </c>
      <c r="M8">
        <f t="shared" si="2"/>
        <v>5.8479999999999999</v>
      </c>
      <c r="N8" t="s">
        <v>349</v>
      </c>
      <c r="O8" t="s">
        <v>350</v>
      </c>
      <c r="P8">
        <v>7</v>
      </c>
      <c r="Q8" t="str">
        <f t="shared" si="6"/>
        <v>5.5 &lt; pH &lt;= 7.3</v>
      </c>
      <c r="R8" t="s">
        <v>351</v>
      </c>
      <c r="S8">
        <f>IF(AND((ISNUMBER(SEARCH("heavy",$A8))=TRUE),$F8="Winter wheat"),'BAU Management details'!$O$11,
IF(AND((ISNUMBER(SEARCH("medium",$A8))=TRUE),$F8="Winter wheat"),'BAU Management details'!$P$11,
IF(AND((ISNUMBER(SEARCH("light",$A8))=TRUE),$F8="Winter wheat"),'BAU Management details'!$Q$11,
IF($F8="Oilseed Rape",'BAU Management details'!$O$12))))</f>
        <v>240</v>
      </c>
      <c r="T8">
        <v>3</v>
      </c>
      <c r="U8" s="102">
        <f>IF(AND(ISNUMBER(SEARCH("L-Den",$A8))=TRUE,F8="Winter wheat"),'BAU Management details'!$AB$22,
IF(AND(ISNUMBER(SEARCH("H-Den",$A8))=TRUE,F8="Winter wheat"),'BAU Management details'!$AF$22,
IF(F8="Oilseed Rape",'BAU Management details'!$AB$30)))</f>
        <v>8.8176000000000005</v>
      </c>
      <c r="V8" t="s">
        <v>363</v>
      </c>
      <c r="W8">
        <v>1</v>
      </c>
      <c r="X8">
        <v>100</v>
      </c>
      <c r="Y8" t="s">
        <v>352</v>
      </c>
      <c r="Z8" t="s">
        <v>364</v>
      </c>
      <c r="AA8">
        <v>0</v>
      </c>
      <c r="AB8">
        <v>0</v>
      </c>
      <c r="AC8" s="102">
        <f t="shared" si="7"/>
        <v>1</v>
      </c>
      <c r="AD8">
        <v>0</v>
      </c>
      <c r="AE8" s="102">
        <f>IF(AG8=1,1,0)</f>
        <v>0</v>
      </c>
      <c r="AF8" s="102">
        <f t="shared" si="4"/>
        <v>1</v>
      </c>
      <c r="AG8" s="102">
        <f t="shared" si="8"/>
        <v>0</v>
      </c>
      <c r="AH8">
        <v>0</v>
      </c>
      <c r="AI8">
        <v>2</v>
      </c>
      <c r="AJ8">
        <v>0</v>
      </c>
      <c r="AK8">
        <v>0</v>
      </c>
      <c r="AL8">
        <v>0</v>
      </c>
      <c r="AM8" s="102">
        <f>IF(AND(ISNUMBER(SEARCH("L-Den",$A8))=TRUE,$F8="Winter wheat"),'BAU Management details'!$F$32,
IF(AND(ISNUMBER(SEARCH("H-Den",$A8))=TRUE,$F8="Winter wheat"),'BAU Management details'!$G$32,
IF(AND(ISNUMBER(SEARCH("L-Den",$A8))=TRUE,$F8="Oilseed Rape"),'BAU Management details'!$F$33,
IF(AND(ISNUMBER(SEARCH("H-Den",$A8))=TRUE,$F8="Oilseed Rape"),'BAU Management details'!$G$33))))</f>
        <v>4</v>
      </c>
    </row>
    <row r="9" spans="1:39" x14ac:dyDescent="0.2">
      <c r="A9" t="s">
        <v>353</v>
      </c>
      <c r="B9" t="s">
        <v>361</v>
      </c>
      <c r="C9">
        <v>2020</v>
      </c>
      <c r="D9">
        <v>2</v>
      </c>
      <c r="E9" t="s">
        <v>353</v>
      </c>
      <c r="F9" t="s">
        <v>362</v>
      </c>
      <c r="G9">
        <v>7.2</v>
      </c>
      <c r="H9" s="20">
        <f>IF(AND(A9=A8,F9=F8,F9="Winter wheat"),G9*0.9*'BAU Management details'!$F$46,
IF(AND(OR(A9&lt;&gt;A8,F9&lt;&gt;F8),F9="Winter wheat"),G9*'BAU Management details'!$F$46,
IF(F9="Oilseed Rape",G9*'BAU Management details'!$F$47)))</f>
        <v>55.728000000000002</v>
      </c>
      <c r="I9" t="s">
        <v>348</v>
      </c>
      <c r="J9">
        <v>10</v>
      </c>
      <c r="K9" t="str">
        <f t="shared" si="0"/>
        <v>Winter wheat</v>
      </c>
      <c r="L9" t="str">
        <f t="shared" si="1"/>
        <v>Fine</v>
      </c>
      <c r="M9">
        <f t="shared" si="2"/>
        <v>5.8479999999999999</v>
      </c>
      <c r="N9" t="s">
        <v>349</v>
      </c>
      <c r="O9" t="s">
        <v>350</v>
      </c>
      <c r="P9">
        <v>7</v>
      </c>
      <c r="Q9" t="str">
        <f t="shared" si="6"/>
        <v>5.5 &lt; pH &lt;= 7.3</v>
      </c>
      <c r="R9" t="s">
        <v>351</v>
      </c>
      <c r="S9">
        <f>IF(AND((ISNUMBER(SEARCH("heavy",$A9))=TRUE),$F9="Winter wheat"),'BAU Management details'!$O$11,
IF(AND((ISNUMBER(SEARCH("medium",$A9))=TRUE),$F9="Winter wheat"),'BAU Management details'!$P$11,
IF(AND((ISNUMBER(SEARCH("light",$A9))=TRUE),$F9="Winter wheat"),'BAU Management details'!$Q$11,
IF($F9="Oilseed Rape",'BAU Management details'!$O$12))))</f>
        <v>240</v>
      </c>
      <c r="T9">
        <v>3</v>
      </c>
      <c r="U9" s="102">
        <f>IF(AND(ISNUMBER(SEARCH("L-Den",$A9))=TRUE,F9="Winter wheat"),'BAU Management details'!$AB$22,
IF(AND(ISNUMBER(SEARCH("H-Den",$A9))=TRUE,F9="Winter wheat"),'BAU Management details'!$AF$22,
IF(F9="Oilseed Rape",'BAU Management details'!$AB$30)))</f>
        <v>8.8176000000000005</v>
      </c>
      <c r="V9" t="s">
        <v>363</v>
      </c>
      <c r="W9">
        <v>1</v>
      </c>
      <c r="X9">
        <v>100</v>
      </c>
      <c r="Y9" t="s">
        <v>352</v>
      </c>
      <c r="Z9" t="s">
        <v>364</v>
      </c>
      <c r="AA9">
        <v>0</v>
      </c>
      <c r="AB9">
        <v>0</v>
      </c>
      <c r="AC9" s="102">
        <f t="shared" si="7"/>
        <v>2</v>
      </c>
      <c r="AD9">
        <v>0</v>
      </c>
      <c r="AE9" s="102">
        <f t="shared" ref="AE9:AE13" si="9">IF(AG9=1,1,0)</f>
        <v>0</v>
      </c>
      <c r="AF9" s="102">
        <f t="shared" si="4"/>
        <v>1</v>
      </c>
      <c r="AG9" s="102">
        <f t="shared" si="8"/>
        <v>0</v>
      </c>
      <c r="AH9">
        <v>1</v>
      </c>
      <c r="AI9">
        <v>2</v>
      </c>
      <c r="AJ9">
        <v>0</v>
      </c>
      <c r="AK9">
        <v>0</v>
      </c>
      <c r="AL9">
        <v>0</v>
      </c>
      <c r="AM9" s="102">
        <f>IF(AND(ISNUMBER(SEARCH("L-Den",$A9))=TRUE,$F9="Winter wheat"),'BAU Management details'!$F$32,
IF(AND(ISNUMBER(SEARCH("H-Den",$A9))=TRUE,$F9="Winter wheat"),'BAU Management details'!$G$32,
IF(AND(ISNUMBER(SEARCH("L-Den",$A9))=TRUE,$F9="Oilseed Rape"),'BAU Management details'!$F$33,
IF(AND(ISNUMBER(SEARCH("H-Den",$A9))=TRUE,$F9="Oilseed Rape"),'BAU Management details'!$G$33))))</f>
        <v>4</v>
      </c>
    </row>
    <row r="10" spans="1:39" x14ac:dyDescent="0.2">
      <c r="A10" t="s">
        <v>353</v>
      </c>
      <c r="B10" t="s">
        <v>361</v>
      </c>
      <c r="C10">
        <v>2020</v>
      </c>
      <c r="D10">
        <v>3</v>
      </c>
      <c r="E10" t="s">
        <v>353</v>
      </c>
      <c r="F10" t="s">
        <v>365</v>
      </c>
      <c r="G10">
        <v>7.2</v>
      </c>
      <c r="H10" s="20">
        <f>IF(AND(A10=A9,F10=F9,F10="Winter wheat"),G10*0.9*'BAU Management details'!$F$46,
IF(AND(OR(A10&lt;&gt;A9,F10&lt;&gt;F9),F10="Winter wheat"),G10*'BAU Management details'!$F$46,
IF(F10="Oilseed Rape",G10*'BAU Management details'!$F$47)))</f>
        <v>25.2</v>
      </c>
      <c r="I10" t="s">
        <v>348</v>
      </c>
      <c r="J10">
        <v>10</v>
      </c>
      <c r="K10" t="str">
        <f t="shared" si="0"/>
        <v>Other</v>
      </c>
      <c r="L10" t="str">
        <f t="shared" si="1"/>
        <v>Fine</v>
      </c>
      <c r="M10">
        <f t="shared" si="2"/>
        <v>5.8479999999999999</v>
      </c>
      <c r="N10" t="s">
        <v>349</v>
      </c>
      <c r="O10" t="s">
        <v>350</v>
      </c>
      <c r="P10">
        <v>7</v>
      </c>
      <c r="Q10" t="str">
        <f t="shared" si="6"/>
        <v>5.5 &lt; pH &lt;= 7.3</v>
      </c>
      <c r="R10" t="s">
        <v>351</v>
      </c>
      <c r="S10">
        <f>IF(AND((ISNUMBER(SEARCH("heavy",$A10))=TRUE),$F10="Winter wheat"),'BAU Management details'!$O$11,
IF(AND((ISNUMBER(SEARCH("medium",$A10))=TRUE),$F10="Winter wheat"),'BAU Management details'!$P$11,
IF(AND((ISNUMBER(SEARCH("light",$A10))=TRUE),$F10="Winter wheat"),'BAU Management details'!$Q$11,
IF($F10="Oilseed Rape",'BAU Management details'!$O$12))))</f>
        <v>190</v>
      </c>
      <c r="T10">
        <v>3</v>
      </c>
      <c r="U10" s="102">
        <f>IF(AND(ISNUMBER(SEARCH("L-Den",$A10))=TRUE,F10="Winter wheat"),'BAU Management details'!$AB$22,
IF(AND(ISNUMBER(SEARCH("H-Den",$A10))=TRUE,F10="Winter wheat"),'BAU Management details'!$AF$22,
IF(F10="Oilseed Rape",'BAU Management details'!$AB$30)))</f>
        <v>2</v>
      </c>
      <c r="V10" t="s">
        <v>363</v>
      </c>
      <c r="W10">
        <v>1</v>
      </c>
      <c r="X10">
        <v>100</v>
      </c>
      <c r="Y10" t="s">
        <v>352</v>
      </c>
      <c r="Z10" t="s">
        <v>364</v>
      </c>
      <c r="AA10">
        <v>0</v>
      </c>
      <c r="AB10">
        <v>0</v>
      </c>
      <c r="AC10" s="102">
        <f t="shared" si="7"/>
        <v>0</v>
      </c>
      <c r="AD10">
        <v>0</v>
      </c>
      <c r="AE10" s="102">
        <f t="shared" si="9"/>
        <v>0</v>
      </c>
      <c r="AF10" s="102">
        <f t="shared" si="4"/>
        <v>0</v>
      </c>
      <c r="AG10" s="102">
        <f t="shared" si="8"/>
        <v>0</v>
      </c>
      <c r="AH10">
        <v>0</v>
      </c>
      <c r="AI10">
        <v>1</v>
      </c>
      <c r="AJ10">
        <v>0</v>
      </c>
      <c r="AK10">
        <v>1</v>
      </c>
      <c r="AL10">
        <v>0</v>
      </c>
      <c r="AM10" s="102">
        <f>IF(AND(ISNUMBER(SEARCH("L-Den",$A10))=TRUE,$F10="Winter wheat"),'BAU Management details'!$F$32,
IF(AND(ISNUMBER(SEARCH("H-Den",$A10))=TRUE,$F10="Winter wheat"),'BAU Management details'!$G$32,
IF(AND(ISNUMBER(SEARCH("L-Den",$A10))=TRUE,$F10="Oilseed Rape"),'BAU Management details'!$F$33,
IF(AND(ISNUMBER(SEARCH("H-Den",$A10))=TRUE,$F10="Oilseed Rape"),'BAU Management details'!$G$33))))</f>
        <v>3</v>
      </c>
    </row>
    <row r="11" spans="1:39" x14ac:dyDescent="0.2">
      <c r="A11" t="s">
        <v>353</v>
      </c>
      <c r="B11" t="s">
        <v>361</v>
      </c>
      <c r="C11">
        <v>2020</v>
      </c>
      <c r="D11">
        <v>4</v>
      </c>
      <c r="E11" t="s">
        <v>353</v>
      </c>
      <c r="F11" t="s">
        <v>362</v>
      </c>
      <c r="G11">
        <v>7.2</v>
      </c>
      <c r="H11" s="20">
        <f>IF(AND(A11=A10,F11=F10,F11="Winter wheat"),G11*0.9*'BAU Management details'!$F$46,
IF(AND(OR(A11&lt;&gt;A10,F11&lt;&gt;F10),F11="Winter wheat"),G11*'BAU Management details'!$F$46,
IF(F11="Oilseed Rape",G11*'BAU Management details'!$F$47)))</f>
        <v>61.92</v>
      </c>
      <c r="I11" t="s">
        <v>348</v>
      </c>
      <c r="J11">
        <v>10</v>
      </c>
      <c r="K11" t="str">
        <f t="shared" si="0"/>
        <v>Winter wheat</v>
      </c>
      <c r="L11" t="str">
        <f t="shared" si="1"/>
        <v>Fine</v>
      </c>
      <c r="M11">
        <f t="shared" si="2"/>
        <v>5.8479999999999999</v>
      </c>
      <c r="N11" t="s">
        <v>349</v>
      </c>
      <c r="O11" t="s">
        <v>350</v>
      </c>
      <c r="P11">
        <v>7</v>
      </c>
      <c r="Q11" t="str">
        <f t="shared" si="6"/>
        <v>5.5 &lt; pH &lt;= 7.3</v>
      </c>
      <c r="R11" t="s">
        <v>351</v>
      </c>
      <c r="S11">
        <f>IF(AND((ISNUMBER(SEARCH("heavy",$A11))=TRUE),$F11="Winter wheat"),'BAU Management details'!$O$11,
IF(AND((ISNUMBER(SEARCH("medium",$A11))=TRUE),$F11="Winter wheat"),'BAU Management details'!$P$11,
IF(AND((ISNUMBER(SEARCH("light",$A11))=TRUE),$F11="Winter wheat"),'BAU Management details'!$Q$11,
IF($F11="Oilseed Rape",'BAU Management details'!$O$12))))</f>
        <v>240</v>
      </c>
      <c r="T11">
        <v>3</v>
      </c>
      <c r="U11" s="102">
        <f>IF(AND(ISNUMBER(SEARCH("L-Den",$A11))=TRUE,F11="Winter wheat"),'BAU Management details'!$AB$22,
IF(AND(ISNUMBER(SEARCH("H-Den",$A11))=TRUE,F11="Winter wheat"),'BAU Management details'!$AF$22,
IF(F11="Oilseed Rape",'BAU Management details'!$AB$30)))</f>
        <v>8.8176000000000005</v>
      </c>
      <c r="V11" t="s">
        <v>363</v>
      </c>
      <c r="W11">
        <v>1</v>
      </c>
      <c r="X11">
        <v>100</v>
      </c>
      <c r="Y11" t="s">
        <v>352</v>
      </c>
      <c r="Z11" t="s">
        <v>364</v>
      </c>
      <c r="AA11">
        <v>0</v>
      </c>
      <c r="AB11">
        <v>0</v>
      </c>
      <c r="AC11" s="102">
        <f t="shared" si="7"/>
        <v>1</v>
      </c>
      <c r="AD11">
        <v>0</v>
      </c>
      <c r="AE11" s="102">
        <f t="shared" si="9"/>
        <v>0</v>
      </c>
      <c r="AF11" s="102">
        <f t="shared" si="4"/>
        <v>1</v>
      </c>
      <c r="AG11" s="102">
        <f t="shared" si="8"/>
        <v>0</v>
      </c>
      <c r="AH11">
        <v>0</v>
      </c>
      <c r="AI11">
        <v>2</v>
      </c>
      <c r="AJ11">
        <v>0</v>
      </c>
      <c r="AK11">
        <v>0</v>
      </c>
      <c r="AL11">
        <v>0</v>
      </c>
      <c r="AM11" s="102">
        <f>IF(AND(ISNUMBER(SEARCH("L-Den",$A11))=TRUE,$F11="Winter wheat"),'BAU Management details'!$F$32,
IF(AND(ISNUMBER(SEARCH("H-Den",$A11))=TRUE,$F11="Winter wheat"),'BAU Management details'!$G$32,
IF(AND(ISNUMBER(SEARCH("L-Den",$A11))=TRUE,$F11="Oilseed Rape"),'BAU Management details'!$F$33,
IF(AND(ISNUMBER(SEARCH("H-Den",$A11))=TRUE,$F11="Oilseed Rape"),'BAU Management details'!$G$33))))</f>
        <v>4</v>
      </c>
    </row>
    <row r="12" spans="1:39" x14ac:dyDescent="0.2">
      <c r="A12" t="s">
        <v>353</v>
      </c>
      <c r="B12" t="s">
        <v>361</v>
      </c>
      <c r="C12">
        <v>2020</v>
      </c>
      <c r="D12">
        <v>5</v>
      </c>
      <c r="E12" t="s">
        <v>353</v>
      </c>
      <c r="F12" t="s">
        <v>362</v>
      </c>
      <c r="G12">
        <v>7.2</v>
      </c>
      <c r="H12" s="20">
        <f>IF(AND(A12=A11,F12=F11,F12="Winter wheat"),G12*0.9*'BAU Management details'!$F$46,
IF(AND(OR(A12&lt;&gt;A11,F12&lt;&gt;F11),F12="Winter wheat"),G12*'BAU Management details'!$F$46,
IF(F12="Oilseed Rape",G12*'BAU Management details'!$F$47)))</f>
        <v>55.728000000000002</v>
      </c>
      <c r="I12" t="s">
        <v>348</v>
      </c>
      <c r="J12">
        <v>10</v>
      </c>
      <c r="K12" t="str">
        <f t="shared" si="0"/>
        <v>Winter wheat</v>
      </c>
      <c r="L12" t="str">
        <f t="shared" si="1"/>
        <v>Fine</v>
      </c>
      <c r="M12">
        <f t="shared" si="2"/>
        <v>5.8479999999999999</v>
      </c>
      <c r="N12" t="s">
        <v>349</v>
      </c>
      <c r="O12" t="s">
        <v>350</v>
      </c>
      <c r="P12">
        <v>7</v>
      </c>
      <c r="Q12" t="str">
        <f t="shared" si="6"/>
        <v>5.5 &lt; pH &lt;= 7.3</v>
      </c>
      <c r="R12" t="s">
        <v>351</v>
      </c>
      <c r="S12">
        <f>IF(AND((ISNUMBER(SEARCH("heavy",$A12))=TRUE),$F12="Winter wheat"),'BAU Management details'!$O$11,
IF(AND((ISNUMBER(SEARCH("medium",$A12))=TRUE),$F12="Winter wheat"),'BAU Management details'!$P$11,
IF(AND((ISNUMBER(SEARCH("light",$A12))=TRUE),$F12="Winter wheat"),'BAU Management details'!$Q$11,
IF($F12="Oilseed Rape",'BAU Management details'!$O$12))))</f>
        <v>240</v>
      </c>
      <c r="T12">
        <v>3</v>
      </c>
      <c r="U12" s="102">
        <f>IF(AND(ISNUMBER(SEARCH("L-Den",$A12))=TRUE,F12="Winter wheat"),'BAU Management details'!$AB$22,
IF(AND(ISNUMBER(SEARCH("H-Den",$A12))=TRUE,F12="Winter wheat"),'BAU Management details'!$AF$22,
IF(F12="Oilseed Rape",'BAU Management details'!$AB$30)))</f>
        <v>8.8176000000000005</v>
      </c>
      <c r="V12" t="s">
        <v>363</v>
      </c>
      <c r="W12">
        <v>1</v>
      </c>
      <c r="X12">
        <v>100</v>
      </c>
      <c r="Y12" t="s">
        <v>352</v>
      </c>
      <c r="Z12" t="s">
        <v>364</v>
      </c>
      <c r="AA12">
        <v>0</v>
      </c>
      <c r="AB12">
        <v>0</v>
      </c>
      <c r="AC12" s="102">
        <f t="shared" si="7"/>
        <v>2</v>
      </c>
      <c r="AD12">
        <v>0</v>
      </c>
      <c r="AE12" s="102">
        <f t="shared" si="9"/>
        <v>0</v>
      </c>
      <c r="AF12" s="102">
        <f t="shared" si="4"/>
        <v>1</v>
      </c>
      <c r="AG12" s="102">
        <f t="shared" si="8"/>
        <v>0</v>
      </c>
      <c r="AH12">
        <v>1</v>
      </c>
      <c r="AI12">
        <v>2</v>
      </c>
      <c r="AJ12">
        <v>0</v>
      </c>
      <c r="AK12">
        <v>0</v>
      </c>
      <c r="AL12">
        <v>0</v>
      </c>
      <c r="AM12" s="102">
        <f>IF(AND(ISNUMBER(SEARCH("L-Den",$A12))=TRUE,$F12="Winter wheat"),'BAU Management details'!$F$32,
IF(AND(ISNUMBER(SEARCH("H-Den",$A12))=TRUE,$F12="Winter wheat"),'BAU Management details'!$G$32,
IF(AND(ISNUMBER(SEARCH("L-Den",$A12))=TRUE,$F12="Oilseed Rape"),'BAU Management details'!$F$33,
IF(AND(ISNUMBER(SEARCH("H-Den",$A12))=TRUE,$F12="Oilseed Rape"),'BAU Management details'!$G$33))))</f>
        <v>4</v>
      </c>
    </row>
    <row r="13" spans="1:39" x14ac:dyDescent="0.2">
      <c r="A13" t="s">
        <v>353</v>
      </c>
      <c r="B13" t="s">
        <v>361</v>
      </c>
      <c r="C13">
        <v>2020</v>
      </c>
      <c r="D13">
        <v>6</v>
      </c>
      <c r="E13" t="s">
        <v>353</v>
      </c>
      <c r="F13" t="s">
        <v>365</v>
      </c>
      <c r="G13">
        <v>7.2</v>
      </c>
      <c r="H13" s="20">
        <f>IF(AND(A13=A12,F13=F12,F13="Winter wheat"),G13*0.9*'BAU Management details'!$F$46,
IF(AND(OR(A13&lt;&gt;A12,F13&lt;&gt;F12),F13="Winter wheat"),G13*'BAU Management details'!$F$46,
IF(F13="Oilseed Rape",G13*'BAU Management details'!$F$47)))</f>
        <v>25.2</v>
      </c>
      <c r="I13" t="s">
        <v>348</v>
      </c>
      <c r="J13">
        <v>10</v>
      </c>
      <c r="K13" t="str">
        <f t="shared" si="0"/>
        <v>Other</v>
      </c>
      <c r="L13" t="str">
        <f t="shared" si="1"/>
        <v>Fine</v>
      </c>
      <c r="M13">
        <f t="shared" si="2"/>
        <v>5.8479999999999999</v>
      </c>
      <c r="N13" t="s">
        <v>349</v>
      </c>
      <c r="O13" t="s">
        <v>350</v>
      </c>
      <c r="P13">
        <v>7</v>
      </c>
      <c r="Q13" t="str">
        <f t="shared" si="6"/>
        <v>5.5 &lt; pH &lt;= 7.3</v>
      </c>
      <c r="R13" t="s">
        <v>351</v>
      </c>
      <c r="S13">
        <f>IF(AND((ISNUMBER(SEARCH("heavy",$A13))=TRUE),$F13="Winter wheat"),'BAU Management details'!$O$11,
IF(AND((ISNUMBER(SEARCH("medium",$A13))=TRUE),$F13="Winter wheat"),'BAU Management details'!$P$11,
IF(AND((ISNUMBER(SEARCH("light",$A13))=TRUE),$F13="Winter wheat"),'BAU Management details'!$Q$11,
IF($F13="Oilseed Rape",'BAU Management details'!$O$12))))</f>
        <v>190</v>
      </c>
      <c r="T13">
        <v>3</v>
      </c>
      <c r="U13" s="102">
        <f>IF(AND(ISNUMBER(SEARCH("L-Den",$A13))=TRUE,F13="Winter wheat"),'BAU Management details'!$AB$22,
IF(AND(ISNUMBER(SEARCH("H-Den",$A13))=TRUE,F13="Winter wheat"),'BAU Management details'!$AF$22,
IF(F13="Oilseed Rape",'BAU Management details'!$AB$30)))</f>
        <v>2</v>
      </c>
      <c r="V13" t="s">
        <v>363</v>
      </c>
      <c r="W13">
        <v>1</v>
      </c>
      <c r="X13">
        <v>100</v>
      </c>
      <c r="Y13" t="s">
        <v>352</v>
      </c>
      <c r="Z13" t="s">
        <v>364</v>
      </c>
      <c r="AA13">
        <v>0</v>
      </c>
      <c r="AB13">
        <v>0</v>
      </c>
      <c r="AC13" s="102">
        <f t="shared" si="7"/>
        <v>0</v>
      </c>
      <c r="AD13">
        <v>0</v>
      </c>
      <c r="AE13" s="102">
        <f t="shared" si="9"/>
        <v>0</v>
      </c>
      <c r="AF13" s="102">
        <f t="shared" si="4"/>
        <v>0</v>
      </c>
      <c r="AG13" s="102">
        <f t="shared" si="8"/>
        <v>0</v>
      </c>
      <c r="AH13">
        <v>0</v>
      </c>
      <c r="AI13">
        <v>1</v>
      </c>
      <c r="AJ13">
        <v>0</v>
      </c>
      <c r="AK13">
        <v>1</v>
      </c>
      <c r="AL13">
        <v>0</v>
      </c>
      <c r="AM13" s="102">
        <f>IF(AND(ISNUMBER(SEARCH("L-Den",$A13))=TRUE,$F13="Winter wheat"),'BAU Management details'!$F$32,
IF(AND(ISNUMBER(SEARCH("H-Den",$A13))=TRUE,$F13="Winter wheat"),'BAU Management details'!$G$32,
IF(AND(ISNUMBER(SEARCH("L-Den",$A13))=TRUE,$F13="Oilseed Rape"),'BAU Management details'!$F$33,
IF(AND(ISNUMBER(SEARCH("H-Den",$A13))=TRUE,$F13="Oilseed Rape"),'BAU Management details'!$G$33))))</f>
        <v>3</v>
      </c>
    </row>
    <row r="14" spans="1:39" x14ac:dyDescent="0.2">
      <c r="A14" t="s">
        <v>354</v>
      </c>
      <c r="B14" t="s">
        <v>361</v>
      </c>
      <c r="C14">
        <v>2020</v>
      </c>
      <c r="D14">
        <v>1</v>
      </c>
      <c r="E14" t="s">
        <v>354</v>
      </c>
      <c r="F14" t="s">
        <v>362</v>
      </c>
      <c r="G14">
        <v>7.2</v>
      </c>
      <c r="H14" s="20">
        <f>IF(AND(A14=A13,F14=F13,F14="Winter wheat"),G14*0.9*'BAU Management details'!$F$46,
IF(AND(OR(A14&lt;&gt;A13,F14&lt;&gt;F13),F14="Winter wheat"),G14*'BAU Management details'!$F$46,
IF(F14="Oilseed Rape",G14*'BAU Management details'!$F$47)))</f>
        <v>61.92</v>
      </c>
      <c r="I14" t="s">
        <v>348</v>
      </c>
      <c r="J14">
        <v>10</v>
      </c>
      <c r="K14" t="str">
        <f t="shared" si="0"/>
        <v>Winter wheat</v>
      </c>
      <c r="L14" t="str">
        <f t="shared" si="1"/>
        <v>Fine</v>
      </c>
      <c r="M14">
        <f t="shared" si="2"/>
        <v>5.8479999999999999</v>
      </c>
      <c r="N14" t="s">
        <v>349</v>
      </c>
      <c r="O14" t="s">
        <v>350</v>
      </c>
      <c r="P14">
        <v>7</v>
      </c>
      <c r="Q14" t="str">
        <f t="shared" si="6"/>
        <v>5.5 &lt; pH &lt;= 7.3</v>
      </c>
      <c r="R14" t="s">
        <v>351</v>
      </c>
      <c r="S14">
        <f>IF(AND((ISNUMBER(SEARCH("heavy",$A14))=TRUE),$F14="Winter wheat"),'BAU Management details'!$O$11,
IF(AND((ISNUMBER(SEARCH("medium",$A14))=TRUE),$F14="Winter wheat"),'BAU Management details'!$P$11,
IF(AND((ISNUMBER(SEARCH("light",$A14))=TRUE),$F14="Winter wheat"),'BAU Management details'!$Q$11,
IF($F14="Oilseed Rape",'BAU Management details'!$O$12))))</f>
        <v>240</v>
      </c>
      <c r="T14">
        <v>3</v>
      </c>
      <c r="U14" s="102">
        <f>IF(AND(ISNUMBER(SEARCH("L-Den",$A14))=TRUE,F14="Winter wheat"),'BAU Management details'!$AB$22,
IF(AND(ISNUMBER(SEARCH("H-Den",$A14))=TRUE,F14="Winter wheat"),'BAU Management details'!$AF$22,
IF(F14="Oilseed Rape",'BAU Management details'!$AB$30)))</f>
        <v>8.8176000000000005</v>
      </c>
      <c r="V14" t="s">
        <v>363</v>
      </c>
      <c r="W14">
        <v>1</v>
      </c>
      <c r="X14">
        <v>100</v>
      </c>
      <c r="Y14" t="s">
        <v>352</v>
      </c>
      <c r="Z14" t="s">
        <v>364</v>
      </c>
      <c r="AA14">
        <v>0</v>
      </c>
      <c r="AB14">
        <v>0</v>
      </c>
      <c r="AC14" s="102">
        <f t="shared" si="7"/>
        <v>1</v>
      </c>
      <c r="AD14">
        <v>0</v>
      </c>
      <c r="AE14" s="102">
        <f>IF(AG14=1,1,0)</f>
        <v>0</v>
      </c>
      <c r="AF14" s="102">
        <f t="shared" si="4"/>
        <v>1</v>
      </c>
      <c r="AG14" s="102">
        <f t="shared" si="8"/>
        <v>0</v>
      </c>
      <c r="AH14">
        <v>0</v>
      </c>
      <c r="AI14">
        <v>2</v>
      </c>
      <c r="AJ14">
        <v>0</v>
      </c>
      <c r="AK14">
        <v>0</v>
      </c>
      <c r="AL14">
        <v>0</v>
      </c>
      <c r="AM14" s="102">
        <f>IF(AND(ISNUMBER(SEARCH("L-Den",$A14))=TRUE,$F14="Winter wheat"),'BAU Management details'!$F$32,
IF(AND(ISNUMBER(SEARCH("H-Den",$A14))=TRUE,$F14="Winter wheat"),'BAU Management details'!$G$32,
IF(AND(ISNUMBER(SEARCH("L-Den",$A14))=TRUE,$F14="Oilseed Rape"),'BAU Management details'!$F$33,
IF(AND(ISNUMBER(SEARCH("H-Den",$A14))=TRUE,$F14="Oilseed Rape"),'BAU Management details'!$G$33))))</f>
        <v>4</v>
      </c>
    </row>
    <row r="15" spans="1:39" x14ac:dyDescent="0.2">
      <c r="A15" t="s">
        <v>354</v>
      </c>
      <c r="B15" t="s">
        <v>361</v>
      </c>
      <c r="C15">
        <v>2020</v>
      </c>
      <c r="D15">
        <v>2</v>
      </c>
      <c r="E15" t="s">
        <v>354</v>
      </c>
      <c r="F15" t="s">
        <v>362</v>
      </c>
      <c r="G15">
        <v>7.2</v>
      </c>
      <c r="H15" s="20">
        <f>IF(AND(A15=A14,F15=F14,F15="Winter wheat"),G15*0.9*'BAU Management details'!$F$46,
IF(AND(OR(A15&lt;&gt;A14,F15&lt;&gt;F14),F15="Winter wheat"),G15*'BAU Management details'!$F$46,
IF(F15="Oilseed Rape",G15*'BAU Management details'!$F$47)))</f>
        <v>55.728000000000002</v>
      </c>
      <c r="I15" t="s">
        <v>348</v>
      </c>
      <c r="J15">
        <v>10</v>
      </c>
      <c r="K15" t="str">
        <f t="shared" si="0"/>
        <v>Winter wheat</v>
      </c>
      <c r="L15" t="str">
        <f t="shared" si="1"/>
        <v>Fine</v>
      </c>
      <c r="M15">
        <f t="shared" si="2"/>
        <v>5.8479999999999999</v>
      </c>
      <c r="N15" t="s">
        <v>349</v>
      </c>
      <c r="O15" t="s">
        <v>350</v>
      </c>
      <c r="P15">
        <v>7</v>
      </c>
      <c r="Q15" t="str">
        <f t="shared" si="6"/>
        <v>5.5 &lt; pH &lt;= 7.3</v>
      </c>
      <c r="R15" t="s">
        <v>351</v>
      </c>
      <c r="S15">
        <f>IF(AND((ISNUMBER(SEARCH("heavy",$A15))=TRUE),$F15="Winter wheat"),'BAU Management details'!$O$11,
IF(AND((ISNUMBER(SEARCH("medium",$A15))=TRUE),$F15="Winter wheat"),'BAU Management details'!$P$11,
IF(AND((ISNUMBER(SEARCH("light",$A15))=TRUE),$F15="Winter wheat"),'BAU Management details'!$Q$11,
IF($F15="Oilseed Rape",'BAU Management details'!$O$12))))</f>
        <v>240</v>
      </c>
      <c r="T15">
        <v>3</v>
      </c>
      <c r="U15" s="102">
        <f>IF(AND(ISNUMBER(SEARCH("L-Den",$A15))=TRUE,F15="Winter wheat"),'BAU Management details'!$AB$22,
IF(AND(ISNUMBER(SEARCH("H-Den",$A15))=TRUE,F15="Winter wheat"),'BAU Management details'!$AF$22,
IF(F15="Oilseed Rape",'BAU Management details'!$AB$30)))</f>
        <v>8.8176000000000005</v>
      </c>
      <c r="V15" t="s">
        <v>363</v>
      </c>
      <c r="W15">
        <v>1</v>
      </c>
      <c r="X15">
        <v>100</v>
      </c>
      <c r="Y15" t="s">
        <v>352</v>
      </c>
      <c r="Z15" t="s">
        <v>364</v>
      </c>
      <c r="AA15">
        <v>0</v>
      </c>
      <c r="AB15">
        <v>0</v>
      </c>
      <c r="AC15" s="102">
        <f t="shared" si="7"/>
        <v>2</v>
      </c>
      <c r="AD15">
        <v>0</v>
      </c>
      <c r="AE15" s="102">
        <f t="shared" ref="AE15:AE19" si="10">IF(AG15=1,1,0)</f>
        <v>0</v>
      </c>
      <c r="AF15" s="102">
        <f t="shared" si="4"/>
        <v>1</v>
      </c>
      <c r="AG15" s="102">
        <f t="shared" si="8"/>
        <v>0</v>
      </c>
      <c r="AH15">
        <v>1</v>
      </c>
      <c r="AI15">
        <v>2</v>
      </c>
      <c r="AJ15">
        <v>0</v>
      </c>
      <c r="AK15">
        <v>0</v>
      </c>
      <c r="AL15">
        <v>0</v>
      </c>
      <c r="AM15" s="102">
        <f>IF(AND(ISNUMBER(SEARCH("L-Den",$A15))=TRUE,$F15="Winter wheat"),'BAU Management details'!$F$32,
IF(AND(ISNUMBER(SEARCH("H-Den",$A15))=TRUE,$F15="Winter wheat"),'BAU Management details'!$G$32,
IF(AND(ISNUMBER(SEARCH("L-Den",$A15))=TRUE,$F15="Oilseed Rape"),'BAU Management details'!$F$33,
IF(AND(ISNUMBER(SEARCH("H-Den",$A15))=TRUE,$F15="Oilseed Rape"),'BAU Management details'!$G$33))))</f>
        <v>4</v>
      </c>
    </row>
    <row r="16" spans="1:39" x14ac:dyDescent="0.2">
      <c r="A16" t="s">
        <v>354</v>
      </c>
      <c r="B16" t="s">
        <v>361</v>
      </c>
      <c r="C16">
        <v>2020</v>
      </c>
      <c r="D16">
        <v>3</v>
      </c>
      <c r="E16" t="s">
        <v>354</v>
      </c>
      <c r="F16" t="s">
        <v>365</v>
      </c>
      <c r="G16">
        <v>7.2</v>
      </c>
      <c r="H16" s="20">
        <f>IF(AND(A16=A15,F16=F15,F16="Winter wheat"),G16*0.9*'BAU Management details'!$F$46,
IF(AND(OR(A16&lt;&gt;A15,F16&lt;&gt;F15),F16="Winter wheat"),G16*'BAU Management details'!$F$46,
IF(F16="Oilseed Rape",G16*'BAU Management details'!$F$47)))</f>
        <v>25.2</v>
      </c>
      <c r="I16" t="s">
        <v>348</v>
      </c>
      <c r="J16">
        <v>10</v>
      </c>
      <c r="K16" t="str">
        <f t="shared" si="0"/>
        <v>Other</v>
      </c>
      <c r="L16" t="str">
        <f t="shared" si="1"/>
        <v>Fine</v>
      </c>
      <c r="M16">
        <f t="shared" si="2"/>
        <v>5.8479999999999999</v>
      </c>
      <c r="N16" t="s">
        <v>349</v>
      </c>
      <c r="O16" t="s">
        <v>350</v>
      </c>
      <c r="P16">
        <v>7</v>
      </c>
      <c r="Q16" t="str">
        <f t="shared" si="6"/>
        <v>5.5 &lt; pH &lt;= 7.3</v>
      </c>
      <c r="R16" t="s">
        <v>351</v>
      </c>
      <c r="S16">
        <f>IF(AND((ISNUMBER(SEARCH("heavy",$A16))=TRUE),$F16="Winter wheat"),'BAU Management details'!$O$11,
IF(AND((ISNUMBER(SEARCH("medium",$A16))=TRUE),$F16="Winter wheat"),'BAU Management details'!$P$11,
IF(AND((ISNUMBER(SEARCH("light",$A16))=TRUE),$F16="Winter wheat"),'BAU Management details'!$Q$11,
IF($F16="Oilseed Rape",'BAU Management details'!$O$12))))</f>
        <v>190</v>
      </c>
      <c r="T16">
        <v>3</v>
      </c>
      <c r="U16" s="102">
        <f>IF(AND(ISNUMBER(SEARCH("L-Den",$A16))=TRUE,F16="Winter wheat"),'BAU Management details'!$AB$22,
IF(AND(ISNUMBER(SEARCH("H-Den",$A16))=TRUE,F16="Winter wheat"),'BAU Management details'!$AF$22,
IF(F16="Oilseed Rape",'BAU Management details'!$AB$30)))</f>
        <v>2</v>
      </c>
      <c r="V16" t="s">
        <v>363</v>
      </c>
      <c r="W16">
        <v>1</v>
      </c>
      <c r="X16">
        <v>100</v>
      </c>
      <c r="Y16" t="s">
        <v>352</v>
      </c>
      <c r="Z16" t="s">
        <v>364</v>
      </c>
      <c r="AA16">
        <v>0</v>
      </c>
      <c r="AB16">
        <v>0</v>
      </c>
      <c r="AC16" s="102">
        <f t="shared" si="7"/>
        <v>0</v>
      </c>
      <c r="AD16">
        <v>0</v>
      </c>
      <c r="AE16" s="102">
        <f t="shared" si="10"/>
        <v>0</v>
      </c>
      <c r="AF16" s="102">
        <f t="shared" si="4"/>
        <v>0</v>
      </c>
      <c r="AG16" s="102">
        <f t="shared" si="8"/>
        <v>0</v>
      </c>
      <c r="AH16">
        <v>0</v>
      </c>
      <c r="AI16">
        <v>1</v>
      </c>
      <c r="AJ16">
        <v>0</v>
      </c>
      <c r="AK16">
        <v>1</v>
      </c>
      <c r="AL16">
        <v>0</v>
      </c>
      <c r="AM16" s="102">
        <f>IF(AND(ISNUMBER(SEARCH("L-Den",$A16))=TRUE,$F16="Winter wheat"),'BAU Management details'!$F$32,
IF(AND(ISNUMBER(SEARCH("H-Den",$A16))=TRUE,$F16="Winter wheat"),'BAU Management details'!$G$32,
IF(AND(ISNUMBER(SEARCH("L-Den",$A16))=TRUE,$F16="Oilseed Rape"),'BAU Management details'!$F$33,
IF(AND(ISNUMBER(SEARCH("H-Den",$A16))=TRUE,$F16="Oilseed Rape"),'BAU Management details'!$G$33))))</f>
        <v>3</v>
      </c>
    </row>
    <row r="17" spans="1:39" x14ac:dyDescent="0.2">
      <c r="A17" t="s">
        <v>354</v>
      </c>
      <c r="B17" t="s">
        <v>361</v>
      </c>
      <c r="C17">
        <v>2020</v>
      </c>
      <c r="D17">
        <v>4</v>
      </c>
      <c r="E17" t="s">
        <v>354</v>
      </c>
      <c r="F17" t="s">
        <v>362</v>
      </c>
      <c r="G17">
        <v>7.2</v>
      </c>
      <c r="H17" s="20">
        <f>IF(AND(A17=A16,F17=F16,F17="Winter wheat"),G17*0.9*'BAU Management details'!$F$46,
IF(AND(OR(A17&lt;&gt;A16,F17&lt;&gt;F16),F17="Winter wheat"),G17*'BAU Management details'!$F$46,
IF(F17="Oilseed Rape",G17*'BAU Management details'!$F$47)))</f>
        <v>61.92</v>
      </c>
      <c r="I17" t="s">
        <v>348</v>
      </c>
      <c r="J17">
        <v>10</v>
      </c>
      <c r="K17" t="str">
        <f t="shared" si="0"/>
        <v>Winter wheat</v>
      </c>
      <c r="L17" t="str">
        <f t="shared" si="1"/>
        <v>Fine</v>
      </c>
      <c r="M17">
        <f t="shared" si="2"/>
        <v>5.8479999999999999</v>
      </c>
      <c r="N17" t="s">
        <v>349</v>
      </c>
      <c r="O17" t="s">
        <v>350</v>
      </c>
      <c r="P17">
        <v>7</v>
      </c>
      <c r="Q17" t="str">
        <f t="shared" si="6"/>
        <v>5.5 &lt; pH &lt;= 7.3</v>
      </c>
      <c r="R17" t="s">
        <v>351</v>
      </c>
      <c r="S17">
        <f>IF(AND((ISNUMBER(SEARCH("heavy",$A17))=TRUE),$F17="Winter wheat"),'BAU Management details'!$O$11,
IF(AND((ISNUMBER(SEARCH("medium",$A17))=TRUE),$F17="Winter wheat"),'BAU Management details'!$P$11,
IF(AND((ISNUMBER(SEARCH("light",$A17))=TRUE),$F17="Winter wheat"),'BAU Management details'!$Q$11,
IF($F17="Oilseed Rape",'BAU Management details'!$O$12))))</f>
        <v>240</v>
      </c>
      <c r="T17">
        <v>3</v>
      </c>
      <c r="U17" s="102">
        <f>IF(AND(ISNUMBER(SEARCH("L-Den",$A17))=TRUE,F17="Winter wheat"),'BAU Management details'!$AB$22,
IF(AND(ISNUMBER(SEARCH("H-Den",$A17))=TRUE,F17="Winter wheat"),'BAU Management details'!$AF$22,
IF(F17="Oilseed Rape",'BAU Management details'!$AB$30)))</f>
        <v>8.8176000000000005</v>
      </c>
      <c r="V17" t="s">
        <v>363</v>
      </c>
      <c r="W17">
        <v>1</v>
      </c>
      <c r="X17">
        <v>100</v>
      </c>
      <c r="Y17" t="s">
        <v>352</v>
      </c>
      <c r="Z17" t="s">
        <v>364</v>
      </c>
      <c r="AA17">
        <v>0</v>
      </c>
      <c r="AB17">
        <v>0</v>
      </c>
      <c r="AC17" s="102">
        <f t="shared" si="7"/>
        <v>1</v>
      </c>
      <c r="AD17">
        <v>0</v>
      </c>
      <c r="AE17" s="102">
        <f t="shared" si="10"/>
        <v>0</v>
      </c>
      <c r="AF17" s="102">
        <f t="shared" si="4"/>
        <v>1</v>
      </c>
      <c r="AG17" s="102">
        <f t="shared" si="8"/>
        <v>0</v>
      </c>
      <c r="AH17">
        <v>0</v>
      </c>
      <c r="AI17">
        <v>2</v>
      </c>
      <c r="AJ17">
        <v>0</v>
      </c>
      <c r="AK17">
        <v>0</v>
      </c>
      <c r="AL17">
        <v>0</v>
      </c>
      <c r="AM17" s="102">
        <f>IF(AND(ISNUMBER(SEARCH("L-Den",$A17))=TRUE,$F17="Winter wheat"),'BAU Management details'!$F$32,
IF(AND(ISNUMBER(SEARCH("H-Den",$A17))=TRUE,$F17="Winter wheat"),'BAU Management details'!$G$32,
IF(AND(ISNUMBER(SEARCH("L-Den",$A17))=TRUE,$F17="Oilseed Rape"),'BAU Management details'!$F$33,
IF(AND(ISNUMBER(SEARCH("H-Den",$A17))=TRUE,$F17="Oilseed Rape"),'BAU Management details'!$G$33))))</f>
        <v>4</v>
      </c>
    </row>
    <row r="18" spans="1:39" x14ac:dyDescent="0.2">
      <c r="A18" t="s">
        <v>354</v>
      </c>
      <c r="B18" t="s">
        <v>361</v>
      </c>
      <c r="C18">
        <v>2020</v>
      </c>
      <c r="D18">
        <v>5</v>
      </c>
      <c r="E18" t="s">
        <v>354</v>
      </c>
      <c r="F18" t="s">
        <v>362</v>
      </c>
      <c r="G18">
        <v>7.2</v>
      </c>
      <c r="H18" s="20">
        <f>IF(AND(A18=A17,F18=F17,F18="Winter wheat"),G18*0.9*'BAU Management details'!$F$46,
IF(AND(OR(A18&lt;&gt;A17,F18&lt;&gt;F17),F18="Winter wheat"),G18*'BAU Management details'!$F$46,
IF(F18="Oilseed Rape",G18*'BAU Management details'!$F$47)))</f>
        <v>55.728000000000002</v>
      </c>
      <c r="I18" t="s">
        <v>348</v>
      </c>
      <c r="J18">
        <v>10</v>
      </c>
      <c r="K18" t="str">
        <f t="shared" si="0"/>
        <v>Winter wheat</v>
      </c>
      <c r="L18" t="str">
        <f t="shared" si="1"/>
        <v>Fine</v>
      </c>
      <c r="M18">
        <f t="shared" si="2"/>
        <v>5.8479999999999999</v>
      </c>
      <c r="N18" t="s">
        <v>349</v>
      </c>
      <c r="O18" t="s">
        <v>350</v>
      </c>
      <c r="P18">
        <v>7</v>
      </c>
      <c r="Q18" t="str">
        <f t="shared" si="6"/>
        <v>5.5 &lt; pH &lt;= 7.3</v>
      </c>
      <c r="R18" t="s">
        <v>351</v>
      </c>
      <c r="S18">
        <f>IF(AND((ISNUMBER(SEARCH("heavy",$A18))=TRUE),$F18="Winter wheat"),'BAU Management details'!$O$11,
IF(AND((ISNUMBER(SEARCH("medium",$A18))=TRUE),$F18="Winter wheat"),'BAU Management details'!$P$11,
IF(AND((ISNUMBER(SEARCH("light",$A18))=TRUE),$F18="Winter wheat"),'BAU Management details'!$Q$11,
IF($F18="Oilseed Rape",'BAU Management details'!$O$12))))</f>
        <v>240</v>
      </c>
      <c r="T18">
        <v>3</v>
      </c>
      <c r="U18" s="102">
        <f>IF(AND(ISNUMBER(SEARCH("L-Den",$A18))=TRUE,F18="Winter wheat"),'BAU Management details'!$AB$22,
IF(AND(ISNUMBER(SEARCH("H-Den",$A18))=TRUE,F18="Winter wheat"),'BAU Management details'!$AF$22,
IF(F18="Oilseed Rape",'BAU Management details'!$AB$30)))</f>
        <v>8.8176000000000005</v>
      </c>
      <c r="V18" t="s">
        <v>363</v>
      </c>
      <c r="W18">
        <v>1</v>
      </c>
      <c r="X18">
        <v>100</v>
      </c>
      <c r="Y18" t="s">
        <v>352</v>
      </c>
      <c r="Z18" t="s">
        <v>364</v>
      </c>
      <c r="AA18">
        <v>0</v>
      </c>
      <c r="AB18">
        <v>0</v>
      </c>
      <c r="AC18" s="102">
        <f t="shared" si="7"/>
        <v>2</v>
      </c>
      <c r="AD18">
        <v>0</v>
      </c>
      <c r="AE18" s="102">
        <f t="shared" si="10"/>
        <v>0</v>
      </c>
      <c r="AF18" s="102">
        <f t="shared" si="4"/>
        <v>1</v>
      </c>
      <c r="AG18" s="102">
        <f t="shared" si="8"/>
        <v>0</v>
      </c>
      <c r="AH18">
        <v>1</v>
      </c>
      <c r="AI18">
        <v>2</v>
      </c>
      <c r="AJ18">
        <v>0</v>
      </c>
      <c r="AK18">
        <v>0</v>
      </c>
      <c r="AL18">
        <v>0</v>
      </c>
      <c r="AM18" s="102">
        <f>IF(AND(ISNUMBER(SEARCH("L-Den",$A18))=TRUE,$F18="Winter wheat"),'BAU Management details'!$F$32,
IF(AND(ISNUMBER(SEARCH("H-Den",$A18))=TRUE,$F18="Winter wheat"),'BAU Management details'!$G$32,
IF(AND(ISNUMBER(SEARCH("L-Den",$A18))=TRUE,$F18="Oilseed Rape"),'BAU Management details'!$F$33,
IF(AND(ISNUMBER(SEARCH("H-Den",$A18))=TRUE,$F18="Oilseed Rape"),'BAU Management details'!$G$33))))</f>
        <v>4</v>
      </c>
    </row>
    <row r="19" spans="1:39" x14ac:dyDescent="0.2">
      <c r="A19" t="s">
        <v>354</v>
      </c>
      <c r="B19" t="s">
        <v>361</v>
      </c>
      <c r="C19">
        <v>2020</v>
      </c>
      <c r="D19">
        <v>6</v>
      </c>
      <c r="E19" t="s">
        <v>354</v>
      </c>
      <c r="F19" t="s">
        <v>365</v>
      </c>
      <c r="G19">
        <v>7.2</v>
      </c>
      <c r="H19" s="20">
        <f>IF(AND(A19=A18,F19=F18,F19="Winter wheat"),G19*0.9*'BAU Management details'!$F$46,
IF(AND(OR(A19&lt;&gt;A18,F19&lt;&gt;F18),F19="Winter wheat"),G19*'BAU Management details'!$F$46,
IF(F19="Oilseed Rape",G19*'BAU Management details'!$F$47)))</f>
        <v>25.2</v>
      </c>
      <c r="I19" t="s">
        <v>348</v>
      </c>
      <c r="J19">
        <v>10</v>
      </c>
      <c r="K19" t="str">
        <f t="shared" si="0"/>
        <v>Other</v>
      </c>
      <c r="L19" t="str">
        <f t="shared" si="1"/>
        <v>Fine</v>
      </c>
      <c r="M19">
        <f t="shared" si="2"/>
        <v>5.8479999999999999</v>
      </c>
      <c r="N19" t="s">
        <v>349</v>
      </c>
      <c r="O19" t="s">
        <v>350</v>
      </c>
      <c r="P19">
        <v>7</v>
      </c>
      <c r="Q19" t="str">
        <f t="shared" si="6"/>
        <v>5.5 &lt; pH &lt;= 7.3</v>
      </c>
      <c r="R19" t="s">
        <v>351</v>
      </c>
      <c r="S19">
        <f>IF(AND((ISNUMBER(SEARCH("heavy",$A19))=TRUE),$F19="Winter wheat"),'BAU Management details'!$O$11,
IF(AND((ISNUMBER(SEARCH("medium",$A19))=TRUE),$F19="Winter wheat"),'BAU Management details'!$P$11,
IF(AND((ISNUMBER(SEARCH("light",$A19))=TRUE),$F19="Winter wheat"),'BAU Management details'!$Q$11,
IF($F19="Oilseed Rape",'BAU Management details'!$O$12))))</f>
        <v>190</v>
      </c>
      <c r="T19">
        <v>3</v>
      </c>
      <c r="U19" s="102">
        <f>IF(AND(ISNUMBER(SEARCH("L-Den",$A19))=TRUE,F19="Winter wheat"),'BAU Management details'!$AB$22,
IF(AND(ISNUMBER(SEARCH("H-Den",$A19))=TRUE,F19="Winter wheat"),'BAU Management details'!$AF$22,
IF(F19="Oilseed Rape",'BAU Management details'!$AB$30)))</f>
        <v>2</v>
      </c>
      <c r="V19" t="s">
        <v>363</v>
      </c>
      <c r="W19">
        <v>1</v>
      </c>
      <c r="X19">
        <v>100</v>
      </c>
      <c r="Y19" t="s">
        <v>352</v>
      </c>
      <c r="Z19" t="s">
        <v>364</v>
      </c>
      <c r="AA19">
        <v>0</v>
      </c>
      <c r="AB19">
        <v>0</v>
      </c>
      <c r="AC19" s="102">
        <f t="shared" si="7"/>
        <v>0</v>
      </c>
      <c r="AD19">
        <v>0</v>
      </c>
      <c r="AE19" s="102">
        <f t="shared" si="10"/>
        <v>0</v>
      </c>
      <c r="AF19" s="102">
        <f t="shared" si="4"/>
        <v>0</v>
      </c>
      <c r="AG19" s="102">
        <f t="shared" si="8"/>
        <v>0</v>
      </c>
      <c r="AH19">
        <v>0</v>
      </c>
      <c r="AI19">
        <v>1</v>
      </c>
      <c r="AJ19">
        <v>0</v>
      </c>
      <c r="AK19">
        <v>1</v>
      </c>
      <c r="AL19">
        <v>0</v>
      </c>
      <c r="AM19" s="102">
        <f>IF(AND(ISNUMBER(SEARCH("L-Den",$A19))=TRUE,$F19="Winter wheat"),'BAU Management details'!$F$32,
IF(AND(ISNUMBER(SEARCH("H-Den",$A19))=TRUE,$F19="Winter wheat"),'BAU Management details'!$G$32,
IF(AND(ISNUMBER(SEARCH("L-Den",$A19))=TRUE,$F19="Oilseed Rape"),'BAU Management details'!$F$33,
IF(AND(ISNUMBER(SEARCH("H-Den",$A19))=TRUE,$F19="Oilseed Rape"),'BAU Management details'!$G$33))))</f>
        <v>3</v>
      </c>
    </row>
    <row r="20" spans="1:39" x14ac:dyDescent="0.2">
      <c r="A20" t="s">
        <v>355</v>
      </c>
      <c r="B20" t="s">
        <v>361</v>
      </c>
      <c r="C20">
        <v>2020</v>
      </c>
      <c r="D20">
        <v>1</v>
      </c>
      <c r="E20" t="s">
        <v>355</v>
      </c>
      <c r="F20" t="s">
        <v>362</v>
      </c>
      <c r="G20">
        <v>7.2</v>
      </c>
      <c r="H20" s="20">
        <f>IF(AND(A20=A19,F20=F19,F20="Winter wheat"),G20*0.9*'BAU Management details'!$F$46,
IF(AND(OR(A20&lt;&gt;A19,F20&lt;&gt;F19),F20="Winter wheat"),G20*'BAU Management details'!$F$46,
IF(F20="Oilseed Rape",G20*'BAU Management details'!$F$47)))</f>
        <v>61.92</v>
      </c>
      <c r="I20" t="s">
        <v>348</v>
      </c>
      <c r="J20">
        <v>10</v>
      </c>
      <c r="K20" t="str">
        <f t="shared" si="0"/>
        <v>Winter wheat</v>
      </c>
      <c r="L20" t="str">
        <f t="shared" si="1"/>
        <v>Medium</v>
      </c>
      <c r="M20">
        <f t="shared" si="2"/>
        <v>4.4720000000000004</v>
      </c>
      <c r="N20" t="s">
        <v>349</v>
      </c>
      <c r="O20" t="s">
        <v>350</v>
      </c>
      <c r="P20">
        <v>7</v>
      </c>
      <c r="Q20" t="str">
        <f t="shared" si="6"/>
        <v>5.5 &lt; pH &lt;= 7.3</v>
      </c>
      <c r="R20" t="s">
        <v>351</v>
      </c>
      <c r="S20">
        <f>IF(AND((ISNUMBER(SEARCH("heavy",$A20))=TRUE),$F20="Winter wheat"),'BAU Management details'!$O$11,
IF(AND((ISNUMBER(SEARCH("medium",$A20))=TRUE),$F20="Winter wheat"),'BAU Management details'!$P$11,
IF(AND((ISNUMBER(SEARCH("light",$A20))=TRUE),$F20="Winter wheat"),'BAU Management details'!$Q$11,
IF($F20="Oilseed Rape",'BAU Management details'!$O$12))))</f>
        <v>220</v>
      </c>
      <c r="T20">
        <v>3</v>
      </c>
      <c r="U20" s="102">
        <f>IF(AND(ISNUMBER(SEARCH("L-Den",$A20))=TRUE,F20="Winter wheat"),'BAU Management details'!$AB$22,
IF(AND(ISNUMBER(SEARCH("H-Den",$A20))=TRUE,F20="Winter wheat"),'BAU Management details'!$AF$22,
IF(F20="Oilseed Rape",'BAU Management details'!$AB$30)))</f>
        <v>10.2576</v>
      </c>
      <c r="V20" t="s">
        <v>363</v>
      </c>
      <c r="W20">
        <v>1</v>
      </c>
      <c r="X20">
        <v>100</v>
      </c>
      <c r="Y20" t="s">
        <v>352</v>
      </c>
      <c r="Z20" t="s">
        <v>364</v>
      </c>
      <c r="AA20">
        <v>0</v>
      </c>
      <c r="AB20">
        <v>0</v>
      </c>
      <c r="AC20" s="102">
        <f t="shared" si="7"/>
        <v>1</v>
      </c>
      <c r="AD20">
        <v>0</v>
      </c>
      <c r="AE20" s="102">
        <f>IF(AG20=1,1,0)</f>
        <v>0</v>
      </c>
      <c r="AF20" s="102">
        <f>IF($AE20=1,0,
IF(F20="Oilseed Rape",0,
1))</f>
        <v>1</v>
      </c>
      <c r="AG20" s="102">
        <f>IF(AND(ISNUMBER(SEARCH("heavy",$A20))=TRUE,$F20="Winter wheat"),0,
IF(AND(F20=F19,ISNUMBER(SEARCH("medium",$A20))=TRUE,$F20="Winter wheat"),1,
IF(AND(F20=F19,ISNUMBER(SEARCH("light",$A20))=TRUE,$F20="Winter wheat"),1,
IF(AND(F20&lt;&gt;F19,ISNUMBER(SEARCH("medium",$A20))=TRUE,$F20="Winter wheat"),0,
IF(AND(F20&lt;&gt;F19,ISNUMBER(SEARCH("light",$A20))=TRUE,$F20="Winter wheat"),0,
IF($F20="Oilseed Rape",0
))))))</f>
        <v>0</v>
      </c>
      <c r="AH20">
        <v>0</v>
      </c>
      <c r="AI20">
        <v>2</v>
      </c>
      <c r="AJ20">
        <v>0</v>
      </c>
      <c r="AK20">
        <v>0</v>
      </c>
      <c r="AL20">
        <v>0</v>
      </c>
      <c r="AM20" s="102">
        <f>IF(AND(ISNUMBER(SEARCH("L-Den",$A20))=TRUE,$F20="Winter wheat"),'BAU Management details'!$F$32,
IF(AND(ISNUMBER(SEARCH("H-Den",$A20))=TRUE,$F20="Winter wheat"),'BAU Management details'!$G$32,
IF(AND(ISNUMBER(SEARCH("L-Den",$A20))=TRUE,$F20="Oilseed Rape"),'BAU Management details'!$F$33,
IF(AND(ISNUMBER(SEARCH("H-Den",$A20))=TRUE,$F20="Oilseed Rape"),'BAU Management details'!$G$33))))</f>
        <v>4</v>
      </c>
    </row>
    <row r="21" spans="1:39" x14ac:dyDescent="0.2">
      <c r="A21" t="s">
        <v>355</v>
      </c>
      <c r="B21" t="s">
        <v>361</v>
      </c>
      <c r="C21">
        <v>2020</v>
      </c>
      <c r="D21">
        <v>2</v>
      </c>
      <c r="E21" t="s">
        <v>355</v>
      </c>
      <c r="F21" t="s">
        <v>362</v>
      </c>
      <c r="G21">
        <v>7.2</v>
      </c>
      <c r="H21" s="20">
        <f>IF(AND(A21=A20,F21=F20,F21="Winter wheat"),G21*0.9*'BAU Management details'!$F$46,
IF(AND(OR(A21&lt;&gt;A20,F21&lt;&gt;F20),F21="Winter wheat"),G21*'BAU Management details'!$F$46,
IF(F21="Oilseed Rape",G21*'BAU Management details'!$F$47)))</f>
        <v>55.728000000000002</v>
      </c>
      <c r="I21" t="s">
        <v>348</v>
      </c>
      <c r="J21">
        <v>10</v>
      </c>
      <c r="K21" t="str">
        <f t="shared" si="0"/>
        <v>Winter wheat</v>
      </c>
      <c r="L21" t="str">
        <f t="shared" si="1"/>
        <v>Medium</v>
      </c>
      <c r="M21">
        <f t="shared" si="2"/>
        <v>4.4720000000000004</v>
      </c>
      <c r="N21" t="s">
        <v>349</v>
      </c>
      <c r="O21" t="s">
        <v>350</v>
      </c>
      <c r="P21">
        <v>7</v>
      </c>
      <c r="Q21" t="str">
        <f t="shared" si="6"/>
        <v>5.5 &lt; pH &lt;= 7.3</v>
      </c>
      <c r="R21" t="s">
        <v>351</v>
      </c>
      <c r="S21">
        <f>IF(AND((ISNUMBER(SEARCH("heavy",$A21))=TRUE),$F21="Winter wheat"),'BAU Management details'!$O$11,
IF(AND((ISNUMBER(SEARCH("medium",$A21))=TRUE),$F21="Winter wheat"),'BAU Management details'!$P$11,
IF(AND((ISNUMBER(SEARCH("light",$A21))=TRUE),$F21="Winter wheat"),'BAU Management details'!$Q$11,
IF($F21="Oilseed Rape",'BAU Management details'!$O$12))))</f>
        <v>220</v>
      </c>
      <c r="T21">
        <v>3</v>
      </c>
      <c r="U21" s="102">
        <f>IF(AND(ISNUMBER(SEARCH("L-Den",$A21))=TRUE,F21="Winter wheat"),'BAU Management details'!$AB$22,
IF(AND(ISNUMBER(SEARCH("H-Den",$A21))=TRUE,F21="Winter wheat"),'BAU Management details'!$AF$22,
IF(F21="Oilseed Rape",'BAU Management details'!$AB$30)))</f>
        <v>10.2576</v>
      </c>
      <c r="V21" t="s">
        <v>366</v>
      </c>
      <c r="W21">
        <v>1</v>
      </c>
      <c r="X21">
        <v>100</v>
      </c>
      <c r="Y21" t="s">
        <v>352</v>
      </c>
      <c r="Z21" t="s">
        <v>367</v>
      </c>
      <c r="AA21">
        <v>0</v>
      </c>
      <c r="AB21">
        <v>0</v>
      </c>
      <c r="AC21" s="102">
        <f t="shared" si="7"/>
        <v>2</v>
      </c>
      <c r="AD21">
        <v>0</v>
      </c>
      <c r="AE21" s="102">
        <f>IF(AG21=1,1,0)</f>
        <v>1</v>
      </c>
      <c r="AF21" s="102">
        <f t="shared" ref="AF21:AF25" si="11">IF($AE21=1,0,
IF(F21="Oilseed Rape",0,
1))</f>
        <v>0</v>
      </c>
      <c r="AG21" s="102">
        <f t="shared" ref="AG21:AG25" si="12">IF(AND(ISNUMBER(SEARCH("heavy",$A21))=TRUE,$F21="Winter wheat"),0,
IF(AND(F21=F20,ISNUMBER(SEARCH("medium",$A21))=TRUE,$F21="Winter wheat"),1,
IF(AND(F21=F20,ISNUMBER(SEARCH("light",$A21))=TRUE,$F21="Winter wheat"),1,
IF(AND(F21&lt;&gt;F20,ISNUMBER(SEARCH("medium",$A21))=TRUE,$F21="Winter wheat"),0,
IF(AND(F21&lt;&gt;F20,ISNUMBER(SEARCH("light",$A21))=TRUE,$F21="Winter wheat"),0,
IF($F21="Oilseed Rape",0
))))))</f>
        <v>1</v>
      </c>
      <c r="AH21">
        <v>1</v>
      </c>
      <c r="AI21">
        <v>2</v>
      </c>
      <c r="AJ21">
        <v>0</v>
      </c>
      <c r="AK21">
        <v>0</v>
      </c>
      <c r="AL21">
        <v>0</v>
      </c>
      <c r="AM21" s="102">
        <f>IF(AND(ISNUMBER(SEARCH("L-Den",$A21))=TRUE,$F21="Winter wheat"),'BAU Management details'!$F$32,
IF(AND(ISNUMBER(SEARCH("H-Den",$A21))=TRUE,$F21="Winter wheat"),'BAU Management details'!$G$32,
IF(AND(ISNUMBER(SEARCH("L-Den",$A21))=TRUE,$F21="Oilseed Rape"),'BAU Management details'!$F$33,
IF(AND(ISNUMBER(SEARCH("H-Den",$A21))=TRUE,$F21="Oilseed Rape"),'BAU Management details'!$G$33))))</f>
        <v>4</v>
      </c>
    </row>
    <row r="22" spans="1:39" x14ac:dyDescent="0.2">
      <c r="A22" t="s">
        <v>355</v>
      </c>
      <c r="B22" t="s">
        <v>361</v>
      </c>
      <c r="C22">
        <v>2020</v>
      </c>
      <c r="D22">
        <v>3</v>
      </c>
      <c r="E22" t="s">
        <v>355</v>
      </c>
      <c r="F22" t="s">
        <v>365</v>
      </c>
      <c r="G22">
        <v>7.2</v>
      </c>
      <c r="H22" s="20">
        <f>IF(AND(A22=A21,F22=F21,F22="Winter wheat"),G22*0.9*'BAU Management details'!$F$46,
IF(AND(OR(A22&lt;&gt;A21,F22&lt;&gt;F21),F22="Winter wheat"),G22*'BAU Management details'!$F$46,
IF(F22="Oilseed Rape",G22*'BAU Management details'!$F$47)))</f>
        <v>25.2</v>
      </c>
      <c r="I22" t="s">
        <v>348</v>
      </c>
      <c r="J22">
        <v>10</v>
      </c>
      <c r="K22" t="str">
        <f t="shared" si="0"/>
        <v>Other</v>
      </c>
      <c r="L22" t="str">
        <f t="shared" si="1"/>
        <v>Medium</v>
      </c>
      <c r="M22">
        <f t="shared" si="2"/>
        <v>4.4720000000000004</v>
      </c>
      <c r="N22" t="s">
        <v>349</v>
      </c>
      <c r="O22" t="s">
        <v>350</v>
      </c>
      <c r="P22">
        <v>7</v>
      </c>
      <c r="Q22" t="str">
        <f t="shared" si="6"/>
        <v>5.5 &lt; pH &lt;= 7.3</v>
      </c>
      <c r="R22" t="s">
        <v>351</v>
      </c>
      <c r="S22">
        <f>IF(AND((ISNUMBER(SEARCH("heavy",$A22))=TRUE),$F22="Winter wheat"),'BAU Management details'!$O$11,
IF(AND((ISNUMBER(SEARCH("medium",$A22))=TRUE),$F22="Winter wheat"),'BAU Management details'!$P$11,
IF(AND((ISNUMBER(SEARCH("light",$A22))=TRUE),$F22="Winter wheat"),'BAU Management details'!$Q$11,
IF($F22="Oilseed Rape",'BAU Management details'!$O$12))))</f>
        <v>190</v>
      </c>
      <c r="T22">
        <v>3</v>
      </c>
      <c r="U22" s="102">
        <f>IF(AND(ISNUMBER(SEARCH("L-Den",$A22))=TRUE,F22="Winter wheat"),'BAU Management details'!$AB$22,
IF(AND(ISNUMBER(SEARCH("H-Den",$A22))=TRUE,F22="Winter wheat"),'BAU Management details'!$AF$22,
IF(F22="Oilseed Rape",'BAU Management details'!$AB$30)))</f>
        <v>2</v>
      </c>
      <c r="V22" t="s">
        <v>368</v>
      </c>
      <c r="W22">
        <v>1</v>
      </c>
      <c r="X22">
        <v>100</v>
      </c>
      <c r="Y22" t="s">
        <v>352</v>
      </c>
      <c r="Z22" t="s">
        <v>369</v>
      </c>
      <c r="AA22">
        <v>0</v>
      </c>
      <c r="AB22">
        <v>0</v>
      </c>
      <c r="AC22" s="102">
        <f t="shared" si="7"/>
        <v>0</v>
      </c>
      <c r="AD22">
        <v>0</v>
      </c>
      <c r="AE22" s="102">
        <f t="shared" ref="AE22:AE25" si="13">IF(AG22=1,1,0)</f>
        <v>0</v>
      </c>
      <c r="AF22" s="102">
        <f t="shared" si="11"/>
        <v>0</v>
      </c>
      <c r="AG22" s="102">
        <f t="shared" si="12"/>
        <v>0</v>
      </c>
      <c r="AH22">
        <v>0</v>
      </c>
      <c r="AI22">
        <v>1</v>
      </c>
      <c r="AJ22">
        <v>0</v>
      </c>
      <c r="AK22">
        <v>1</v>
      </c>
      <c r="AL22">
        <v>0</v>
      </c>
      <c r="AM22" s="102">
        <f>IF(AND(ISNUMBER(SEARCH("L-Den",$A22))=TRUE,$F22="Winter wheat"),'BAU Management details'!$F$32,
IF(AND(ISNUMBER(SEARCH("H-Den",$A22))=TRUE,$F22="Winter wheat"),'BAU Management details'!$G$32,
IF(AND(ISNUMBER(SEARCH("L-Den",$A22))=TRUE,$F22="Oilseed Rape"),'BAU Management details'!$F$33,
IF(AND(ISNUMBER(SEARCH("H-Den",$A22))=TRUE,$F22="Oilseed Rape"),'BAU Management details'!$G$33))))</f>
        <v>3</v>
      </c>
    </row>
    <row r="23" spans="1:39" x14ac:dyDescent="0.2">
      <c r="A23" t="s">
        <v>355</v>
      </c>
      <c r="B23" t="s">
        <v>361</v>
      </c>
      <c r="C23">
        <v>2020</v>
      </c>
      <c r="D23">
        <v>4</v>
      </c>
      <c r="E23" t="s">
        <v>355</v>
      </c>
      <c r="F23" t="s">
        <v>362</v>
      </c>
      <c r="G23">
        <v>7.2</v>
      </c>
      <c r="H23" s="20">
        <f>IF(AND(A23=A22,F23=F22,F23="Winter wheat"),G23*0.9*'BAU Management details'!$F$46,
IF(AND(OR(A23&lt;&gt;A22,F23&lt;&gt;F22),F23="Winter wheat"),G23*'BAU Management details'!$F$46,
IF(F23="Oilseed Rape",G23*'BAU Management details'!$F$47)))</f>
        <v>61.92</v>
      </c>
      <c r="I23" t="s">
        <v>348</v>
      </c>
      <c r="J23">
        <v>10</v>
      </c>
      <c r="K23" t="str">
        <f t="shared" si="0"/>
        <v>Winter wheat</v>
      </c>
      <c r="L23" t="str">
        <f t="shared" si="1"/>
        <v>Medium</v>
      </c>
      <c r="M23">
        <f t="shared" si="2"/>
        <v>4.4720000000000004</v>
      </c>
      <c r="N23" t="s">
        <v>349</v>
      </c>
      <c r="O23" t="s">
        <v>350</v>
      </c>
      <c r="P23">
        <v>7</v>
      </c>
      <c r="Q23" t="str">
        <f t="shared" si="6"/>
        <v>5.5 &lt; pH &lt;= 7.3</v>
      </c>
      <c r="R23" t="s">
        <v>351</v>
      </c>
      <c r="S23">
        <f>IF(AND((ISNUMBER(SEARCH("heavy",$A23))=TRUE),$F23="Winter wheat"),'BAU Management details'!$O$11,
IF(AND((ISNUMBER(SEARCH("medium",$A23))=TRUE),$F23="Winter wheat"),'BAU Management details'!$P$11,
IF(AND((ISNUMBER(SEARCH("light",$A23))=TRUE),$F23="Winter wheat"),'BAU Management details'!$Q$11,
IF($F23="Oilseed Rape",'BAU Management details'!$O$12))))</f>
        <v>220</v>
      </c>
      <c r="T23">
        <v>3</v>
      </c>
      <c r="U23" s="102">
        <f>IF(AND(ISNUMBER(SEARCH("L-Den",$A23))=TRUE,F23="Winter wheat"),'BAU Management details'!$AB$22,
IF(AND(ISNUMBER(SEARCH("H-Den",$A23))=TRUE,F23="Winter wheat"),'BAU Management details'!$AF$22,
IF(F23="Oilseed Rape",'BAU Management details'!$AB$30)))</f>
        <v>10.2576</v>
      </c>
      <c r="V23" t="s">
        <v>363</v>
      </c>
      <c r="W23">
        <v>1</v>
      </c>
      <c r="X23">
        <v>100</v>
      </c>
      <c r="Y23" t="s">
        <v>352</v>
      </c>
      <c r="Z23" t="s">
        <v>364</v>
      </c>
      <c r="AA23">
        <v>0</v>
      </c>
      <c r="AB23">
        <v>0</v>
      </c>
      <c r="AC23" s="102">
        <f t="shared" si="7"/>
        <v>1</v>
      </c>
      <c r="AD23">
        <v>0</v>
      </c>
      <c r="AE23" s="102">
        <f t="shared" si="13"/>
        <v>0</v>
      </c>
      <c r="AF23" s="102">
        <f t="shared" si="11"/>
        <v>1</v>
      </c>
      <c r="AG23" s="102">
        <f t="shared" si="12"/>
        <v>0</v>
      </c>
      <c r="AH23">
        <v>0</v>
      </c>
      <c r="AI23">
        <v>2</v>
      </c>
      <c r="AJ23">
        <v>0</v>
      </c>
      <c r="AK23">
        <v>0</v>
      </c>
      <c r="AL23">
        <v>0</v>
      </c>
      <c r="AM23" s="102">
        <f>IF(AND(ISNUMBER(SEARCH("L-Den",$A23))=TRUE,$F23="Winter wheat"),'BAU Management details'!$F$32,
IF(AND(ISNUMBER(SEARCH("H-Den",$A23))=TRUE,$F23="Winter wheat"),'BAU Management details'!$G$32,
IF(AND(ISNUMBER(SEARCH("L-Den",$A23))=TRUE,$F23="Oilseed Rape"),'BAU Management details'!$F$33,
IF(AND(ISNUMBER(SEARCH("H-Den",$A23))=TRUE,$F23="Oilseed Rape"),'BAU Management details'!$G$33))))</f>
        <v>4</v>
      </c>
    </row>
    <row r="24" spans="1:39" x14ac:dyDescent="0.2">
      <c r="A24" t="s">
        <v>355</v>
      </c>
      <c r="B24" t="s">
        <v>361</v>
      </c>
      <c r="C24">
        <v>2020</v>
      </c>
      <c r="D24">
        <v>5</v>
      </c>
      <c r="E24" t="s">
        <v>355</v>
      </c>
      <c r="F24" t="s">
        <v>362</v>
      </c>
      <c r="G24">
        <v>7.2</v>
      </c>
      <c r="H24" s="20">
        <f>IF(AND(A24=A23,F24=F23,F24="Winter wheat"),G24*0.9*'BAU Management details'!$F$46,
IF(AND(OR(A24&lt;&gt;A23,F24&lt;&gt;F23),F24="Winter wheat"),G24*'BAU Management details'!$F$46,
IF(F24="Oilseed Rape",G24*'BAU Management details'!$F$47)))</f>
        <v>55.728000000000002</v>
      </c>
      <c r="I24" t="s">
        <v>348</v>
      </c>
      <c r="J24">
        <v>10</v>
      </c>
      <c r="K24" t="str">
        <f t="shared" si="0"/>
        <v>Winter wheat</v>
      </c>
      <c r="L24" t="str">
        <f t="shared" si="1"/>
        <v>Medium</v>
      </c>
      <c r="M24">
        <f t="shared" si="2"/>
        <v>4.4720000000000004</v>
      </c>
      <c r="N24" t="s">
        <v>349</v>
      </c>
      <c r="O24" t="s">
        <v>350</v>
      </c>
      <c r="P24">
        <v>7</v>
      </c>
      <c r="Q24" t="str">
        <f t="shared" si="6"/>
        <v>5.5 &lt; pH &lt;= 7.3</v>
      </c>
      <c r="R24" t="s">
        <v>351</v>
      </c>
      <c r="S24">
        <f>IF(AND((ISNUMBER(SEARCH("heavy",$A24))=TRUE),$F24="Winter wheat"),'BAU Management details'!$O$11,
IF(AND((ISNUMBER(SEARCH("medium",$A24))=TRUE),$F24="Winter wheat"),'BAU Management details'!$P$11,
IF(AND((ISNUMBER(SEARCH("light",$A24))=TRUE),$F24="Winter wheat"),'BAU Management details'!$Q$11,
IF($F24="Oilseed Rape",'BAU Management details'!$O$12))))</f>
        <v>220</v>
      </c>
      <c r="T24">
        <v>3</v>
      </c>
      <c r="U24" s="102">
        <f>IF(AND(ISNUMBER(SEARCH("L-Den",$A24))=TRUE,F24="Winter wheat"),'BAU Management details'!$AB$22,
IF(AND(ISNUMBER(SEARCH("H-Den",$A24))=TRUE,F24="Winter wheat"),'BAU Management details'!$AF$22,
IF(F24="Oilseed Rape",'BAU Management details'!$AB$30)))</f>
        <v>10.2576</v>
      </c>
      <c r="V24" t="s">
        <v>366</v>
      </c>
      <c r="W24">
        <v>1</v>
      </c>
      <c r="X24">
        <v>100</v>
      </c>
      <c r="Y24" t="s">
        <v>352</v>
      </c>
      <c r="Z24" t="s">
        <v>367</v>
      </c>
      <c r="AA24">
        <v>0</v>
      </c>
      <c r="AB24">
        <v>0</v>
      </c>
      <c r="AC24" s="102">
        <f t="shared" si="7"/>
        <v>2</v>
      </c>
      <c r="AD24">
        <v>0</v>
      </c>
      <c r="AE24" s="102">
        <f t="shared" si="13"/>
        <v>1</v>
      </c>
      <c r="AF24" s="102">
        <f t="shared" si="11"/>
        <v>0</v>
      </c>
      <c r="AG24" s="102">
        <f t="shared" si="12"/>
        <v>1</v>
      </c>
      <c r="AH24">
        <v>1</v>
      </c>
      <c r="AI24">
        <v>2</v>
      </c>
      <c r="AJ24">
        <v>0</v>
      </c>
      <c r="AK24">
        <v>0</v>
      </c>
      <c r="AL24">
        <v>0</v>
      </c>
      <c r="AM24" s="102">
        <f>IF(AND(ISNUMBER(SEARCH("L-Den",$A24))=TRUE,$F24="Winter wheat"),'BAU Management details'!$F$32,
IF(AND(ISNUMBER(SEARCH("H-Den",$A24))=TRUE,$F24="Winter wheat"),'BAU Management details'!$G$32,
IF(AND(ISNUMBER(SEARCH("L-Den",$A24))=TRUE,$F24="Oilseed Rape"),'BAU Management details'!$F$33,
IF(AND(ISNUMBER(SEARCH("H-Den",$A24))=TRUE,$F24="Oilseed Rape"),'BAU Management details'!$G$33))))</f>
        <v>4</v>
      </c>
    </row>
    <row r="25" spans="1:39" x14ac:dyDescent="0.2">
      <c r="A25" t="s">
        <v>355</v>
      </c>
      <c r="B25" t="s">
        <v>361</v>
      </c>
      <c r="C25">
        <v>2020</v>
      </c>
      <c r="D25">
        <v>6</v>
      </c>
      <c r="E25" t="s">
        <v>355</v>
      </c>
      <c r="F25" t="s">
        <v>365</v>
      </c>
      <c r="G25">
        <v>7.2</v>
      </c>
      <c r="H25" s="20">
        <f>IF(AND(A25=A24,F25=F24,F25="Winter wheat"),G25*0.9*'BAU Management details'!$F$46,
IF(AND(OR(A25&lt;&gt;A24,F25&lt;&gt;F24),F25="Winter wheat"),G25*'BAU Management details'!$F$46,
IF(F25="Oilseed Rape",G25*'BAU Management details'!$F$47)))</f>
        <v>25.2</v>
      </c>
      <c r="I25" t="s">
        <v>348</v>
      </c>
      <c r="J25">
        <v>10</v>
      </c>
      <c r="K25" t="str">
        <f t="shared" si="0"/>
        <v>Other</v>
      </c>
      <c r="L25" t="str">
        <f t="shared" si="1"/>
        <v>Medium</v>
      </c>
      <c r="M25">
        <f t="shared" si="2"/>
        <v>4.4720000000000004</v>
      </c>
      <c r="N25" t="s">
        <v>349</v>
      </c>
      <c r="O25" t="s">
        <v>350</v>
      </c>
      <c r="P25">
        <v>7</v>
      </c>
      <c r="Q25" t="str">
        <f t="shared" si="6"/>
        <v>5.5 &lt; pH &lt;= 7.3</v>
      </c>
      <c r="R25" t="s">
        <v>351</v>
      </c>
      <c r="S25">
        <f>IF(AND((ISNUMBER(SEARCH("heavy",$A25))=TRUE),$F25="Winter wheat"),'BAU Management details'!$O$11,
IF(AND((ISNUMBER(SEARCH("medium",$A25))=TRUE),$F25="Winter wheat"),'BAU Management details'!$P$11,
IF(AND((ISNUMBER(SEARCH("light",$A25))=TRUE),$F25="Winter wheat"),'BAU Management details'!$Q$11,
IF($F25="Oilseed Rape",'BAU Management details'!$O$12))))</f>
        <v>190</v>
      </c>
      <c r="T25">
        <v>3</v>
      </c>
      <c r="U25" s="102">
        <f>IF(AND(ISNUMBER(SEARCH("L-Den",$A25))=TRUE,F25="Winter wheat"),'BAU Management details'!$AB$22,
IF(AND(ISNUMBER(SEARCH("H-Den",$A25))=TRUE,F25="Winter wheat"),'BAU Management details'!$AF$22,
IF(F25="Oilseed Rape",'BAU Management details'!$AB$30)))</f>
        <v>2</v>
      </c>
      <c r="V25" t="s">
        <v>368</v>
      </c>
      <c r="W25">
        <v>1</v>
      </c>
      <c r="X25">
        <v>100</v>
      </c>
      <c r="Y25" t="s">
        <v>352</v>
      </c>
      <c r="Z25" t="s">
        <v>369</v>
      </c>
      <c r="AA25">
        <v>0</v>
      </c>
      <c r="AB25">
        <v>0</v>
      </c>
      <c r="AC25" s="102">
        <f t="shared" si="7"/>
        <v>0</v>
      </c>
      <c r="AD25">
        <v>0</v>
      </c>
      <c r="AE25" s="102">
        <f t="shared" si="13"/>
        <v>0</v>
      </c>
      <c r="AF25" s="102">
        <f t="shared" si="11"/>
        <v>0</v>
      </c>
      <c r="AG25" s="102">
        <f t="shared" si="12"/>
        <v>0</v>
      </c>
      <c r="AH25">
        <v>0</v>
      </c>
      <c r="AI25">
        <v>1</v>
      </c>
      <c r="AJ25">
        <v>0</v>
      </c>
      <c r="AK25">
        <v>1</v>
      </c>
      <c r="AL25">
        <v>0</v>
      </c>
      <c r="AM25" s="102">
        <f>IF(AND(ISNUMBER(SEARCH("L-Den",$A25))=TRUE,$F25="Winter wheat"),'BAU Management details'!$F$32,
IF(AND(ISNUMBER(SEARCH("H-Den",$A25))=TRUE,$F25="Winter wheat"),'BAU Management details'!$G$32,
IF(AND(ISNUMBER(SEARCH("L-Den",$A25))=TRUE,$F25="Oilseed Rape"),'BAU Management details'!$F$33,
IF(AND(ISNUMBER(SEARCH("H-Den",$A25))=TRUE,$F25="Oilseed Rape"),'BAU Management details'!$G$33))))</f>
        <v>3</v>
      </c>
    </row>
    <row r="26" spans="1:39" x14ac:dyDescent="0.2">
      <c r="A26" t="s">
        <v>356</v>
      </c>
      <c r="B26" t="s">
        <v>361</v>
      </c>
      <c r="C26">
        <v>2020</v>
      </c>
      <c r="D26">
        <v>1</v>
      </c>
      <c r="E26" t="s">
        <v>356</v>
      </c>
      <c r="F26" t="s">
        <v>362</v>
      </c>
      <c r="G26">
        <v>7.2</v>
      </c>
      <c r="H26" s="20">
        <f>IF(AND(A26=A25,F26=F25,F26="Winter wheat"),G26*0.9*'BAU Management details'!$F$46,
IF(AND(OR(A26&lt;&gt;A25,F26&lt;&gt;F25),F26="Winter wheat"),G26*'BAU Management details'!$F$46,
IF(F26="Oilseed Rape",G26*'BAU Management details'!$F$47)))</f>
        <v>61.92</v>
      </c>
      <c r="I26" t="s">
        <v>348</v>
      </c>
      <c r="J26">
        <v>10</v>
      </c>
      <c r="K26" t="str">
        <f t="shared" si="0"/>
        <v>Winter wheat</v>
      </c>
      <c r="L26" t="str">
        <f t="shared" si="1"/>
        <v>Medium</v>
      </c>
      <c r="M26">
        <f t="shared" si="2"/>
        <v>4.4720000000000004</v>
      </c>
      <c r="N26" t="s">
        <v>349</v>
      </c>
      <c r="O26" t="s">
        <v>350</v>
      </c>
      <c r="P26">
        <v>7</v>
      </c>
      <c r="Q26" t="str">
        <f t="shared" si="6"/>
        <v>5.5 &lt; pH &lt;= 7.3</v>
      </c>
      <c r="R26" t="s">
        <v>351</v>
      </c>
      <c r="S26">
        <f>IF(AND((ISNUMBER(SEARCH("heavy",$A26))=TRUE),$F26="Winter wheat"),'BAU Management details'!$O$11,
IF(AND((ISNUMBER(SEARCH("medium",$A26))=TRUE),$F26="Winter wheat"),'BAU Management details'!$P$11,
IF(AND((ISNUMBER(SEARCH("light",$A26))=TRUE),$F26="Winter wheat"),'BAU Management details'!$Q$11,
IF($F26="Oilseed Rape",'BAU Management details'!$O$12))))</f>
        <v>220</v>
      </c>
      <c r="T26">
        <v>3</v>
      </c>
      <c r="U26" s="102">
        <f>IF(AND(ISNUMBER(SEARCH("L-Den",$A26))=TRUE,F26="Winter wheat"),'BAU Management details'!$AB$22,
IF(AND(ISNUMBER(SEARCH("H-Den",$A26))=TRUE,F26="Winter wheat"),'BAU Management details'!$AF$22,
IF(F26="Oilseed Rape",'BAU Management details'!$AB$30)))</f>
        <v>8.8176000000000005</v>
      </c>
      <c r="V26" t="s">
        <v>363</v>
      </c>
      <c r="W26">
        <v>1</v>
      </c>
      <c r="X26">
        <v>100</v>
      </c>
      <c r="Y26" t="s">
        <v>352</v>
      </c>
      <c r="Z26" t="s">
        <v>364</v>
      </c>
      <c r="AA26">
        <v>0</v>
      </c>
      <c r="AB26">
        <v>0</v>
      </c>
      <c r="AC26" s="102">
        <f t="shared" si="7"/>
        <v>1</v>
      </c>
      <c r="AD26">
        <v>0</v>
      </c>
      <c r="AE26" s="102">
        <f>IF(AG26=1,1,0)</f>
        <v>0</v>
      </c>
      <c r="AF26" s="102">
        <f>IF($AE26=1,0,
IF(F26="Oilseed Rape",0,
1))</f>
        <v>1</v>
      </c>
      <c r="AG26" s="102">
        <f>IF(AND(ISNUMBER(SEARCH("heavy",$A26))=TRUE,$F26="Winter wheat"),0,
IF(AND(F26=F25,ISNUMBER(SEARCH("medium",$A26))=TRUE,$F26="Winter wheat"),1,
IF(AND(F26=F25,ISNUMBER(SEARCH("light",$A26))=TRUE,$F26="Winter wheat"),1,
IF(AND(F26&lt;&gt;F25,ISNUMBER(SEARCH("medium",$A26))=TRUE,$F26="Winter wheat"),0,
IF(AND(F26&lt;&gt;F25,ISNUMBER(SEARCH("light",$A26))=TRUE,$F26="Winter wheat"),0,
IF($F26="Oilseed Rape",0
))))))</f>
        <v>0</v>
      </c>
      <c r="AH26">
        <v>0</v>
      </c>
      <c r="AI26">
        <v>2</v>
      </c>
      <c r="AJ26">
        <v>0</v>
      </c>
      <c r="AK26">
        <v>0</v>
      </c>
      <c r="AL26">
        <v>0</v>
      </c>
      <c r="AM26" s="102">
        <f>IF(AND(ISNUMBER(SEARCH("L-Den",$A26))=TRUE,$F26="Winter wheat"),'BAU Management details'!$F$32,
IF(AND(ISNUMBER(SEARCH("H-Den",$A26))=TRUE,$F26="Winter wheat"),'BAU Management details'!$G$32,
IF(AND(ISNUMBER(SEARCH("L-Den",$A26))=TRUE,$F26="Oilseed Rape"),'BAU Management details'!$F$33,
IF(AND(ISNUMBER(SEARCH("H-Den",$A26))=TRUE,$F26="Oilseed Rape"),'BAU Management details'!$G$33))))</f>
        <v>4</v>
      </c>
    </row>
    <row r="27" spans="1:39" x14ac:dyDescent="0.2">
      <c r="A27" t="s">
        <v>356</v>
      </c>
      <c r="B27" t="s">
        <v>361</v>
      </c>
      <c r="C27">
        <v>2020</v>
      </c>
      <c r="D27">
        <v>2</v>
      </c>
      <c r="E27" t="s">
        <v>356</v>
      </c>
      <c r="F27" t="s">
        <v>362</v>
      </c>
      <c r="G27">
        <v>7.2</v>
      </c>
      <c r="H27" s="20">
        <f>IF(AND(A27=A26,F27=F26,F27="Winter wheat"),G27*0.9*'BAU Management details'!$F$46,
IF(AND(OR(A27&lt;&gt;A26,F27&lt;&gt;F26),F27="Winter wheat"),G27*'BAU Management details'!$F$46,
IF(F27="Oilseed Rape",G27*'BAU Management details'!$F$47)))</f>
        <v>55.728000000000002</v>
      </c>
      <c r="I27" t="s">
        <v>348</v>
      </c>
      <c r="J27">
        <v>10</v>
      </c>
      <c r="K27" t="str">
        <f t="shared" si="0"/>
        <v>Winter wheat</v>
      </c>
      <c r="L27" t="str">
        <f t="shared" si="1"/>
        <v>Medium</v>
      </c>
      <c r="M27">
        <f t="shared" si="2"/>
        <v>4.4720000000000004</v>
      </c>
      <c r="N27" t="s">
        <v>349</v>
      </c>
      <c r="O27" t="s">
        <v>350</v>
      </c>
      <c r="P27">
        <v>7</v>
      </c>
      <c r="Q27" t="str">
        <f t="shared" si="6"/>
        <v>5.5 &lt; pH &lt;= 7.3</v>
      </c>
      <c r="R27" t="s">
        <v>351</v>
      </c>
      <c r="S27">
        <f>IF(AND((ISNUMBER(SEARCH("heavy",$A27))=TRUE),$F27="Winter wheat"),'BAU Management details'!$O$11,
IF(AND((ISNUMBER(SEARCH("medium",$A27))=TRUE),$F27="Winter wheat"),'BAU Management details'!$P$11,
IF(AND((ISNUMBER(SEARCH("light",$A27))=TRUE),$F27="Winter wheat"),'BAU Management details'!$Q$11,
IF($F27="Oilseed Rape",'BAU Management details'!$O$12))))</f>
        <v>220</v>
      </c>
      <c r="T27">
        <v>3</v>
      </c>
      <c r="U27" s="102">
        <f>IF(AND(ISNUMBER(SEARCH("L-Den",$A27))=TRUE,F27="Winter wheat"),'BAU Management details'!$AB$22,
IF(AND(ISNUMBER(SEARCH("H-Den",$A27))=TRUE,F27="Winter wheat"),'BAU Management details'!$AF$22,
IF(F27="Oilseed Rape",'BAU Management details'!$AB$30)))</f>
        <v>8.8176000000000005</v>
      </c>
      <c r="V27" t="s">
        <v>366</v>
      </c>
      <c r="W27">
        <v>1</v>
      </c>
      <c r="X27">
        <v>100</v>
      </c>
      <c r="Y27" t="s">
        <v>352</v>
      </c>
      <c r="Z27" t="s">
        <v>367</v>
      </c>
      <c r="AA27">
        <v>0</v>
      </c>
      <c r="AB27">
        <v>0</v>
      </c>
      <c r="AC27" s="102">
        <f t="shared" si="7"/>
        <v>2</v>
      </c>
      <c r="AD27">
        <v>0</v>
      </c>
      <c r="AE27" s="102">
        <f>IF(AG27=1,1,0)</f>
        <v>1</v>
      </c>
      <c r="AF27" s="102">
        <f t="shared" ref="AF27:AF31" si="14">IF($AE27=1,0,
IF(F27="Oilseed Rape",0,
1))</f>
        <v>0</v>
      </c>
      <c r="AG27" s="102">
        <f t="shared" ref="AG27:AG31" si="15">IF(AND(ISNUMBER(SEARCH("heavy",$A27))=TRUE,$F27="Winter wheat"),0,
IF(AND(F27=F26,ISNUMBER(SEARCH("medium",$A27))=TRUE,$F27="Winter wheat"),1,
IF(AND(F27=F26,ISNUMBER(SEARCH("light",$A27))=TRUE,$F27="Winter wheat"),1,
IF(AND(F27&lt;&gt;F26,ISNUMBER(SEARCH("medium",$A27))=TRUE,$F27="Winter wheat"),0,
IF(AND(F27&lt;&gt;F26,ISNUMBER(SEARCH("light",$A27))=TRUE,$F27="Winter wheat"),0,
IF($F27="Oilseed Rape",0
))))))</f>
        <v>1</v>
      </c>
      <c r="AH27">
        <v>1</v>
      </c>
      <c r="AI27">
        <v>2</v>
      </c>
      <c r="AJ27">
        <v>0</v>
      </c>
      <c r="AK27">
        <v>0</v>
      </c>
      <c r="AL27">
        <v>0</v>
      </c>
      <c r="AM27" s="102">
        <f>IF(AND(ISNUMBER(SEARCH("L-Den",$A27))=TRUE,$F27="Winter wheat"),'BAU Management details'!$F$32,
IF(AND(ISNUMBER(SEARCH("H-Den",$A27))=TRUE,$F27="Winter wheat"),'BAU Management details'!$G$32,
IF(AND(ISNUMBER(SEARCH("L-Den",$A27))=TRUE,$F27="Oilseed Rape"),'BAU Management details'!$F$33,
IF(AND(ISNUMBER(SEARCH("H-Den",$A27))=TRUE,$F27="Oilseed Rape"),'BAU Management details'!$G$33))))</f>
        <v>4</v>
      </c>
    </row>
    <row r="28" spans="1:39" x14ac:dyDescent="0.2">
      <c r="A28" t="s">
        <v>356</v>
      </c>
      <c r="B28" t="s">
        <v>361</v>
      </c>
      <c r="C28">
        <v>2020</v>
      </c>
      <c r="D28">
        <v>3</v>
      </c>
      <c r="E28" t="s">
        <v>356</v>
      </c>
      <c r="F28" t="s">
        <v>365</v>
      </c>
      <c r="G28">
        <v>7.2</v>
      </c>
      <c r="H28" s="20">
        <f>IF(AND(A28=A27,F28=F27,F28="Winter wheat"),G28*0.9*'BAU Management details'!$F$46,
IF(AND(OR(A28&lt;&gt;A27,F28&lt;&gt;F27),F28="Winter wheat"),G28*'BAU Management details'!$F$46,
IF(F28="Oilseed Rape",G28*'BAU Management details'!$F$47)))</f>
        <v>25.2</v>
      </c>
      <c r="I28" t="s">
        <v>348</v>
      </c>
      <c r="J28">
        <v>10</v>
      </c>
      <c r="K28" t="str">
        <f t="shared" si="0"/>
        <v>Other</v>
      </c>
      <c r="L28" t="str">
        <f t="shared" si="1"/>
        <v>Medium</v>
      </c>
      <c r="M28">
        <f t="shared" si="2"/>
        <v>4.4720000000000004</v>
      </c>
      <c r="N28" t="s">
        <v>349</v>
      </c>
      <c r="O28" t="s">
        <v>350</v>
      </c>
      <c r="P28">
        <v>7</v>
      </c>
      <c r="Q28" t="str">
        <f t="shared" si="6"/>
        <v>5.5 &lt; pH &lt;= 7.3</v>
      </c>
      <c r="R28" t="s">
        <v>351</v>
      </c>
      <c r="S28">
        <f>IF(AND((ISNUMBER(SEARCH("heavy",$A28))=TRUE),$F28="Winter wheat"),'BAU Management details'!$O$11,
IF(AND((ISNUMBER(SEARCH("medium",$A28))=TRUE),$F28="Winter wheat"),'BAU Management details'!$P$11,
IF(AND((ISNUMBER(SEARCH("light",$A28))=TRUE),$F28="Winter wheat"),'BAU Management details'!$Q$11,
IF($F28="Oilseed Rape",'BAU Management details'!$O$12))))</f>
        <v>190</v>
      </c>
      <c r="T28">
        <v>3</v>
      </c>
      <c r="U28" s="102">
        <f>IF(AND(ISNUMBER(SEARCH("L-Den",$A28))=TRUE,F28="Winter wheat"),'BAU Management details'!$AB$22,
IF(AND(ISNUMBER(SEARCH("H-Den",$A28))=TRUE,F28="Winter wheat"),'BAU Management details'!$AF$22,
IF(F28="Oilseed Rape",'BAU Management details'!$AB$30)))</f>
        <v>2</v>
      </c>
      <c r="V28" t="s">
        <v>368</v>
      </c>
      <c r="W28">
        <v>1</v>
      </c>
      <c r="X28">
        <v>100</v>
      </c>
      <c r="Y28" t="s">
        <v>352</v>
      </c>
      <c r="Z28" t="s">
        <v>369</v>
      </c>
      <c r="AA28">
        <v>0</v>
      </c>
      <c r="AB28">
        <v>0</v>
      </c>
      <c r="AC28" s="102">
        <f t="shared" si="7"/>
        <v>0</v>
      </c>
      <c r="AD28">
        <v>0</v>
      </c>
      <c r="AE28" s="102">
        <f t="shared" ref="AE28:AE31" si="16">IF(AG28=1,1,0)</f>
        <v>0</v>
      </c>
      <c r="AF28" s="102">
        <f t="shared" si="14"/>
        <v>0</v>
      </c>
      <c r="AG28" s="102">
        <f t="shared" si="15"/>
        <v>0</v>
      </c>
      <c r="AH28">
        <v>0</v>
      </c>
      <c r="AI28">
        <v>1</v>
      </c>
      <c r="AJ28">
        <v>0</v>
      </c>
      <c r="AK28">
        <v>1</v>
      </c>
      <c r="AL28">
        <v>0</v>
      </c>
      <c r="AM28" s="102">
        <f>IF(AND(ISNUMBER(SEARCH("L-Den",$A28))=TRUE,$F28="Winter wheat"),'BAU Management details'!$F$32,
IF(AND(ISNUMBER(SEARCH("H-Den",$A28))=TRUE,$F28="Winter wheat"),'BAU Management details'!$G$32,
IF(AND(ISNUMBER(SEARCH("L-Den",$A28))=TRUE,$F28="Oilseed Rape"),'BAU Management details'!$F$33,
IF(AND(ISNUMBER(SEARCH("H-Den",$A28))=TRUE,$F28="Oilseed Rape"),'BAU Management details'!$G$33))))</f>
        <v>3</v>
      </c>
    </row>
    <row r="29" spans="1:39" x14ac:dyDescent="0.2">
      <c r="A29" t="s">
        <v>356</v>
      </c>
      <c r="B29" t="s">
        <v>361</v>
      </c>
      <c r="C29">
        <v>2020</v>
      </c>
      <c r="D29">
        <v>4</v>
      </c>
      <c r="E29" t="s">
        <v>356</v>
      </c>
      <c r="F29" t="s">
        <v>362</v>
      </c>
      <c r="G29">
        <v>7.2</v>
      </c>
      <c r="H29" s="20">
        <f>IF(AND(A29=A28,F29=F28,F29="Winter wheat"),G29*0.9*'BAU Management details'!$F$46,
IF(AND(OR(A29&lt;&gt;A28,F29&lt;&gt;F28),F29="Winter wheat"),G29*'BAU Management details'!$F$46,
IF(F29="Oilseed Rape",G29*'BAU Management details'!$F$47)))</f>
        <v>61.92</v>
      </c>
      <c r="I29" t="s">
        <v>348</v>
      </c>
      <c r="J29">
        <v>10</v>
      </c>
      <c r="K29" t="str">
        <f t="shared" si="0"/>
        <v>Winter wheat</v>
      </c>
      <c r="L29" t="str">
        <f t="shared" si="1"/>
        <v>Medium</v>
      </c>
      <c r="M29">
        <f t="shared" si="2"/>
        <v>4.4720000000000004</v>
      </c>
      <c r="N29" t="s">
        <v>349</v>
      </c>
      <c r="O29" t="s">
        <v>350</v>
      </c>
      <c r="P29">
        <v>7</v>
      </c>
      <c r="Q29" t="str">
        <f t="shared" si="6"/>
        <v>5.5 &lt; pH &lt;= 7.3</v>
      </c>
      <c r="R29" t="s">
        <v>351</v>
      </c>
      <c r="S29">
        <f>IF(AND((ISNUMBER(SEARCH("heavy",$A29))=TRUE),$F29="Winter wheat"),'BAU Management details'!$O$11,
IF(AND((ISNUMBER(SEARCH("medium",$A29))=TRUE),$F29="Winter wheat"),'BAU Management details'!$P$11,
IF(AND((ISNUMBER(SEARCH("light",$A29))=TRUE),$F29="Winter wheat"),'BAU Management details'!$Q$11,
IF($F29="Oilseed Rape",'BAU Management details'!$O$12))))</f>
        <v>220</v>
      </c>
      <c r="T29">
        <v>3</v>
      </c>
      <c r="U29" s="102">
        <f>IF(AND(ISNUMBER(SEARCH("L-Den",$A29))=TRUE,F29="Winter wheat"),'BAU Management details'!$AB$22,
IF(AND(ISNUMBER(SEARCH("H-Den",$A29))=TRUE,F29="Winter wheat"),'BAU Management details'!$AF$22,
IF(F29="Oilseed Rape",'BAU Management details'!$AB$30)))</f>
        <v>8.8176000000000005</v>
      </c>
      <c r="V29" t="s">
        <v>363</v>
      </c>
      <c r="W29">
        <v>1</v>
      </c>
      <c r="X29">
        <v>100</v>
      </c>
      <c r="Y29" t="s">
        <v>352</v>
      </c>
      <c r="Z29" t="s">
        <v>364</v>
      </c>
      <c r="AA29">
        <v>0</v>
      </c>
      <c r="AB29">
        <v>0</v>
      </c>
      <c r="AC29" s="102">
        <f t="shared" si="7"/>
        <v>1</v>
      </c>
      <c r="AD29">
        <v>0</v>
      </c>
      <c r="AE29" s="102">
        <f t="shared" si="16"/>
        <v>0</v>
      </c>
      <c r="AF29" s="102">
        <f t="shared" si="14"/>
        <v>1</v>
      </c>
      <c r="AG29" s="102">
        <f t="shared" si="15"/>
        <v>0</v>
      </c>
      <c r="AH29">
        <v>0</v>
      </c>
      <c r="AI29">
        <v>2</v>
      </c>
      <c r="AJ29">
        <v>0</v>
      </c>
      <c r="AK29">
        <v>0</v>
      </c>
      <c r="AL29">
        <v>0</v>
      </c>
      <c r="AM29" s="102">
        <f>IF(AND(ISNUMBER(SEARCH("L-Den",$A29))=TRUE,$F29="Winter wheat"),'BAU Management details'!$F$32,
IF(AND(ISNUMBER(SEARCH("H-Den",$A29))=TRUE,$F29="Winter wheat"),'BAU Management details'!$G$32,
IF(AND(ISNUMBER(SEARCH("L-Den",$A29))=TRUE,$F29="Oilseed Rape"),'BAU Management details'!$F$33,
IF(AND(ISNUMBER(SEARCH("H-Den",$A29))=TRUE,$F29="Oilseed Rape"),'BAU Management details'!$G$33))))</f>
        <v>4</v>
      </c>
    </row>
    <row r="30" spans="1:39" x14ac:dyDescent="0.2">
      <c r="A30" t="s">
        <v>356</v>
      </c>
      <c r="B30" t="s">
        <v>361</v>
      </c>
      <c r="C30">
        <v>2020</v>
      </c>
      <c r="D30">
        <v>5</v>
      </c>
      <c r="E30" t="s">
        <v>356</v>
      </c>
      <c r="F30" t="s">
        <v>362</v>
      </c>
      <c r="G30">
        <v>7.2</v>
      </c>
      <c r="H30" s="20">
        <f>IF(AND(A30=A29,F30=F29,F30="Winter wheat"),G30*0.9*'BAU Management details'!$F$46,
IF(AND(OR(A30&lt;&gt;A29,F30&lt;&gt;F29),F30="Winter wheat"),G30*'BAU Management details'!$F$46,
IF(F30="Oilseed Rape",G30*'BAU Management details'!$F$47)))</f>
        <v>55.728000000000002</v>
      </c>
      <c r="I30" t="s">
        <v>348</v>
      </c>
      <c r="J30">
        <v>10</v>
      </c>
      <c r="K30" t="str">
        <f t="shared" si="0"/>
        <v>Winter wheat</v>
      </c>
      <c r="L30" t="str">
        <f t="shared" si="1"/>
        <v>Medium</v>
      </c>
      <c r="M30">
        <f t="shared" si="2"/>
        <v>4.4720000000000004</v>
      </c>
      <c r="N30" t="s">
        <v>349</v>
      </c>
      <c r="O30" t="s">
        <v>350</v>
      </c>
      <c r="P30">
        <v>7</v>
      </c>
      <c r="Q30" t="str">
        <f t="shared" si="6"/>
        <v>5.5 &lt; pH &lt;= 7.3</v>
      </c>
      <c r="R30" t="s">
        <v>351</v>
      </c>
      <c r="S30">
        <f>IF(AND((ISNUMBER(SEARCH("heavy",$A30))=TRUE),$F30="Winter wheat"),'BAU Management details'!$O$11,
IF(AND((ISNUMBER(SEARCH("medium",$A30))=TRUE),$F30="Winter wheat"),'BAU Management details'!$P$11,
IF(AND((ISNUMBER(SEARCH("light",$A30))=TRUE),$F30="Winter wheat"),'BAU Management details'!$Q$11,
IF($F30="Oilseed Rape",'BAU Management details'!$O$12))))</f>
        <v>220</v>
      </c>
      <c r="T30">
        <v>3</v>
      </c>
      <c r="U30" s="102">
        <f>IF(AND(ISNUMBER(SEARCH("L-Den",$A30))=TRUE,F30="Winter wheat"),'BAU Management details'!$AB$22,
IF(AND(ISNUMBER(SEARCH("H-Den",$A30))=TRUE,F30="Winter wheat"),'BAU Management details'!$AF$22,
IF(F30="Oilseed Rape",'BAU Management details'!$AB$30)))</f>
        <v>8.8176000000000005</v>
      </c>
      <c r="V30" t="s">
        <v>366</v>
      </c>
      <c r="W30">
        <v>1</v>
      </c>
      <c r="X30">
        <v>100</v>
      </c>
      <c r="Y30" t="s">
        <v>352</v>
      </c>
      <c r="Z30" t="s">
        <v>367</v>
      </c>
      <c r="AA30">
        <v>0</v>
      </c>
      <c r="AB30">
        <v>0</v>
      </c>
      <c r="AC30" s="102">
        <f t="shared" si="7"/>
        <v>2</v>
      </c>
      <c r="AD30">
        <v>0</v>
      </c>
      <c r="AE30" s="102">
        <f t="shared" si="16"/>
        <v>1</v>
      </c>
      <c r="AF30" s="102">
        <f t="shared" si="14"/>
        <v>0</v>
      </c>
      <c r="AG30" s="102">
        <f t="shared" si="15"/>
        <v>1</v>
      </c>
      <c r="AH30">
        <v>1</v>
      </c>
      <c r="AI30">
        <v>2</v>
      </c>
      <c r="AJ30">
        <v>0</v>
      </c>
      <c r="AK30">
        <v>0</v>
      </c>
      <c r="AL30">
        <v>0</v>
      </c>
      <c r="AM30" s="102">
        <f>IF(AND(ISNUMBER(SEARCH("L-Den",$A30))=TRUE,$F30="Winter wheat"),'BAU Management details'!$F$32,
IF(AND(ISNUMBER(SEARCH("H-Den",$A30))=TRUE,$F30="Winter wheat"),'BAU Management details'!$G$32,
IF(AND(ISNUMBER(SEARCH("L-Den",$A30))=TRUE,$F30="Oilseed Rape"),'BAU Management details'!$F$33,
IF(AND(ISNUMBER(SEARCH("H-Den",$A30))=TRUE,$F30="Oilseed Rape"),'BAU Management details'!$G$33))))</f>
        <v>4</v>
      </c>
    </row>
    <row r="31" spans="1:39" x14ac:dyDescent="0.2">
      <c r="A31" t="s">
        <v>356</v>
      </c>
      <c r="B31" t="s">
        <v>361</v>
      </c>
      <c r="C31">
        <v>2020</v>
      </c>
      <c r="D31">
        <v>6</v>
      </c>
      <c r="E31" t="s">
        <v>356</v>
      </c>
      <c r="F31" t="s">
        <v>365</v>
      </c>
      <c r="G31">
        <v>7.2</v>
      </c>
      <c r="H31" s="20">
        <f>IF(AND(A31=A30,F31=F30,F31="Winter wheat"),G31*0.9*'BAU Management details'!$F$46,
IF(AND(OR(A31&lt;&gt;A30,F31&lt;&gt;F30),F31="Winter wheat"),G31*'BAU Management details'!$F$46,
IF(F31="Oilseed Rape",G31*'BAU Management details'!$F$47)))</f>
        <v>25.2</v>
      </c>
      <c r="I31" t="s">
        <v>348</v>
      </c>
      <c r="J31">
        <v>10</v>
      </c>
      <c r="K31" t="str">
        <f t="shared" si="0"/>
        <v>Other</v>
      </c>
      <c r="L31" t="str">
        <f t="shared" si="1"/>
        <v>Medium</v>
      </c>
      <c r="M31">
        <f t="shared" si="2"/>
        <v>4.4720000000000004</v>
      </c>
      <c r="N31" t="s">
        <v>349</v>
      </c>
      <c r="O31" t="s">
        <v>350</v>
      </c>
      <c r="P31">
        <v>7</v>
      </c>
      <c r="Q31" t="str">
        <f t="shared" si="6"/>
        <v>5.5 &lt; pH &lt;= 7.3</v>
      </c>
      <c r="R31" t="s">
        <v>351</v>
      </c>
      <c r="S31">
        <f>IF(AND((ISNUMBER(SEARCH("heavy",$A31))=TRUE),$F31="Winter wheat"),'BAU Management details'!$O$11,
IF(AND((ISNUMBER(SEARCH("medium",$A31))=TRUE),$F31="Winter wheat"),'BAU Management details'!$P$11,
IF(AND((ISNUMBER(SEARCH("light",$A31))=TRUE),$F31="Winter wheat"),'BAU Management details'!$Q$11,
IF($F31="Oilseed Rape",'BAU Management details'!$O$12))))</f>
        <v>190</v>
      </c>
      <c r="T31">
        <v>3</v>
      </c>
      <c r="U31" s="102">
        <f>IF(AND(ISNUMBER(SEARCH("L-Den",$A31))=TRUE,F31="Winter wheat"),'BAU Management details'!$AB$22,
IF(AND(ISNUMBER(SEARCH("H-Den",$A31))=TRUE,F31="Winter wheat"),'BAU Management details'!$AF$22,
IF(F31="Oilseed Rape",'BAU Management details'!$AB$30)))</f>
        <v>2</v>
      </c>
      <c r="V31" t="s">
        <v>368</v>
      </c>
      <c r="W31">
        <v>1</v>
      </c>
      <c r="X31">
        <v>100</v>
      </c>
      <c r="Y31" t="s">
        <v>352</v>
      </c>
      <c r="Z31" t="s">
        <v>369</v>
      </c>
      <c r="AA31">
        <v>0</v>
      </c>
      <c r="AB31">
        <v>0</v>
      </c>
      <c r="AC31" s="102">
        <f t="shared" si="7"/>
        <v>0</v>
      </c>
      <c r="AD31">
        <v>0</v>
      </c>
      <c r="AE31" s="102">
        <f t="shared" si="16"/>
        <v>0</v>
      </c>
      <c r="AF31" s="102">
        <f t="shared" si="14"/>
        <v>0</v>
      </c>
      <c r="AG31" s="102">
        <f t="shared" si="15"/>
        <v>0</v>
      </c>
      <c r="AH31">
        <v>0</v>
      </c>
      <c r="AI31">
        <v>1</v>
      </c>
      <c r="AJ31">
        <v>0</v>
      </c>
      <c r="AK31">
        <v>1</v>
      </c>
      <c r="AL31">
        <v>0</v>
      </c>
      <c r="AM31" s="102">
        <f>IF(AND(ISNUMBER(SEARCH("L-Den",$A31))=TRUE,$F31="Winter wheat"),'BAU Management details'!$F$32,
IF(AND(ISNUMBER(SEARCH("H-Den",$A31))=TRUE,$F31="Winter wheat"),'BAU Management details'!$G$32,
IF(AND(ISNUMBER(SEARCH("L-Den",$A31))=TRUE,$F31="Oilseed Rape"),'BAU Management details'!$F$33,
IF(AND(ISNUMBER(SEARCH("H-Den",$A31))=TRUE,$F31="Oilseed Rape"),'BAU Management details'!$G$33))))</f>
        <v>3</v>
      </c>
    </row>
    <row r="32" spans="1:39" x14ac:dyDescent="0.2">
      <c r="A32" t="s">
        <v>357</v>
      </c>
      <c r="B32" t="s">
        <v>361</v>
      </c>
      <c r="C32">
        <v>2020</v>
      </c>
      <c r="D32">
        <v>1</v>
      </c>
      <c r="E32" t="s">
        <v>357</v>
      </c>
      <c r="F32" t="s">
        <v>362</v>
      </c>
      <c r="G32">
        <v>7.2</v>
      </c>
      <c r="H32" s="20">
        <f>IF(AND(A32=A31,F32=F31,F32="Winter wheat"),G32*0.9*'BAU Management details'!$F$46,
IF(AND(OR(A32&lt;&gt;A31,F32&lt;&gt;F31),F32="Winter wheat"),G32*'BAU Management details'!$F$46,
IF(F32="Oilseed Rape",G32*'BAU Management details'!$F$47)))</f>
        <v>61.92</v>
      </c>
      <c r="I32" t="s">
        <v>348</v>
      </c>
      <c r="J32">
        <v>10</v>
      </c>
      <c r="K32" t="str">
        <f t="shared" si="0"/>
        <v>Winter wheat</v>
      </c>
      <c r="L32" t="str">
        <f t="shared" si="1"/>
        <v>Medium</v>
      </c>
      <c r="M32">
        <f t="shared" si="2"/>
        <v>4.4720000000000004</v>
      </c>
      <c r="N32" t="s">
        <v>349</v>
      </c>
      <c r="O32" t="s">
        <v>350</v>
      </c>
      <c r="P32">
        <v>7</v>
      </c>
      <c r="Q32" t="str">
        <f t="shared" si="6"/>
        <v>5.5 &lt; pH &lt;= 7.3</v>
      </c>
      <c r="R32" t="s">
        <v>351</v>
      </c>
      <c r="S32">
        <f>IF(AND((ISNUMBER(SEARCH("heavy",$A32))=TRUE),$F32="Winter wheat"),'BAU Management details'!$O$11,
IF(AND((ISNUMBER(SEARCH("medium",$A32))=TRUE),$F32="Winter wheat"),'BAU Management details'!$P$11,
IF(AND((ISNUMBER(SEARCH("light",$A32))=TRUE),$F32="Winter wheat"),'BAU Management details'!$Q$11,
IF($F32="Oilseed Rape",'BAU Management details'!$O$12))))</f>
        <v>220</v>
      </c>
      <c r="T32">
        <v>3</v>
      </c>
      <c r="U32" s="102">
        <f>IF(AND(ISNUMBER(SEARCH("L-Den",$A32))=TRUE,F32="Winter wheat"),'BAU Management details'!$AB$22,
IF(AND(ISNUMBER(SEARCH("H-Den",$A32))=TRUE,F32="Winter wheat"),'BAU Management details'!$AF$22,
IF(F32="Oilseed Rape",'BAU Management details'!$AB$30)))</f>
        <v>8.8176000000000005</v>
      </c>
      <c r="V32" t="s">
        <v>363</v>
      </c>
      <c r="W32">
        <v>1</v>
      </c>
      <c r="X32">
        <v>100</v>
      </c>
      <c r="Y32" t="s">
        <v>352</v>
      </c>
      <c r="Z32" t="s">
        <v>364</v>
      </c>
      <c r="AA32">
        <v>0</v>
      </c>
      <c r="AB32">
        <v>0</v>
      </c>
      <c r="AC32" s="102">
        <f t="shared" si="7"/>
        <v>1</v>
      </c>
      <c r="AD32">
        <v>0</v>
      </c>
      <c r="AE32" s="102">
        <f>IF(AG32=1,1,0)</f>
        <v>0</v>
      </c>
      <c r="AF32" s="102">
        <f>IF($AE32=1,0,
IF(F32="Oilseed Rape",0,
1))</f>
        <v>1</v>
      </c>
      <c r="AG32" s="102">
        <f>IF(AND(ISNUMBER(SEARCH("heavy",$A32))=TRUE,$F32="Winter wheat"),0,
IF(AND(F32=F31,ISNUMBER(SEARCH("medium",$A32))=TRUE,$F32="Winter wheat"),1,
IF(AND(F32=F31,ISNUMBER(SEARCH("light",$A32))=TRUE,$F32="Winter wheat"),1,
IF(AND(F32&lt;&gt;F31,ISNUMBER(SEARCH("medium",$A32))=TRUE,$F32="Winter wheat"),0,
IF(AND(F32&lt;&gt;F31,ISNUMBER(SEARCH("light",$A32))=TRUE,$F32="Winter wheat"),0,
IF($F32="Oilseed Rape",0
))))))</f>
        <v>0</v>
      </c>
      <c r="AH32">
        <v>0</v>
      </c>
      <c r="AI32">
        <v>2</v>
      </c>
      <c r="AJ32">
        <v>0</v>
      </c>
      <c r="AK32">
        <v>0</v>
      </c>
      <c r="AL32">
        <v>0</v>
      </c>
      <c r="AM32" s="102">
        <f>IF(AND(ISNUMBER(SEARCH("L-Den",$A32))=TRUE,$F32="Winter wheat"),'BAU Management details'!$F$32,
IF(AND(ISNUMBER(SEARCH("H-Den",$A32))=TRUE,$F32="Winter wheat"),'BAU Management details'!$G$32,
IF(AND(ISNUMBER(SEARCH("L-Den",$A32))=TRUE,$F32="Oilseed Rape"),'BAU Management details'!$F$33,
IF(AND(ISNUMBER(SEARCH("H-Den",$A32))=TRUE,$F32="Oilseed Rape"),'BAU Management details'!$G$33))))</f>
        <v>4</v>
      </c>
    </row>
    <row r="33" spans="1:39" x14ac:dyDescent="0.2">
      <c r="A33" t="s">
        <v>357</v>
      </c>
      <c r="B33" t="s">
        <v>361</v>
      </c>
      <c r="C33">
        <v>2020</v>
      </c>
      <c r="D33">
        <v>2</v>
      </c>
      <c r="E33" t="s">
        <v>357</v>
      </c>
      <c r="F33" t="s">
        <v>362</v>
      </c>
      <c r="G33">
        <v>7.2</v>
      </c>
      <c r="H33" s="20">
        <f>IF(AND(A33=A32,F33=F32,F33="Winter wheat"),G33*0.9*'BAU Management details'!$F$46,
IF(AND(OR(A33&lt;&gt;A32,F33&lt;&gt;F32),F33="Winter wheat"),G33*'BAU Management details'!$F$46,
IF(F33="Oilseed Rape",G33*'BAU Management details'!$F$47)))</f>
        <v>55.728000000000002</v>
      </c>
      <c r="I33" t="s">
        <v>348</v>
      </c>
      <c r="J33">
        <v>10</v>
      </c>
      <c r="K33" t="str">
        <f t="shared" si="0"/>
        <v>Winter wheat</v>
      </c>
      <c r="L33" t="str">
        <f t="shared" si="1"/>
        <v>Medium</v>
      </c>
      <c r="M33">
        <f t="shared" si="2"/>
        <v>4.4720000000000004</v>
      </c>
      <c r="N33" t="s">
        <v>349</v>
      </c>
      <c r="O33" t="s">
        <v>350</v>
      </c>
      <c r="P33">
        <v>7</v>
      </c>
      <c r="Q33" t="str">
        <f t="shared" si="6"/>
        <v>5.5 &lt; pH &lt;= 7.3</v>
      </c>
      <c r="R33" t="s">
        <v>351</v>
      </c>
      <c r="S33">
        <f>IF(AND((ISNUMBER(SEARCH("heavy",$A33))=TRUE),$F33="Winter wheat"),'BAU Management details'!$O$11,
IF(AND((ISNUMBER(SEARCH("medium",$A33))=TRUE),$F33="Winter wheat"),'BAU Management details'!$P$11,
IF(AND((ISNUMBER(SEARCH("light",$A33))=TRUE),$F33="Winter wheat"),'BAU Management details'!$Q$11,
IF($F33="Oilseed Rape",'BAU Management details'!$O$12))))</f>
        <v>220</v>
      </c>
      <c r="T33">
        <v>3</v>
      </c>
      <c r="U33" s="102">
        <f>IF(AND(ISNUMBER(SEARCH("L-Den",$A33))=TRUE,F33="Winter wheat"),'BAU Management details'!$AB$22,
IF(AND(ISNUMBER(SEARCH("H-Den",$A33))=TRUE,F33="Winter wheat"),'BAU Management details'!$AF$22,
IF(F33="Oilseed Rape",'BAU Management details'!$AB$30)))</f>
        <v>8.8176000000000005</v>
      </c>
      <c r="V33" t="s">
        <v>366</v>
      </c>
      <c r="W33">
        <v>1</v>
      </c>
      <c r="X33">
        <v>100</v>
      </c>
      <c r="Y33" t="s">
        <v>352</v>
      </c>
      <c r="Z33" t="s">
        <v>367</v>
      </c>
      <c r="AA33">
        <v>0</v>
      </c>
      <c r="AB33">
        <v>0</v>
      </c>
      <c r="AC33" s="102">
        <f t="shared" si="7"/>
        <v>2</v>
      </c>
      <c r="AD33">
        <v>0</v>
      </c>
      <c r="AE33" s="102">
        <f>IF(AG33=1,1,0)</f>
        <v>1</v>
      </c>
      <c r="AF33" s="102">
        <f t="shared" ref="AF33:AF37" si="17">IF($AE33=1,0,
IF(F33="Oilseed Rape",0,
1))</f>
        <v>0</v>
      </c>
      <c r="AG33" s="102">
        <f t="shared" ref="AG33:AG37" si="18">IF(AND(ISNUMBER(SEARCH("heavy",$A33))=TRUE,$F33="Winter wheat"),0,
IF(AND(F33=F32,ISNUMBER(SEARCH("medium",$A33))=TRUE,$F33="Winter wheat"),1,
IF(AND(F33=F32,ISNUMBER(SEARCH("light",$A33))=TRUE,$F33="Winter wheat"),1,
IF(AND(F33&lt;&gt;F32,ISNUMBER(SEARCH("medium",$A33))=TRUE,$F33="Winter wheat"),0,
IF(AND(F33&lt;&gt;F32,ISNUMBER(SEARCH("light",$A33))=TRUE,$F33="Winter wheat"),0,
IF($F33="Oilseed Rape",0
))))))</f>
        <v>1</v>
      </c>
      <c r="AH33">
        <v>1</v>
      </c>
      <c r="AI33">
        <v>2</v>
      </c>
      <c r="AJ33">
        <v>0</v>
      </c>
      <c r="AK33">
        <v>0</v>
      </c>
      <c r="AL33">
        <v>0</v>
      </c>
      <c r="AM33" s="102">
        <f>IF(AND(ISNUMBER(SEARCH("L-Den",$A33))=TRUE,$F33="Winter wheat"),'BAU Management details'!$F$32,
IF(AND(ISNUMBER(SEARCH("H-Den",$A33))=TRUE,$F33="Winter wheat"),'BAU Management details'!$G$32,
IF(AND(ISNUMBER(SEARCH("L-Den",$A33))=TRUE,$F33="Oilseed Rape"),'BAU Management details'!$F$33,
IF(AND(ISNUMBER(SEARCH("H-Den",$A33))=TRUE,$F33="Oilseed Rape"),'BAU Management details'!$G$33))))</f>
        <v>4</v>
      </c>
    </row>
    <row r="34" spans="1:39" x14ac:dyDescent="0.2">
      <c r="A34" t="s">
        <v>357</v>
      </c>
      <c r="B34" t="s">
        <v>361</v>
      </c>
      <c r="C34">
        <v>2020</v>
      </c>
      <c r="D34">
        <v>3</v>
      </c>
      <c r="E34" t="s">
        <v>357</v>
      </c>
      <c r="F34" t="s">
        <v>365</v>
      </c>
      <c r="G34">
        <v>7.2</v>
      </c>
      <c r="H34" s="20">
        <f>IF(AND(A34=A33,F34=F33,F34="Winter wheat"),G34*0.9*'BAU Management details'!$F$46,
IF(AND(OR(A34&lt;&gt;A33,F34&lt;&gt;F33),F34="Winter wheat"),G34*'BAU Management details'!$F$46,
IF(F34="Oilseed Rape",G34*'BAU Management details'!$F$47)))</f>
        <v>25.2</v>
      </c>
      <c r="I34" t="s">
        <v>348</v>
      </c>
      <c r="J34">
        <v>10</v>
      </c>
      <c r="K34" t="str">
        <f t="shared" si="0"/>
        <v>Other</v>
      </c>
      <c r="L34" t="str">
        <f t="shared" si="1"/>
        <v>Medium</v>
      </c>
      <c r="M34">
        <f t="shared" si="2"/>
        <v>4.4720000000000004</v>
      </c>
      <c r="N34" t="s">
        <v>349</v>
      </c>
      <c r="O34" t="s">
        <v>350</v>
      </c>
      <c r="P34">
        <v>7</v>
      </c>
      <c r="Q34" t="str">
        <f t="shared" si="6"/>
        <v>5.5 &lt; pH &lt;= 7.3</v>
      </c>
      <c r="R34" t="s">
        <v>351</v>
      </c>
      <c r="S34">
        <f>IF(AND((ISNUMBER(SEARCH("heavy",$A34))=TRUE),$F34="Winter wheat"),'BAU Management details'!$O$11,
IF(AND((ISNUMBER(SEARCH("medium",$A34))=TRUE),$F34="Winter wheat"),'BAU Management details'!$P$11,
IF(AND((ISNUMBER(SEARCH("light",$A34))=TRUE),$F34="Winter wheat"),'BAU Management details'!$Q$11,
IF($F34="Oilseed Rape",'BAU Management details'!$O$12))))</f>
        <v>190</v>
      </c>
      <c r="T34">
        <v>3</v>
      </c>
      <c r="U34" s="102">
        <f>IF(AND(ISNUMBER(SEARCH("L-Den",$A34))=TRUE,F34="Winter wheat"),'BAU Management details'!$AB$22,
IF(AND(ISNUMBER(SEARCH("H-Den",$A34))=TRUE,F34="Winter wheat"),'BAU Management details'!$AF$22,
IF(F34="Oilseed Rape",'BAU Management details'!$AB$30)))</f>
        <v>2</v>
      </c>
      <c r="V34" t="s">
        <v>368</v>
      </c>
      <c r="W34">
        <v>1</v>
      </c>
      <c r="X34">
        <v>100</v>
      </c>
      <c r="Y34" t="s">
        <v>352</v>
      </c>
      <c r="Z34" t="s">
        <v>369</v>
      </c>
      <c r="AA34">
        <v>0</v>
      </c>
      <c r="AB34">
        <v>0</v>
      </c>
      <c r="AC34" s="102">
        <f t="shared" si="7"/>
        <v>0</v>
      </c>
      <c r="AD34">
        <v>0</v>
      </c>
      <c r="AE34" s="102">
        <f t="shared" ref="AE34:AE37" si="19">IF(AG34=1,1,0)</f>
        <v>0</v>
      </c>
      <c r="AF34" s="102">
        <f t="shared" si="17"/>
        <v>0</v>
      </c>
      <c r="AG34" s="102">
        <f t="shared" si="18"/>
        <v>0</v>
      </c>
      <c r="AH34">
        <v>0</v>
      </c>
      <c r="AI34">
        <v>1</v>
      </c>
      <c r="AJ34">
        <v>0</v>
      </c>
      <c r="AK34">
        <v>1</v>
      </c>
      <c r="AL34">
        <v>0</v>
      </c>
      <c r="AM34" s="102">
        <f>IF(AND(ISNUMBER(SEARCH("L-Den",$A34))=TRUE,$F34="Winter wheat"),'BAU Management details'!$F$32,
IF(AND(ISNUMBER(SEARCH("H-Den",$A34))=TRUE,$F34="Winter wheat"),'BAU Management details'!$G$32,
IF(AND(ISNUMBER(SEARCH("L-Den",$A34))=TRUE,$F34="Oilseed Rape"),'BAU Management details'!$F$33,
IF(AND(ISNUMBER(SEARCH("H-Den",$A34))=TRUE,$F34="Oilseed Rape"),'BAU Management details'!$G$33))))</f>
        <v>3</v>
      </c>
    </row>
    <row r="35" spans="1:39" x14ac:dyDescent="0.2">
      <c r="A35" t="s">
        <v>357</v>
      </c>
      <c r="B35" t="s">
        <v>361</v>
      </c>
      <c r="C35">
        <v>2020</v>
      </c>
      <c r="D35">
        <v>4</v>
      </c>
      <c r="E35" t="s">
        <v>357</v>
      </c>
      <c r="F35" t="s">
        <v>362</v>
      </c>
      <c r="G35">
        <v>7.2</v>
      </c>
      <c r="H35" s="20">
        <f>IF(AND(A35=A34,F35=F34,F35="Winter wheat"),G35*0.9*'BAU Management details'!$F$46,
IF(AND(OR(A35&lt;&gt;A34,F35&lt;&gt;F34),F35="Winter wheat"),G35*'BAU Management details'!$F$46,
IF(F35="Oilseed Rape",G35*'BAU Management details'!$F$47)))</f>
        <v>61.92</v>
      </c>
      <c r="I35" t="s">
        <v>348</v>
      </c>
      <c r="J35">
        <v>10</v>
      </c>
      <c r="K35" t="str">
        <f t="shared" si="0"/>
        <v>Winter wheat</v>
      </c>
      <c r="L35" t="str">
        <f t="shared" si="1"/>
        <v>Medium</v>
      </c>
      <c r="M35">
        <f t="shared" si="2"/>
        <v>4.4720000000000004</v>
      </c>
      <c r="N35" t="s">
        <v>349</v>
      </c>
      <c r="O35" t="s">
        <v>350</v>
      </c>
      <c r="P35">
        <v>7</v>
      </c>
      <c r="Q35" t="str">
        <f t="shared" si="6"/>
        <v>5.5 &lt; pH &lt;= 7.3</v>
      </c>
      <c r="R35" t="s">
        <v>351</v>
      </c>
      <c r="S35">
        <f>IF(AND((ISNUMBER(SEARCH("heavy",$A35))=TRUE),$F35="Winter wheat"),'BAU Management details'!$O$11,
IF(AND((ISNUMBER(SEARCH("medium",$A35))=TRUE),$F35="Winter wheat"),'BAU Management details'!$P$11,
IF(AND((ISNUMBER(SEARCH("light",$A35))=TRUE),$F35="Winter wheat"),'BAU Management details'!$Q$11,
IF($F35="Oilseed Rape",'BAU Management details'!$O$12))))</f>
        <v>220</v>
      </c>
      <c r="T35">
        <v>3</v>
      </c>
      <c r="U35" s="102">
        <f>IF(AND(ISNUMBER(SEARCH("L-Den",$A35))=TRUE,F35="Winter wheat"),'BAU Management details'!$AB$22,
IF(AND(ISNUMBER(SEARCH("H-Den",$A35))=TRUE,F35="Winter wheat"),'BAU Management details'!$AF$22,
IF(F35="Oilseed Rape",'BAU Management details'!$AB$30)))</f>
        <v>8.8176000000000005</v>
      </c>
      <c r="V35" t="s">
        <v>363</v>
      </c>
      <c r="W35">
        <v>1</v>
      </c>
      <c r="X35">
        <v>100</v>
      </c>
      <c r="Y35" t="s">
        <v>352</v>
      </c>
      <c r="Z35" t="s">
        <v>364</v>
      </c>
      <c r="AA35">
        <v>0</v>
      </c>
      <c r="AB35">
        <v>0</v>
      </c>
      <c r="AC35" s="102">
        <f t="shared" si="7"/>
        <v>1</v>
      </c>
      <c r="AD35">
        <v>0</v>
      </c>
      <c r="AE35" s="102">
        <f t="shared" si="19"/>
        <v>0</v>
      </c>
      <c r="AF35" s="102">
        <f t="shared" si="17"/>
        <v>1</v>
      </c>
      <c r="AG35" s="102">
        <f t="shared" si="18"/>
        <v>0</v>
      </c>
      <c r="AH35">
        <v>0</v>
      </c>
      <c r="AI35">
        <v>2</v>
      </c>
      <c r="AJ35">
        <v>0</v>
      </c>
      <c r="AK35">
        <v>0</v>
      </c>
      <c r="AL35">
        <v>0</v>
      </c>
      <c r="AM35" s="102">
        <f>IF(AND(ISNUMBER(SEARCH("L-Den",$A35))=TRUE,$F35="Winter wheat"),'BAU Management details'!$F$32,
IF(AND(ISNUMBER(SEARCH("H-Den",$A35))=TRUE,$F35="Winter wheat"),'BAU Management details'!$G$32,
IF(AND(ISNUMBER(SEARCH("L-Den",$A35))=TRUE,$F35="Oilseed Rape"),'BAU Management details'!$F$33,
IF(AND(ISNUMBER(SEARCH("H-Den",$A35))=TRUE,$F35="Oilseed Rape"),'BAU Management details'!$G$33))))</f>
        <v>4</v>
      </c>
    </row>
    <row r="36" spans="1:39" x14ac:dyDescent="0.2">
      <c r="A36" t="s">
        <v>357</v>
      </c>
      <c r="B36" t="s">
        <v>361</v>
      </c>
      <c r="C36">
        <v>2020</v>
      </c>
      <c r="D36">
        <v>5</v>
      </c>
      <c r="E36" t="s">
        <v>357</v>
      </c>
      <c r="F36" t="s">
        <v>362</v>
      </c>
      <c r="G36">
        <v>7.2</v>
      </c>
      <c r="H36" s="20">
        <f>IF(AND(A36=A35,F36=F35,F36="Winter wheat"),G36*0.9*'BAU Management details'!$F$46,
IF(AND(OR(A36&lt;&gt;A35,F36&lt;&gt;F35),F36="Winter wheat"),G36*'BAU Management details'!$F$46,
IF(F36="Oilseed Rape",G36*'BAU Management details'!$F$47)))</f>
        <v>55.728000000000002</v>
      </c>
      <c r="I36" t="s">
        <v>348</v>
      </c>
      <c r="J36">
        <v>10</v>
      </c>
      <c r="K36" t="str">
        <f t="shared" si="0"/>
        <v>Winter wheat</v>
      </c>
      <c r="L36" t="str">
        <f t="shared" si="1"/>
        <v>Medium</v>
      </c>
      <c r="M36">
        <f t="shared" si="2"/>
        <v>4.4720000000000004</v>
      </c>
      <c r="N36" t="s">
        <v>349</v>
      </c>
      <c r="O36" t="s">
        <v>350</v>
      </c>
      <c r="P36">
        <v>7</v>
      </c>
      <c r="Q36" t="str">
        <f t="shared" si="6"/>
        <v>5.5 &lt; pH &lt;= 7.3</v>
      </c>
      <c r="R36" t="s">
        <v>351</v>
      </c>
      <c r="S36">
        <f>IF(AND((ISNUMBER(SEARCH("heavy",$A36))=TRUE),$F36="Winter wheat"),'BAU Management details'!$O$11,
IF(AND((ISNUMBER(SEARCH("medium",$A36))=TRUE),$F36="Winter wheat"),'BAU Management details'!$P$11,
IF(AND((ISNUMBER(SEARCH("light",$A36))=TRUE),$F36="Winter wheat"),'BAU Management details'!$Q$11,
IF($F36="Oilseed Rape",'BAU Management details'!$O$12))))</f>
        <v>220</v>
      </c>
      <c r="T36">
        <v>3</v>
      </c>
      <c r="U36" s="102">
        <f>IF(AND(ISNUMBER(SEARCH("L-Den",$A36))=TRUE,F36="Winter wheat"),'BAU Management details'!$AB$22,
IF(AND(ISNUMBER(SEARCH("H-Den",$A36))=TRUE,F36="Winter wheat"),'BAU Management details'!$AF$22,
IF(F36="Oilseed Rape",'BAU Management details'!$AB$30)))</f>
        <v>8.8176000000000005</v>
      </c>
      <c r="V36" t="s">
        <v>366</v>
      </c>
      <c r="W36">
        <v>1</v>
      </c>
      <c r="X36">
        <v>100</v>
      </c>
      <c r="Y36" t="s">
        <v>352</v>
      </c>
      <c r="Z36" t="s">
        <v>367</v>
      </c>
      <c r="AA36">
        <v>0</v>
      </c>
      <c r="AB36">
        <v>0</v>
      </c>
      <c r="AC36" s="102">
        <f t="shared" si="7"/>
        <v>2</v>
      </c>
      <c r="AD36">
        <v>0</v>
      </c>
      <c r="AE36" s="102">
        <f t="shared" si="19"/>
        <v>1</v>
      </c>
      <c r="AF36" s="102">
        <f t="shared" si="17"/>
        <v>0</v>
      </c>
      <c r="AG36" s="102">
        <f t="shared" si="18"/>
        <v>1</v>
      </c>
      <c r="AH36">
        <v>1</v>
      </c>
      <c r="AI36">
        <v>2</v>
      </c>
      <c r="AJ36">
        <v>0</v>
      </c>
      <c r="AK36">
        <v>0</v>
      </c>
      <c r="AL36">
        <v>0</v>
      </c>
      <c r="AM36" s="102">
        <f>IF(AND(ISNUMBER(SEARCH("L-Den",$A36))=TRUE,$F36="Winter wheat"),'BAU Management details'!$F$32,
IF(AND(ISNUMBER(SEARCH("H-Den",$A36))=TRUE,$F36="Winter wheat"),'BAU Management details'!$G$32,
IF(AND(ISNUMBER(SEARCH("L-Den",$A36))=TRUE,$F36="Oilseed Rape"),'BAU Management details'!$F$33,
IF(AND(ISNUMBER(SEARCH("H-Den",$A36))=TRUE,$F36="Oilseed Rape"),'BAU Management details'!$G$33))))</f>
        <v>4</v>
      </c>
    </row>
    <row r="37" spans="1:39" x14ac:dyDescent="0.2">
      <c r="A37" t="s">
        <v>357</v>
      </c>
      <c r="B37" t="s">
        <v>361</v>
      </c>
      <c r="C37">
        <v>2020</v>
      </c>
      <c r="D37">
        <v>6</v>
      </c>
      <c r="E37" t="s">
        <v>357</v>
      </c>
      <c r="F37" t="s">
        <v>365</v>
      </c>
      <c r="G37">
        <v>7.2</v>
      </c>
      <c r="H37" s="20">
        <f>IF(AND(A37=A36,F37=F36,F37="Winter wheat"),G37*0.9*'BAU Management details'!$F$46,
IF(AND(OR(A37&lt;&gt;A36,F37&lt;&gt;F36),F37="Winter wheat"),G37*'BAU Management details'!$F$46,
IF(F37="Oilseed Rape",G37*'BAU Management details'!$F$47)))</f>
        <v>25.2</v>
      </c>
      <c r="I37" t="s">
        <v>348</v>
      </c>
      <c r="J37">
        <v>10</v>
      </c>
      <c r="K37" t="str">
        <f t="shared" si="0"/>
        <v>Other</v>
      </c>
      <c r="L37" t="str">
        <f t="shared" si="1"/>
        <v>Medium</v>
      </c>
      <c r="M37">
        <f t="shared" si="2"/>
        <v>4.4720000000000004</v>
      </c>
      <c r="N37" t="s">
        <v>349</v>
      </c>
      <c r="O37" t="s">
        <v>350</v>
      </c>
      <c r="P37">
        <v>7</v>
      </c>
      <c r="Q37" t="str">
        <f t="shared" si="6"/>
        <v>5.5 &lt; pH &lt;= 7.3</v>
      </c>
      <c r="R37" t="s">
        <v>351</v>
      </c>
      <c r="S37">
        <f>IF(AND((ISNUMBER(SEARCH("heavy",$A37))=TRUE),$F37="Winter wheat"),'BAU Management details'!$O$11,
IF(AND((ISNUMBER(SEARCH("medium",$A37))=TRUE),$F37="Winter wheat"),'BAU Management details'!$P$11,
IF(AND((ISNUMBER(SEARCH("light",$A37))=TRUE),$F37="Winter wheat"),'BAU Management details'!$Q$11,
IF($F37="Oilseed Rape",'BAU Management details'!$O$12))))</f>
        <v>190</v>
      </c>
      <c r="T37">
        <v>3</v>
      </c>
      <c r="U37" s="102">
        <f>IF(AND(ISNUMBER(SEARCH("L-Den",$A37))=TRUE,F37="Winter wheat"),'BAU Management details'!$AB$22,
IF(AND(ISNUMBER(SEARCH("H-Den",$A37))=TRUE,F37="Winter wheat"),'BAU Management details'!$AF$22,
IF(F37="Oilseed Rape",'BAU Management details'!$AB$30)))</f>
        <v>2</v>
      </c>
      <c r="V37" t="s">
        <v>368</v>
      </c>
      <c r="W37">
        <v>1</v>
      </c>
      <c r="X37">
        <v>100</v>
      </c>
      <c r="Y37" t="s">
        <v>352</v>
      </c>
      <c r="Z37" t="s">
        <v>369</v>
      </c>
      <c r="AA37">
        <v>0</v>
      </c>
      <c r="AB37">
        <v>0</v>
      </c>
      <c r="AC37" s="102">
        <f t="shared" si="7"/>
        <v>0</v>
      </c>
      <c r="AD37">
        <v>0</v>
      </c>
      <c r="AE37" s="102">
        <f t="shared" si="19"/>
        <v>0</v>
      </c>
      <c r="AF37" s="102">
        <f t="shared" si="17"/>
        <v>0</v>
      </c>
      <c r="AG37" s="102">
        <f t="shared" si="18"/>
        <v>0</v>
      </c>
      <c r="AH37">
        <v>0</v>
      </c>
      <c r="AI37">
        <v>1</v>
      </c>
      <c r="AJ37">
        <v>0</v>
      </c>
      <c r="AK37">
        <v>1</v>
      </c>
      <c r="AL37">
        <v>0</v>
      </c>
      <c r="AM37" s="102">
        <f>IF(AND(ISNUMBER(SEARCH("L-Den",$A37))=TRUE,$F37="Winter wheat"),'BAU Management details'!$F$32,
IF(AND(ISNUMBER(SEARCH("H-Den",$A37))=TRUE,$F37="Winter wheat"),'BAU Management details'!$G$32,
IF(AND(ISNUMBER(SEARCH("L-Den",$A37))=TRUE,$F37="Oilseed Rape"),'BAU Management details'!$F$33,
IF(AND(ISNUMBER(SEARCH("H-Den",$A37))=TRUE,$F37="Oilseed Rape"),'BAU Management details'!$G$33))))</f>
        <v>3</v>
      </c>
    </row>
    <row r="38" spans="1:39" x14ac:dyDescent="0.2">
      <c r="A38" t="s">
        <v>358</v>
      </c>
      <c r="B38" t="s">
        <v>361</v>
      </c>
      <c r="C38">
        <v>2020</v>
      </c>
      <c r="D38">
        <v>1</v>
      </c>
      <c r="E38" t="s">
        <v>358</v>
      </c>
      <c r="F38" t="s">
        <v>362</v>
      </c>
      <c r="G38">
        <v>7.2</v>
      </c>
      <c r="H38" s="20">
        <f>IF(AND(A38=A37,F38=F37,F38="Winter wheat"),G38*0.9*'BAU Management details'!$F$46,
IF(AND(OR(A38&lt;&gt;A37,F38&lt;&gt;F37),F38="Winter wheat"),G38*'BAU Management details'!$F$46,
IF(F38="Oilseed Rape",G38*'BAU Management details'!$F$47)))</f>
        <v>61.92</v>
      </c>
      <c r="I38" t="s">
        <v>348</v>
      </c>
      <c r="J38">
        <v>10</v>
      </c>
      <c r="K38" t="str">
        <f t="shared" si="0"/>
        <v>Winter wheat</v>
      </c>
      <c r="L38" t="str">
        <f t="shared" si="1"/>
        <v>Coarse</v>
      </c>
      <c r="M38">
        <f t="shared" si="2"/>
        <v>5.16</v>
      </c>
      <c r="N38" t="s">
        <v>349</v>
      </c>
      <c r="O38" t="s">
        <v>350</v>
      </c>
      <c r="P38">
        <v>7</v>
      </c>
      <c r="Q38" t="str">
        <f t="shared" si="6"/>
        <v>5.5 &lt; pH &lt;= 7.3</v>
      </c>
      <c r="R38" t="s">
        <v>351</v>
      </c>
      <c r="S38">
        <f>IF(AND((ISNUMBER(SEARCH("heavy",$A38))=TRUE),$F38="Winter wheat"),'BAU Management details'!$O$11,
IF(AND((ISNUMBER(SEARCH("medium",$A38))=TRUE),$F38="Winter wheat"),'BAU Management details'!$P$11,
IF(AND((ISNUMBER(SEARCH("light",$A38))=TRUE),$F38="Winter wheat"),'BAU Management details'!$Q$11,
IF($F38="Oilseed Rape",'BAU Management details'!$O$12))))</f>
        <v>190</v>
      </c>
      <c r="T38">
        <v>3</v>
      </c>
      <c r="U38" s="102">
        <f>IF(AND(ISNUMBER(SEARCH("L-Den",$A38))=TRUE,F38="Winter wheat"),'BAU Management details'!$AB$22,
IF(AND(ISNUMBER(SEARCH("H-Den",$A38))=TRUE,F38="Winter wheat"),'BAU Management details'!$AF$22,
IF(F38="Oilseed Rape",'BAU Management details'!$AB$30)))</f>
        <v>10.2576</v>
      </c>
      <c r="V38" t="s">
        <v>363</v>
      </c>
      <c r="W38">
        <v>1</v>
      </c>
      <c r="X38">
        <v>100</v>
      </c>
      <c r="Y38" t="s">
        <v>352</v>
      </c>
      <c r="Z38" t="s">
        <v>364</v>
      </c>
      <c r="AA38">
        <v>0</v>
      </c>
      <c r="AB38">
        <v>0</v>
      </c>
      <c r="AC38" s="102">
        <f t="shared" si="7"/>
        <v>1</v>
      </c>
      <c r="AD38">
        <v>0</v>
      </c>
      <c r="AE38" s="102">
        <f>IF(AG38=1,1,0)</f>
        <v>0</v>
      </c>
      <c r="AF38" s="102">
        <f>IF($AE38=1,0,
IF(F38="Oilseed Rape",0,
1))</f>
        <v>1</v>
      </c>
      <c r="AG38" s="102">
        <f>IF(AND(ISNUMBER(SEARCH("heavy",$A38))=TRUE,$F38="Winter wheat"),0,
IF(AND(F38=F37,ISNUMBER(SEARCH("medium",$A38))=TRUE,$F38="Winter wheat"),1,
IF(AND(F38=F37,ISNUMBER(SEARCH("light",$A38))=TRUE,$F38="Winter wheat"),1,
IF(AND(F38&lt;&gt;F37,ISNUMBER(SEARCH("medium",$A38))=TRUE,$F38="Winter wheat"),0,
IF(AND(F38&lt;&gt;F37,ISNUMBER(SEARCH("light",$A38))=TRUE,$F38="Winter wheat"),0,
IF($F38="Oilseed Rape",0
))))))</f>
        <v>0</v>
      </c>
      <c r="AH38">
        <v>0</v>
      </c>
      <c r="AI38">
        <v>2</v>
      </c>
      <c r="AJ38">
        <v>0</v>
      </c>
      <c r="AK38">
        <v>0</v>
      </c>
      <c r="AL38">
        <v>0</v>
      </c>
      <c r="AM38" s="102">
        <f>IF(AND(ISNUMBER(SEARCH("L-Den",$A38))=TRUE,$F38="Winter wheat"),'BAU Management details'!$F$32,
IF(AND(ISNUMBER(SEARCH("H-Den",$A38))=TRUE,$F38="Winter wheat"),'BAU Management details'!$G$32,
IF(AND(ISNUMBER(SEARCH("L-Den",$A38))=TRUE,$F38="Oilseed Rape"),'BAU Management details'!$F$33,
IF(AND(ISNUMBER(SEARCH("H-Den",$A38))=TRUE,$F38="Oilseed Rape"),'BAU Management details'!$G$33))))</f>
        <v>4</v>
      </c>
    </row>
    <row r="39" spans="1:39" x14ac:dyDescent="0.2">
      <c r="A39" t="s">
        <v>358</v>
      </c>
      <c r="B39" t="s">
        <v>361</v>
      </c>
      <c r="C39">
        <v>2020</v>
      </c>
      <c r="D39">
        <v>2</v>
      </c>
      <c r="E39" t="s">
        <v>358</v>
      </c>
      <c r="F39" t="s">
        <v>362</v>
      </c>
      <c r="G39">
        <v>7.2</v>
      </c>
      <c r="H39" s="20">
        <f>IF(AND(A39=A38,F39=F38,F39="Winter wheat"),G39*0.9*'BAU Management details'!$F$46,
IF(AND(OR(A39&lt;&gt;A38,F39&lt;&gt;F38),F39="Winter wheat"),G39*'BAU Management details'!$F$46,
IF(F39="Oilseed Rape",G39*'BAU Management details'!$F$47)))</f>
        <v>55.728000000000002</v>
      </c>
      <c r="I39" t="s">
        <v>348</v>
      </c>
      <c r="J39">
        <v>10</v>
      </c>
      <c r="K39" t="str">
        <f t="shared" si="0"/>
        <v>Winter wheat</v>
      </c>
      <c r="L39" t="str">
        <f t="shared" si="1"/>
        <v>Coarse</v>
      </c>
      <c r="M39">
        <f t="shared" si="2"/>
        <v>5.16</v>
      </c>
      <c r="N39" t="s">
        <v>349</v>
      </c>
      <c r="O39" t="s">
        <v>350</v>
      </c>
      <c r="P39">
        <v>7</v>
      </c>
      <c r="Q39" t="str">
        <f t="shared" si="6"/>
        <v>5.5 &lt; pH &lt;= 7.3</v>
      </c>
      <c r="R39" t="s">
        <v>351</v>
      </c>
      <c r="S39">
        <f>IF(AND((ISNUMBER(SEARCH("heavy",$A39))=TRUE),$F39="Winter wheat"),'BAU Management details'!$O$11,
IF(AND((ISNUMBER(SEARCH("medium",$A39))=TRUE),$F39="Winter wheat"),'BAU Management details'!$P$11,
IF(AND((ISNUMBER(SEARCH("light",$A39))=TRUE),$F39="Winter wheat"),'BAU Management details'!$Q$11,
IF($F39="Oilseed Rape",'BAU Management details'!$O$12))))</f>
        <v>190</v>
      </c>
      <c r="T39">
        <v>3</v>
      </c>
      <c r="U39" s="102">
        <f>IF(AND(ISNUMBER(SEARCH("L-Den",$A39))=TRUE,F39="Winter wheat"),'BAU Management details'!$AB$22,
IF(AND(ISNUMBER(SEARCH("H-Den",$A39))=TRUE,F39="Winter wheat"),'BAU Management details'!$AF$22,
IF(F39="Oilseed Rape",'BAU Management details'!$AB$30)))</f>
        <v>10.2576</v>
      </c>
      <c r="V39" t="s">
        <v>366</v>
      </c>
      <c r="W39">
        <v>1</v>
      </c>
      <c r="X39">
        <v>100</v>
      </c>
      <c r="Y39" t="s">
        <v>352</v>
      </c>
      <c r="Z39" t="s">
        <v>367</v>
      </c>
      <c r="AA39">
        <v>0</v>
      </c>
      <c r="AB39">
        <v>0</v>
      </c>
      <c r="AC39" s="102">
        <f t="shared" si="7"/>
        <v>2</v>
      </c>
      <c r="AD39">
        <v>0</v>
      </c>
      <c r="AE39" s="102">
        <f>IF(AG39=1,1,0)</f>
        <v>1</v>
      </c>
      <c r="AF39" s="102">
        <f t="shared" ref="AF39:AF43" si="20">IF($AE39=1,0,
IF(F39="Oilseed Rape",0,
1))</f>
        <v>0</v>
      </c>
      <c r="AG39" s="102">
        <f t="shared" ref="AG39:AG43" si="21">IF(AND(ISNUMBER(SEARCH("heavy",$A39))=TRUE,$F39="Winter wheat"),0,
IF(AND(F39=F38,ISNUMBER(SEARCH("medium",$A39))=TRUE,$F39="Winter wheat"),1,
IF(AND(F39=F38,ISNUMBER(SEARCH("light",$A39))=TRUE,$F39="Winter wheat"),1,
IF(AND(F39&lt;&gt;F38,ISNUMBER(SEARCH("medium",$A39))=TRUE,$F39="Winter wheat"),0,
IF(AND(F39&lt;&gt;F38,ISNUMBER(SEARCH("light",$A39))=TRUE,$F39="Winter wheat"),0,
IF($F39="Oilseed Rape",0
))))))</f>
        <v>1</v>
      </c>
      <c r="AH39">
        <v>1</v>
      </c>
      <c r="AI39">
        <v>2</v>
      </c>
      <c r="AJ39">
        <v>0</v>
      </c>
      <c r="AK39">
        <v>0</v>
      </c>
      <c r="AL39">
        <v>0</v>
      </c>
      <c r="AM39" s="102">
        <f>IF(AND(ISNUMBER(SEARCH("L-Den",$A39))=TRUE,$F39="Winter wheat"),'BAU Management details'!$F$32,
IF(AND(ISNUMBER(SEARCH("H-Den",$A39))=TRUE,$F39="Winter wheat"),'BAU Management details'!$G$32,
IF(AND(ISNUMBER(SEARCH("L-Den",$A39))=TRUE,$F39="Oilseed Rape"),'BAU Management details'!$F$33,
IF(AND(ISNUMBER(SEARCH("H-Den",$A39))=TRUE,$F39="Oilseed Rape"),'BAU Management details'!$G$33))))</f>
        <v>4</v>
      </c>
    </row>
    <row r="40" spans="1:39" x14ac:dyDescent="0.2">
      <c r="A40" t="s">
        <v>358</v>
      </c>
      <c r="B40" t="s">
        <v>361</v>
      </c>
      <c r="C40">
        <v>2020</v>
      </c>
      <c r="D40">
        <v>3</v>
      </c>
      <c r="E40" t="s">
        <v>358</v>
      </c>
      <c r="F40" t="s">
        <v>365</v>
      </c>
      <c r="G40">
        <v>7.2</v>
      </c>
      <c r="H40" s="20">
        <f>IF(AND(A40=A39,F40=F39,F40="Winter wheat"),G40*0.9*'BAU Management details'!$F$46,
IF(AND(OR(A40&lt;&gt;A39,F40&lt;&gt;F39),F40="Winter wheat"),G40*'BAU Management details'!$F$46,
IF(F40="Oilseed Rape",G40*'BAU Management details'!$F$47)))</f>
        <v>25.2</v>
      </c>
      <c r="I40" t="s">
        <v>348</v>
      </c>
      <c r="J40">
        <v>10</v>
      </c>
      <c r="K40" t="str">
        <f t="shared" si="0"/>
        <v>Other</v>
      </c>
      <c r="L40" t="str">
        <f t="shared" si="1"/>
        <v>Coarse</v>
      </c>
      <c r="M40">
        <f t="shared" si="2"/>
        <v>5.16</v>
      </c>
      <c r="N40" t="s">
        <v>349</v>
      </c>
      <c r="O40" t="s">
        <v>350</v>
      </c>
      <c r="P40">
        <v>7</v>
      </c>
      <c r="Q40" t="str">
        <f t="shared" si="6"/>
        <v>5.5 &lt; pH &lt;= 7.3</v>
      </c>
      <c r="R40" t="s">
        <v>351</v>
      </c>
      <c r="S40">
        <f>IF(AND((ISNUMBER(SEARCH("heavy",$A40))=TRUE),$F40="Winter wheat"),'BAU Management details'!$O$11,
IF(AND((ISNUMBER(SEARCH("medium",$A40))=TRUE),$F40="Winter wheat"),'BAU Management details'!$P$11,
IF(AND((ISNUMBER(SEARCH("light",$A40))=TRUE),$F40="Winter wheat"),'BAU Management details'!$Q$11,
IF($F40="Oilseed Rape",'BAU Management details'!$O$12))))</f>
        <v>190</v>
      </c>
      <c r="T40">
        <v>3</v>
      </c>
      <c r="U40" s="102">
        <f>IF(AND(ISNUMBER(SEARCH("L-Den",$A40))=TRUE,F40="Winter wheat"),'BAU Management details'!$AB$22,
IF(AND(ISNUMBER(SEARCH("H-Den",$A40))=TRUE,F40="Winter wheat"),'BAU Management details'!$AF$22,
IF(F40="Oilseed Rape",'BAU Management details'!$AB$30)))</f>
        <v>2</v>
      </c>
      <c r="V40" t="s">
        <v>368</v>
      </c>
      <c r="W40">
        <v>1</v>
      </c>
      <c r="X40">
        <v>100</v>
      </c>
      <c r="Y40" t="s">
        <v>352</v>
      </c>
      <c r="Z40" t="s">
        <v>369</v>
      </c>
      <c r="AA40">
        <v>0</v>
      </c>
      <c r="AB40">
        <v>0</v>
      </c>
      <c r="AC40" s="102">
        <f t="shared" si="7"/>
        <v>0</v>
      </c>
      <c r="AD40">
        <v>0</v>
      </c>
      <c r="AE40" s="102">
        <f t="shared" ref="AE40:AE43" si="22">IF(AG40=1,1,0)</f>
        <v>0</v>
      </c>
      <c r="AF40" s="102">
        <f t="shared" si="20"/>
        <v>0</v>
      </c>
      <c r="AG40" s="102">
        <f t="shared" si="21"/>
        <v>0</v>
      </c>
      <c r="AH40">
        <v>0</v>
      </c>
      <c r="AI40">
        <v>1</v>
      </c>
      <c r="AJ40">
        <v>0</v>
      </c>
      <c r="AK40">
        <v>1</v>
      </c>
      <c r="AL40">
        <v>0</v>
      </c>
      <c r="AM40" s="102">
        <f>IF(AND(ISNUMBER(SEARCH("L-Den",$A40))=TRUE,$F40="Winter wheat"),'BAU Management details'!$F$32,
IF(AND(ISNUMBER(SEARCH("H-Den",$A40))=TRUE,$F40="Winter wheat"),'BAU Management details'!$G$32,
IF(AND(ISNUMBER(SEARCH("L-Den",$A40))=TRUE,$F40="Oilseed Rape"),'BAU Management details'!$F$33,
IF(AND(ISNUMBER(SEARCH("H-Den",$A40))=TRUE,$F40="Oilseed Rape"),'BAU Management details'!$G$33))))</f>
        <v>3</v>
      </c>
    </row>
    <row r="41" spans="1:39" x14ac:dyDescent="0.2">
      <c r="A41" t="s">
        <v>358</v>
      </c>
      <c r="B41" t="s">
        <v>361</v>
      </c>
      <c r="C41">
        <v>2020</v>
      </c>
      <c r="D41">
        <v>4</v>
      </c>
      <c r="E41" t="s">
        <v>358</v>
      </c>
      <c r="F41" t="s">
        <v>362</v>
      </c>
      <c r="G41">
        <v>7.2</v>
      </c>
      <c r="H41" s="20">
        <f>IF(AND(A41=A40,F41=F40,F41="Winter wheat"),G41*0.9*'BAU Management details'!$F$46,
IF(AND(OR(A41&lt;&gt;A40,F41&lt;&gt;F40),F41="Winter wheat"),G41*'BAU Management details'!$F$46,
IF(F41="Oilseed Rape",G41*'BAU Management details'!$F$47)))</f>
        <v>61.92</v>
      </c>
      <c r="I41" t="s">
        <v>348</v>
      </c>
      <c r="J41">
        <v>10</v>
      </c>
      <c r="K41" t="str">
        <f t="shared" si="0"/>
        <v>Winter wheat</v>
      </c>
      <c r="L41" t="str">
        <f t="shared" si="1"/>
        <v>Coarse</v>
      </c>
      <c r="M41">
        <f t="shared" si="2"/>
        <v>5.16</v>
      </c>
      <c r="N41" t="s">
        <v>349</v>
      </c>
      <c r="O41" t="s">
        <v>350</v>
      </c>
      <c r="P41">
        <v>7</v>
      </c>
      <c r="Q41" t="str">
        <f t="shared" si="6"/>
        <v>5.5 &lt; pH &lt;= 7.3</v>
      </c>
      <c r="R41" t="s">
        <v>351</v>
      </c>
      <c r="S41">
        <f>IF(AND((ISNUMBER(SEARCH("heavy",$A41))=TRUE),$F41="Winter wheat"),'BAU Management details'!$O$11,
IF(AND((ISNUMBER(SEARCH("medium",$A41))=TRUE),$F41="Winter wheat"),'BAU Management details'!$P$11,
IF(AND((ISNUMBER(SEARCH("light",$A41))=TRUE),$F41="Winter wheat"),'BAU Management details'!$Q$11,
IF($F41="Oilseed Rape",'BAU Management details'!$O$12))))</f>
        <v>190</v>
      </c>
      <c r="T41">
        <v>3</v>
      </c>
      <c r="U41" s="102">
        <f>IF(AND(ISNUMBER(SEARCH("L-Den",$A41))=TRUE,F41="Winter wheat"),'BAU Management details'!$AB$22,
IF(AND(ISNUMBER(SEARCH("H-Den",$A41))=TRUE,F41="Winter wheat"),'BAU Management details'!$AF$22,
IF(F41="Oilseed Rape",'BAU Management details'!$AB$30)))</f>
        <v>10.2576</v>
      </c>
      <c r="V41" t="s">
        <v>363</v>
      </c>
      <c r="W41">
        <v>1</v>
      </c>
      <c r="X41">
        <v>100</v>
      </c>
      <c r="Y41" t="s">
        <v>352</v>
      </c>
      <c r="Z41" t="s">
        <v>364</v>
      </c>
      <c r="AA41">
        <v>0</v>
      </c>
      <c r="AB41">
        <v>0</v>
      </c>
      <c r="AC41" s="102">
        <f t="shared" si="7"/>
        <v>1</v>
      </c>
      <c r="AD41">
        <v>0</v>
      </c>
      <c r="AE41" s="102">
        <f t="shared" si="22"/>
        <v>0</v>
      </c>
      <c r="AF41" s="102">
        <f t="shared" si="20"/>
        <v>1</v>
      </c>
      <c r="AG41" s="102">
        <f t="shared" si="21"/>
        <v>0</v>
      </c>
      <c r="AH41">
        <v>0</v>
      </c>
      <c r="AI41">
        <v>2</v>
      </c>
      <c r="AJ41">
        <v>0</v>
      </c>
      <c r="AK41">
        <v>0</v>
      </c>
      <c r="AL41">
        <v>0</v>
      </c>
      <c r="AM41" s="102">
        <f>IF(AND(ISNUMBER(SEARCH("L-Den",$A41))=TRUE,$F41="Winter wheat"),'BAU Management details'!$F$32,
IF(AND(ISNUMBER(SEARCH("H-Den",$A41))=TRUE,$F41="Winter wheat"),'BAU Management details'!$G$32,
IF(AND(ISNUMBER(SEARCH("L-Den",$A41))=TRUE,$F41="Oilseed Rape"),'BAU Management details'!$F$33,
IF(AND(ISNUMBER(SEARCH("H-Den",$A41))=TRUE,$F41="Oilseed Rape"),'BAU Management details'!$G$33))))</f>
        <v>4</v>
      </c>
    </row>
    <row r="42" spans="1:39" x14ac:dyDescent="0.2">
      <c r="A42" t="s">
        <v>358</v>
      </c>
      <c r="B42" t="s">
        <v>361</v>
      </c>
      <c r="C42">
        <v>2020</v>
      </c>
      <c r="D42">
        <v>5</v>
      </c>
      <c r="E42" t="s">
        <v>358</v>
      </c>
      <c r="F42" t="s">
        <v>362</v>
      </c>
      <c r="G42">
        <v>7.2</v>
      </c>
      <c r="H42" s="20">
        <f>IF(AND(A42=A41,F42=F41,F42="Winter wheat"),G42*0.9*'BAU Management details'!$F$46,
IF(AND(OR(A42&lt;&gt;A41,F42&lt;&gt;F41),F42="Winter wheat"),G42*'BAU Management details'!$F$46,
IF(F42="Oilseed Rape",G42*'BAU Management details'!$F$47)))</f>
        <v>55.728000000000002</v>
      </c>
      <c r="I42" t="s">
        <v>348</v>
      </c>
      <c r="J42">
        <v>10</v>
      </c>
      <c r="K42" t="str">
        <f t="shared" si="0"/>
        <v>Winter wheat</v>
      </c>
      <c r="L42" t="str">
        <f t="shared" si="1"/>
        <v>Coarse</v>
      </c>
      <c r="M42">
        <f t="shared" si="2"/>
        <v>5.16</v>
      </c>
      <c r="N42" t="s">
        <v>349</v>
      </c>
      <c r="O42" t="s">
        <v>350</v>
      </c>
      <c r="P42">
        <v>7</v>
      </c>
      <c r="Q42" t="str">
        <f t="shared" si="6"/>
        <v>5.5 &lt; pH &lt;= 7.3</v>
      </c>
      <c r="R42" t="s">
        <v>351</v>
      </c>
      <c r="S42">
        <f>IF(AND((ISNUMBER(SEARCH("heavy",$A42))=TRUE),$F42="Winter wheat"),'BAU Management details'!$O$11,
IF(AND((ISNUMBER(SEARCH("medium",$A42))=TRUE),$F42="Winter wheat"),'BAU Management details'!$P$11,
IF(AND((ISNUMBER(SEARCH("light",$A42))=TRUE),$F42="Winter wheat"),'BAU Management details'!$Q$11,
IF($F42="Oilseed Rape",'BAU Management details'!$O$12))))</f>
        <v>190</v>
      </c>
      <c r="T42">
        <v>3</v>
      </c>
      <c r="U42" s="102">
        <f>IF(AND(ISNUMBER(SEARCH("L-Den",$A42))=TRUE,F42="Winter wheat"),'BAU Management details'!$AB$22,
IF(AND(ISNUMBER(SEARCH("H-Den",$A42))=TRUE,F42="Winter wheat"),'BAU Management details'!$AF$22,
IF(F42="Oilseed Rape",'BAU Management details'!$AB$30)))</f>
        <v>10.2576</v>
      </c>
      <c r="V42" t="s">
        <v>366</v>
      </c>
      <c r="W42">
        <v>1</v>
      </c>
      <c r="X42">
        <v>100</v>
      </c>
      <c r="Y42" t="s">
        <v>352</v>
      </c>
      <c r="Z42" t="s">
        <v>367</v>
      </c>
      <c r="AA42">
        <v>0</v>
      </c>
      <c r="AB42">
        <v>0</v>
      </c>
      <c r="AC42" s="102">
        <f t="shared" si="7"/>
        <v>2</v>
      </c>
      <c r="AD42">
        <v>0</v>
      </c>
      <c r="AE42" s="102">
        <f t="shared" si="22"/>
        <v>1</v>
      </c>
      <c r="AF42" s="102">
        <f t="shared" si="20"/>
        <v>0</v>
      </c>
      <c r="AG42" s="102">
        <f t="shared" si="21"/>
        <v>1</v>
      </c>
      <c r="AH42">
        <v>1</v>
      </c>
      <c r="AI42">
        <v>2</v>
      </c>
      <c r="AJ42">
        <v>0</v>
      </c>
      <c r="AK42">
        <v>0</v>
      </c>
      <c r="AL42">
        <v>0</v>
      </c>
      <c r="AM42" s="102">
        <f>IF(AND(ISNUMBER(SEARCH("L-Den",$A42))=TRUE,$F42="Winter wheat"),'BAU Management details'!$F$32,
IF(AND(ISNUMBER(SEARCH("H-Den",$A42))=TRUE,$F42="Winter wheat"),'BAU Management details'!$G$32,
IF(AND(ISNUMBER(SEARCH("L-Den",$A42))=TRUE,$F42="Oilseed Rape"),'BAU Management details'!$F$33,
IF(AND(ISNUMBER(SEARCH("H-Den",$A42))=TRUE,$F42="Oilseed Rape"),'BAU Management details'!$G$33))))</f>
        <v>4</v>
      </c>
    </row>
    <row r="43" spans="1:39" x14ac:dyDescent="0.2">
      <c r="A43" t="s">
        <v>358</v>
      </c>
      <c r="B43" t="s">
        <v>361</v>
      </c>
      <c r="C43">
        <v>2020</v>
      </c>
      <c r="D43">
        <v>6</v>
      </c>
      <c r="E43" t="s">
        <v>358</v>
      </c>
      <c r="F43" t="s">
        <v>365</v>
      </c>
      <c r="G43">
        <v>7.2</v>
      </c>
      <c r="H43" s="20">
        <f>IF(AND(A43=A42,F43=F42,F43="Winter wheat"),G43*0.9*'BAU Management details'!$F$46,
IF(AND(OR(A43&lt;&gt;A42,F43&lt;&gt;F42),F43="Winter wheat"),G43*'BAU Management details'!$F$46,
IF(F43="Oilseed Rape",G43*'BAU Management details'!$F$47)))</f>
        <v>25.2</v>
      </c>
      <c r="I43" t="s">
        <v>348</v>
      </c>
      <c r="J43">
        <v>10</v>
      </c>
      <c r="K43" t="str">
        <f t="shared" si="0"/>
        <v>Other</v>
      </c>
      <c r="L43" t="str">
        <f t="shared" si="1"/>
        <v>Coarse</v>
      </c>
      <c r="M43">
        <f t="shared" si="2"/>
        <v>5.16</v>
      </c>
      <c r="N43" t="s">
        <v>349</v>
      </c>
      <c r="O43" t="s">
        <v>350</v>
      </c>
      <c r="P43">
        <v>7</v>
      </c>
      <c r="Q43" t="str">
        <f t="shared" si="6"/>
        <v>5.5 &lt; pH &lt;= 7.3</v>
      </c>
      <c r="R43" t="s">
        <v>351</v>
      </c>
      <c r="S43">
        <f>IF(AND((ISNUMBER(SEARCH("heavy",$A43))=TRUE),$F43="Winter wheat"),'BAU Management details'!$O$11,
IF(AND((ISNUMBER(SEARCH("medium",$A43))=TRUE),$F43="Winter wheat"),'BAU Management details'!$P$11,
IF(AND((ISNUMBER(SEARCH("light",$A43))=TRUE),$F43="Winter wheat"),'BAU Management details'!$Q$11,
IF($F43="Oilseed Rape",'BAU Management details'!$O$12))))</f>
        <v>190</v>
      </c>
      <c r="T43">
        <v>3</v>
      </c>
      <c r="U43" s="102">
        <f>IF(AND(ISNUMBER(SEARCH("L-Den",$A43))=TRUE,F43="Winter wheat"),'BAU Management details'!$AB$22,
IF(AND(ISNUMBER(SEARCH("H-Den",$A43))=TRUE,F43="Winter wheat"),'BAU Management details'!$AF$22,
IF(F43="Oilseed Rape",'BAU Management details'!$AB$30)))</f>
        <v>2</v>
      </c>
      <c r="V43" t="s">
        <v>368</v>
      </c>
      <c r="W43">
        <v>1</v>
      </c>
      <c r="X43">
        <v>100</v>
      </c>
      <c r="Y43" t="s">
        <v>352</v>
      </c>
      <c r="Z43" t="s">
        <v>369</v>
      </c>
      <c r="AA43">
        <v>0</v>
      </c>
      <c r="AB43">
        <v>0</v>
      </c>
      <c r="AC43" s="102">
        <f t="shared" si="7"/>
        <v>0</v>
      </c>
      <c r="AD43">
        <v>0</v>
      </c>
      <c r="AE43" s="102">
        <f t="shared" si="22"/>
        <v>0</v>
      </c>
      <c r="AF43" s="102">
        <f t="shared" si="20"/>
        <v>0</v>
      </c>
      <c r="AG43" s="102">
        <f t="shared" si="21"/>
        <v>0</v>
      </c>
      <c r="AH43">
        <v>0</v>
      </c>
      <c r="AI43">
        <v>1</v>
      </c>
      <c r="AJ43">
        <v>0</v>
      </c>
      <c r="AK43">
        <v>1</v>
      </c>
      <c r="AL43">
        <v>0</v>
      </c>
      <c r="AM43" s="102">
        <f>IF(AND(ISNUMBER(SEARCH("L-Den",$A43))=TRUE,$F43="Winter wheat"),'BAU Management details'!$F$32,
IF(AND(ISNUMBER(SEARCH("H-Den",$A43))=TRUE,$F43="Winter wheat"),'BAU Management details'!$G$32,
IF(AND(ISNUMBER(SEARCH("L-Den",$A43))=TRUE,$F43="Oilseed Rape"),'BAU Management details'!$F$33,
IF(AND(ISNUMBER(SEARCH("H-Den",$A43))=TRUE,$F43="Oilseed Rape"),'BAU Management details'!$G$33))))</f>
        <v>3</v>
      </c>
    </row>
    <row r="44" spans="1:39" x14ac:dyDescent="0.2">
      <c r="A44" t="s">
        <v>359</v>
      </c>
      <c r="B44" t="s">
        <v>361</v>
      </c>
      <c r="C44">
        <v>2020</v>
      </c>
      <c r="D44">
        <v>1</v>
      </c>
      <c r="E44" t="s">
        <v>359</v>
      </c>
      <c r="F44" t="s">
        <v>362</v>
      </c>
      <c r="G44">
        <v>7.2</v>
      </c>
      <c r="H44" s="20">
        <f>IF(AND(A44=A43,F44=F43,F44="Winter wheat"),G44*0.9*'BAU Management details'!$F$46,
IF(AND(OR(A44&lt;&gt;A43,F44&lt;&gt;F43),F44="Winter wheat"),G44*'BAU Management details'!$F$46,
IF(F44="Oilseed Rape",G44*'BAU Management details'!$F$47)))</f>
        <v>61.92</v>
      </c>
      <c r="I44" t="s">
        <v>348</v>
      </c>
      <c r="J44">
        <v>10</v>
      </c>
      <c r="K44" t="str">
        <f t="shared" si="0"/>
        <v>Winter wheat</v>
      </c>
      <c r="L44" t="str">
        <f t="shared" si="1"/>
        <v>Coarse</v>
      </c>
      <c r="M44">
        <f t="shared" si="2"/>
        <v>5.16</v>
      </c>
      <c r="N44" t="s">
        <v>349</v>
      </c>
      <c r="O44" t="s">
        <v>350</v>
      </c>
      <c r="P44">
        <v>7</v>
      </c>
      <c r="Q44" t="str">
        <f t="shared" si="6"/>
        <v>5.5 &lt; pH &lt;= 7.3</v>
      </c>
      <c r="R44" t="s">
        <v>351</v>
      </c>
      <c r="S44">
        <f>IF(AND((ISNUMBER(SEARCH("heavy",$A44))=TRUE),$F44="Winter wheat"),'BAU Management details'!$O$11,
IF(AND((ISNUMBER(SEARCH("medium",$A44))=TRUE),$F44="Winter wheat"),'BAU Management details'!$P$11,
IF(AND((ISNUMBER(SEARCH("light",$A44))=TRUE),$F44="Winter wheat"),'BAU Management details'!$Q$11,
IF($F44="Oilseed Rape",'BAU Management details'!$O$12))))</f>
        <v>190</v>
      </c>
      <c r="T44">
        <v>3</v>
      </c>
      <c r="U44" s="102">
        <f>IF(AND(ISNUMBER(SEARCH("L-Den",$A44))=TRUE,F44="Winter wheat"),'BAU Management details'!$AB$22,
IF(AND(ISNUMBER(SEARCH("H-Den",$A44))=TRUE,F44="Winter wheat"),'BAU Management details'!$AF$22,
IF(F44="Oilseed Rape",'BAU Management details'!$AB$30)))</f>
        <v>8.8176000000000005</v>
      </c>
      <c r="V44" t="s">
        <v>363</v>
      </c>
      <c r="W44">
        <v>1</v>
      </c>
      <c r="X44">
        <v>100</v>
      </c>
      <c r="Y44" t="s">
        <v>352</v>
      </c>
      <c r="Z44" t="s">
        <v>364</v>
      </c>
      <c r="AA44">
        <v>0</v>
      </c>
      <c r="AB44">
        <v>0</v>
      </c>
      <c r="AC44" s="102">
        <f t="shared" si="7"/>
        <v>1</v>
      </c>
      <c r="AD44">
        <v>0</v>
      </c>
      <c r="AE44" s="102">
        <f>IF(AG44=1,1,0)</f>
        <v>0</v>
      </c>
      <c r="AF44" s="102">
        <f>IF($AE44=1,0,
IF(F44="Oilseed Rape",0,
1))</f>
        <v>1</v>
      </c>
      <c r="AG44" s="102">
        <f>IF(AND(ISNUMBER(SEARCH("heavy",$A44))=TRUE,$F44="Winter wheat"),0,
IF(AND(F44=F43,ISNUMBER(SEARCH("medium",$A44))=TRUE,$F44="Winter wheat"),1,
IF(AND(F44=F43,ISNUMBER(SEARCH("light",$A44))=TRUE,$F44="Winter wheat"),1,
IF(AND(F44&lt;&gt;F43,ISNUMBER(SEARCH("medium",$A44))=TRUE,$F44="Winter wheat"),0,
IF(AND(F44&lt;&gt;F43,ISNUMBER(SEARCH("light",$A44))=TRUE,$F44="Winter wheat"),0,
IF($F44="Oilseed Rape",0
))))))</f>
        <v>0</v>
      </c>
      <c r="AH44">
        <v>0</v>
      </c>
      <c r="AI44">
        <v>2</v>
      </c>
      <c r="AJ44">
        <v>0</v>
      </c>
      <c r="AK44">
        <v>0</v>
      </c>
      <c r="AL44">
        <v>0</v>
      </c>
      <c r="AM44" s="102">
        <f>IF(AND(ISNUMBER(SEARCH("L-Den",$A44))=TRUE,$F44="Winter wheat"),'BAU Management details'!$F$32,
IF(AND(ISNUMBER(SEARCH("H-Den",$A44))=TRUE,$F44="Winter wheat"),'BAU Management details'!$G$32,
IF(AND(ISNUMBER(SEARCH("L-Den",$A44))=TRUE,$F44="Oilseed Rape"),'BAU Management details'!$F$33,
IF(AND(ISNUMBER(SEARCH("H-Den",$A44))=TRUE,$F44="Oilseed Rape"),'BAU Management details'!$G$33))))</f>
        <v>4</v>
      </c>
    </row>
    <row r="45" spans="1:39" x14ac:dyDescent="0.2">
      <c r="A45" t="s">
        <v>359</v>
      </c>
      <c r="B45" t="s">
        <v>361</v>
      </c>
      <c r="C45">
        <v>2020</v>
      </c>
      <c r="D45">
        <v>2</v>
      </c>
      <c r="E45" t="s">
        <v>359</v>
      </c>
      <c r="F45" t="s">
        <v>362</v>
      </c>
      <c r="G45">
        <v>7.2</v>
      </c>
      <c r="H45" s="20">
        <f>IF(AND(A45=A44,F45=F44,F45="Winter wheat"),G45*0.9*'BAU Management details'!$F$46,
IF(AND(OR(A45&lt;&gt;A44,F45&lt;&gt;F44),F45="Winter wheat"),G45*'BAU Management details'!$F$46,
IF(F45="Oilseed Rape",G45*'BAU Management details'!$F$47)))</f>
        <v>55.728000000000002</v>
      </c>
      <c r="I45" t="s">
        <v>348</v>
      </c>
      <c r="J45">
        <v>10</v>
      </c>
      <c r="K45" t="str">
        <f t="shared" si="0"/>
        <v>Winter wheat</v>
      </c>
      <c r="L45" t="str">
        <f t="shared" si="1"/>
        <v>Coarse</v>
      </c>
      <c r="M45">
        <f t="shared" si="2"/>
        <v>5.16</v>
      </c>
      <c r="N45" t="s">
        <v>349</v>
      </c>
      <c r="O45" t="s">
        <v>350</v>
      </c>
      <c r="P45">
        <v>7</v>
      </c>
      <c r="Q45" t="str">
        <f t="shared" si="6"/>
        <v>5.5 &lt; pH &lt;= 7.3</v>
      </c>
      <c r="R45" t="s">
        <v>351</v>
      </c>
      <c r="S45">
        <f>IF(AND((ISNUMBER(SEARCH("heavy",$A45))=TRUE),$F45="Winter wheat"),'BAU Management details'!$O$11,
IF(AND((ISNUMBER(SEARCH("medium",$A45))=TRUE),$F45="Winter wheat"),'BAU Management details'!$P$11,
IF(AND((ISNUMBER(SEARCH("light",$A45))=TRUE),$F45="Winter wheat"),'BAU Management details'!$Q$11,
IF($F45="Oilseed Rape",'BAU Management details'!$O$12))))</f>
        <v>190</v>
      </c>
      <c r="T45">
        <v>3</v>
      </c>
      <c r="U45" s="102">
        <f>IF(AND(ISNUMBER(SEARCH("L-Den",$A45))=TRUE,F45="Winter wheat"),'BAU Management details'!$AB$22,
IF(AND(ISNUMBER(SEARCH("H-Den",$A45))=TRUE,F45="Winter wheat"),'BAU Management details'!$AF$22,
IF(F45="Oilseed Rape",'BAU Management details'!$AB$30)))</f>
        <v>8.8176000000000005</v>
      </c>
      <c r="V45" t="s">
        <v>366</v>
      </c>
      <c r="W45">
        <v>1</v>
      </c>
      <c r="X45">
        <v>100</v>
      </c>
      <c r="Y45" t="s">
        <v>352</v>
      </c>
      <c r="Z45" t="s">
        <v>367</v>
      </c>
      <c r="AA45">
        <v>0</v>
      </c>
      <c r="AB45">
        <v>0</v>
      </c>
      <c r="AC45" s="102">
        <f t="shared" si="7"/>
        <v>2</v>
      </c>
      <c r="AD45">
        <v>0</v>
      </c>
      <c r="AE45" s="102">
        <f>IF(AG45=1,1,0)</f>
        <v>1</v>
      </c>
      <c r="AF45" s="102">
        <f t="shared" ref="AF45:AF49" si="23">IF($AE45=1,0,
IF(F45="Oilseed Rape",0,
1))</f>
        <v>0</v>
      </c>
      <c r="AG45" s="102">
        <f t="shared" ref="AG45:AG49" si="24">IF(AND(ISNUMBER(SEARCH("heavy",$A45))=TRUE,$F45="Winter wheat"),0,
IF(AND(F45=F44,ISNUMBER(SEARCH("medium",$A45))=TRUE,$F45="Winter wheat"),1,
IF(AND(F45=F44,ISNUMBER(SEARCH("light",$A45))=TRUE,$F45="Winter wheat"),1,
IF(AND(F45&lt;&gt;F44,ISNUMBER(SEARCH("medium",$A45))=TRUE,$F45="Winter wheat"),0,
IF(AND(F45&lt;&gt;F44,ISNUMBER(SEARCH("light",$A45))=TRUE,$F45="Winter wheat"),0,
IF($F45="Oilseed Rape",0
))))))</f>
        <v>1</v>
      </c>
      <c r="AH45">
        <v>1</v>
      </c>
      <c r="AI45">
        <v>2</v>
      </c>
      <c r="AJ45">
        <v>0</v>
      </c>
      <c r="AK45">
        <v>0</v>
      </c>
      <c r="AL45">
        <v>0</v>
      </c>
      <c r="AM45" s="102">
        <f>IF(AND(ISNUMBER(SEARCH("L-Den",$A45))=TRUE,$F45="Winter wheat"),'BAU Management details'!$F$32,
IF(AND(ISNUMBER(SEARCH("H-Den",$A45))=TRUE,$F45="Winter wheat"),'BAU Management details'!$G$32,
IF(AND(ISNUMBER(SEARCH("L-Den",$A45))=TRUE,$F45="Oilseed Rape"),'BAU Management details'!$F$33,
IF(AND(ISNUMBER(SEARCH("H-Den",$A45))=TRUE,$F45="Oilseed Rape"),'BAU Management details'!$G$33))))</f>
        <v>4</v>
      </c>
    </row>
    <row r="46" spans="1:39" x14ac:dyDescent="0.2">
      <c r="A46" t="s">
        <v>359</v>
      </c>
      <c r="B46" t="s">
        <v>361</v>
      </c>
      <c r="C46">
        <v>2020</v>
      </c>
      <c r="D46">
        <v>3</v>
      </c>
      <c r="E46" t="s">
        <v>359</v>
      </c>
      <c r="F46" t="s">
        <v>365</v>
      </c>
      <c r="G46">
        <v>7.2</v>
      </c>
      <c r="H46" s="20">
        <f>IF(AND(A46=A45,F46=F45,F46="Winter wheat"),G46*0.9*'BAU Management details'!$F$46,
IF(AND(OR(A46&lt;&gt;A45,F46&lt;&gt;F45),F46="Winter wheat"),G46*'BAU Management details'!$F$46,
IF(F46="Oilseed Rape",G46*'BAU Management details'!$F$47)))</f>
        <v>25.2</v>
      </c>
      <c r="I46" t="s">
        <v>348</v>
      </c>
      <c r="J46">
        <v>10</v>
      </c>
      <c r="K46" t="str">
        <f t="shared" si="0"/>
        <v>Other</v>
      </c>
      <c r="L46" t="str">
        <f t="shared" si="1"/>
        <v>Coarse</v>
      </c>
      <c r="M46">
        <f t="shared" si="2"/>
        <v>5.16</v>
      </c>
      <c r="N46" t="s">
        <v>349</v>
      </c>
      <c r="O46" t="s">
        <v>350</v>
      </c>
      <c r="P46">
        <v>7</v>
      </c>
      <c r="Q46" t="str">
        <f t="shared" si="6"/>
        <v>5.5 &lt; pH &lt;= 7.3</v>
      </c>
      <c r="R46" t="s">
        <v>351</v>
      </c>
      <c r="S46">
        <f>IF(AND((ISNUMBER(SEARCH("heavy",$A46))=TRUE),$F46="Winter wheat"),'BAU Management details'!$O$11,
IF(AND((ISNUMBER(SEARCH("medium",$A46))=TRUE),$F46="Winter wheat"),'BAU Management details'!$P$11,
IF(AND((ISNUMBER(SEARCH("light",$A46))=TRUE),$F46="Winter wheat"),'BAU Management details'!$Q$11,
IF($F46="Oilseed Rape",'BAU Management details'!$O$12))))</f>
        <v>190</v>
      </c>
      <c r="T46">
        <v>3</v>
      </c>
      <c r="U46" s="102">
        <f>IF(AND(ISNUMBER(SEARCH("L-Den",$A46))=TRUE,F46="Winter wheat"),'BAU Management details'!$AB$22,
IF(AND(ISNUMBER(SEARCH("H-Den",$A46))=TRUE,F46="Winter wheat"),'BAU Management details'!$AF$22,
IF(F46="Oilseed Rape",'BAU Management details'!$AB$30)))</f>
        <v>2</v>
      </c>
      <c r="V46" t="s">
        <v>368</v>
      </c>
      <c r="W46">
        <v>1</v>
      </c>
      <c r="X46">
        <v>100</v>
      </c>
      <c r="Y46" t="s">
        <v>352</v>
      </c>
      <c r="Z46" t="s">
        <v>369</v>
      </c>
      <c r="AA46">
        <v>0</v>
      </c>
      <c r="AB46">
        <v>0</v>
      </c>
      <c r="AC46" s="102">
        <f t="shared" si="7"/>
        <v>0</v>
      </c>
      <c r="AD46">
        <v>0</v>
      </c>
      <c r="AE46" s="102">
        <f t="shared" ref="AE46:AE49" si="25">IF(AG46=1,1,0)</f>
        <v>0</v>
      </c>
      <c r="AF46" s="102">
        <f t="shared" si="23"/>
        <v>0</v>
      </c>
      <c r="AG46" s="102">
        <f t="shared" si="24"/>
        <v>0</v>
      </c>
      <c r="AH46">
        <v>0</v>
      </c>
      <c r="AI46">
        <v>1</v>
      </c>
      <c r="AJ46">
        <v>0</v>
      </c>
      <c r="AK46">
        <v>1</v>
      </c>
      <c r="AL46">
        <v>0</v>
      </c>
      <c r="AM46" s="102">
        <f>IF(AND(ISNUMBER(SEARCH("L-Den",$A46))=TRUE,$F46="Winter wheat"),'BAU Management details'!$F$32,
IF(AND(ISNUMBER(SEARCH("H-Den",$A46))=TRUE,$F46="Winter wheat"),'BAU Management details'!$G$32,
IF(AND(ISNUMBER(SEARCH("L-Den",$A46))=TRUE,$F46="Oilseed Rape"),'BAU Management details'!$F$33,
IF(AND(ISNUMBER(SEARCH("H-Den",$A46))=TRUE,$F46="Oilseed Rape"),'BAU Management details'!$G$33))))</f>
        <v>3</v>
      </c>
    </row>
    <row r="47" spans="1:39" x14ac:dyDescent="0.2">
      <c r="A47" t="s">
        <v>359</v>
      </c>
      <c r="B47" t="s">
        <v>361</v>
      </c>
      <c r="C47">
        <v>2020</v>
      </c>
      <c r="D47">
        <v>4</v>
      </c>
      <c r="E47" t="s">
        <v>359</v>
      </c>
      <c r="F47" t="s">
        <v>362</v>
      </c>
      <c r="G47">
        <v>7.2</v>
      </c>
      <c r="H47" s="20">
        <f>IF(AND(A47=A46,F47=F46,F47="Winter wheat"),G47*0.9*'BAU Management details'!$F$46,
IF(AND(OR(A47&lt;&gt;A46,F47&lt;&gt;F46),F47="Winter wheat"),G47*'BAU Management details'!$F$46,
IF(F47="Oilseed Rape",G47*'BAU Management details'!$F$47)))</f>
        <v>61.92</v>
      </c>
      <c r="I47" t="s">
        <v>348</v>
      </c>
      <c r="J47">
        <v>10</v>
      </c>
      <c r="K47" t="str">
        <f t="shared" si="0"/>
        <v>Winter wheat</v>
      </c>
      <c r="L47" t="str">
        <f t="shared" si="1"/>
        <v>Coarse</v>
      </c>
      <c r="M47">
        <f t="shared" si="2"/>
        <v>5.16</v>
      </c>
      <c r="N47" t="s">
        <v>349</v>
      </c>
      <c r="O47" t="s">
        <v>350</v>
      </c>
      <c r="P47">
        <v>7</v>
      </c>
      <c r="Q47" t="str">
        <f t="shared" si="6"/>
        <v>5.5 &lt; pH &lt;= 7.3</v>
      </c>
      <c r="R47" t="s">
        <v>351</v>
      </c>
      <c r="S47">
        <f>IF(AND((ISNUMBER(SEARCH("heavy",$A47))=TRUE),$F47="Winter wheat"),'BAU Management details'!$O$11,
IF(AND((ISNUMBER(SEARCH("medium",$A47))=TRUE),$F47="Winter wheat"),'BAU Management details'!$P$11,
IF(AND((ISNUMBER(SEARCH("light",$A47))=TRUE),$F47="Winter wheat"),'BAU Management details'!$Q$11,
IF($F47="Oilseed Rape",'BAU Management details'!$O$12))))</f>
        <v>190</v>
      </c>
      <c r="T47">
        <v>3</v>
      </c>
      <c r="U47" s="102">
        <f>IF(AND(ISNUMBER(SEARCH("L-Den",$A47))=TRUE,F47="Winter wheat"),'BAU Management details'!$AB$22,
IF(AND(ISNUMBER(SEARCH("H-Den",$A47))=TRUE,F47="Winter wheat"),'BAU Management details'!$AF$22,
IF(F47="Oilseed Rape",'BAU Management details'!$AB$30)))</f>
        <v>8.8176000000000005</v>
      </c>
      <c r="V47" t="s">
        <v>363</v>
      </c>
      <c r="W47">
        <v>1</v>
      </c>
      <c r="X47">
        <v>100</v>
      </c>
      <c r="Y47" t="s">
        <v>352</v>
      </c>
      <c r="Z47" t="s">
        <v>364</v>
      </c>
      <c r="AA47">
        <v>0</v>
      </c>
      <c r="AB47">
        <v>0</v>
      </c>
      <c r="AC47" s="102">
        <f t="shared" si="7"/>
        <v>1</v>
      </c>
      <c r="AD47">
        <v>0</v>
      </c>
      <c r="AE47" s="102">
        <f t="shared" si="25"/>
        <v>0</v>
      </c>
      <c r="AF47" s="102">
        <f t="shared" si="23"/>
        <v>1</v>
      </c>
      <c r="AG47" s="102">
        <f t="shared" si="24"/>
        <v>0</v>
      </c>
      <c r="AH47">
        <v>0</v>
      </c>
      <c r="AI47">
        <v>2</v>
      </c>
      <c r="AJ47">
        <v>0</v>
      </c>
      <c r="AK47">
        <v>0</v>
      </c>
      <c r="AL47">
        <v>0</v>
      </c>
      <c r="AM47" s="102">
        <f>IF(AND(ISNUMBER(SEARCH("L-Den",$A47))=TRUE,$F47="Winter wheat"),'BAU Management details'!$F$32,
IF(AND(ISNUMBER(SEARCH("H-Den",$A47))=TRUE,$F47="Winter wheat"),'BAU Management details'!$G$32,
IF(AND(ISNUMBER(SEARCH("L-Den",$A47))=TRUE,$F47="Oilseed Rape"),'BAU Management details'!$F$33,
IF(AND(ISNUMBER(SEARCH("H-Den",$A47))=TRUE,$F47="Oilseed Rape"),'BAU Management details'!$G$33))))</f>
        <v>4</v>
      </c>
    </row>
    <row r="48" spans="1:39" x14ac:dyDescent="0.2">
      <c r="A48" t="s">
        <v>359</v>
      </c>
      <c r="B48" t="s">
        <v>361</v>
      </c>
      <c r="C48">
        <v>2020</v>
      </c>
      <c r="D48">
        <v>5</v>
      </c>
      <c r="E48" t="s">
        <v>359</v>
      </c>
      <c r="F48" t="s">
        <v>362</v>
      </c>
      <c r="G48">
        <v>7.2</v>
      </c>
      <c r="H48" s="20">
        <f>IF(AND(A48=A47,F48=F47,F48="Winter wheat"),G48*0.9*'BAU Management details'!$F$46,
IF(AND(OR(A48&lt;&gt;A47,F48&lt;&gt;F47),F48="Winter wheat"),G48*'BAU Management details'!$F$46,
IF(F48="Oilseed Rape",G48*'BAU Management details'!$F$47)))</f>
        <v>55.728000000000002</v>
      </c>
      <c r="I48" t="s">
        <v>348</v>
      </c>
      <c r="J48">
        <v>10</v>
      </c>
      <c r="K48" t="str">
        <f t="shared" si="0"/>
        <v>Winter wheat</v>
      </c>
      <c r="L48" t="str">
        <f t="shared" si="1"/>
        <v>Coarse</v>
      </c>
      <c r="M48">
        <f t="shared" si="2"/>
        <v>5.16</v>
      </c>
      <c r="N48" t="s">
        <v>349</v>
      </c>
      <c r="O48" t="s">
        <v>350</v>
      </c>
      <c r="P48">
        <v>7</v>
      </c>
      <c r="Q48" t="str">
        <f t="shared" si="6"/>
        <v>5.5 &lt; pH &lt;= 7.3</v>
      </c>
      <c r="R48" t="s">
        <v>351</v>
      </c>
      <c r="S48">
        <f>IF(AND((ISNUMBER(SEARCH("heavy",$A48))=TRUE),$F48="Winter wheat"),'BAU Management details'!$O$11,
IF(AND((ISNUMBER(SEARCH("medium",$A48))=TRUE),$F48="Winter wheat"),'BAU Management details'!$P$11,
IF(AND((ISNUMBER(SEARCH("light",$A48))=TRUE),$F48="Winter wheat"),'BAU Management details'!$Q$11,
IF($F48="Oilseed Rape",'BAU Management details'!$O$12))))</f>
        <v>190</v>
      </c>
      <c r="T48">
        <v>3</v>
      </c>
      <c r="U48" s="102">
        <f>IF(AND(ISNUMBER(SEARCH("L-Den",$A48))=TRUE,F48="Winter wheat"),'BAU Management details'!$AB$22,
IF(AND(ISNUMBER(SEARCH("H-Den",$A48))=TRUE,F48="Winter wheat"),'BAU Management details'!$AF$22,
IF(F48="Oilseed Rape",'BAU Management details'!$AB$30)))</f>
        <v>8.8176000000000005</v>
      </c>
      <c r="V48" t="s">
        <v>366</v>
      </c>
      <c r="W48">
        <v>1</v>
      </c>
      <c r="X48">
        <v>100</v>
      </c>
      <c r="Y48" t="s">
        <v>352</v>
      </c>
      <c r="Z48" t="s">
        <v>367</v>
      </c>
      <c r="AA48">
        <v>0</v>
      </c>
      <c r="AB48">
        <v>0</v>
      </c>
      <c r="AC48" s="102">
        <f t="shared" si="7"/>
        <v>2</v>
      </c>
      <c r="AD48">
        <v>0</v>
      </c>
      <c r="AE48" s="102">
        <f t="shared" si="25"/>
        <v>1</v>
      </c>
      <c r="AF48" s="102">
        <f t="shared" si="23"/>
        <v>0</v>
      </c>
      <c r="AG48" s="102">
        <f t="shared" si="24"/>
        <v>1</v>
      </c>
      <c r="AH48">
        <v>1</v>
      </c>
      <c r="AI48">
        <v>2</v>
      </c>
      <c r="AJ48">
        <v>0</v>
      </c>
      <c r="AK48">
        <v>0</v>
      </c>
      <c r="AL48">
        <v>0</v>
      </c>
      <c r="AM48" s="102">
        <f>IF(AND(ISNUMBER(SEARCH("L-Den",$A48))=TRUE,$F48="Winter wheat"),'BAU Management details'!$F$32,
IF(AND(ISNUMBER(SEARCH("H-Den",$A48))=TRUE,$F48="Winter wheat"),'BAU Management details'!$G$32,
IF(AND(ISNUMBER(SEARCH("L-Den",$A48))=TRUE,$F48="Oilseed Rape"),'BAU Management details'!$F$33,
IF(AND(ISNUMBER(SEARCH("H-Den",$A48))=TRUE,$F48="Oilseed Rape"),'BAU Management details'!$G$33))))</f>
        <v>4</v>
      </c>
    </row>
    <row r="49" spans="1:39" x14ac:dyDescent="0.2">
      <c r="A49" t="s">
        <v>359</v>
      </c>
      <c r="B49" t="s">
        <v>361</v>
      </c>
      <c r="C49">
        <v>2020</v>
      </c>
      <c r="D49">
        <v>6</v>
      </c>
      <c r="E49" t="s">
        <v>359</v>
      </c>
      <c r="F49" t="s">
        <v>365</v>
      </c>
      <c r="G49">
        <v>7.2</v>
      </c>
      <c r="H49" s="20">
        <f>IF(AND(A49=A48,F49=F48,F49="Winter wheat"),G49*0.9*'BAU Management details'!$F$46,
IF(AND(OR(A49&lt;&gt;A48,F49&lt;&gt;F48),F49="Winter wheat"),G49*'BAU Management details'!$F$46,
IF(F49="Oilseed Rape",G49*'BAU Management details'!$F$47)))</f>
        <v>25.2</v>
      </c>
      <c r="I49" t="s">
        <v>348</v>
      </c>
      <c r="J49">
        <v>10</v>
      </c>
      <c r="K49" t="str">
        <f t="shared" si="0"/>
        <v>Other</v>
      </c>
      <c r="L49" t="str">
        <f t="shared" si="1"/>
        <v>Coarse</v>
      </c>
      <c r="M49">
        <f t="shared" si="2"/>
        <v>5.16</v>
      </c>
      <c r="N49" t="s">
        <v>349</v>
      </c>
      <c r="O49" t="s">
        <v>350</v>
      </c>
      <c r="P49">
        <v>7</v>
      </c>
      <c r="Q49" t="str">
        <f t="shared" si="6"/>
        <v>5.5 &lt; pH &lt;= 7.3</v>
      </c>
      <c r="R49" t="s">
        <v>351</v>
      </c>
      <c r="S49">
        <f>IF(AND((ISNUMBER(SEARCH("heavy",$A49))=TRUE),$F49="Winter wheat"),'BAU Management details'!$O$11,
IF(AND((ISNUMBER(SEARCH("medium",$A49))=TRUE),$F49="Winter wheat"),'BAU Management details'!$P$11,
IF(AND((ISNUMBER(SEARCH("light",$A49))=TRUE),$F49="Winter wheat"),'BAU Management details'!$Q$11,
IF($F49="Oilseed Rape",'BAU Management details'!$O$12))))</f>
        <v>190</v>
      </c>
      <c r="T49">
        <v>3</v>
      </c>
      <c r="U49" s="102">
        <f>IF(AND(ISNUMBER(SEARCH("L-Den",$A49))=TRUE,F49="Winter wheat"),'BAU Management details'!$AB$22,
IF(AND(ISNUMBER(SEARCH("H-Den",$A49))=TRUE,F49="Winter wheat"),'BAU Management details'!$AF$22,
IF(F49="Oilseed Rape",'BAU Management details'!$AB$30)))</f>
        <v>2</v>
      </c>
      <c r="V49" t="s">
        <v>368</v>
      </c>
      <c r="W49">
        <v>1</v>
      </c>
      <c r="X49">
        <v>100</v>
      </c>
      <c r="Y49" t="s">
        <v>352</v>
      </c>
      <c r="Z49" t="s">
        <v>369</v>
      </c>
      <c r="AA49">
        <v>0</v>
      </c>
      <c r="AB49">
        <v>0</v>
      </c>
      <c r="AC49" s="102">
        <f t="shared" si="7"/>
        <v>0</v>
      </c>
      <c r="AD49">
        <v>0</v>
      </c>
      <c r="AE49" s="102">
        <f t="shared" si="25"/>
        <v>0</v>
      </c>
      <c r="AF49" s="102">
        <f t="shared" si="23"/>
        <v>0</v>
      </c>
      <c r="AG49" s="102">
        <f t="shared" si="24"/>
        <v>0</v>
      </c>
      <c r="AH49">
        <v>0</v>
      </c>
      <c r="AI49">
        <v>1</v>
      </c>
      <c r="AJ49">
        <v>0</v>
      </c>
      <c r="AK49">
        <v>1</v>
      </c>
      <c r="AL49">
        <v>0</v>
      </c>
      <c r="AM49" s="102">
        <f>IF(AND(ISNUMBER(SEARCH("L-Den",$A49))=TRUE,$F49="Winter wheat"),'BAU Management details'!$F$32,
IF(AND(ISNUMBER(SEARCH("H-Den",$A49))=TRUE,$F49="Winter wheat"),'BAU Management details'!$G$32,
IF(AND(ISNUMBER(SEARCH("L-Den",$A49))=TRUE,$F49="Oilseed Rape"),'BAU Management details'!$F$33,
IF(AND(ISNUMBER(SEARCH("H-Den",$A49))=TRUE,$F49="Oilseed Rape"),'BAU Management details'!$G$33))))</f>
        <v>3</v>
      </c>
    </row>
    <row r="50" spans="1:39" x14ac:dyDescent="0.2">
      <c r="A50" t="s">
        <v>360</v>
      </c>
      <c r="B50" t="s">
        <v>361</v>
      </c>
      <c r="C50">
        <v>2020</v>
      </c>
      <c r="D50">
        <v>1</v>
      </c>
      <c r="E50" t="s">
        <v>360</v>
      </c>
      <c r="F50" t="s">
        <v>362</v>
      </c>
      <c r="G50">
        <v>7.2</v>
      </c>
      <c r="H50" s="20">
        <f>IF(AND(A50=A49,F50=F49,F50="Winter wheat"),G50*0.9*'BAU Management details'!$F$46,
IF(AND(OR(A50&lt;&gt;A49,F50&lt;&gt;F49),F50="Winter wheat"),G50*'BAU Management details'!$F$46,
IF(F50="Oilseed Rape",G50*'BAU Management details'!$F$47)))</f>
        <v>61.92</v>
      </c>
      <c r="I50" t="s">
        <v>348</v>
      </c>
      <c r="J50">
        <v>10</v>
      </c>
      <c r="K50" t="str">
        <f t="shared" si="0"/>
        <v>Winter wheat</v>
      </c>
      <c r="L50" t="str">
        <f t="shared" si="1"/>
        <v>Coarse</v>
      </c>
      <c r="M50">
        <f t="shared" si="2"/>
        <v>5.16</v>
      </c>
      <c r="N50" t="s">
        <v>349</v>
      </c>
      <c r="O50" t="s">
        <v>350</v>
      </c>
      <c r="P50">
        <v>7</v>
      </c>
      <c r="Q50" t="str">
        <f t="shared" si="6"/>
        <v>5.5 &lt; pH &lt;= 7.3</v>
      </c>
      <c r="R50" t="s">
        <v>351</v>
      </c>
      <c r="S50">
        <f>IF(AND((ISNUMBER(SEARCH("heavy",$A50))=TRUE),$F50="Winter wheat"),'BAU Management details'!$O$11,
IF(AND((ISNUMBER(SEARCH("medium",$A50))=TRUE),$F50="Winter wheat"),'BAU Management details'!$P$11,
IF(AND((ISNUMBER(SEARCH("light",$A50))=TRUE),$F50="Winter wheat"),'BAU Management details'!$Q$11,
IF($F50="Oilseed Rape",'BAU Management details'!$O$12))))</f>
        <v>190</v>
      </c>
      <c r="T50">
        <v>3</v>
      </c>
      <c r="U50" s="102">
        <f>IF(AND(ISNUMBER(SEARCH("L-Den",$A50))=TRUE,F50="Winter wheat"),'BAU Management details'!$AB$22,
IF(AND(ISNUMBER(SEARCH("H-Den",$A50))=TRUE,F50="Winter wheat"),'BAU Management details'!$AF$22,
IF(F50="Oilseed Rape",'BAU Management details'!$AB$30)))</f>
        <v>8.8176000000000005</v>
      </c>
      <c r="V50" t="s">
        <v>363</v>
      </c>
      <c r="W50">
        <v>1</v>
      </c>
      <c r="X50">
        <v>100</v>
      </c>
      <c r="Y50" t="s">
        <v>352</v>
      </c>
      <c r="Z50" t="s">
        <v>364</v>
      </c>
      <c r="AA50">
        <v>0</v>
      </c>
      <c r="AB50">
        <v>0</v>
      </c>
      <c r="AC50" s="102">
        <f t="shared" si="7"/>
        <v>1</v>
      </c>
      <c r="AD50">
        <v>0</v>
      </c>
      <c r="AE50" s="102">
        <f>IF(AG50=1,1,0)</f>
        <v>0</v>
      </c>
      <c r="AF50" s="102">
        <f>IF($AE50=1,0,
IF(F50="Oilseed Rape",0,
1))</f>
        <v>1</v>
      </c>
      <c r="AG50" s="102">
        <f>IF(AND(ISNUMBER(SEARCH("heavy",$A50))=TRUE,$F50="Winter wheat"),0,
IF(AND(F50=F49,ISNUMBER(SEARCH("medium",$A50))=TRUE,$F50="Winter wheat"),1,
IF(AND(F50=F49,ISNUMBER(SEARCH("light",$A50))=TRUE,$F50="Winter wheat"),1,
IF(AND(F50&lt;&gt;F49,ISNUMBER(SEARCH("medium",$A50))=TRUE,$F50="Winter wheat"),0,
IF(AND(F50&lt;&gt;F49,ISNUMBER(SEARCH("light",$A50))=TRUE,$F50="Winter wheat"),0,
IF($F50="Oilseed Rape",0
))))))</f>
        <v>0</v>
      </c>
      <c r="AH50">
        <v>0</v>
      </c>
      <c r="AI50">
        <v>2</v>
      </c>
      <c r="AJ50">
        <v>0</v>
      </c>
      <c r="AK50">
        <v>0</v>
      </c>
      <c r="AL50">
        <v>0</v>
      </c>
      <c r="AM50" s="102">
        <f>IF(AND(ISNUMBER(SEARCH("L-Den",$A50))=TRUE,$F50="Winter wheat"),'BAU Management details'!$F$32,
IF(AND(ISNUMBER(SEARCH("H-Den",$A50))=TRUE,$F50="Winter wheat"),'BAU Management details'!$G$32,
IF(AND(ISNUMBER(SEARCH("L-Den",$A50))=TRUE,$F50="Oilseed Rape"),'BAU Management details'!$F$33,
IF(AND(ISNUMBER(SEARCH("H-Den",$A50))=TRUE,$F50="Oilseed Rape"),'BAU Management details'!$G$33))))</f>
        <v>4</v>
      </c>
    </row>
    <row r="51" spans="1:39" x14ac:dyDescent="0.2">
      <c r="A51" t="s">
        <v>360</v>
      </c>
      <c r="B51" t="s">
        <v>361</v>
      </c>
      <c r="C51">
        <v>2020</v>
      </c>
      <c r="D51">
        <v>2</v>
      </c>
      <c r="E51" t="s">
        <v>360</v>
      </c>
      <c r="F51" t="s">
        <v>362</v>
      </c>
      <c r="G51">
        <v>7.2</v>
      </c>
      <c r="H51" s="20">
        <f>IF(AND(A51=A50,F51=F50,F51="Winter wheat"),G51*0.9*'BAU Management details'!$F$46,
IF(AND(OR(A51&lt;&gt;A50,F51&lt;&gt;F50),F51="Winter wheat"),G51*'BAU Management details'!$F$46,
IF(F51="Oilseed Rape",G51*'BAU Management details'!$F$47)))</f>
        <v>55.728000000000002</v>
      </c>
      <c r="I51" t="s">
        <v>348</v>
      </c>
      <c r="J51">
        <v>10</v>
      </c>
      <c r="K51" t="str">
        <f t="shared" si="0"/>
        <v>Winter wheat</v>
      </c>
      <c r="L51" t="str">
        <f t="shared" si="1"/>
        <v>Coarse</v>
      </c>
      <c r="M51">
        <f t="shared" si="2"/>
        <v>5.16</v>
      </c>
      <c r="N51" t="s">
        <v>349</v>
      </c>
      <c r="O51" t="s">
        <v>350</v>
      </c>
      <c r="P51">
        <v>7</v>
      </c>
      <c r="Q51" t="str">
        <f t="shared" si="6"/>
        <v>5.5 &lt; pH &lt;= 7.3</v>
      </c>
      <c r="R51" t="s">
        <v>351</v>
      </c>
      <c r="S51">
        <f>IF(AND((ISNUMBER(SEARCH("heavy",$A51))=TRUE),$F51="Winter wheat"),'BAU Management details'!$O$11,
IF(AND((ISNUMBER(SEARCH("medium",$A51))=TRUE),$F51="Winter wheat"),'BAU Management details'!$P$11,
IF(AND((ISNUMBER(SEARCH("light",$A51))=TRUE),$F51="Winter wheat"),'BAU Management details'!$Q$11,
IF($F51="Oilseed Rape",'BAU Management details'!$O$12))))</f>
        <v>190</v>
      </c>
      <c r="T51">
        <v>3</v>
      </c>
      <c r="U51" s="102">
        <f>IF(AND(ISNUMBER(SEARCH("L-Den",$A51))=TRUE,F51="Winter wheat"),'BAU Management details'!$AB$22,
IF(AND(ISNUMBER(SEARCH("H-Den",$A51))=TRUE,F51="Winter wheat"),'BAU Management details'!$AF$22,
IF(F51="Oilseed Rape",'BAU Management details'!$AB$30)))</f>
        <v>8.8176000000000005</v>
      </c>
      <c r="V51" t="s">
        <v>366</v>
      </c>
      <c r="W51">
        <v>1</v>
      </c>
      <c r="X51">
        <v>100</v>
      </c>
      <c r="Y51" t="s">
        <v>352</v>
      </c>
      <c r="Z51" t="s">
        <v>367</v>
      </c>
      <c r="AA51">
        <v>0</v>
      </c>
      <c r="AB51">
        <v>0</v>
      </c>
      <c r="AC51" s="102">
        <f t="shared" si="7"/>
        <v>2</v>
      </c>
      <c r="AD51">
        <v>0</v>
      </c>
      <c r="AE51" s="102">
        <f>IF(AG51=1,1,0)</f>
        <v>1</v>
      </c>
      <c r="AF51" s="102">
        <f t="shared" ref="AF51:AF55" si="26">IF($AE51=1,0,
IF(F51="Oilseed Rape",0,
1))</f>
        <v>0</v>
      </c>
      <c r="AG51" s="102">
        <f t="shared" ref="AG51:AG55" si="27">IF(AND(ISNUMBER(SEARCH("heavy",$A51))=TRUE,$F51="Winter wheat"),0,
IF(AND(F51=F50,ISNUMBER(SEARCH("medium",$A51))=TRUE,$F51="Winter wheat"),1,
IF(AND(F51=F50,ISNUMBER(SEARCH("light",$A51))=TRUE,$F51="Winter wheat"),1,
IF(AND(F51&lt;&gt;F50,ISNUMBER(SEARCH("medium",$A51))=TRUE,$F51="Winter wheat"),0,
IF(AND(F51&lt;&gt;F50,ISNUMBER(SEARCH("light",$A51))=TRUE,$F51="Winter wheat"),0,
IF($F51="Oilseed Rape",0
))))))</f>
        <v>1</v>
      </c>
      <c r="AH51">
        <v>1</v>
      </c>
      <c r="AI51">
        <v>2</v>
      </c>
      <c r="AJ51">
        <v>0</v>
      </c>
      <c r="AK51">
        <v>0</v>
      </c>
      <c r="AL51">
        <v>0</v>
      </c>
      <c r="AM51" s="102">
        <f>IF(AND(ISNUMBER(SEARCH("L-Den",$A51))=TRUE,$F51="Winter wheat"),'BAU Management details'!$F$32,
IF(AND(ISNUMBER(SEARCH("H-Den",$A51))=TRUE,$F51="Winter wheat"),'BAU Management details'!$G$32,
IF(AND(ISNUMBER(SEARCH("L-Den",$A51))=TRUE,$F51="Oilseed Rape"),'BAU Management details'!$F$33,
IF(AND(ISNUMBER(SEARCH("H-Den",$A51))=TRUE,$F51="Oilseed Rape"),'BAU Management details'!$G$33))))</f>
        <v>4</v>
      </c>
    </row>
    <row r="52" spans="1:39" x14ac:dyDescent="0.2">
      <c r="A52" t="s">
        <v>360</v>
      </c>
      <c r="B52" t="s">
        <v>361</v>
      </c>
      <c r="C52">
        <v>2020</v>
      </c>
      <c r="D52">
        <v>3</v>
      </c>
      <c r="E52" t="s">
        <v>360</v>
      </c>
      <c r="F52" t="s">
        <v>365</v>
      </c>
      <c r="G52">
        <v>7.2</v>
      </c>
      <c r="H52" s="20">
        <f>IF(AND(A52=A51,F52=F51,F52="Winter wheat"),G52*0.9*'BAU Management details'!$F$46,
IF(AND(OR(A52&lt;&gt;A51,F52&lt;&gt;F51),F52="Winter wheat"),G52*'BAU Management details'!$F$46,
IF(F52="Oilseed Rape",G52*'BAU Management details'!$F$47)))</f>
        <v>25.2</v>
      </c>
      <c r="I52" t="s">
        <v>348</v>
      </c>
      <c r="J52">
        <v>10</v>
      </c>
      <c r="K52" t="str">
        <f t="shared" si="0"/>
        <v>Other</v>
      </c>
      <c r="L52" t="str">
        <f t="shared" si="1"/>
        <v>Coarse</v>
      </c>
      <c r="M52">
        <f t="shared" si="2"/>
        <v>5.16</v>
      </c>
      <c r="N52" t="s">
        <v>349</v>
      </c>
      <c r="O52" t="s">
        <v>350</v>
      </c>
      <c r="P52">
        <v>7</v>
      </c>
      <c r="Q52" t="str">
        <f t="shared" si="6"/>
        <v>5.5 &lt; pH &lt;= 7.3</v>
      </c>
      <c r="R52" t="s">
        <v>351</v>
      </c>
      <c r="S52">
        <f>IF(AND((ISNUMBER(SEARCH("heavy",$A52))=TRUE),$F52="Winter wheat"),'BAU Management details'!$O$11,
IF(AND((ISNUMBER(SEARCH("medium",$A52))=TRUE),$F52="Winter wheat"),'BAU Management details'!$P$11,
IF(AND((ISNUMBER(SEARCH("light",$A52))=TRUE),$F52="Winter wheat"),'BAU Management details'!$Q$11,
IF($F52="Oilseed Rape",'BAU Management details'!$O$12))))</f>
        <v>190</v>
      </c>
      <c r="T52">
        <v>3</v>
      </c>
      <c r="U52" s="102">
        <f>IF(AND(ISNUMBER(SEARCH("L-Den",$A52))=TRUE,F52="Winter wheat"),'BAU Management details'!$AB$22,
IF(AND(ISNUMBER(SEARCH("H-Den",$A52))=TRUE,F52="Winter wheat"),'BAU Management details'!$AF$22,
IF(F52="Oilseed Rape",'BAU Management details'!$AB$30)))</f>
        <v>2</v>
      </c>
      <c r="V52" t="s">
        <v>368</v>
      </c>
      <c r="W52">
        <v>1</v>
      </c>
      <c r="X52">
        <v>100</v>
      </c>
      <c r="Y52" t="s">
        <v>352</v>
      </c>
      <c r="Z52" t="s">
        <v>369</v>
      </c>
      <c r="AA52">
        <v>0</v>
      </c>
      <c r="AB52">
        <v>0</v>
      </c>
      <c r="AC52" s="102">
        <f t="shared" si="7"/>
        <v>0</v>
      </c>
      <c r="AD52">
        <v>0</v>
      </c>
      <c r="AE52" s="102">
        <f t="shared" ref="AE52:AE55" si="28">IF(AG52=1,1,0)</f>
        <v>0</v>
      </c>
      <c r="AF52" s="102">
        <f t="shared" si="26"/>
        <v>0</v>
      </c>
      <c r="AG52" s="102">
        <f t="shared" si="27"/>
        <v>0</v>
      </c>
      <c r="AH52">
        <v>0</v>
      </c>
      <c r="AI52">
        <v>1</v>
      </c>
      <c r="AJ52">
        <v>0</v>
      </c>
      <c r="AK52">
        <v>1</v>
      </c>
      <c r="AL52">
        <v>0</v>
      </c>
      <c r="AM52" s="102">
        <f>IF(AND(ISNUMBER(SEARCH("L-Den",$A52))=TRUE,$F52="Winter wheat"),'BAU Management details'!$F$32,
IF(AND(ISNUMBER(SEARCH("H-Den",$A52))=TRUE,$F52="Winter wheat"),'BAU Management details'!$G$32,
IF(AND(ISNUMBER(SEARCH("L-Den",$A52))=TRUE,$F52="Oilseed Rape"),'BAU Management details'!$F$33,
IF(AND(ISNUMBER(SEARCH("H-Den",$A52))=TRUE,$F52="Oilseed Rape"),'BAU Management details'!$G$33))))</f>
        <v>3</v>
      </c>
    </row>
    <row r="53" spans="1:39" x14ac:dyDescent="0.2">
      <c r="A53" t="s">
        <v>360</v>
      </c>
      <c r="B53" t="s">
        <v>361</v>
      </c>
      <c r="C53">
        <v>2020</v>
      </c>
      <c r="D53">
        <v>4</v>
      </c>
      <c r="E53" t="s">
        <v>360</v>
      </c>
      <c r="F53" t="s">
        <v>362</v>
      </c>
      <c r="G53">
        <v>7.2</v>
      </c>
      <c r="H53" s="20">
        <f>IF(AND(A53=A52,F53=F52,F53="Winter wheat"),G53*0.9*'BAU Management details'!$F$46,
IF(AND(OR(A53&lt;&gt;A52,F53&lt;&gt;F52),F53="Winter wheat"),G53*'BAU Management details'!$F$46,
IF(F53="Oilseed Rape",G53*'BAU Management details'!$F$47)))</f>
        <v>61.92</v>
      </c>
      <c r="I53" t="s">
        <v>348</v>
      </c>
      <c r="J53">
        <v>10</v>
      </c>
      <c r="K53" t="str">
        <f t="shared" si="0"/>
        <v>Winter wheat</v>
      </c>
      <c r="L53" t="str">
        <f t="shared" si="1"/>
        <v>Coarse</v>
      </c>
      <c r="M53">
        <f t="shared" si="2"/>
        <v>5.16</v>
      </c>
      <c r="N53" t="s">
        <v>349</v>
      </c>
      <c r="O53" t="s">
        <v>350</v>
      </c>
      <c r="P53">
        <v>7</v>
      </c>
      <c r="Q53" t="str">
        <f t="shared" si="6"/>
        <v>5.5 &lt; pH &lt;= 7.3</v>
      </c>
      <c r="R53" t="s">
        <v>351</v>
      </c>
      <c r="S53">
        <f>IF(AND((ISNUMBER(SEARCH("heavy",$A53))=TRUE),$F53="Winter wheat"),'BAU Management details'!$O$11,
IF(AND((ISNUMBER(SEARCH("medium",$A53))=TRUE),$F53="Winter wheat"),'BAU Management details'!$P$11,
IF(AND((ISNUMBER(SEARCH("light",$A53))=TRUE),$F53="Winter wheat"),'BAU Management details'!$Q$11,
IF($F53="Oilseed Rape",'BAU Management details'!$O$12))))</f>
        <v>190</v>
      </c>
      <c r="T53">
        <v>3</v>
      </c>
      <c r="U53" s="102">
        <f>IF(AND(ISNUMBER(SEARCH("L-Den",$A53))=TRUE,F53="Winter wheat"),'BAU Management details'!$AB$22,
IF(AND(ISNUMBER(SEARCH("H-Den",$A53))=TRUE,F53="Winter wheat"),'BAU Management details'!$AF$22,
IF(F53="Oilseed Rape",'BAU Management details'!$AB$30)))</f>
        <v>8.8176000000000005</v>
      </c>
      <c r="V53" t="s">
        <v>363</v>
      </c>
      <c r="W53">
        <v>1</v>
      </c>
      <c r="X53">
        <v>100</v>
      </c>
      <c r="Y53" t="s">
        <v>352</v>
      </c>
      <c r="Z53" t="s">
        <v>364</v>
      </c>
      <c r="AA53">
        <v>0</v>
      </c>
      <c r="AB53">
        <v>0</v>
      </c>
      <c r="AC53" s="102">
        <f t="shared" si="7"/>
        <v>1</v>
      </c>
      <c r="AD53">
        <v>0</v>
      </c>
      <c r="AE53" s="102">
        <f t="shared" si="28"/>
        <v>0</v>
      </c>
      <c r="AF53" s="102">
        <f t="shared" si="26"/>
        <v>1</v>
      </c>
      <c r="AG53" s="102">
        <f t="shared" si="27"/>
        <v>0</v>
      </c>
      <c r="AH53">
        <v>0</v>
      </c>
      <c r="AI53">
        <v>2</v>
      </c>
      <c r="AJ53">
        <v>0</v>
      </c>
      <c r="AK53">
        <v>0</v>
      </c>
      <c r="AL53">
        <v>0</v>
      </c>
      <c r="AM53" s="102">
        <f>IF(AND(ISNUMBER(SEARCH("L-Den",$A53))=TRUE,$F53="Winter wheat"),'BAU Management details'!$F$32,
IF(AND(ISNUMBER(SEARCH("H-Den",$A53))=TRUE,$F53="Winter wheat"),'BAU Management details'!$G$32,
IF(AND(ISNUMBER(SEARCH("L-Den",$A53))=TRUE,$F53="Oilseed Rape"),'BAU Management details'!$F$33,
IF(AND(ISNUMBER(SEARCH("H-Den",$A53))=TRUE,$F53="Oilseed Rape"),'BAU Management details'!$G$33))))</f>
        <v>4</v>
      </c>
    </row>
    <row r="54" spans="1:39" x14ac:dyDescent="0.2">
      <c r="A54" t="s">
        <v>360</v>
      </c>
      <c r="B54" t="s">
        <v>361</v>
      </c>
      <c r="C54">
        <v>2020</v>
      </c>
      <c r="D54">
        <v>5</v>
      </c>
      <c r="E54" t="s">
        <v>360</v>
      </c>
      <c r="F54" t="s">
        <v>362</v>
      </c>
      <c r="G54">
        <v>7.2</v>
      </c>
      <c r="H54" s="20">
        <f>IF(AND(A54=A53,F54=F53,F54="Winter wheat"),G54*0.9*'BAU Management details'!$F$46,
IF(AND(OR(A54&lt;&gt;A53,F54&lt;&gt;F53),F54="Winter wheat"),G54*'BAU Management details'!$F$46,
IF(F54="Oilseed Rape",G54*'BAU Management details'!$F$47)))</f>
        <v>55.728000000000002</v>
      </c>
      <c r="I54" t="s">
        <v>348</v>
      </c>
      <c r="J54">
        <v>10</v>
      </c>
      <c r="K54" t="str">
        <f t="shared" si="0"/>
        <v>Winter wheat</v>
      </c>
      <c r="L54" t="str">
        <f t="shared" si="1"/>
        <v>Coarse</v>
      </c>
      <c r="M54">
        <f t="shared" si="2"/>
        <v>5.16</v>
      </c>
      <c r="N54" t="s">
        <v>349</v>
      </c>
      <c r="O54" t="s">
        <v>350</v>
      </c>
      <c r="P54">
        <v>7</v>
      </c>
      <c r="Q54" t="str">
        <f t="shared" si="6"/>
        <v>5.5 &lt; pH &lt;= 7.3</v>
      </c>
      <c r="R54" t="s">
        <v>351</v>
      </c>
      <c r="S54">
        <f>IF(AND((ISNUMBER(SEARCH("heavy",$A54))=TRUE),$F54="Winter wheat"),'BAU Management details'!$O$11,
IF(AND((ISNUMBER(SEARCH("medium",$A54))=TRUE),$F54="Winter wheat"),'BAU Management details'!$P$11,
IF(AND((ISNUMBER(SEARCH("light",$A54))=TRUE),$F54="Winter wheat"),'BAU Management details'!$Q$11,
IF($F54="Oilseed Rape",'BAU Management details'!$O$12))))</f>
        <v>190</v>
      </c>
      <c r="T54">
        <v>3</v>
      </c>
      <c r="U54" s="102">
        <f>IF(AND(ISNUMBER(SEARCH("L-Den",$A54))=TRUE,F54="Winter wheat"),'BAU Management details'!$AB$22,
IF(AND(ISNUMBER(SEARCH("H-Den",$A54))=TRUE,F54="Winter wheat"),'BAU Management details'!$AF$22,
IF(F54="Oilseed Rape",'BAU Management details'!$AB$30)))</f>
        <v>8.8176000000000005</v>
      </c>
      <c r="V54" t="s">
        <v>366</v>
      </c>
      <c r="W54">
        <v>1</v>
      </c>
      <c r="X54">
        <v>100</v>
      </c>
      <c r="Y54" t="s">
        <v>352</v>
      </c>
      <c r="Z54" t="s">
        <v>367</v>
      </c>
      <c r="AA54">
        <v>0</v>
      </c>
      <c r="AB54">
        <v>0</v>
      </c>
      <c r="AC54" s="102">
        <f t="shared" si="7"/>
        <v>2</v>
      </c>
      <c r="AD54">
        <v>0</v>
      </c>
      <c r="AE54" s="102">
        <f t="shared" si="28"/>
        <v>1</v>
      </c>
      <c r="AF54" s="102">
        <f t="shared" si="26"/>
        <v>0</v>
      </c>
      <c r="AG54" s="102">
        <f t="shared" si="27"/>
        <v>1</v>
      </c>
      <c r="AH54">
        <v>1</v>
      </c>
      <c r="AI54">
        <v>2</v>
      </c>
      <c r="AJ54">
        <v>0</v>
      </c>
      <c r="AK54">
        <v>0</v>
      </c>
      <c r="AL54">
        <v>0</v>
      </c>
      <c r="AM54" s="102">
        <f>IF(AND(ISNUMBER(SEARCH("L-Den",$A54))=TRUE,$F54="Winter wheat"),'BAU Management details'!$F$32,
IF(AND(ISNUMBER(SEARCH("H-Den",$A54))=TRUE,$F54="Winter wheat"),'BAU Management details'!$G$32,
IF(AND(ISNUMBER(SEARCH("L-Den",$A54))=TRUE,$F54="Oilseed Rape"),'BAU Management details'!$F$33,
IF(AND(ISNUMBER(SEARCH("H-Den",$A54))=TRUE,$F54="Oilseed Rape"),'BAU Management details'!$G$33))))</f>
        <v>4</v>
      </c>
    </row>
    <row r="55" spans="1:39" x14ac:dyDescent="0.2">
      <c r="A55" t="s">
        <v>360</v>
      </c>
      <c r="B55" t="s">
        <v>361</v>
      </c>
      <c r="C55">
        <v>2020</v>
      </c>
      <c r="D55">
        <v>6</v>
      </c>
      <c r="E55" t="s">
        <v>360</v>
      </c>
      <c r="F55" t="s">
        <v>365</v>
      </c>
      <c r="G55">
        <v>7.2</v>
      </c>
      <c r="H55" s="20">
        <f>IF(AND(A55=A54,F55=F54,F55="Winter wheat"),G55*0.9*'BAU Management details'!$F$46,
IF(AND(OR(A55&lt;&gt;A54,F55&lt;&gt;F54),F55="Winter wheat"),G55*'BAU Management details'!$F$46,
IF(F55="Oilseed Rape",G55*'BAU Management details'!$F$47)))</f>
        <v>25.2</v>
      </c>
      <c r="I55" t="s">
        <v>348</v>
      </c>
      <c r="J55">
        <v>10</v>
      </c>
      <c r="K55" t="str">
        <f t="shared" si="0"/>
        <v>Other</v>
      </c>
      <c r="L55" t="str">
        <f t="shared" si="1"/>
        <v>Coarse</v>
      </c>
      <c r="M55">
        <f t="shared" si="2"/>
        <v>5.16</v>
      </c>
      <c r="N55" t="s">
        <v>349</v>
      </c>
      <c r="O55" t="s">
        <v>350</v>
      </c>
      <c r="P55">
        <v>7</v>
      </c>
      <c r="Q55" t="str">
        <f t="shared" si="6"/>
        <v>5.5 &lt; pH &lt;= 7.3</v>
      </c>
      <c r="R55" t="s">
        <v>351</v>
      </c>
      <c r="S55">
        <f>IF(AND((ISNUMBER(SEARCH("heavy",$A55))=TRUE),$F55="Winter wheat"),'BAU Management details'!$O$11,
IF(AND((ISNUMBER(SEARCH("medium",$A55))=TRUE),$F55="Winter wheat"),'BAU Management details'!$P$11,
IF(AND((ISNUMBER(SEARCH("light",$A55))=TRUE),$F55="Winter wheat"),'BAU Management details'!$Q$11,
IF($F55="Oilseed Rape",'BAU Management details'!$O$12))))</f>
        <v>190</v>
      </c>
      <c r="T55">
        <v>3</v>
      </c>
      <c r="U55" s="102">
        <f>IF(AND(ISNUMBER(SEARCH("L-Den",$A55))=TRUE,F55="Winter wheat"),'BAU Management details'!$AB$22,
IF(AND(ISNUMBER(SEARCH("H-Den",$A55))=TRUE,F55="Winter wheat"),'BAU Management details'!$AF$22,
IF(F55="Oilseed Rape",'BAU Management details'!$AB$30)))</f>
        <v>2</v>
      </c>
      <c r="V55" t="s">
        <v>368</v>
      </c>
      <c r="W55">
        <v>1</v>
      </c>
      <c r="X55">
        <v>100</v>
      </c>
      <c r="Y55" t="s">
        <v>352</v>
      </c>
      <c r="Z55" t="s">
        <v>369</v>
      </c>
      <c r="AA55">
        <v>0</v>
      </c>
      <c r="AB55">
        <v>0</v>
      </c>
      <c r="AC55" s="102">
        <f t="shared" si="7"/>
        <v>0</v>
      </c>
      <c r="AD55">
        <v>0</v>
      </c>
      <c r="AE55" s="102">
        <f t="shared" si="28"/>
        <v>0</v>
      </c>
      <c r="AF55" s="102">
        <f t="shared" si="26"/>
        <v>0</v>
      </c>
      <c r="AG55" s="102">
        <f t="shared" si="27"/>
        <v>0</v>
      </c>
      <c r="AH55">
        <v>0</v>
      </c>
      <c r="AI55">
        <v>1</v>
      </c>
      <c r="AJ55">
        <v>0</v>
      </c>
      <c r="AK55">
        <v>1</v>
      </c>
      <c r="AL55">
        <v>0</v>
      </c>
      <c r="AM55" s="102">
        <f>IF(AND(ISNUMBER(SEARCH("L-Den",$A55))=TRUE,$F55="Winter wheat"),'BAU Management details'!$F$32,
IF(AND(ISNUMBER(SEARCH("H-Den",$A55))=TRUE,$F55="Winter wheat"),'BAU Management details'!$G$32,
IF(AND(ISNUMBER(SEARCH("L-Den",$A55))=TRUE,$F55="Oilseed Rape"),'BAU Management details'!$F$33,
IF(AND(ISNUMBER(SEARCH("H-Den",$A55))=TRUE,$F55="Oilseed Rape"),'BAU Management details'!$G$33))))</f>
        <v>3</v>
      </c>
    </row>
    <row r="56" spans="1:39" x14ac:dyDescent="0.2">
      <c r="H56" s="20"/>
      <c r="U56" s="102"/>
    </row>
    <row r="57" spans="1:39" x14ac:dyDescent="0.2">
      <c r="H57" s="20"/>
      <c r="U57" s="102"/>
    </row>
    <row r="58" spans="1:39" x14ac:dyDescent="0.2">
      <c r="H58" s="20"/>
      <c r="U58" s="102"/>
    </row>
    <row r="59" spans="1:39" x14ac:dyDescent="0.2">
      <c r="H59" s="20"/>
      <c r="U59" s="102"/>
    </row>
    <row r="60" spans="1:39" x14ac:dyDescent="0.2">
      <c r="H60" s="20"/>
      <c r="U60" s="102"/>
    </row>
    <row r="61" spans="1:39" x14ac:dyDescent="0.2">
      <c r="H61" s="20"/>
      <c r="U61" s="102"/>
    </row>
    <row r="62" spans="1:39" x14ac:dyDescent="0.2">
      <c r="H62" s="20"/>
      <c r="U62" s="102"/>
    </row>
    <row r="63" spans="1:39" x14ac:dyDescent="0.2">
      <c r="H63" s="20"/>
      <c r="U63" s="102"/>
    </row>
    <row r="64" spans="1:39" x14ac:dyDescent="0.2">
      <c r="H64" s="20"/>
      <c r="U64" s="102"/>
    </row>
    <row r="65" spans="8:21" x14ac:dyDescent="0.2">
      <c r="H65" s="20"/>
      <c r="U65" s="102"/>
    </row>
    <row r="66" spans="8:21" x14ac:dyDescent="0.2">
      <c r="H66" s="20"/>
      <c r="U66" s="102"/>
    </row>
    <row r="67" spans="8:21" x14ac:dyDescent="0.2">
      <c r="H67" s="20"/>
      <c r="U67" s="102"/>
    </row>
    <row r="68" spans="8:21" x14ac:dyDescent="0.2">
      <c r="H68" s="20"/>
      <c r="U68" s="102"/>
    </row>
    <row r="69" spans="8:21" x14ac:dyDescent="0.2">
      <c r="H69" s="20"/>
      <c r="U69" s="102"/>
    </row>
    <row r="70" spans="8:21" x14ac:dyDescent="0.2">
      <c r="H70" s="20"/>
      <c r="U70" s="102"/>
    </row>
    <row r="71" spans="8:21" x14ac:dyDescent="0.2">
      <c r="H71" s="20"/>
      <c r="U71" s="102"/>
    </row>
    <row r="72" spans="8:21" x14ac:dyDescent="0.2">
      <c r="H72" s="20"/>
      <c r="U72" s="102"/>
    </row>
    <row r="73" spans="8:21" x14ac:dyDescent="0.2">
      <c r="H73" s="20"/>
      <c r="U73" s="102"/>
    </row>
    <row r="74" spans="8:21" x14ac:dyDescent="0.2">
      <c r="H74" s="20"/>
      <c r="U74" s="102"/>
    </row>
    <row r="75" spans="8:21" x14ac:dyDescent="0.2">
      <c r="H75" s="20"/>
      <c r="U75" s="102"/>
    </row>
    <row r="76" spans="8:21" x14ac:dyDescent="0.2">
      <c r="H76" s="20"/>
      <c r="U76" s="102"/>
    </row>
    <row r="77" spans="8:21" x14ac:dyDescent="0.2">
      <c r="H77" s="20"/>
      <c r="U77" s="102"/>
    </row>
    <row r="78" spans="8:21" x14ac:dyDescent="0.2">
      <c r="H78" s="20"/>
      <c r="U78" s="102"/>
    </row>
    <row r="79" spans="8:21" x14ac:dyDescent="0.2">
      <c r="H79" s="20"/>
      <c r="U79" s="102"/>
    </row>
    <row r="80" spans="8:21" x14ac:dyDescent="0.2">
      <c r="H80" s="20"/>
      <c r="U80" s="102"/>
    </row>
    <row r="81" spans="8:21" x14ac:dyDescent="0.2">
      <c r="H81" s="20"/>
      <c r="U81" s="102"/>
    </row>
    <row r="82" spans="8:21" x14ac:dyDescent="0.2">
      <c r="H82" s="20"/>
      <c r="U82" s="102"/>
    </row>
    <row r="83" spans="8:21" x14ac:dyDescent="0.2">
      <c r="H83" s="20"/>
      <c r="U83" s="102"/>
    </row>
    <row r="84" spans="8:21" x14ac:dyDescent="0.2">
      <c r="H84" s="20"/>
      <c r="U84" s="102"/>
    </row>
    <row r="85" spans="8:21" x14ac:dyDescent="0.2">
      <c r="H85" s="20"/>
      <c r="U85" s="102"/>
    </row>
    <row r="86" spans="8:21" x14ac:dyDescent="0.2">
      <c r="H86" s="20"/>
      <c r="U86" s="102"/>
    </row>
    <row r="87" spans="8:21" x14ac:dyDescent="0.2">
      <c r="H87" s="20"/>
      <c r="U87" s="102"/>
    </row>
    <row r="88" spans="8:21" x14ac:dyDescent="0.2">
      <c r="H88" s="20"/>
      <c r="U88" s="102"/>
    </row>
    <row r="89" spans="8:21" x14ac:dyDescent="0.2">
      <c r="H89" s="20"/>
      <c r="U89" s="102"/>
    </row>
    <row r="90" spans="8:21" x14ac:dyDescent="0.2">
      <c r="H90" s="20"/>
      <c r="U90" s="102"/>
    </row>
    <row r="91" spans="8:21" x14ac:dyDescent="0.2">
      <c r="H91" s="20"/>
      <c r="U91" s="102"/>
    </row>
    <row r="92" spans="8:21" x14ac:dyDescent="0.2">
      <c r="H92" s="20"/>
      <c r="U92" s="102"/>
    </row>
    <row r="93" spans="8:21" x14ac:dyDescent="0.2">
      <c r="H93" s="20"/>
      <c r="U93" s="102"/>
    </row>
    <row r="94" spans="8:21" x14ac:dyDescent="0.2">
      <c r="H94" s="20"/>
      <c r="U94" s="102"/>
    </row>
    <row r="95" spans="8:21" x14ac:dyDescent="0.2">
      <c r="H95" s="20"/>
      <c r="U95" s="102"/>
    </row>
    <row r="96" spans="8:21" x14ac:dyDescent="0.2">
      <c r="H96" s="20"/>
      <c r="U96" s="102"/>
    </row>
    <row r="97" spans="8:21" x14ac:dyDescent="0.2">
      <c r="H97" s="20"/>
      <c r="U97" s="10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showInputMessage="1" showErrorMessage="1" xr:uid="{8FE7180F-5991-43A5-87F7-BD77EBC3D9B1}">
          <x14:formula1>
            <xm:f>Lists!$L$5:$L$10</xm:f>
          </x14:formula1>
          <xm:sqref>Y2:Y55</xm:sqref>
        </x14:dataValidation>
        <x14:dataValidation type="list" allowBlank="1" showInputMessage="1" showErrorMessage="1" xr:uid="{E18ADBCE-ABE1-4A84-B9B0-3308B210A1EC}">
          <x14:formula1>
            <xm:f>Lists!$N$5:$N$7</xm:f>
          </x14:formula1>
          <xm:sqref>Z2:Z55</xm:sqref>
        </x14:dataValidation>
        <x14:dataValidation type="list" allowBlank="1" showInputMessage="1" showErrorMessage="1" xr:uid="{7055514C-D662-408A-B03B-DBB24A2C114E}">
          <x14:formula1>
            <xm:f>Lists!$J$5:$J$11</xm:f>
          </x14:formula1>
          <xm:sqref>V2:X55</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CB88C5-A5C7-436A-B765-F8201AADE19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28</vt:i4>
      </vt:variant>
      <vt:variant>
        <vt:lpstr>Named Ranges</vt:lpstr>
      </vt:variant>
      <vt:variant>
        <vt:i4>134</vt:i4>
      </vt:variant>
    </vt:vector>
  </HeadingPairs>
  <TitlesOfParts>
    <vt:vector size="162" baseType="lpstr">
      <vt:lpstr>Metadata</vt:lpstr>
      <vt:lpstr>CFT_input</vt:lpstr>
      <vt:lpstr>Focus Strategies Data All</vt:lpstr>
      <vt:lpstr>Focus Data NSpraying</vt:lpstr>
      <vt:lpstr>Focus Data Tillage by farm</vt:lpstr>
      <vt:lpstr>ECOMOD_input_estimate</vt:lpstr>
      <vt:lpstr>ECOMOD_input_actual</vt:lpstr>
      <vt:lpstr>(From BGRI) Crop Data</vt:lpstr>
      <vt:lpstr>Focus Data Drill Date</vt:lpstr>
      <vt:lpstr>Focus Data Tillage</vt:lpstr>
      <vt:lpstr>Rotation calendar</vt:lpstr>
      <vt:lpstr>Linear presentation of BAU rotn</vt:lpstr>
      <vt:lpstr>BAU Management details</vt:lpstr>
      <vt:lpstr>Northern Managment Details</vt:lpstr>
      <vt:lpstr>HD-HR Management Details</vt:lpstr>
      <vt:lpstr>Focus Data Seed Rate</vt:lpstr>
      <vt:lpstr>Focus Data BGHerbicides</vt:lpstr>
      <vt:lpstr>Focus Data Glyphosate</vt:lpstr>
      <vt:lpstr>Focus Data NFertiliser Rate</vt:lpstr>
      <vt:lpstr>Focus Data CFT NSpraying</vt:lpstr>
      <vt:lpstr>№ Fertiliser sprayings</vt:lpstr>
      <vt:lpstr>Focus Data Crop Rotations</vt:lpstr>
      <vt:lpstr>CFT Specific Data</vt:lpstr>
      <vt:lpstr>(From BGRI) Yield Penalty ↺</vt:lpstr>
      <vt:lpstr>(BGRI) Soil Index &amp; Farm Data</vt:lpstr>
      <vt:lpstr>CFT input_allfields</vt:lpstr>
      <vt:lpstr>Lists</vt:lpstr>
      <vt:lpstr>CFT input original</vt:lpstr>
      <vt:lpstr>BGherb_CROPS</vt:lpstr>
      <vt:lpstr>BGherb_HDHR_C</vt:lpstr>
      <vt:lpstr>BGherb_HDHR_E</vt:lpstr>
      <vt:lpstr>BGherb_HDHR_N</vt:lpstr>
      <vt:lpstr>BGherb_LDHR_C</vt:lpstr>
      <vt:lpstr>BGherb_LDHR_E</vt:lpstr>
      <vt:lpstr>BGherb_LDHR_N</vt:lpstr>
      <vt:lpstr>BGherb_LDLR_C</vt:lpstr>
      <vt:lpstr>BGherb_LDLR_E</vt:lpstr>
      <vt:lpstr>BGherb_LDLR_N</vt:lpstr>
      <vt:lpstr>cropdata</vt:lpstr>
      <vt:lpstr>cropdatacrops</vt:lpstr>
      <vt:lpstr>croprotn_HDHR_C_h</vt:lpstr>
      <vt:lpstr>croprotn_HDHR_C_l</vt:lpstr>
      <vt:lpstr>croprotn_HDHR_E_h</vt:lpstr>
      <vt:lpstr>croprotn_HDHR_E_l</vt:lpstr>
      <vt:lpstr>croprotn_HDHR_N_h</vt:lpstr>
      <vt:lpstr>croprotn_HDHR_N_l</vt:lpstr>
      <vt:lpstr>croprotn_LDHR_C_h</vt:lpstr>
      <vt:lpstr>croprotn_LDHR_C_l</vt:lpstr>
      <vt:lpstr>croprotn_LDHR_E_h</vt:lpstr>
      <vt:lpstr>croprotn_LDHR_E_l</vt:lpstr>
      <vt:lpstr>croprotn_LDHR_N_h</vt:lpstr>
      <vt:lpstr>croprotn_LDHR_N_l</vt:lpstr>
      <vt:lpstr>croprotn_LDLR_C_h</vt:lpstr>
      <vt:lpstr>croprotn_LDLR_C_l</vt:lpstr>
      <vt:lpstr>croprotn_LDLR_E_h</vt:lpstr>
      <vt:lpstr>croprotn_LDLR_E_l</vt:lpstr>
      <vt:lpstr>croprotn_LDLR_N_h</vt:lpstr>
      <vt:lpstr>croprotn_LDLR_N_l</vt:lpstr>
      <vt:lpstr>delayedsowing</vt:lpstr>
      <vt:lpstr>delsowcroplookup</vt:lpstr>
      <vt:lpstr>drilldate_CROPS</vt:lpstr>
      <vt:lpstr>drilldate_HDHR</vt:lpstr>
      <vt:lpstr>drilldate_HDHR_C</vt:lpstr>
      <vt:lpstr>drilldate_HDHR_E</vt:lpstr>
      <vt:lpstr>drilldate_HDHR_N</vt:lpstr>
      <vt:lpstr>drilldate_LDHR</vt:lpstr>
      <vt:lpstr>drilldate_LDHR_C</vt:lpstr>
      <vt:lpstr>drilldate_LDHR_E</vt:lpstr>
      <vt:lpstr>drilldate_LDHR_N</vt:lpstr>
      <vt:lpstr>drilldate_LDLR</vt:lpstr>
      <vt:lpstr>drilldate_LDLR_C</vt:lpstr>
      <vt:lpstr>drilldate_LDLR_E</vt:lpstr>
      <vt:lpstr>drilldate_LDLR_N</vt:lpstr>
      <vt:lpstr>fertrate_CROPS</vt:lpstr>
      <vt:lpstr>fertrate_HDHR_C</vt:lpstr>
      <vt:lpstr>fertrate_HDHR_E</vt:lpstr>
      <vt:lpstr>fertrate_HDHR_N</vt:lpstr>
      <vt:lpstr>fertrate_LDHR_C</vt:lpstr>
      <vt:lpstr>fertrate_LDHR_E</vt:lpstr>
      <vt:lpstr>fertrate_LDHR_N</vt:lpstr>
      <vt:lpstr>fertrate_LDLR_C</vt:lpstr>
      <vt:lpstr>fertrate_LDLR_E</vt:lpstr>
      <vt:lpstr>fertrate_LDLR_N</vt:lpstr>
      <vt:lpstr>fertsprays_CROPS</vt:lpstr>
      <vt:lpstr>fertsprays_HDHR_C</vt:lpstr>
      <vt:lpstr>fertsprays_HDHR_E</vt:lpstr>
      <vt:lpstr>fertsprays_HDHR_N</vt:lpstr>
      <vt:lpstr>fertsprays_LDHR_C</vt:lpstr>
      <vt:lpstr>fertsprays_LDHR_E</vt:lpstr>
      <vt:lpstr>fertsprays_LDHR_N</vt:lpstr>
      <vt:lpstr>fertsprays_LDLR_C</vt:lpstr>
      <vt:lpstr>fertsprays_LDLR_E</vt:lpstr>
      <vt:lpstr>fertsprays_LDLR_N</vt:lpstr>
      <vt:lpstr>fuelprice</vt:lpstr>
      <vt:lpstr>glyph_CROPS</vt:lpstr>
      <vt:lpstr>glyph_HDHR_C</vt:lpstr>
      <vt:lpstr>glyph_HDHR_E</vt:lpstr>
      <vt:lpstr>glyph_HDHR_N</vt:lpstr>
      <vt:lpstr>glyph_LDHR_C</vt:lpstr>
      <vt:lpstr>glyph_LDHR_E</vt:lpstr>
      <vt:lpstr>glyph_LDHR_N</vt:lpstr>
      <vt:lpstr>glyph_LDLR_C</vt:lpstr>
      <vt:lpstr>glyph_LDLR_E</vt:lpstr>
      <vt:lpstr>glyph_LDLR_N</vt:lpstr>
      <vt:lpstr>glyprice</vt:lpstr>
      <vt:lpstr>HDHRheavy</vt:lpstr>
      <vt:lpstr>HDHRlight</vt:lpstr>
      <vt:lpstr>herbprice</vt:lpstr>
      <vt:lpstr>inputs</vt:lpstr>
      <vt:lpstr>Kfertprice</vt:lpstr>
      <vt:lpstr>Kinput</vt:lpstr>
      <vt:lpstr>labour</vt:lpstr>
      <vt:lpstr>Lateness</vt:lpstr>
      <vt:lpstr>LDHRheavy</vt:lpstr>
      <vt:lpstr>LDHRlight</vt:lpstr>
      <vt:lpstr>LDLRheavy</vt:lpstr>
      <vt:lpstr>LDLRlight</vt:lpstr>
      <vt:lpstr>months</vt:lpstr>
      <vt:lpstr>Nfertprice</vt:lpstr>
      <vt:lpstr>nspray_CROPS</vt:lpstr>
      <vt:lpstr>nspray_HDHR_C</vt:lpstr>
      <vt:lpstr>nspray_HDHR_E</vt:lpstr>
      <vt:lpstr>nspray_HDHR_N</vt:lpstr>
      <vt:lpstr>nspray_LDHR_C</vt:lpstr>
      <vt:lpstr>nspray_LDHR_E</vt:lpstr>
      <vt:lpstr>nspray_LDHR_N</vt:lpstr>
      <vt:lpstr>nspray_LDLR_C</vt:lpstr>
      <vt:lpstr>nspray_LDLR_E</vt:lpstr>
      <vt:lpstr>nspray_LDLR_N</vt:lpstr>
      <vt:lpstr>outputs</vt:lpstr>
      <vt:lpstr>Pfertprice</vt:lpstr>
      <vt:lpstr>Pinput</vt:lpstr>
      <vt:lpstr>rotation_heavy</vt:lpstr>
      <vt:lpstr>rotation_light</vt:lpstr>
      <vt:lpstr>seedprice</vt:lpstr>
      <vt:lpstr>seedrate_CROPS</vt:lpstr>
      <vt:lpstr>seedrate_HDHR_C</vt:lpstr>
      <vt:lpstr>seedrate_HDHR_E</vt:lpstr>
      <vt:lpstr>seedrate_HDHR_N</vt:lpstr>
      <vt:lpstr>seedrate_LDHR_C</vt:lpstr>
      <vt:lpstr>seedrate_LDHR_E</vt:lpstr>
      <vt:lpstr>seedrate_LDHR_N</vt:lpstr>
      <vt:lpstr>seedrate_LDLR_C</vt:lpstr>
      <vt:lpstr>seedrate_LDLR_E</vt:lpstr>
      <vt:lpstr>seedrate_LDLR_N</vt:lpstr>
      <vt:lpstr>tillage_CROPS</vt:lpstr>
      <vt:lpstr>tillage_HDHR_C</vt:lpstr>
      <vt:lpstr>tillage_HDHR_E</vt:lpstr>
      <vt:lpstr>tillage_HDHR_N</vt:lpstr>
      <vt:lpstr>tillage_LDHR_C</vt:lpstr>
      <vt:lpstr>tillage_LDHR_E</vt:lpstr>
      <vt:lpstr>tillage_LDHR_N</vt:lpstr>
      <vt:lpstr>tillage_LDLR_C</vt:lpstr>
      <vt:lpstr>tillage_LDLR_E</vt:lpstr>
      <vt:lpstr>tillage_LDLR_N</vt:lpstr>
      <vt:lpstr>TillageHDHR</vt:lpstr>
      <vt:lpstr>TillageLDHR</vt:lpstr>
      <vt:lpstr>TillageLDLR</vt:lpstr>
      <vt:lpstr>yieldsetting</vt:lpstr>
      <vt:lpstr>yieldsetting1</vt:lpstr>
      <vt:lpstr>yieldsetting2</vt:lpstr>
      <vt:lpstr>yieldsource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Alexa Varah</dc:creator>
  <cp:keywords/>
  <dc:description/>
  <cp:lastModifiedBy>Alexa Varah</cp:lastModifiedBy>
  <cp:revision/>
  <cp:lastPrinted>2020-05-15T13:57:01Z</cp:lastPrinted>
  <dcterms:created xsi:type="dcterms:W3CDTF">2020-02-13T12:46:44Z</dcterms:created>
  <dcterms:modified xsi:type="dcterms:W3CDTF">2025-03-31T15:01:02Z</dcterms:modified>
  <cp:category/>
  <cp:contentStatus/>
</cp:coreProperties>
</file>