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lexavarah/Documents/Work/_Projects/Resistance_Management_public/data/"/>
    </mc:Choice>
  </mc:AlternateContent>
  <xr:revisionPtr revIDLastSave="0" documentId="13_ncr:1_{A76C0B6C-068F-DD45-9930-C75639FAADE4}" xr6:coauthVersionLast="47" xr6:coauthVersionMax="47" xr10:uidLastSave="{00000000-0000-0000-0000-000000000000}"/>
  <bookViews>
    <workbookView xWindow="0" yWindow="500" windowWidth="37980" windowHeight="19940" tabRatio="500" activeTab="1" xr2:uid="{00000000-000D-0000-FFFF-FFFF00000000}"/>
  </bookViews>
  <sheets>
    <sheet name="Model Details &amp; Assumptions" sheetId="1" r:id="rId1"/>
    <sheet name="Model Overview" sheetId="15" r:id="rId2"/>
    <sheet name="Model Input Variables" sheetId="2" r:id="rId3"/>
    <sheet name="Soil | Fuel | Labour | Subsidy" sheetId="14" r:id="rId4"/>
    <sheet name="Crop &amp; Tillage Labels" sheetId="13" r:id="rId5"/>
    <sheet name="Crop Data" sheetId="4" r:id="rId6"/>
    <sheet name="Default Data" sheetId="11" r:id="rId7"/>
    <sheet name="Machinery" sheetId="5" r:id="rId8"/>
    <sheet name="Operations &amp; Work Rates" sheetId="6" r:id="rId9"/>
    <sheet name="Yield Penalty | Black-grass" sheetId="7" r:id="rId10"/>
    <sheet name="Yield Penalty | Sowing Date" sheetId="8" r:id="rId11"/>
    <sheet name="Yield Penalty | Crop Rotations" sheetId="16" r:id="rId12"/>
    <sheet name="Data Sources &amp; References" sheetId="10" r:id="rId13"/>
  </sheets>
  <externalReferences>
    <externalReference r:id="rId14"/>
  </externalReferences>
  <definedNames>
    <definedName name="cropdata">'Crop Data'!$D$10:$S$28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S24" i="4" l="1"/>
  <c r="R24" i="4"/>
  <c r="Q24" i="4"/>
  <c r="O24" i="4"/>
  <c r="N24" i="4"/>
  <c r="M24" i="4"/>
  <c r="L24" i="4"/>
  <c r="K24" i="4"/>
  <c r="J24" i="4"/>
  <c r="I24" i="4"/>
  <c r="I26" i="4" s="1"/>
  <c r="H24" i="4"/>
  <c r="H26" i="4" s="1"/>
  <c r="G24" i="4"/>
  <c r="G26" i="4" s="1"/>
  <c r="F24" i="4"/>
  <c r="F26" i="4" s="1"/>
  <c r="E40" i="6" l="1"/>
  <c r="H27" i="11" l="1"/>
  <c r="I27" i="11"/>
  <c r="G27" i="11"/>
  <c r="F27" i="11"/>
  <c r="D27" i="11"/>
  <c r="E27" i="11"/>
  <c r="D121" i="6" l="1"/>
  <c r="I111" i="6"/>
  <c r="D99" i="6"/>
  <c r="J97" i="6"/>
  <c r="E97" i="6"/>
  <c r="I96" i="6"/>
  <c r="I88" i="6"/>
  <c r="I78" i="6"/>
  <c r="D78" i="6"/>
  <c r="I66" i="6"/>
  <c r="D66" i="6"/>
  <c r="I54" i="6"/>
  <c r="D54" i="6"/>
  <c r="D120" i="6"/>
  <c r="I119" i="6"/>
  <c r="I110" i="6"/>
  <c r="D110" i="6"/>
  <c r="D96" i="6"/>
  <c r="I87" i="6"/>
  <c r="D87" i="6"/>
  <c r="I77" i="6"/>
  <c r="D77" i="6"/>
  <c r="I65" i="6"/>
  <c r="D65" i="6"/>
  <c r="I53" i="6"/>
  <c r="D53" i="6"/>
  <c r="D128" i="6" l="1"/>
  <c r="D129" i="6"/>
  <c r="D130" i="6" s="1"/>
  <c r="F53" i="6"/>
  <c r="D131" i="6"/>
  <c r="D132" i="6" l="1"/>
  <c r="I52" i="6" l="1"/>
  <c r="K52" i="6" s="1"/>
  <c r="F131" i="6"/>
  <c r="F96" i="6"/>
  <c r="E46" i="6"/>
  <c r="E47" i="6" s="1"/>
  <c r="D133" i="6"/>
  <c r="F133" i="6" s="1"/>
  <c r="F121" i="6"/>
  <c r="I109" i="6"/>
  <c r="K109" i="6" s="1"/>
  <c r="D119" i="6"/>
  <c r="F119" i="6" s="1"/>
  <c r="I112" i="6"/>
  <c r="K112" i="6" s="1"/>
  <c r="K111" i="6"/>
  <c r="D112" i="6"/>
  <c r="F112" i="6" s="1"/>
  <c r="D111" i="6"/>
  <c r="F111" i="6" s="1"/>
  <c r="D109" i="6"/>
  <c r="F109" i="6" s="1"/>
  <c r="K88" i="6"/>
  <c r="I89" i="6"/>
  <c r="K89" i="6" s="1"/>
  <c r="I86" i="6"/>
  <c r="K86" i="6" s="1"/>
  <c r="E122" i="6"/>
  <c r="F122" i="6" s="1"/>
  <c r="F120" i="6"/>
  <c r="J113" i="6"/>
  <c r="K113" i="6" s="1"/>
  <c r="K110" i="6"/>
  <c r="E113" i="6"/>
  <c r="F113" i="6" s="1"/>
  <c r="F110" i="6"/>
  <c r="J90" i="6"/>
  <c r="K90" i="6" s="1"/>
  <c r="K87" i="6"/>
  <c r="J103" i="6"/>
  <c r="K103" i="6" s="1"/>
  <c r="K53" i="6"/>
  <c r="F128" i="6"/>
  <c r="F99" i="6"/>
  <c r="I102" i="6"/>
  <c r="K102" i="6" s="1"/>
  <c r="D103" i="6"/>
  <c r="F103" i="6" s="1"/>
  <c r="I101" i="6"/>
  <c r="K101" i="6" s="1"/>
  <c r="I98" i="6"/>
  <c r="K98" i="6" s="1"/>
  <c r="K97" i="6"/>
  <c r="K96" i="6"/>
  <c r="D89" i="6"/>
  <c r="F89" i="6" s="1"/>
  <c r="D88" i="6"/>
  <c r="F88" i="6" s="1"/>
  <c r="D101" i="6"/>
  <c r="F101" i="6" s="1"/>
  <c r="E102" i="6"/>
  <c r="D102" i="6" s="1"/>
  <c r="D100" i="6"/>
  <c r="F100" i="6" s="1"/>
  <c r="D98" i="6"/>
  <c r="F98" i="6" s="1"/>
  <c r="K78" i="6"/>
  <c r="F78" i="6"/>
  <c r="K66" i="6"/>
  <c r="K54" i="6"/>
  <c r="F66" i="6"/>
  <c r="I68" i="6"/>
  <c r="K68" i="6" s="1"/>
  <c r="I56" i="6"/>
  <c r="K56" i="6" s="1"/>
  <c r="D68" i="6"/>
  <c r="F68" i="6" s="1"/>
  <c r="I100" i="6"/>
  <c r="K100" i="6" s="1"/>
  <c r="D86" i="6"/>
  <c r="F86" i="6" s="1"/>
  <c r="I76" i="6"/>
  <c r="K76" i="6" s="1"/>
  <c r="D76" i="6"/>
  <c r="F76" i="6" s="1"/>
  <c r="I64" i="6"/>
  <c r="K64" i="6" s="1"/>
  <c r="D64" i="6"/>
  <c r="F64" i="6" s="1"/>
  <c r="D52" i="6"/>
  <c r="F52" i="6" s="1"/>
  <c r="K119" i="6"/>
  <c r="F87" i="6"/>
  <c r="K77" i="6"/>
  <c r="F77" i="6"/>
  <c r="K65" i="6"/>
  <c r="F65" i="6"/>
  <c r="I55" i="6"/>
  <c r="K55" i="6" s="1"/>
  <c r="J57" i="6"/>
  <c r="I57" i="6" s="1"/>
  <c r="F54" i="6"/>
  <c r="J120" i="6"/>
  <c r="I120" i="6" s="1"/>
  <c r="J99" i="6"/>
  <c r="I99" i="6" s="1"/>
  <c r="E90" i="6"/>
  <c r="D90" i="6" s="1"/>
  <c r="J79" i="6"/>
  <c r="K79" i="6" s="1"/>
  <c r="E80" i="6"/>
  <c r="F80" i="6" s="1"/>
  <c r="J69" i="6"/>
  <c r="K69" i="6" s="1"/>
  <c r="E69" i="6"/>
  <c r="F69" i="6" s="1"/>
  <c r="E57" i="6"/>
  <c r="F57" i="6" s="1"/>
  <c r="D56" i="6"/>
  <c r="F56" i="6" s="1"/>
  <c r="D79" i="6"/>
  <c r="F79" i="6" s="1"/>
  <c r="I67" i="6"/>
  <c r="K67" i="6" s="1"/>
  <c r="D67" i="6"/>
  <c r="F67" i="6" s="1"/>
  <c r="D55" i="6"/>
  <c r="F55" i="6" s="1"/>
  <c r="E44" i="6"/>
  <c r="E45" i="6" s="1"/>
  <c r="J91" i="6" l="1"/>
  <c r="I91" i="6" s="1"/>
  <c r="E104" i="6"/>
  <c r="D104" i="6" s="1"/>
  <c r="E58" i="6"/>
  <c r="D58" i="6" s="1"/>
  <c r="J70" i="6"/>
  <c r="K70" i="6" s="1"/>
  <c r="E81" i="6"/>
  <c r="F81" i="6" s="1"/>
  <c r="E71" i="6"/>
  <c r="D71" i="6" s="1"/>
  <c r="E59" i="6"/>
  <c r="F59" i="6" s="1"/>
  <c r="J58" i="6"/>
  <c r="I58" i="6" s="1"/>
  <c r="E70" i="6"/>
  <c r="D70" i="6" s="1"/>
  <c r="J71" i="6"/>
  <c r="K71" i="6" s="1"/>
  <c r="F90" i="6"/>
  <c r="D97" i="6"/>
  <c r="F97" i="6"/>
  <c r="I79" i="6"/>
  <c r="K99" i="6"/>
  <c r="I113" i="6"/>
  <c r="J114" i="6"/>
  <c r="I114" i="6" s="1"/>
  <c r="D69" i="6"/>
  <c r="J59" i="6"/>
  <c r="K59" i="6" s="1"/>
  <c r="J80" i="6"/>
  <c r="K80" i="6" s="1"/>
  <c r="F130" i="6"/>
  <c r="I97" i="6"/>
  <c r="D113" i="6"/>
  <c r="F102" i="6"/>
  <c r="K57" i="6"/>
  <c r="K120" i="6"/>
  <c r="I90" i="6"/>
  <c r="F132" i="6"/>
  <c r="E114" i="6"/>
  <c r="D57" i="6"/>
  <c r="D122" i="6"/>
  <c r="E91" i="6"/>
  <c r="E123" i="6"/>
  <c r="I69" i="6"/>
  <c r="D80" i="6"/>
  <c r="I103" i="6"/>
  <c r="K91" i="6" l="1"/>
  <c r="F104" i="6"/>
  <c r="D81" i="6"/>
  <c r="F58" i="6"/>
  <c r="F70" i="6"/>
  <c r="I70" i="6"/>
  <c r="F71" i="6"/>
  <c r="D59" i="6"/>
  <c r="K58" i="6"/>
  <c r="I71" i="6"/>
  <c r="I80" i="6"/>
  <c r="K114" i="6"/>
  <c r="I59" i="6"/>
  <c r="F129" i="6"/>
  <c r="F114" i="6"/>
  <c r="D114" i="6"/>
  <c r="F91" i="6"/>
  <c r="D91" i="6"/>
  <c r="F123" i="6"/>
  <c r="D1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00000000-0006-0000-0100-000001000000}">
      <text>
        <r>
          <rPr>
            <sz val="10"/>
            <color indexed="81"/>
            <rFont val="Calibri"/>
            <family val="2"/>
          </rPr>
          <t>This is the label that must be used in the model input .csv file</t>
        </r>
      </text>
    </comment>
    <comment ref="E4" authorId="0" shapeId="0" xr:uid="{00000000-0006-0000-0100-000002000000}">
      <text>
        <r>
          <rPr>
            <sz val="10"/>
            <color indexed="81"/>
            <rFont val="Calibri"/>
            <family val="2"/>
          </rPr>
          <t>This is the label given in the model output</t>
        </r>
      </text>
    </comment>
    <comment ref="G6" authorId="0" shapeId="0" xr:uid="{739C04D9-2F46-4780-8E4D-67865A1851B2}">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G11" authorId="0" shapeId="0" xr:uid="{00000000-0006-0000-0100-000003000000}">
      <text>
        <r>
          <rPr>
            <sz val="10"/>
            <color indexed="81"/>
            <rFont val="Calibri"/>
            <family val="2"/>
          </rPr>
          <t>If no tillage was done, choose this option. There are no fuel/operations costs associated with this option.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tc={10DAD4B4-631B-4E67-9359-AA0E464EBE65}</author>
    <author>tc={52E4B189-1CAA-465B-B4ED-5F2080D93FA8}</author>
    <author>tc={AA575EA5-2B9A-4F7C-B551-5B4963C54D8C}</author>
    <author>tc={A8A63996-B22F-4B06-B3EB-7EAB321CC5FB}</author>
    <author>tc={1B262918-CE06-4CD9-A218-CD567E63CEE1}</author>
    <author>tc={8CA089B2-CAFA-4EC4-BC6A-0B88542823FE}</author>
    <author>tc={E1394BF5-1B7F-445B-B782-832CE7BD8CD7}</author>
    <author>tc={DE20B13D-7D3D-4F2E-A9A9-8B93940EDB89}</author>
    <author>tc={C2078CAF-7DFA-42E5-A14C-53344A9A2EC3}</author>
    <author>tc={FE393BE2-A143-49D9-8BFE-9121AA7647E0}</author>
    <author>tc={603A39BC-8D39-4A27-BEBC-9D10452980C4}</author>
    <author>tc={8CD145BB-08A3-4CF0-ADC3-C5184FFED095}</author>
    <author>tc={B1D6EC32-A359-4CCC-A27D-072047A5E2FD}</author>
    <author>tc={0B0EDAD3-0358-41BB-BDD2-45298B4068D4}</author>
    <author>tc={062BBF75-AA98-4D62-BCF8-63FF2D79B8C5}</author>
    <author>tc={EFEA9CC6-BA83-49CE-867A-8D57440ED26A}</author>
    <author>tc={4B274C70-E4F6-4AF2-B102-A95E9096E198}</author>
    <author>tc={63573F12-47FE-4E10-A98A-BB206E0CABFA}</author>
    <author>tc={4807D4AB-E204-42C5-9D4C-0BA3D476D4F5}</author>
    <author>tc={5B812DA4-026F-4EC6-BFE0-1A3833847FC1}</author>
    <author>tc={13CAB7B2-959E-40C2-9138-B2D94ED481D7}</author>
    <author>tc={34D3CBA1-04C5-45C2-BF30-658946C06486}</author>
    <author>tc={1EDE7212-2CEA-491A-A627-E3C2459789FF}</author>
    <author>tc={11387961-DE99-4A4E-93FE-6C8FA1027E82}</author>
    <author>tc={0F34F2C8-F02C-4364-86C5-20E0FC3FDAF6}</author>
    <author>tc={5D29922F-53DB-4B92-8D74-167811FAC78D}</author>
    <author>tc={9A793EA3-0792-41BF-AA3B-1B3A9AED6EC3}</author>
    <author>tc={D3900AFB-90E2-47F8-8ACC-8FBF543A1C42}</author>
    <author>tc={27D56CD8-23DE-4E21-8292-95B0CB5D4199}</author>
    <author>tc={890A06BD-8ED7-40A5-98DA-A23E9F7B61F1}</author>
    <author>tc={2EB1A342-3E83-41EC-9E87-7EF9DD94EEA6}</author>
    <author>tc={A9FA3C24-9C64-46A7-BD70-67E2720A9554}</author>
    <author>tc={922E1349-5E3E-40D1-BD5F-F4C2AB2F90F1}</author>
    <author>tc={F642071C-0756-4E1A-BE86-BDF2BDF7799F}</author>
    <author>tc={8788EF9A-991A-4ACA-85FF-DE0DE544398D}</author>
  </authors>
  <commentList>
    <comment ref="C6" authorId="0" shapeId="0" xr:uid="{00000000-0006-0000-0300-000001000000}">
      <text>
        <r>
          <rPr>
            <sz val="10"/>
            <color indexed="81"/>
            <rFont val="Calibri"/>
            <family val="2"/>
          </rPr>
          <t>To switch this off (</t>
        </r>
        <r>
          <rPr>
            <i/>
            <sz val="10"/>
            <color indexed="81"/>
            <rFont val="Calibri"/>
            <family val="2"/>
          </rPr>
          <t>i.e.</t>
        </r>
        <r>
          <rPr>
            <sz val="10"/>
            <color indexed="81"/>
            <rFont val="Calibri"/>
            <family val="2"/>
          </rPr>
          <t xml:space="preserve">if there is no secondary yield, for example when straw is left on the field) set </t>
        </r>
        <r>
          <rPr>
            <i/>
            <sz val="10"/>
            <color indexed="81"/>
            <rFont val="Calibri"/>
            <family val="2"/>
          </rPr>
          <t>seccost</t>
        </r>
        <r>
          <rPr>
            <sz val="10"/>
            <color indexed="81"/>
            <rFont val="Calibri"/>
            <family val="2"/>
          </rPr>
          <t xml:space="preserve"> to zero in line 259 of the R code (</t>
        </r>
        <r>
          <rPr>
            <sz val="10"/>
            <color indexed="81"/>
            <rFont val="Courier New"/>
            <family val="3"/>
          </rPr>
          <t>seccost &lt;- 0</t>
        </r>
        <r>
          <rPr>
            <sz val="10"/>
            <color indexed="81"/>
            <rFont val="Calibri"/>
            <family val="2"/>
          </rPr>
          <t>)</t>
        </r>
      </text>
    </comment>
    <comment ref="F9" authorId="1" shapeId="0" xr:uid="{10DAD4B4-631B-4E67-9359-AA0E464EBE65}">
      <text>
        <t>[Threaded comment]
Your version of Excel allows you to read this threaded comment; however, any edits to it will get removed if the file is opened in a newer version of Excel. Learn more: https://go.microsoft.com/fwlink/?linkid=870924
Comment:
    Assume winter wheat is for feed.
Fertiliser requirements for winter-sown triticale are the same as for wheat.</t>
      </text>
    </comment>
    <comment ref="H9" authorId="2" shapeId="0" xr:uid="{52E4B189-1CAA-465B-B4ED-5F2080D93FA8}">
      <text>
        <t>[Threaded comment]
Your version of Excel allows you to read this threaded comment; however, any edits to it will get removed if the file is opened in a newer version of Excel. Learn more: https://go.microsoft.com/fwlink/?linkid=870924
Comment:
    Assume winter barley is for feed</t>
      </text>
    </comment>
    <comment ref="I9" authorId="3" shapeId="0" xr:uid="{AA575EA5-2B9A-4F7C-B551-5B4963C54D8C}">
      <text>
        <t>[Threaded comment]
Your version of Excel allows you to read this threaded comment; however, any edits to it will get removed if the file is opened in a newer version of Excel. Learn more: https://go.microsoft.com/fwlink/?linkid=870924
Comment:
    Assume spring barley is for malting</t>
      </text>
    </comment>
    <comment ref="L9" authorId="4" shapeId="0" xr:uid="{A8A63996-B22F-4B06-B3EB-7EAB321CC5FB}">
      <text>
        <t>[Threaded comment]
Your version of Excel allows you to read this threaded comment; however, any edits to it will get removed if the file is opened in a newer version of Excel. Learn more: https://go.microsoft.com/fwlink/?linkid=870924
Comment:
    Assume main crop ware potatoes.</t>
      </text>
    </comment>
    <comment ref="S9" authorId="5" shapeId="0" xr:uid="{1B262918-CE06-4CD9-A218-CD567E63CEE1}">
      <text>
        <t>[Threaded comment]
Your version of Excel allows you to read this threaded comment; however, any edits to it will get removed if the file is opened in a newer version of Excel. Learn more: https://go.microsoft.com/fwlink/?linkid=870924
Comment:
    assume blue peas</t>
      </text>
    </comment>
    <comment ref="G10" authorId="6" shapeId="0" xr:uid="{8CA089B2-CAFA-4EC4-BC6A-0B88542823FE}">
      <text>
        <t>[Threaded comment]
Your version of Excel allows you to read this threaded comment; however, any edits to it will get removed if the file is opened in a newer version of Excel. Learn more: https://go.microsoft.com/fwlink/?linkid=870924
Comment:
    110 kg[N]/ha for spring triticale/ rye/ oats</t>
      </text>
    </comment>
    <comment ref="L10" authorId="7" shapeId="0" xr:uid="{E1394BF5-1B7F-445B-B782-832CE7BD8CD7}">
      <text>
        <t>[Threaded comment]
Your version of Excel allows you to read this threaded comment; however, any edits to it will get removed if the file is opened in a newer version of Excel. Learn more: https://go.microsoft.com/fwlink/?linkid=870924
Comment:
    Assumes the variety determinincy group is 1 or 2, growing season &gt; 60 days. Rough average across these categories.</t>
      </text>
    </comment>
    <comment ref="Q10" authorId="8" shapeId="0" xr:uid="{DE20B13D-7D3D-4F2E-A9A9-8B93940EDB89}">
      <text>
        <t>[Threaded comment]
Your version of Excel allows you to read this threaded comment; however, any edits to it will get removed if the file is opened in a newer version of Excel. Learn more: https://go.microsoft.com/fwlink/?linkid=870924
Comment:
    Rate not given in RB209 so assume the same as for spring linseed.</t>
      </text>
    </comment>
    <comment ref="F11" authorId="9" shapeId="0" xr:uid="{C2078CAF-7DFA-42E5-A14C-53344A9A2EC3}">
      <text>
        <t>[Threaded comment]
Your version of Excel allows you to read this threaded comment; however, any edits to it will get removed if the file is opened in a newer version of Excel. Learn more: https://go.microsoft.com/fwlink/?linkid=870924
Comment:
    RB209 (2020) = 80 kg[P]/ha
ABC 2019 = 70 kg[P]/ha
Nix 2019 = 67 kg[P]/ha for feed wheat
RB209 value: I assumed Soil P index 1 &amp; assumed straw ploughed in / left on field</t>
      </text>
    </comment>
    <comment ref="G11" authorId="10" shapeId="0" xr:uid="{FE393BE2-A143-49D9-8BFE-9121AA7647E0}">
      <text>
        <t>[Threaded comment]
Your version of Excel allows you to read this threaded comment; however, any edits to it will get removed if the file is opened in a newer version of Excel. Learn more: https://go.microsoft.com/fwlink/?linkid=870924
Comment:
    same P requirement for spring triticale/ rye/ oats
RB209 = 80 kg[P]/ha
Nix 2019 = 48 kg[P]/ha 
ABC 2019 = 45 kg[P]/ha</t>
      </text>
    </comment>
    <comment ref="H11" authorId="11" shapeId="0" xr:uid="{603A39BC-8D39-4A27-BEBC-9D10452980C4}">
      <text>
        <t>[Threaded comment]
Your version of Excel allows you to read this threaded comment; however, any edits to it will get removed if the file is opened in a newer version of Excel. Learn more: https://go.microsoft.com/fwlink/?linkid=870924
Comment:
    RB209 = 80 kg[P]/ha
Nix 2019 = 58 kg[P]/ha for winter feed barley</t>
      </text>
    </comment>
    <comment ref="I11" authorId="12" shapeId="0" xr:uid="{8CD145BB-08A3-4CF0-ADC3-C5184FFED095}">
      <text>
        <t>[Threaded comment]
Your version of Excel allows you to read this threaded comment; however, any edits to it will get removed if the file is opened in a newer version of Excel. Learn more: https://go.microsoft.com/fwlink/?linkid=870924
Comment:
    RB209 = 75 kg[P]/ha
Nix 2019 = 44 kg[P]/ha for spring malting barley</t>
      </text>
    </comment>
    <comment ref="J11" authorId="13" shapeId="0" xr:uid="{B1D6EC32-A359-4CCC-A27D-072047A5E2FD}">
      <text>
        <t>[Threaded comment]
Your version of Excel allows you to read this threaded comment; however, any edits to it will get removed if the file is opened in a newer version of Excel. Learn more: https://go.microsoft.com/fwlink/?linkid=870924
Comment:
    RB209 = 70 kg[P]/ha
Nix 2019 = 46 kg[P]/ha</t>
      </text>
    </comment>
    <comment ref="K11" authorId="14" shapeId="0" xr:uid="{0B0EDAD3-0358-41BB-BDD2-45298B4068D4}">
      <text>
        <t>[Threaded comment]
Your version of Excel allows you to read this threaded comment; however, any edits to it will get removed if the file is opened in a newer version of Excel. Learn more: https://go.microsoft.com/fwlink/?linkid=870924
Comment:
    RB209 = 70 kg[P]/ha
Nix 2019 = 43 kg[P]/ha</t>
      </text>
    </comment>
    <comment ref="L11" authorId="15" shapeId="0" xr:uid="{062BBF75-AA98-4D62-BCF8-63FF2D79B8C5}">
      <text>
        <t>[Threaded comment]
Your version of Excel allows you to read this threaded comment; however, any edits to it will get removed if the file is opened in a newer version of Excel. Learn more: https://go.microsoft.com/fwlink/?linkid=870924
Comment:
    RB209 = 210 kg[P]/ha at soil P index of 1
Nix 2019 = 45 kg[P]/ha</t>
      </text>
    </comment>
    <comment ref="M11" authorId="16" shapeId="0" xr:uid="{EFEA9CC6-BA83-49CE-867A-8D57440ED26A}">
      <text>
        <t>[Threaded comment]
Your version of Excel allows you to read this threaded comment; however, any edits to it will get removed if the file is opened in a newer version of Excel. Learn more: https://go.microsoft.com/fwlink/?linkid=870924
Comment:
    RB209 (2020) = 80 kg[P]/ha
ABC 2019 = 55 kg[P]/ha
Nix 2019 = 49 kg[P]/ha
RB209 value: I assumed Soil P index 1 &amp; assumed straw ploughed in / left on field</t>
      </text>
    </comment>
    <comment ref="N11" authorId="17" shapeId="0" xr:uid="{4B274C70-E4F6-4AF2-B102-A95E9096E198}">
      <text>
        <t>[Threaded comment]
Your version of Excel allows you to read this threaded comment; however, any edits to it will get removed if the file is opened in a newer version of Excel. Learn more: https://go.microsoft.com/fwlink/?linkid=870924
Comment:
    RB209 = 60 kg[P]/ha
Nix 2019 = 32 kg[P]/ha</t>
      </text>
    </comment>
    <comment ref="O11" authorId="18" shapeId="0" xr:uid="{63573F12-47FE-4E10-A98A-BB206E0CABFA}">
      <text>
        <t>[Threaded comment]
Your version of Excel allows you to read this threaded comment; however, any edits to it will get removed if the file is opened in a newer version of Excel. Learn more: https://go.microsoft.com/fwlink/?linkid=870924
Comment:
    RB209 = 80 kg[P]/ha
Nix 2019 = 65 kg[P]/ha</t>
      </text>
    </comment>
    <comment ref="Q11" authorId="19" shapeId="0" xr:uid="{4807D4AB-E204-42C5-9D4C-0BA3D476D4F5}">
      <text>
        <t>[Threaded comment]
Your version of Excel allows you to read this threaded comment; however, any edits to it will get removed if the file is opened in a newer version of Excel. Learn more: https://go.microsoft.com/fwlink/?linkid=870924
Comment:
    RB209 = 80 kg[P]/ha
Nix 2019 = 32 kg[P]/ha</t>
      </text>
    </comment>
    <comment ref="R11" authorId="20" shapeId="0" xr:uid="{5B812DA4-026F-4EC6-BFE0-1A3833847FC1}">
      <text>
        <t>[Threaded comment]
Your version of Excel allows you to read this threaded comment; however, any edits to it will get removed if the file is opened in a newer version of Excel. Learn more: https://go.microsoft.com/fwlink/?linkid=870924
Comment:
    RB209 = 60 kg[P]/ha
Nix 2019 = 30 kg[P]/ha</t>
      </text>
    </comment>
    <comment ref="S11" authorId="21" shapeId="0" xr:uid="{13CAB7B2-959E-40C2-9138-B2D94ED481D7}">
      <text>
        <t>[Threaded comment]
Your version of Excel allows you to read this threaded comment; however, any edits to it will get removed if the file is opened in a newer version of Excel. Learn more: https://go.microsoft.com/fwlink/?linkid=870924
Comment:
    RB209 = 70 kg[P]/ha
Nix 2019 = 35 kg[P]/ha</t>
      </text>
    </comment>
    <comment ref="F12" authorId="22" shapeId="0" xr:uid="{34D3CBA1-04C5-45C2-BF30-658946C06486}">
      <text>
        <t>[Threaded comment]
Your version of Excel allows you to read this threaded comment; however, any edits to it will get removed if the file is opened in a newer version of Excel. Learn more: https://go.microsoft.com/fwlink/?linkid=870924
Comment:
    RB209 (2020) = 75 kg[K]/ha
ABC 2019 = 50 kg[K]/ha
Nix 2019 = 48 kg[K]/ha
RB209 value: I assumed Soil K index 1 &amp; assumed straw ploughed in / left on field</t>
      </text>
    </comment>
    <comment ref="G12" authorId="23" shapeId="0" xr:uid="{1EDE7212-2CEA-491A-A627-E3C2459789FF}">
      <text>
        <t>[Threaded comment]
Your version of Excel allows you to read this threaded comment; however, any edits to it will get removed if the file is opened in a newer version of Excel. Learn more: https://go.microsoft.com/fwlink/?linkid=870924
Comment:
    same K requirement for spring triticale/ rye/ oats
RB209 = 65 kg[K]/ha
Nix 2019 = 34 kg[K]/ha
ABC = 30 kg[K]/ha</t>
      </text>
    </comment>
    <comment ref="H12" authorId="24" shapeId="0" xr:uid="{11387961-DE99-4A4E-93FE-6C8FA1027E82}">
      <text>
        <t>[Threaded comment]
Your version of Excel allows you to read this threaded comment; however, any edits to it will get removed if the file is opened in a newer version of Excel. Learn more: https://go.microsoft.com/fwlink/?linkid=870924
Comment:
    RB209 = 65 kg[K]/ha
Nix 2019 = 41 kg[K]/ha for winter feed barley</t>
      </text>
    </comment>
    <comment ref="I12" authorId="25" shapeId="0" xr:uid="{0F34F2C8-F02C-4364-86C5-20E0FC3FDAF6}">
      <text>
        <t>[Threaded comment]
Your version of Excel allows you to read this threaded comment; however, any edits to it will get removed if the file is opened in a newer version of Excel. Learn more: https://go.microsoft.com/fwlink/?linkid=870924
Comment:
    RB209 = 60 kg[K]/ha
Nix 2019 = 32 kg[K]/ha for spring malting barely</t>
      </text>
    </comment>
    <comment ref="J12" authorId="26" shapeId="0" xr:uid="{5D29922F-53DB-4B92-8D74-167811FAC78D}">
      <text>
        <t>[Threaded comment]
Your version of Excel allows you to read this threaded comment; however, any edits to it will get removed if the file is opened in a newer version of Excel. Learn more: https://go.microsoft.com/fwlink/?linkid=870924
Comment:
    RB209 = 70 kg[K]/ha
Nix 2019 = 50 kg[K]/ha</t>
      </text>
    </comment>
    <comment ref="K12" authorId="27" shapeId="0" xr:uid="{9A793EA3-0792-41BF-AA3B-1B3A9AED6EC3}">
      <text>
        <t>[Threaded comment]
Your version of Excel allows you to read this threaded comment; however, any edits to it will get removed if the file is opened in a newer version of Excel. Learn more: https://go.microsoft.com/fwlink/?linkid=870924
Comment:
    RB209 = 70 kg[K]/ha
Nix 2019 = 47 kg[K]/ha</t>
      </text>
    </comment>
    <comment ref="L12" authorId="28" shapeId="0" xr:uid="{D3900AFB-90E2-47F8-8ACC-8FBF543A1C42}">
      <text>
        <t>[Threaded comment]
Your version of Excel allows you to read this threaded comment; however, any edits to it will get removed if the file is opened in a newer version of Excel. Learn more: https://go.microsoft.com/fwlink/?linkid=870924
Comment:
    RB209 = 330 kg[K]/ha at soil P index of 1
Nix 2019 = 261 kg[K]/ha</t>
      </text>
    </comment>
    <comment ref="M12" authorId="29" shapeId="0" xr:uid="{27D56CD8-23DE-4E21-8292-95B0CB5D4199}">
      <text>
        <t>[Threaded comment]
Your version of Excel allows you to read this threaded comment; however, any edits to it will get removed if the file is opened in a newer version of Excel. Learn more: https://go.microsoft.com/fwlink/?linkid=870924
Comment:
    RB209 (2020) = 70 kg[K]/ha
ABC 2019 = 45 kg[K]/ha
Nix 2019 = 39 kg[K]/ha
RB209 value: I assumed Soil K index 1 &amp; assumed straw ploughed in / left on field</t>
      </text>
    </comment>
    <comment ref="N12" authorId="30" shapeId="0" xr:uid="{890A06BD-8ED7-40A5-98DA-A23E9F7B61F1}">
      <text>
        <t>[Threaded comment]
Your version of Excel allows you to read this threaded comment; however, any edits to it will get removed if the file is opened in a newer version of Excel. Learn more: https://go.microsoft.com/fwlink/?linkid=870924
Comment:
    RB209 = 50 kg[K]/ha
Nix 2019 = 25 kg[K]/ha</t>
      </text>
    </comment>
    <comment ref="O12" authorId="31" shapeId="0" xr:uid="{2EB1A342-3E83-41EC-9E87-7EF9DD94EEA6}">
      <text>
        <t>[Threaded comment]
Your version of Excel allows you to read this threaded comment; however, any edits to it will get removed if the file is opened in a newer version of Excel. Learn more: https://go.microsoft.com/fwlink/?linkid=870924
Comment:
    RB209 = 130 kg[K]/ha
Nix 2019 = 131 kg[K]/ha</t>
      </text>
    </comment>
    <comment ref="Q12" authorId="32" shapeId="0" xr:uid="{A9FA3C24-9C64-46A7-BD70-67E2720A9554}">
      <text>
        <t>[Threaded comment]
Your version of Excel allows you to read this threaded comment; however, any edits to it will get removed if the file is opened in a newer version of Excel. Learn more: https://go.microsoft.com/fwlink/?linkid=870924
Comment:
    RB209 = 70 kg[K]/ha
Nix 2019 = 25 kg[K]/ha</t>
      </text>
    </comment>
    <comment ref="R12" authorId="33" shapeId="0" xr:uid="{922E1349-5E3E-40D1-BD5F-F4C2AB2F90F1}">
      <text>
        <t>[Threaded comment]
Your version of Excel allows you to read this threaded comment; however, any edits to it will get removed if the file is opened in a newer version of Excel. Learn more: https://go.microsoft.com/fwlink/?linkid=870924
Comment:
    RB209 = 50 kg[K]/ha
Nix 2019 = 10 kg[K]/ha</t>
      </text>
    </comment>
    <comment ref="S12" authorId="34" shapeId="0" xr:uid="{F642071C-0756-4E1A-BE86-BDF2BDF7799F}">
      <text>
        <t>[Threaded comment]
Your version of Excel allows you to read this threaded comment; however, any edits to it will get removed if the file is opened in a newer version of Excel. Learn more: https://go.microsoft.com/fwlink/?linkid=870924
Comment:
    RB209 = 70 kg[K]/ha
Nix 2019 = 40 kg[K]/ha</t>
      </text>
    </comment>
    <comment ref="D13" authorId="35" shapeId="0" xr:uid="{8788EF9A-991A-4ACA-85FF-DE0DE544398D}">
      <text>
        <t>[Threaded comment]
Your version of Excel allows you to read this threaded comment; however, any edits to it will get removed if the file is opened in a newer version of Excel. Learn more: https://go.microsoft.com/fwlink/?linkid=870924
Comment:
    Ammonium nitrate (domestic) 34.5%N</t>
      </text>
    </comment>
    <comment ref="O16" authorId="0" shapeId="0" xr:uid="{DBFAEFA7-8696-4795-9DEE-90430C080D4E}">
      <text>
        <r>
          <rPr>
            <b/>
            <sz val="10"/>
            <color indexed="81"/>
            <rFont val="Calibri"/>
            <family val="2"/>
          </rPr>
          <t>N.B.</t>
        </r>
        <r>
          <rPr>
            <sz val="10"/>
            <color indexed="81"/>
            <rFont val="Calibri"/>
            <family val="2"/>
          </rPr>
          <t xml:space="preserve"> Seed rate of sugar beet is measured in units per hectare, not kg/ha as for all the other crops.</t>
        </r>
      </text>
    </comment>
    <comment ref="O17" authorId="0" shapeId="0" xr:uid="{9F6F9575-787F-4E23-961E-2B05147FA32C}">
      <text>
        <r>
          <rPr>
            <b/>
            <sz val="10"/>
            <color indexed="81"/>
            <rFont val="Calibri"/>
            <family val="2"/>
          </rPr>
          <t>N.B.</t>
        </r>
        <r>
          <rPr>
            <sz val="10"/>
            <color indexed="81"/>
            <rFont val="Calibri"/>
            <family val="2"/>
          </rPr>
          <t xml:space="preserve"> Price given in £ per hectare, not £/kg as for all the other crops.</t>
        </r>
      </text>
    </comment>
    <comment ref="D18" authorId="0" shapeId="0" xr:uid="{00000000-0006-0000-0300-000003000000}">
      <text>
        <r>
          <rPr>
            <sz val="10"/>
            <color indexed="81"/>
            <rFont val="Calibri"/>
            <family val="2"/>
          </rPr>
          <t xml:space="preserve">'BG herb' refers to the </t>
        </r>
        <r>
          <rPr>
            <b/>
            <sz val="10"/>
            <color indexed="81"/>
            <rFont val="Calibri"/>
            <family val="2"/>
          </rPr>
          <t>DOSE</t>
        </r>
        <r>
          <rPr>
            <sz val="10"/>
            <color indexed="81"/>
            <rFont val="Calibri"/>
            <family val="2"/>
          </rPr>
          <t xml:space="preserve"> of selective herbicides targeting black-grass.</t>
        </r>
      </text>
    </comment>
    <comment ref="D19" authorId="0" shapeId="0" xr:uid="{00000000-0006-0000-0300-000004000000}">
      <text>
        <r>
          <rPr>
            <sz val="10"/>
            <color indexed="81"/>
            <rFont val="Calibri"/>
            <family val="2"/>
          </rPr>
          <t>'Herb Price' refers to the price farmers pay, in £/l (NOT £/ha), for selective herbicides targeting black-grass.</t>
        </r>
      </text>
    </comment>
    <comment ref="H27" authorId="0" shapeId="0" xr:uid="{AF55C863-39BE-4618-8295-C0DCAF4114A5}">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I27" authorId="0" shapeId="0" xr:uid="{8A6A5E4F-F3DB-4B2D-B049-978E17F169C4}">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F28" authorId="0" shapeId="0" xr:uid="{24401F4D-4566-41CC-A549-D9D1A4CB61C1}">
      <text>
        <r>
          <rPr>
            <sz val="10"/>
            <color indexed="81"/>
            <rFont val="Calibri"/>
            <family val="2"/>
          </rPr>
          <t xml:space="preserve">Source: https://www.gov.uk/guidance/bps-2019
Basic payment 2019: €189.70, or £157.59/ha
Greening rate* €78.69 or £65.38
</t>
        </r>
        <r>
          <rPr>
            <b/>
            <sz val="10"/>
            <color indexed="81"/>
            <rFont val="Calibri"/>
            <family val="2"/>
          </rPr>
          <t>Total</t>
        </r>
        <r>
          <rPr>
            <sz val="10"/>
            <color indexed="81"/>
            <rFont val="Calibri"/>
            <family val="2"/>
          </rPr>
          <t xml:space="preserve"> is €268.39, which is £222.97, so </t>
        </r>
        <r>
          <rPr>
            <b/>
            <sz val="10"/>
            <color indexed="81"/>
            <rFont val="Calibri"/>
            <family val="2"/>
          </rPr>
          <t xml:space="preserve">£223
</t>
        </r>
        <r>
          <rPr>
            <sz val="10"/>
            <color indexed="81"/>
            <rFont val="Calibri"/>
            <family val="2"/>
          </rPr>
          <t xml:space="preserve">
*(assume all farms eligible and conform) 
 Exchange rate 0.830753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00000000-0006-0000-0400-000001000000}">
      <text>
        <r>
          <rPr>
            <sz val="10"/>
            <color indexed="81"/>
            <rFont val="Calibri"/>
            <family val="2"/>
          </rPr>
          <t>For multiple fields, the model input data must be organised in an Excel or CSV file with column headings corresponding to the model inputs.</t>
        </r>
      </text>
    </comment>
    <comment ref="C6" authorId="0" shapeId="0" xr:uid="{00000000-0006-0000-0400-000002000000}">
      <text>
        <r>
          <rPr>
            <sz val="10"/>
            <color indexed="81"/>
            <rFont val="Calibri"/>
            <family val="2"/>
          </rPr>
          <t>For more detailed references see the 'Data Sources &amp; References' sheet</t>
        </r>
      </text>
    </comment>
    <comment ref="C18" authorId="0" shapeId="0" xr:uid="{453F91CB-1972-4959-AA51-F822229525C0}">
      <text>
        <r>
          <rPr>
            <sz val="10"/>
            <color indexed="81"/>
            <rFont val="Calibri"/>
            <family val="2"/>
          </rPr>
          <t>'bgherbdose' refers to the dose of selective herbicides targeting black-grass.</t>
        </r>
      </text>
    </comment>
    <comment ref="C28" authorId="0" shapeId="0" xr:uid="{3B188F76-5A91-44FC-A13B-4736EAC65554}">
      <text>
        <r>
          <rPr>
            <sz val="10"/>
            <color indexed="81"/>
            <rFont val="Calibri"/>
            <family val="2"/>
          </rPr>
          <t>'herbprice' refers to the price for selective herbicides targeting black-grass.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0" authorId="0" shapeId="0" xr:uid="{00000000-0006-0000-0600-000001000000}">
      <text>
        <r>
          <rPr>
            <sz val="10"/>
            <color indexed="81"/>
            <rFont val="Calibri"/>
            <family val="2"/>
          </rPr>
          <t>The size of the sprayer tank is used for estimating the work rate.</t>
        </r>
      </text>
    </comment>
    <comment ref="C44" authorId="0" shapeId="0" xr:uid="{00000000-0006-0000-0600-000002000000}">
      <text>
        <r>
          <rPr>
            <sz val="10"/>
            <color indexed="81"/>
            <rFont val="Calibri"/>
            <family val="2"/>
          </rPr>
          <t>PTO = power take-off</t>
        </r>
      </text>
    </comment>
    <comment ref="C46" authorId="0" shapeId="0" xr:uid="{00000000-0006-0000-0600-000003000000}">
      <text>
        <r>
          <rPr>
            <sz val="10"/>
            <color indexed="81"/>
            <rFont val="Calibri"/>
            <family val="2"/>
          </rPr>
          <t>PTO = power take-off</t>
        </r>
      </text>
    </comment>
    <comment ref="D128" authorId="0" shapeId="0" xr:uid="{00000000-0006-0000-0600-000004000000}">
      <text>
        <r>
          <rPr>
            <sz val="10"/>
            <color indexed="81"/>
            <rFont val="Calibri"/>
            <family val="2"/>
          </rPr>
          <t>Work rate for non-inversion tillage is assumed to be 50% of the ploughing work rate (i.e. twice as fast)</t>
        </r>
      </text>
    </comment>
    <comment ref="D129" authorId="0" shapeId="0" xr:uid="{00000000-0006-0000-0600-000005000000}">
      <text>
        <r>
          <rPr>
            <sz val="10"/>
            <color indexed="81"/>
            <rFont val="Calibri"/>
            <family val="2"/>
          </rPr>
          <t>Work rate for light cultivation is assumed to be 60% of the ploughing work rate.</t>
        </r>
      </text>
    </comment>
    <comment ref="C130" authorId="0" shapeId="0" xr:uid="{00000000-0006-0000-0600-000006000000}">
      <text>
        <r>
          <rPr>
            <sz val="10"/>
            <color indexed="81"/>
            <rFont val="Calibri"/>
            <family val="2"/>
          </rPr>
          <t>e.g. power harrow. The tines can be, for example, 28cm long. Sub-soiling is entered in ECOMOD as a separate category.</t>
        </r>
      </text>
    </comment>
    <comment ref="D130" authorId="0" shapeId="0" xr:uid="{00000000-0006-0000-0600-000007000000}">
      <text>
        <r>
          <rPr>
            <sz val="10"/>
            <color indexed="81"/>
            <rFont val="Calibri"/>
            <family val="2"/>
          </rPr>
          <t>Work rate for deep cultivation is assumed to be 40% more than light cultivation.</t>
        </r>
      </text>
    </comment>
    <comment ref="D131" authorId="0" shapeId="0" xr:uid="{00000000-0006-0000-0600-000008000000}">
      <text>
        <r>
          <rPr>
            <sz val="10"/>
            <color indexed="81"/>
            <rFont val="Calibri"/>
            <family val="2"/>
          </rPr>
          <t>Subsoiling is slower than ploughing.
Assumption is that a contractor will do 75% of what they would get done if ploughing, in the same time.</t>
        </r>
      </text>
    </comment>
    <comment ref="D132" authorId="0" shapeId="0" xr:uid="{00000000-0006-0000-0600-000009000000}">
      <text>
        <r>
          <rPr>
            <sz val="10"/>
            <color indexed="81"/>
            <rFont val="Calibri"/>
            <family val="2"/>
          </rPr>
          <t>Work rate for minimum tillage is assumed to be 30% of the ploughing work rate.</t>
        </r>
      </text>
    </comment>
    <comment ref="C133" authorId="0" shapeId="0" xr:uid="{00000000-0006-0000-0600-00000A000000}">
      <text>
        <r>
          <rPr>
            <sz val="10"/>
            <color indexed="81"/>
            <rFont val="Calibri"/>
            <family val="2"/>
          </rPr>
          <t>For direct drilling, it is assumed that the soil is not worked and so work rate is zero. The cost is thus estimated based on the drilling or sowing.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tc={AFB4F8CD-0D18-4DC2-8B86-5D950FC8C9CE}</author>
    <author>tc={DD2C7350-8326-455E-992A-251674C9AC99}</author>
    <author>tc={45FB2EF9-2203-4EE7-8A9C-B194CF000F3D}</author>
    <author>tc={191BE4B8-184A-446B-8E3B-E2242C194FE3}</author>
    <author>tc={EA0B1140-1283-4FB0-9034-32C99D27F614}</author>
    <author>tc={9FD158FF-9812-4228-93CA-F423357661EB}</author>
  </authors>
  <commentList>
    <comment ref="D13" authorId="0" shapeId="0" xr:uid="{AFB4F8CD-0D18-4DC2-8B86-5D950FC8C9CE}">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E13" authorId="1" shapeId="0" xr:uid="{DD2C7350-8326-455E-992A-251674C9AC99}">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F13" authorId="2" shapeId="0" xr:uid="{45FB2EF9-2203-4EE7-8A9C-B194CF000F3D}">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C20" authorId="3" shapeId="0" xr:uid="{191BE4B8-184A-446B-8E3B-E2242C194FE3}">
      <text>
        <t>[Threaded comment]
Your version of Excel allows you to read this threaded comment; however, any edits to it will get removed if the file is opened in a newer version of Excel. Learn more: https://go.microsoft.com/fwlink/?linkid=870924
Comment:
    assume blue peas</t>
      </text>
    </comment>
    <comment ref="D20" authorId="4" shapeId="0" xr:uid="{EA0B1140-1283-4FB0-9034-32C99D27F614}">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 ref="E20" authorId="5" shapeId="0" xr:uid="{9FD158FF-9812-4228-93CA-F423357661EB}">
      <text>
        <t>[Threaded comment]
Your version of Excel allows you to read this threaded comment; however, any edits to it will get removed if the file is opened in a newer version of Excel. Learn more: https://go.microsoft.com/fwlink/?linkid=870924
Comment:
    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tc={376B8AEC-1EA7-4BD9-8310-AA337F3DAC6B}</author>
  </authors>
  <commentList>
    <comment ref="D6" authorId="0" shapeId="0" xr:uid="{376B8AEC-1EA7-4BD9-8310-AA337F3DAC6B}">
      <text>
        <t>[Threaded comment]
Your version of Excel allows you to read this threaded comment; however, any edits to it will get removed if the file is opened in a newer version of Excel. Learn more: https://go.microsoft.com/fwlink/?linkid=870924
Comment:
    Updated this on 14/02/2020. It was prev 11% but ABC 2019 suggests 10% (compare yields p11 &amp; 12). (For info Nix 2019 says 8%, top page 6)</t>
      </text>
    </comment>
  </commentList>
</comments>
</file>

<file path=xl/sharedStrings.xml><?xml version="1.0" encoding="utf-8"?>
<sst xmlns="http://schemas.openxmlformats.org/spreadsheetml/2006/main" count="925" uniqueCount="492">
  <si>
    <t xml:space="preserve">Produced by </t>
  </si>
  <si>
    <t>Date</t>
  </si>
  <si>
    <t>Model Description</t>
  </si>
  <si>
    <t>Work rate estimates (h/ha) are functions of soil type, fertiliser rates, seed rates, crop yields and machine sizes</t>
  </si>
  <si>
    <t xml:space="preserve">Farm output (£/ha) = Crop yield (t/ha) × Crop price (£/t) </t>
  </si>
  <si>
    <t>Fertiliser cost (£/ha) = (N fertiliser rate (kg/ha) × N Fertiliser price (£/kg)) + (P fertiliser rate (kg/ha) × P fertiliser price (£/kg)) + (K fertiliser rate (kg/ha) × K fertiliser price (£/kg))</t>
  </si>
  <si>
    <t>Seed cost (£/ha) = Seed rate (kg/ha) × Seed price (£/kg)</t>
  </si>
  <si>
    <t>Variable cost (£/ha) = Fertiliser cost + Seed cost + Herbicide cost + Sundry cost</t>
  </si>
  <si>
    <t>Gross Margin (£/ha) = (Farm output - Variable cost ) + Subsidy (SFP)</t>
  </si>
  <si>
    <t>Fuel cost (£/ha) = Machine work rate (h/ha) × Fuel consumption (l/h) × Fuel price (£/l)</t>
  </si>
  <si>
    <t>Labour cost (£/ha) = Work rate (h/ha) × Hourly labour wage (£/h)</t>
  </si>
  <si>
    <t>Operation cost (£/ha) = Fuel cost + Labour cost</t>
  </si>
  <si>
    <t>Gross Profit (£/ha) = Gross Margin - Operation cost</t>
  </si>
  <si>
    <t>Rotation Gross Profit = Gross profit × Rotation probability</t>
  </si>
  <si>
    <t>Rotation probability = 1/ Length of rotation</t>
  </si>
  <si>
    <t>WWHT</t>
  </si>
  <si>
    <t>Crops/Activities</t>
  </si>
  <si>
    <t>SWHT</t>
  </si>
  <si>
    <t>WBAR</t>
  </si>
  <si>
    <t>SBAR</t>
  </si>
  <si>
    <t>WBEA</t>
  </si>
  <si>
    <t>SBEA</t>
  </si>
  <si>
    <t>WPOT</t>
  </si>
  <si>
    <t>WOSR</t>
  </si>
  <si>
    <t>SBEE</t>
  </si>
  <si>
    <t>SETA</t>
  </si>
  <si>
    <t xml:space="preserve">Winter wheat </t>
  </si>
  <si>
    <t>Spring wheat</t>
  </si>
  <si>
    <t>Winter barley</t>
  </si>
  <si>
    <t>Spring barley</t>
  </si>
  <si>
    <t>Winter beans</t>
  </si>
  <si>
    <t>Spring beans</t>
  </si>
  <si>
    <t>Ware potato</t>
  </si>
  <si>
    <t>Winter oilseed rape</t>
  </si>
  <si>
    <t>Sugar beet</t>
  </si>
  <si>
    <t>Set-aside</t>
  </si>
  <si>
    <t>Variable Labels</t>
  </si>
  <si>
    <t xml:space="preserve">Soil </t>
  </si>
  <si>
    <t>winterwheat</t>
  </si>
  <si>
    <t>springwheat</t>
  </si>
  <si>
    <t>winterbarley</t>
  </si>
  <si>
    <t>springbarley</t>
  </si>
  <si>
    <t>winterbeans</t>
  </si>
  <si>
    <t>springbeans</t>
  </si>
  <si>
    <t>warepotatoes</t>
  </si>
  <si>
    <t>wosr</t>
  </si>
  <si>
    <t>sugarbeet</t>
  </si>
  <si>
    <t>setaside</t>
  </si>
  <si>
    <t>Tillage Practices</t>
  </si>
  <si>
    <t>Label</t>
  </si>
  <si>
    <t>Plough</t>
  </si>
  <si>
    <t>ploughing</t>
  </si>
  <si>
    <t>Non-inversion</t>
  </si>
  <si>
    <t>Light cultivation</t>
  </si>
  <si>
    <t>Sub-soiling</t>
  </si>
  <si>
    <t>inversion</t>
  </si>
  <si>
    <t>noninversion</t>
  </si>
  <si>
    <t>lightcultivation</t>
  </si>
  <si>
    <t>subsoiling</t>
  </si>
  <si>
    <t>Delayed Sowing</t>
  </si>
  <si>
    <t>Sowing</t>
  </si>
  <si>
    <t>soil</t>
  </si>
  <si>
    <t>rotlength</t>
  </si>
  <si>
    <t>Soil type</t>
  </si>
  <si>
    <t>blackgrass</t>
  </si>
  <si>
    <t>Variable</t>
  </si>
  <si>
    <t>Unit</t>
  </si>
  <si>
    <t>Value</t>
  </si>
  <si>
    <t>Fuel price</t>
  </si>
  <si>
    <t>£/l</t>
  </si>
  <si>
    <t>Labour wage</t>
  </si>
  <si>
    <t>£/h</t>
  </si>
  <si>
    <t>%</t>
  </si>
  <si>
    <t>Subsidy</t>
  </si>
  <si>
    <t>£/ha</t>
  </si>
  <si>
    <t>Index</t>
  </si>
  <si>
    <t>Remarks</t>
  </si>
  <si>
    <t>Light soil</t>
  </si>
  <si>
    <t>Medium soil</t>
  </si>
  <si>
    <t>Heavy soil</t>
  </si>
  <si>
    <t>Input/Output</t>
  </si>
  <si>
    <t>N Fertiliser</t>
  </si>
  <si>
    <t>kg/ha</t>
  </si>
  <si>
    <t>P Fertiliser</t>
  </si>
  <si>
    <t>K Fertiliser</t>
  </si>
  <si>
    <t>N Fertiliser Price</t>
  </si>
  <si>
    <t>£/kg</t>
  </si>
  <si>
    <t>P Fertiliser Price</t>
  </si>
  <si>
    <t>K Fertiliser Price</t>
  </si>
  <si>
    <t>Seed Price</t>
  </si>
  <si>
    <t>l/ha</t>
  </si>
  <si>
    <t>Sugarbeet Transport</t>
  </si>
  <si>
    <t>£/t</t>
  </si>
  <si>
    <t>Primary Yield</t>
  </si>
  <si>
    <t>t/ha</t>
  </si>
  <si>
    <t>Primary Yield Price</t>
  </si>
  <si>
    <t>Secondary Yield</t>
  </si>
  <si>
    <t>Secondary Yield Price</t>
  </si>
  <si>
    <t>Crop Data</t>
  </si>
  <si>
    <t>Sundry Cost</t>
  </si>
  <si>
    <t>Machines</t>
  </si>
  <si>
    <t>Size</t>
  </si>
  <si>
    <t>Tractor</t>
  </si>
  <si>
    <t>kW</t>
  </si>
  <si>
    <t>Roller</t>
  </si>
  <si>
    <t>m</t>
  </si>
  <si>
    <t>Sprayer</t>
  </si>
  <si>
    <t>litres</t>
  </si>
  <si>
    <t>Baler</t>
  </si>
  <si>
    <t>Combine Harvester</t>
  </si>
  <si>
    <t>Harrow</t>
  </si>
  <si>
    <t>Operations</t>
  </si>
  <si>
    <t>FMSD</t>
  </si>
  <si>
    <t>Factors</t>
  </si>
  <si>
    <t xml:space="preserve">P/K fertiliser spreading </t>
  </si>
  <si>
    <t xml:space="preserve">Sprayer </t>
  </si>
  <si>
    <t>P/K amounts, tank size</t>
  </si>
  <si>
    <t>Ploughing</t>
  </si>
  <si>
    <t xml:space="preserve">Tractor </t>
  </si>
  <si>
    <t>Tractor size, soil type</t>
  </si>
  <si>
    <t xml:space="preserve">Tractor size, soil type, seed rate </t>
  </si>
  <si>
    <t>Combine harvester size (t/h)</t>
  </si>
  <si>
    <t>Rolling</t>
  </si>
  <si>
    <t xml:space="preserve">Roller </t>
  </si>
  <si>
    <t>Roller width</t>
  </si>
  <si>
    <t>Assumed roller speed (km/h)</t>
  </si>
  <si>
    <t>Spraying</t>
  </si>
  <si>
    <t>Tank size</t>
  </si>
  <si>
    <t>Assumed row spacing (m)</t>
  </si>
  <si>
    <t>Combine harvesting</t>
  </si>
  <si>
    <t>Combine harvester size, primary crop yield</t>
  </si>
  <si>
    <t>Assumed hoeing speed (km/h)</t>
  </si>
  <si>
    <t>Baling</t>
  </si>
  <si>
    <t>Combine harvester size, secondary crop yield</t>
  </si>
  <si>
    <t>N amounts, tank size</t>
  </si>
  <si>
    <t>Tractor power (max PTO horsepower)</t>
  </si>
  <si>
    <t>Harrowing</t>
  </si>
  <si>
    <t>Tractor fuel consumption (l/h)</t>
  </si>
  <si>
    <t xml:space="preserve">Inter-row hoeing </t>
  </si>
  <si>
    <t>Row spacing</t>
  </si>
  <si>
    <t>Combine power (max PTO horsepower)</t>
  </si>
  <si>
    <t>Sugarbeet harvesting</t>
  </si>
  <si>
    <t>Soil type, yield</t>
  </si>
  <si>
    <t>Combine fuel consumption (l/h)</t>
  </si>
  <si>
    <t>Machine Types</t>
  </si>
  <si>
    <t>No/Low</t>
  </si>
  <si>
    <t>1-160</t>
  </si>
  <si>
    <t>Medium</t>
  </si>
  <si>
    <t>161-450</t>
  </si>
  <si>
    <t>High</t>
  </si>
  <si>
    <t>451-1450</t>
  </si>
  <si>
    <t>Very High</t>
  </si>
  <si>
    <t>&gt;1450</t>
  </si>
  <si>
    <t>Winter wheat</t>
  </si>
  <si>
    <t>Labour</t>
  </si>
  <si>
    <t>Winter OSR</t>
  </si>
  <si>
    <t>Harvesting</t>
  </si>
  <si>
    <t>N fertiliser application</t>
  </si>
  <si>
    <t>Inter-row hoeing</t>
  </si>
  <si>
    <t>Set-aside/Fallow</t>
  </si>
  <si>
    <t>Sprayer tank</t>
  </si>
  <si>
    <t>Ridging</t>
  </si>
  <si>
    <t>Tillage Option</t>
  </si>
  <si>
    <t>May</t>
  </si>
  <si>
    <t>Minimum tillage</t>
  </si>
  <si>
    <t>Data Sources</t>
  </si>
  <si>
    <t>Data</t>
  </si>
  <si>
    <t>Source</t>
  </si>
  <si>
    <t>References</t>
  </si>
  <si>
    <t>no.</t>
  </si>
  <si>
    <t xml:space="preserve">Sugar beet transport cost </t>
  </si>
  <si>
    <t>Glyphosate</t>
  </si>
  <si>
    <t>Glyphosate Price</t>
  </si>
  <si>
    <t>Fertiliser Manual (RB209)</t>
  </si>
  <si>
    <t>farmR model data</t>
  </si>
  <si>
    <t>Soil type indices</t>
  </si>
  <si>
    <t>Rotational penalties</t>
  </si>
  <si>
    <t>Work rates for crop operations</t>
  </si>
  <si>
    <t>hr/ha</t>
  </si>
  <si>
    <t>crops</t>
  </si>
  <si>
    <t>seedrate</t>
  </si>
  <si>
    <t>delsowing</t>
  </si>
  <si>
    <t>glyphosatedose</t>
  </si>
  <si>
    <t>cropprice</t>
  </si>
  <si>
    <t>cropyield</t>
  </si>
  <si>
    <t>yieldoption</t>
  </si>
  <si>
    <t>Nfert</t>
  </si>
  <si>
    <t>Pfert</t>
  </si>
  <si>
    <t>Kfert</t>
  </si>
  <si>
    <t>Nfertprice</t>
  </si>
  <si>
    <t>Pfertprice</t>
  </si>
  <si>
    <t>Kfertprice</t>
  </si>
  <si>
    <t>seedprice</t>
  </si>
  <si>
    <t>herbprice</t>
  </si>
  <si>
    <t>glyphosateprice</t>
  </si>
  <si>
    <t>machsize</t>
  </si>
  <si>
    <t>fuelprice</t>
  </si>
  <si>
    <t>labourwage</t>
  </si>
  <si>
    <t>--</t>
  </si>
  <si>
    <t>SOSR</t>
  </si>
  <si>
    <t>Spring oilseed rape</t>
  </si>
  <si>
    <t>WLIN</t>
  </si>
  <si>
    <t>SLIN</t>
  </si>
  <si>
    <t>DPEA</t>
  </si>
  <si>
    <t>Winter linseed</t>
  </si>
  <si>
    <t>Spring linseed</t>
  </si>
  <si>
    <t>Dried peas</t>
  </si>
  <si>
    <t>Model Variable/Input</t>
  </si>
  <si>
    <t>Input Type</t>
  </si>
  <si>
    <t>farmdata</t>
  </si>
  <si>
    <t>CSV file</t>
  </si>
  <si>
    <t>This has to be a CSV file based on a developed template to run model for multiple farms</t>
  </si>
  <si>
    <t xml:space="preserve">String </t>
  </si>
  <si>
    <t>farm</t>
  </si>
  <si>
    <t>Number</t>
  </si>
  <si>
    <t>Integer</t>
  </si>
  <si>
    <t>Length of rotation (Integer between 2 and 6).</t>
  </si>
  <si>
    <t>rotprob</t>
  </si>
  <si>
    <t>Number normally 1/and integer if independent rotation probability needs to be set.</t>
  </si>
  <si>
    <t>String</t>
  </si>
  <si>
    <t>tillages</t>
  </si>
  <si>
    <t>A vector of length 6 of delayed sowing decisions. (Inputs are “no” or “late’, “later” and “latest” to show degree or delay)</t>
  </si>
  <si>
    <t>bgherbdose</t>
  </si>
  <si>
    <t>numberofsprays</t>
  </si>
  <si>
    <t>subsidy</t>
  </si>
  <si>
    <t>Crops</t>
  </si>
  <si>
    <t>Yield Penalty (%)</t>
  </si>
  <si>
    <t>Months</t>
  </si>
  <si>
    <t>October</t>
  </si>
  <si>
    <t>November</t>
  </si>
  <si>
    <t>December</t>
  </si>
  <si>
    <t>February</t>
  </si>
  <si>
    <t>March</t>
  </si>
  <si>
    <t>April</t>
  </si>
  <si>
    <t>January</t>
  </si>
  <si>
    <t>Ware potatoes</t>
  </si>
  <si>
    <t>June</t>
  </si>
  <si>
    <t>August</t>
  </si>
  <si>
    <t>September</t>
  </si>
  <si>
    <t xml:space="preserve">Sugar beet </t>
  </si>
  <si>
    <t xml:space="preserve">Fertiliser rates </t>
  </si>
  <si>
    <t>Fertiliser prices</t>
  </si>
  <si>
    <t>Seed rates</t>
  </si>
  <si>
    <t>Seed prices</t>
  </si>
  <si>
    <t>Herbicide/Glyphosate rates</t>
  </si>
  <si>
    <t>BGRI field data</t>
  </si>
  <si>
    <t>Black-Grass Resistance Improvement (BGRI) project data</t>
  </si>
  <si>
    <t>Herbicide/Glyphosate prices</t>
  </si>
  <si>
    <t xml:space="preserve">Number of sprays </t>
  </si>
  <si>
    <t>Sundry costs</t>
  </si>
  <si>
    <t>Crop prices</t>
  </si>
  <si>
    <t>Farm Management Pocketbook</t>
  </si>
  <si>
    <t>Crop yields</t>
  </si>
  <si>
    <t xml:space="preserve">farmR model </t>
  </si>
  <si>
    <t>Based on yield response functions adopted from the farmR model (Cooke et al. (2013).</t>
  </si>
  <si>
    <t>Subsidy (Single Farm Payment)</t>
  </si>
  <si>
    <t>Fuel (red diesel) price</t>
  </si>
  <si>
    <t xml:space="preserve">Hourly labour wage </t>
  </si>
  <si>
    <t>Yield penalties due to continuous cropping</t>
  </si>
  <si>
    <t>Yield penalties due to delayed sowing</t>
  </si>
  <si>
    <t xml:space="preserve">Machine sizes </t>
  </si>
  <si>
    <t>kW or m</t>
  </si>
  <si>
    <t xml:space="preserve">Cooke, I. R., Mattison, E. H. A., Audsley, E., Bailey, A. P., Freckleton, R. P., Graves, A. R., Morris, J., Queenborough, S. A., Sandars, D. L., Siriwardena, G. M., Trawick, P., Watkinson, A. R. and Sutherland, W. J. (2013) Empirical test of an agricultural landscape model: The importance of farmer preference for risk aversion and crop complexity. SAGE Open. 3(2), pp. 1-16. </t>
  </si>
  <si>
    <t xml:space="preserve">Chamen, W. C. T. and Audsley, E. (1993) A study of the comparative economics of conventional and zero traffic systems for arable crops. Soil and Tillage Research. 25(4), pp. 369-396. </t>
  </si>
  <si>
    <t>filename</t>
  </si>
  <si>
    <t>string</t>
  </si>
  <si>
    <t>The name to be given to the saved results file</t>
  </si>
  <si>
    <t>Model  Inputs</t>
  </si>
  <si>
    <t>deepcultivation</t>
  </si>
  <si>
    <t>late</t>
  </si>
  <si>
    <t>no</t>
  </si>
  <si>
    <t>low</t>
  </si>
  <si>
    <t>yes</t>
  </si>
  <si>
    <t>sosr</t>
  </si>
  <si>
    <t>winterlinseed</t>
  </si>
  <si>
    <t>springlinseed</t>
  </si>
  <si>
    <t>driedpeas</t>
  </si>
  <si>
    <t>Spring OSR</t>
  </si>
  <si>
    <t>Minimum Tillage</t>
  </si>
  <si>
    <t>Deep cultivation</t>
  </si>
  <si>
    <t xml:space="preserve">Direct Drilling </t>
  </si>
  <si>
    <t>kg [K]/ha</t>
  </si>
  <si>
    <t>kg [P]/ha</t>
  </si>
  <si>
    <t>kg [N]/ha</t>
  </si>
  <si>
    <t>N fertiliser price (£/kg) (see 'Crop Data' sheet)</t>
  </si>
  <si>
    <t>P fertiliser price (£/kg) (see 'Crop Data' sheet)</t>
  </si>
  <si>
    <t>K fertiliser price (£/kg) (see 'Crop Data' sheet)</t>
  </si>
  <si>
    <t>Price of fuel (red diesel) (£/l)</t>
  </si>
  <si>
    <t>Hourly labour wage (£/hr)</t>
  </si>
  <si>
    <t>Inversion</t>
  </si>
  <si>
    <t>Sundry cost (£/ha) is primarily the cost of other chemicals and other miscellaneous costs</t>
  </si>
  <si>
    <t>Three classes of delayed sowing were derived based on the assumed months in which sowing attracts yield penalties.</t>
  </si>
  <si>
    <t>Direct drill</t>
  </si>
  <si>
    <t>directdrilling</t>
  </si>
  <si>
    <t>The data for herbicide and glyphosate rates are randomly selected from farm data collected in the BGRI project. The rates may vary and thus the data presented serve as a guide only.</t>
  </si>
  <si>
    <t>In the case of spraying, work rate is estimated based on the size of the sprayer tank.</t>
  </si>
  <si>
    <t xml:space="preserve">Combine harvester </t>
  </si>
  <si>
    <t>Assumptions:</t>
  </si>
  <si>
    <t>Work rates depend on machine sizes, soil type, yield and fertiliser amounts.</t>
  </si>
  <si>
    <t>A combine harvester with a power of 90kW can harvest 10t/h. So a combine harvester of 125kW can harvest (10/90)*125. Thus a ratio of 10/90 was used in calculations.</t>
  </si>
  <si>
    <t>In the model, when a level of infestation is set, the respective yield penalty is deducted from winter wheat yield.</t>
  </si>
  <si>
    <t>This data has been presented to be used in a situation where the user is running the model for multiple fields but is missing some crop data.</t>
  </si>
  <si>
    <t>INPUTS</t>
  </si>
  <si>
    <t>OUTPUTS</t>
  </si>
  <si>
    <t>Default data</t>
  </si>
  <si>
    <t xml:space="preserve">
- farm data collected in the BGRI project 
- farm management books</t>
  </si>
  <si>
    <t>To ensure the model generates some results when run for a single field, default data have been incorporated into the model. 
The default data in BGRI-ECOMOD are from two sources: 
This default data is not used when running the model for multiple fields.</t>
  </si>
  <si>
    <t>NA</t>
  </si>
  <si>
    <t>If sowing was at optimal timing, model input for delayed sowing is 'no'.</t>
  </si>
  <si>
    <t>later</t>
  </si>
  <si>
    <t>latest</t>
  </si>
  <si>
    <t>Indices from 0.5 to 2.5 at interval of 0.25 representing light to heavy soil. Soils categorised according to the Soil Texture (85) System.</t>
  </si>
  <si>
    <t>farmR model data and Soil Texture (85) System</t>
  </si>
  <si>
    <t>minimumtillage</t>
  </si>
  <si>
    <t>Work rates</t>
  </si>
  <si>
    <t>Chamen and Audsley (1993); contractor advice</t>
  </si>
  <si>
    <t>clay (C )</t>
  </si>
  <si>
    <t>loam (L), clay loam (CL)</t>
  </si>
  <si>
    <t>sandy clay loam (SCL)</t>
  </si>
  <si>
    <t>silty clay (SIC)</t>
  </si>
  <si>
    <t>silty clay loam (SICL)</t>
  </si>
  <si>
    <t>sandy clay (SC)</t>
  </si>
  <si>
    <t>sandy loam (SL), silt (SI), sandy silt loam (SSIL), silt loam (SIL)</t>
  </si>
  <si>
    <t>loamy sand (LS)</t>
  </si>
  <si>
    <t>* peat given a value of 1.5</t>
  </si>
  <si>
    <t>Soil Texture (85) system: http://web.adas.co.uk/WeedManager/principles/soil.aspx</t>
  </si>
  <si>
    <t>1.5*</t>
  </si>
  <si>
    <t xml:space="preserve">The prices for herbicide and glyphosate are average prices obtained from BGRI farm data. </t>
  </si>
  <si>
    <t>Soil Index</t>
  </si>
  <si>
    <t>Details</t>
  </si>
  <si>
    <t>Option to specify running the model based on default values or user-specified data (for default values, “yes”; NULL for user-specified data or if running the model for multiple fields)</t>
  </si>
  <si>
    <t>Option for running model for single or multiple field(s) (“single” or “multiple”).</t>
  </si>
  <si>
    <t>A vector of length 6 of crops grown from year 1 to 6 (Needs to be in inverted commas e.g. “winterwheat” if being entered directly into model code)</t>
  </si>
  <si>
    <t>A vector of length 6 of tillage method applied in year 1 to 6 (Needs to be in inverted commas e.g. “ploughing” if being entered directly into model code)</t>
  </si>
  <si>
    <t>Option of running the model using actual yield data or asking it to estimate yield (inputs are “actual” or “estimate”)</t>
  </si>
  <si>
    <r>
      <t>sand (S)</t>
    </r>
    <r>
      <rPr>
        <vertAlign val="superscript"/>
        <sz val="11"/>
        <color theme="1"/>
        <rFont val="Cambria"/>
        <family val="1"/>
      </rPr>
      <t>†</t>
    </r>
  </si>
  <si>
    <t xml:space="preserve">The sizes of the machines below were used in estimating work rates. </t>
  </si>
  <si>
    <t>Tillage/ Sowing Practices</t>
  </si>
  <si>
    <t>Each farm is assumed to receive single farm payment (SFP) (£/ha) unless specified otherwise.</t>
  </si>
  <si>
    <t>The work rate for non-inversion, light cultivation and sub-soiling are estimated as a proportion of ploughing work rate due to lack of data.</t>
  </si>
  <si>
    <t>Estimated crop yields (t/ha) are based on response functions which take into consideration the farm or field’s soil type and N fertiliser rate (kg [N]/ha).</t>
  </si>
  <si>
    <t>All estimated outputs are on per hectare basis.</t>
  </si>
  <si>
    <t>Tillage options are: non-inversion; light cultivation; deep cultivation; subsoiling; ploughing; or none (in which case, use the option ‘direct drilling’).</t>
  </si>
  <si>
    <t>Work rates (h/ha) for earth-moving operations are functions of soil types and tractor size.</t>
  </si>
  <si>
    <t>Work rate for fertiliser spreading is a function of fertiliser rates and sprayer tank size.</t>
  </si>
  <si>
    <t>Work rate for herbicide spraying is a function of sprayer tank size.</t>
  </si>
  <si>
    <t>For spraying operations, the work rate is subsequently multiplied by the number of spraying days for a given crop.</t>
  </si>
  <si>
    <t>Work rate for sowing is a function of soil type, seed rate and machine (tractor) size.</t>
  </si>
  <si>
    <t>Work rate for combine harvesting/baling is a function of crop yield and size of combine harvester.</t>
  </si>
  <si>
    <t>Work rate for potato harvesting is a function of soil type.</t>
  </si>
  <si>
    <t>Work rate for sugar beet harvesting is function of soil type and yield.</t>
  </si>
  <si>
    <t>Delayed sowing is associated with yield penalty (% yield loss).</t>
  </si>
  <si>
    <t>A 6-year rotation is assumed in the model although the model can be run for shorter rotation length (maximum rotation length is 6 years).</t>
  </si>
  <si>
    <t>To run the model for multiple fields, the same machine size is assumed across fields.</t>
  </si>
  <si>
    <t>Crops included in the model are used as proxies when running the model for a crop not included in the model.</t>
  </si>
  <si>
    <t>Fuel price is assumed to be the price for red diesel (£/l).</t>
  </si>
  <si>
    <t>Model Details and Assumptions</t>
  </si>
  <si>
    <t>Dr Kwadjo Ahodo (main author) and Dr Alexa Varah (design), for The Black Grass Resistance Initiative (BGRI)</t>
  </si>
  <si>
    <t>Funding</t>
  </si>
  <si>
    <t>BBSRC and AHDB</t>
  </si>
  <si>
    <t>Contents</t>
  </si>
  <si>
    <t>BGRI Economic Model (BGRI-ECOMOD) - details and inputs</t>
  </si>
  <si>
    <t>Value(s)</t>
  </si>
  <si>
    <t>Label 1: 
Model input label</t>
  </si>
  <si>
    <t>Label 2: 
Model output label</t>
  </si>
  <si>
    <t>Black-grass Infestation</t>
  </si>
  <si>
    <t>Level of Infestation
(density state)</t>
  </si>
  <si>
    <t>dependent on the size of the baler, harrow or sugar beet harvester.</t>
  </si>
  <si>
    <t xml:space="preserve">For Baling, Harrowing and Sugar beet harvesting, the work rates are not </t>
  </si>
  <si>
    <r>
      <t xml:space="preserve">The work rate of an operation is based on the size of the </t>
    </r>
    <r>
      <rPr>
        <u/>
        <sz val="11"/>
        <color theme="9" tint="-0.499984740745262"/>
        <rFont val="Calibri"/>
        <family val="2"/>
        <scheme val="minor"/>
      </rPr>
      <t>first machine</t>
    </r>
    <r>
      <rPr>
        <sz val="11"/>
        <color theme="9" tint="-0.499984740745262"/>
        <rFont val="Calibri"/>
        <family val="2"/>
        <scheme val="minor"/>
      </rPr>
      <t xml:space="preserve"> in the system definition of that operation (</t>
    </r>
    <r>
      <rPr>
        <b/>
        <sz val="11"/>
        <color theme="9" tint="-0.499984740745262"/>
        <rFont val="Calibri"/>
        <family val="2"/>
        <scheme val="minor"/>
      </rPr>
      <t>FMSD</t>
    </r>
    <r>
      <rPr>
        <sz val="11"/>
        <color theme="9" tint="-0.499984740745262"/>
        <rFont val="Calibri"/>
        <family val="2"/>
        <scheme val="minor"/>
      </rPr>
      <t>).</t>
    </r>
  </si>
  <si>
    <t>Click to jump to sections:</t>
  </si>
  <si>
    <r>
      <t xml:space="preserve">The size of the combine harvester (measured in tonnes/hour) was derived on pro-rata basis based on information from </t>
    </r>
    <r>
      <rPr>
        <i/>
        <sz val="11"/>
        <color theme="9" tint="-0.499984740745262"/>
        <rFont val="Calibri"/>
        <family val="2"/>
        <scheme val="minor"/>
      </rPr>
      <t>The Agricultural Notebook</t>
    </r>
    <r>
      <rPr>
        <sz val="11"/>
        <color theme="9" tint="-0.499984740745262"/>
        <rFont val="Calibri"/>
        <family val="2"/>
        <scheme val="minor"/>
      </rPr>
      <t xml:space="preserve">. </t>
    </r>
  </si>
  <si>
    <t>It was estimated based on 90kW combine.</t>
  </si>
  <si>
    <t>and for labour as 0.56 times 3.</t>
  </si>
  <si>
    <t>† In BGRI-ECOMOD, the work rates for non-inversion tillage, light cultivation and sub-soiling are estimated based on the work rate of ploughing.</t>
  </si>
  <si>
    <r>
      <t xml:space="preserve">For example, the system definition of a harvesting operation for winter wheat is '1 </t>
    </r>
    <r>
      <rPr>
        <u/>
        <sz val="11"/>
        <color theme="9" tint="-0.499984740745262"/>
        <rFont val="Calibri"/>
        <family val="2"/>
        <scheme val="minor"/>
      </rPr>
      <t>combine harvester</t>
    </r>
    <r>
      <rPr>
        <sz val="11"/>
        <color theme="9" tint="-0.499984740745262"/>
        <rFont val="Calibri"/>
        <family val="2"/>
        <scheme val="minor"/>
      </rPr>
      <t>, 2 tractors and 3 labour'.</t>
    </r>
  </si>
  <si>
    <t>In BGRI-ECOMOD, the work rates for non-inversion tillage, light cultivation and sub-soiling are estimated based on the work rate of ploughing.</t>
  </si>
  <si>
    <r>
      <t>Cultivation Options</t>
    </r>
    <r>
      <rPr>
        <b/>
        <vertAlign val="superscript"/>
        <sz val="11"/>
        <color theme="9" tint="-0.499984740745262"/>
        <rFont val="Calibri"/>
        <family val="2"/>
        <scheme val="minor"/>
      </rPr>
      <t>†</t>
    </r>
  </si>
  <si>
    <t>Operations and Work rates</t>
  </si>
  <si>
    <t xml:space="preserve">As a result, the work rate is estimated based on the size of the combine harvester (say 0.56 h/ha): thus, the Work rate for the tractor is then estimated as 0.56 times 2, </t>
  </si>
  <si>
    <t>Work rate (h/ha)</t>
  </si>
  <si>
    <t>Reduction in Winter Wheat Yield 
(%)</t>
  </si>
  <si>
    <r>
      <t>Blackgrass Density 
(Plants per 400 (20×20) m</t>
    </r>
    <r>
      <rPr>
        <b/>
        <vertAlign val="superscript"/>
        <sz val="11"/>
        <color theme="0"/>
        <rFont val="Calibri"/>
        <family val="2"/>
      </rPr>
      <t>2</t>
    </r>
    <r>
      <rPr>
        <b/>
        <sz val="11"/>
        <color theme="0"/>
        <rFont val="Calibri"/>
        <family val="2"/>
      </rPr>
      <t>)</t>
    </r>
  </si>
  <si>
    <t>Work rates:</t>
  </si>
  <si>
    <t>wheat</t>
  </si>
  <si>
    <t>barley</t>
  </si>
  <si>
    <t>beans</t>
  </si>
  <si>
    <t>OSR</t>
  </si>
  <si>
    <t>linseed</t>
  </si>
  <si>
    <t>peas</t>
  </si>
  <si>
    <t>fallow</t>
  </si>
  <si>
    <t>cultivations</t>
  </si>
  <si>
    <t>back to top ↑</t>
  </si>
  <si>
    <r>
      <t>BGRI-ECOMOD is a farm- or field-level model developed to evaluate the economic consequences of changes in land use/farm management strategies aimed at black-grass (</t>
    </r>
    <r>
      <rPr>
        <i/>
        <sz val="11"/>
        <color theme="0"/>
        <rFont val="Calibri"/>
        <family val="2"/>
      </rPr>
      <t>Alopecurus myusoroides</t>
    </r>
    <r>
      <rPr>
        <sz val="11"/>
        <color theme="0"/>
        <rFont val="Calibri"/>
        <family val="2"/>
      </rPr>
      <t>) mitigation.
The model is capable of accommodating changes to farm management options such as crop types, length of rotation, tillage practices, seed rate and delayed sowing as well as yield penalties due to sub-optimal rotations, delayed sowing and black-grass infestation.</t>
    </r>
  </si>
  <si>
    <r>
      <rPr>
        <vertAlign val="superscript"/>
        <sz val="11"/>
        <color theme="9" tint="-0.499984740745262"/>
        <rFont val="Calibri"/>
        <family val="2"/>
      </rPr>
      <t>†</t>
    </r>
    <r>
      <rPr>
        <sz val="11"/>
        <color theme="9" tint="-0.499984740745262"/>
        <rFont val="Calibri"/>
        <family val="2"/>
      </rPr>
      <t xml:space="preserve"> letters in brackets are soil texture abbreviations used by the DSSAT Crop System Model.</t>
    </r>
  </si>
  <si>
    <t>Yield penalties associated with the level of black-grass infestation in a winter wheat field.</t>
  </si>
  <si>
    <t>Yield penalties due to black-grass infestation</t>
  </si>
  <si>
    <t>*</t>
  </si>
  <si>
    <t>soil *</t>
  </si>
  <si>
    <t>default †</t>
  </si>
  <si>
    <t>blackgrass ‡</t>
  </si>
  <si>
    <r>
      <t xml:space="preserve">‡ </t>
    </r>
    <r>
      <rPr>
        <b/>
        <sz val="11"/>
        <color theme="9" tint="-0.499984740745262"/>
        <rFont val="Calibri"/>
        <family val="2"/>
      </rPr>
      <t>N.B.</t>
    </r>
    <r>
      <rPr>
        <sz val="11"/>
        <color theme="9" tint="-0.499984740745262"/>
        <rFont val="Calibri"/>
        <family val="2"/>
      </rPr>
      <t xml:space="preserve"> make sure any fields where black-grass is absent are given here as 'low'</t>
    </r>
  </si>
  <si>
    <r>
      <t xml:space="preserve">† </t>
    </r>
    <r>
      <rPr>
        <b/>
        <sz val="11"/>
        <color theme="9" tint="-0.499984740745262"/>
        <rFont val="Calibri"/>
        <family val="2"/>
      </rPr>
      <t>N.B.</t>
    </r>
    <r>
      <rPr>
        <sz val="11"/>
        <color theme="9" tint="-0.499984740745262"/>
        <rFont val="Calibri"/>
        <family val="2"/>
      </rPr>
      <t xml:space="preserve"> "yes" only applicable if running the model for a single field</t>
    </r>
  </si>
  <si>
    <r>
      <t xml:space="preserve">A vector of length 6 of seed rates corresponding to crop set in the </t>
    </r>
    <r>
      <rPr>
        <b/>
        <sz val="11"/>
        <color theme="1"/>
        <rFont val="Calibri"/>
        <family val="2"/>
      </rPr>
      <t>crops</t>
    </r>
    <r>
      <rPr>
        <sz val="11"/>
        <color theme="1"/>
        <rFont val="Calibri"/>
        <family val="2"/>
      </rPr>
      <t xml:space="preserve"> vector (kg/ha)</t>
    </r>
  </si>
  <si>
    <r>
      <t xml:space="preserve">A vector of length 6 of N fertiliser rates corresponding to crop set in the </t>
    </r>
    <r>
      <rPr>
        <b/>
        <sz val="11"/>
        <color theme="1"/>
        <rFont val="Calibri"/>
        <family val="2"/>
      </rPr>
      <t>crops</t>
    </r>
    <r>
      <rPr>
        <sz val="11"/>
        <color theme="1"/>
        <rFont val="Calibri"/>
        <family val="2"/>
      </rPr>
      <t xml:space="preserve"> vector (kg[N]/ha)</t>
    </r>
  </si>
  <si>
    <r>
      <t xml:space="preserve">A vector of length 6 of P fertiliser rates corresponding to crop set in the </t>
    </r>
    <r>
      <rPr>
        <b/>
        <sz val="11"/>
        <color theme="1"/>
        <rFont val="Calibri"/>
        <family val="2"/>
      </rPr>
      <t>crops</t>
    </r>
    <r>
      <rPr>
        <sz val="11"/>
        <color theme="1"/>
        <rFont val="Calibri"/>
        <family val="2"/>
      </rPr>
      <t xml:space="preserve"> vector (kg[P]/ha)</t>
    </r>
  </si>
  <si>
    <r>
      <t xml:space="preserve">A vector of length 6 of K fertiliser rates corresponding to crop set in the </t>
    </r>
    <r>
      <rPr>
        <b/>
        <sz val="11"/>
        <color theme="1"/>
        <rFont val="Calibri"/>
        <family val="2"/>
      </rPr>
      <t>crops</t>
    </r>
    <r>
      <rPr>
        <sz val="11"/>
        <color theme="1"/>
        <rFont val="Calibri"/>
        <family val="2"/>
      </rPr>
      <t xml:space="preserve"> vector (kg[K]/ha)</t>
    </r>
  </si>
  <si>
    <t>Level of black-grass infestation (inputs are “low”, “medium”, “high” or “veryhigh”). See 'Yield Penalty | Black-grass' sheet for density measures.</t>
  </si>
  <si>
    <t>herbicides not specifically targeting black-grass, are included in the sundry costs associated with each crop).</t>
  </si>
  <si>
    <t xml:space="preserve">Herbicide application is assumed to be carried out due to black-grass infestation (costs of other chemicals i.e. fungicides, insecticides, growth regulators, and costs of </t>
  </si>
  <si>
    <t>Farm- or Field-specific Data</t>
  </si>
  <si>
    <t>Sugar beet Harvester</t>
  </si>
  <si>
    <t>Password</t>
  </si>
  <si>
    <t>All sheets are locked to prevent inadvertent changes. Use the password 'alopecurus' to unlock sheets.</t>
  </si>
  <si>
    <t>Crop</t>
  </si>
  <si>
    <t>Year 2</t>
  </si>
  <si>
    <t>Year 3</t>
  </si>
  <si>
    <t>Year 4</t>
  </si>
  <si>
    <t>Year 5</t>
  </si>
  <si>
    <t>Continuous Cropping</t>
  </si>
  <si>
    <t>Winter wheat following a barley crop</t>
  </si>
  <si>
    <t>Winter wheat following set-aside</t>
  </si>
  <si>
    <t>Spring wheat following a barley crop</t>
  </si>
  <si>
    <t>Spring wheat following set-aside</t>
  </si>
  <si>
    <t>Winter barley following a wheat crop</t>
  </si>
  <si>
    <t>Winter barley following set-aside</t>
  </si>
  <si>
    <t>NA or 100</t>
  </si>
  <si>
    <t>Such sequences are not allowed or encouraged</t>
  </si>
  <si>
    <t>Spring barley following a wheat crop</t>
  </si>
  <si>
    <t>Spring barley following set-aside</t>
  </si>
  <si>
    <t>Winter wheat following sugar beet</t>
  </si>
  <si>
    <t>Spring wheat following sugar beet</t>
  </si>
  <si>
    <t>Ware potatoes following sugar beet</t>
  </si>
  <si>
    <t>Winter oilseed rape following a beans crop</t>
  </si>
  <si>
    <t>Winter oilseed rape following sugar beet</t>
  </si>
  <si>
    <t>Winter oilseed rape following a linseed crop</t>
  </si>
  <si>
    <t>Spring oilseed rape following a beans crop</t>
  </si>
  <si>
    <t>Spring oilseed rape following sugar beet</t>
  </si>
  <si>
    <t>Winter linseed following a beans crop</t>
  </si>
  <si>
    <t>Winter linseed following sugar beet</t>
  </si>
  <si>
    <t>Spring linseed following a beans crop</t>
  </si>
  <si>
    <t>Spring linseed following sugar beet</t>
  </si>
  <si>
    <t>Sugar beet following a potato crop</t>
  </si>
  <si>
    <t>Crop Sequence</t>
  </si>
  <si>
    <t>Rotations</t>
  </si>
  <si>
    <t>Dried peas following a brassica crop 
(e.g. oilseed rape)</t>
  </si>
  <si>
    <t>Sugar beet following a brassica crop 
(e.g. oilseed rape)</t>
  </si>
  <si>
    <t>Spring beans following a brassica crop 
(e.g. oilseed rape)</t>
  </si>
  <si>
    <t>Winter beans following a brassica crop 
(e.g. oilseed rape)</t>
  </si>
  <si>
    <t>Winter wheat following a brassica crop 
(e.g. oilseed rape)</t>
  </si>
  <si>
    <r>
      <rPr>
        <b/>
        <sz val="9"/>
        <color theme="9" tint="-0.499984740745262"/>
        <rFont val="Calibri"/>
        <family val="2"/>
        <scheme val="minor"/>
      </rPr>
      <t>Note:</t>
    </r>
    <r>
      <rPr>
        <sz val="9"/>
        <color theme="9" tint="-0.499984740745262"/>
        <rFont val="Calibri"/>
        <family val="2"/>
        <scheme val="minor"/>
      </rPr>
      <t xml:space="preserve"> Due to lack of data on years beyond 5 years, yield penalties beyond 5 years were assumed to be equal to yield penalties in year 5. For ware potatoes, winter and spring oilseed rape, winter and spring linseed and sugar beet, successive or continuous cropping is not allowed or encouraged due possibility of disease build-up. In these cases, 100% penalty is applied (see adjacent table).</t>
    </r>
  </si>
  <si>
    <t>Black-grass infestation causes yield loss in winter wheat fields, and a level of infestation (black-grass density state) is associated with a yield penalty (% yield loss).</t>
  </si>
  <si>
    <t>Two categories of herbicide for control of black-grass were assumed: total herbicides (‘glyphosate’) and selective herbicides (‘bgherb’).</t>
  </si>
  <si>
    <t>Contact</t>
  </si>
  <si>
    <t>Herbicide cost (£/ha) = ('bgherb' application rate (l/ha) × bgherb price (£/l)) + ('glyphosate' application rate (l/ha) × (glyphosate price (£/l))</t>
  </si>
  <si>
    <t>Herb Price</t>
  </si>
  <si>
    <t>BG herb</t>
  </si>
  <si>
    <t>potatoes &amp; sugar beet</t>
  </si>
  <si>
    <t>Seed Rate</t>
  </si>
  <si>
    <t>Nix (2019)</t>
  </si>
  <si>
    <t>Nix, J. (2019) Farm management pocketbook, 49th ed, Agro Business Consultants Ltd, Melton Mowbray, England. Published September 2018.</t>
  </si>
  <si>
    <t>A vector of length 5 of machine sizes. The sizes are in the following order: tractor, roller, power harrow, sprayer tank and combine harvester</t>
  </si>
  <si>
    <r>
      <t xml:space="preserve">* </t>
    </r>
    <r>
      <rPr>
        <b/>
        <sz val="11"/>
        <color theme="9" tint="-0.499984740745262"/>
        <rFont val="Calibri"/>
        <family val="2"/>
      </rPr>
      <t>N.B.</t>
    </r>
    <r>
      <rPr>
        <sz val="11"/>
        <color theme="9" tint="-0.499984740745262"/>
        <rFont val="Calibri"/>
        <family val="2"/>
      </rPr>
      <t xml:space="preserve"> it may be necessary to format these indices as text to retain the two decimal places if saving as a .csv file</t>
    </r>
  </si>
  <si>
    <r>
      <rPr>
        <b/>
        <sz val="10"/>
        <color theme="9" tint="-0.499984740745262"/>
        <rFont val="Calibri"/>
        <family val="2"/>
      </rPr>
      <t>* NB</t>
    </r>
    <r>
      <rPr>
        <sz val="10"/>
        <color theme="9" tint="-0.499984740745262"/>
        <rFont val="Calibri"/>
        <family val="2"/>
      </rPr>
      <t xml:space="preserve"> it may be necessary to format the soil index as text of the input is a .csv file so that the two decimal places are retained.</t>
    </r>
  </si>
  <si>
    <t>For the cereal crops, secondary yields represent the straw from harvested cereals. Secondary yields can be switched on or off at line 259 of the R script.</t>
  </si>
  <si>
    <t>Defra (2020)</t>
  </si>
  <si>
    <t>Fertiliser requirements assume straw is left on field / incorporated, medium soil, and soil index = 1.</t>
  </si>
  <si>
    <t>Crops/activities in the model: winter wheat (assume feed), spring wheat, winter barley (assume feed), spring barley (assume malting), winter oilseed rape, spring oilseed rape, winter beans, spring beans, peas (assume blue), winter linseed, spring linseed, ware potato, sugarbeet and set-aside (fallow).</t>
  </si>
  <si>
    <t>Set-aside/fallow is assumed if no crop is grown in a farm season.</t>
  </si>
  <si>
    <t>ABC (2019)</t>
  </si>
  <si>
    <t>ABC (2014)</t>
  </si>
  <si>
    <t>Nix (2019), p.4</t>
  </si>
  <si>
    <t>Nix (2019), p.167</t>
  </si>
  <si>
    <t>Nix (2019), ABC (2019)</t>
  </si>
  <si>
    <t>Nix (2019), oilseed rape rates from ABC (2019)</t>
  </si>
  <si>
    <t>ABC (2019) The agricultural budgeting &amp; costing book, 88th ed, Agro Business Consultants, Melton Mowbray, England. Published November 2018.</t>
  </si>
  <si>
    <t xml:space="preserve">Defra (2020) Fertiliser Manual (RB209), available at: https://ahdb.org.uk/RB209  (accessed 27 May 2020). </t>
  </si>
  <si>
    <t>UK government</t>
  </si>
  <si>
    <t>https://www.gov.uk/guidance/bps-2019</t>
  </si>
  <si>
    <t>Also available here: AHDB GB Fertiliser Prices (e.g. May 2019)</t>
  </si>
  <si>
    <t>- P and K fertiliser rates are recommended rates from Defra's Fertiliser Manual (RB209).</t>
  </si>
  <si>
    <r>
      <t xml:space="preserve">A vector of length 6 of rates of selective herbicide targeting black-grass ('bgherb') in years 1 to 6 corresponding to crop sprcified in the </t>
    </r>
    <r>
      <rPr>
        <b/>
        <sz val="11"/>
        <color theme="1"/>
        <rFont val="Calibri"/>
        <family val="2"/>
      </rPr>
      <t>crops</t>
    </r>
    <r>
      <rPr>
        <sz val="11"/>
        <color theme="1"/>
        <rFont val="Calibri"/>
        <family val="2"/>
      </rPr>
      <t xml:space="preserve"> vector (l/ha)</t>
    </r>
  </si>
  <si>
    <r>
      <t xml:space="preserve">A vector of length 6 of rates of total herbicide ('glyphosate') in years 1 to 6 corresponding to crop specified in the </t>
    </r>
    <r>
      <rPr>
        <b/>
        <sz val="11"/>
        <color theme="1"/>
        <rFont val="Calibri"/>
        <family val="2"/>
      </rPr>
      <t>crops</t>
    </r>
    <r>
      <rPr>
        <sz val="11"/>
        <color theme="1"/>
        <rFont val="Calibri"/>
        <family val="2"/>
      </rPr>
      <t xml:space="preserve"> vector (l/ha)</t>
    </r>
  </si>
  <si>
    <r>
      <t xml:space="preserve">A vector of length 6 of the number of spraying days for each crop in years 1 to 6, and corresponding to </t>
    </r>
    <r>
      <rPr>
        <b/>
        <sz val="11"/>
        <color theme="1"/>
        <rFont val="Calibri"/>
        <family val="2"/>
      </rPr>
      <t xml:space="preserve">crops </t>
    </r>
    <r>
      <rPr>
        <sz val="11"/>
        <color theme="1"/>
        <rFont val="Calibri"/>
        <family val="2"/>
      </rPr>
      <t>specified in the crops vector</t>
    </r>
  </si>
  <si>
    <r>
      <t xml:space="preserve">A vector of length 6 of crop prices corresponding to crop specified in the </t>
    </r>
    <r>
      <rPr>
        <b/>
        <sz val="11"/>
        <color theme="1"/>
        <rFont val="Calibri"/>
        <family val="2"/>
      </rPr>
      <t>crops</t>
    </r>
    <r>
      <rPr>
        <sz val="11"/>
        <color theme="1"/>
        <rFont val="Calibri"/>
        <family val="2"/>
      </rPr>
      <t xml:space="preserve"> vector</t>
    </r>
  </si>
  <si>
    <r>
      <t xml:space="preserve">A vector of length 6 of crop yields corresponding to crop specified in the </t>
    </r>
    <r>
      <rPr>
        <b/>
        <sz val="11"/>
        <color theme="1"/>
        <rFont val="Calibri"/>
        <family val="2"/>
      </rPr>
      <t>crops</t>
    </r>
    <r>
      <rPr>
        <sz val="11"/>
        <color theme="1"/>
        <rFont val="Calibri"/>
        <family val="2"/>
      </rPr>
      <t xml:space="preserve"> vector (if using the "estimate" option for yield, cropyield can be "NA")</t>
    </r>
  </si>
  <si>
    <r>
      <t xml:space="preserve">A vector of length 6 of seed prices corresponding to crop specified in the </t>
    </r>
    <r>
      <rPr>
        <b/>
        <sz val="11"/>
        <color theme="1"/>
        <rFont val="Calibri"/>
        <family val="2"/>
      </rPr>
      <t>crops</t>
    </r>
    <r>
      <rPr>
        <sz val="11"/>
        <color theme="1"/>
        <rFont val="Calibri"/>
        <family val="2"/>
      </rPr>
      <t xml:space="preserve"> vector (see 'Crop Data' sheet)</t>
    </r>
  </si>
  <si>
    <r>
      <t xml:space="preserve">A vector of length 6 of herbicide prices corresponding to herbicide rates specified in the </t>
    </r>
    <r>
      <rPr>
        <b/>
        <sz val="11"/>
        <color theme="1"/>
        <rFont val="Calibri"/>
        <family val="2"/>
      </rPr>
      <t>bgherbdose</t>
    </r>
    <r>
      <rPr>
        <sz val="11"/>
        <color theme="1"/>
        <rFont val="Calibri"/>
        <family val="2"/>
      </rPr>
      <t xml:space="preserve"> vector (see 'Crop Data' sheet)</t>
    </r>
  </si>
  <si>
    <r>
      <t xml:space="preserve">A vector of length 6 of herbicide prices corresponding to glyphosate rates specified in the </t>
    </r>
    <r>
      <rPr>
        <b/>
        <sz val="11"/>
        <color theme="1"/>
        <rFont val="Calibri"/>
        <family val="2"/>
      </rPr>
      <t>glyphosatedose</t>
    </r>
    <r>
      <rPr>
        <sz val="11"/>
        <color theme="1"/>
        <rFont val="Calibri"/>
        <family val="2"/>
      </rPr>
      <t xml:space="preserve"> vector (see 'Crop Data' sheet)</t>
    </r>
  </si>
  <si>
    <t>Assumption for whether or not farm received Single Farm Payment (SFP); inputs are “yes” or “no” (£/ha) (see 'Soil | Fuel | Labour | Subsidy' sheet for subsidy value)</t>
  </si>
  <si>
    <t>For queries contact a.varah@nhm.ac.uk or alexa@varah.com</t>
  </si>
  <si>
    <t>Last updated 9th September 2023. Prices used are from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</si>
</sst>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x14ac:knownFonts="1">
    <font>
      <sz val="12"/>
      <color theme="1"/>
      <name val="Calibri"/>
      <family val="2"/>
      <scheme val="minor"/>
    </font>
    <font>
      <sz val="11"/>
      <color theme="1"/>
      <name val="Calibri"/>
      <family val="2"/>
      <scheme val="minor"/>
    </font>
    <font>
      <sz val="11"/>
      <color theme="1"/>
      <name val="Cambria"/>
      <family val="1"/>
    </font>
    <font>
      <b/>
      <sz val="10"/>
      <color indexed="81"/>
      <name val="Calibri"/>
      <family val="2"/>
    </font>
    <font>
      <sz val="10"/>
      <color indexed="81"/>
      <name val="Calibri"/>
      <family val="2"/>
    </font>
    <font>
      <sz val="9"/>
      <color theme="1"/>
      <name val="Calibri"/>
      <family val="2"/>
    </font>
    <font>
      <sz val="12"/>
      <color theme="1"/>
      <name val="Calibri"/>
      <family val="2"/>
    </font>
    <font>
      <sz val="10"/>
      <color indexed="81"/>
      <name val="Courier New"/>
      <family val="3"/>
    </font>
    <font>
      <i/>
      <sz val="10"/>
      <color indexed="81"/>
      <name val="Calibri"/>
      <family val="2"/>
    </font>
    <font>
      <b/>
      <sz val="11"/>
      <color theme="1"/>
      <name val="Calibri"/>
      <family val="2"/>
    </font>
    <font>
      <sz val="11"/>
      <color theme="1"/>
      <name val="Calibri"/>
      <family val="2"/>
    </font>
    <font>
      <b/>
      <u/>
      <sz val="12"/>
      <color rgb="FFC00000"/>
      <name val="Calibri"/>
      <family val="2"/>
    </font>
    <font>
      <b/>
      <u/>
      <sz val="11"/>
      <color rgb="FF0432FF"/>
      <name val="Calibri"/>
      <family val="2"/>
    </font>
    <font>
      <b/>
      <sz val="11"/>
      <color rgb="FF0432FF"/>
      <name val="Calibri"/>
      <family val="2"/>
    </font>
    <font>
      <sz val="11"/>
      <color rgb="FFC00000"/>
      <name val="Calibri"/>
      <family val="2"/>
    </font>
    <font>
      <sz val="11"/>
      <color rgb="FFFF0000"/>
      <name val="Calibri"/>
      <family val="2"/>
    </font>
    <font>
      <b/>
      <u/>
      <sz val="11"/>
      <color rgb="FFC00000"/>
      <name val="Calibri"/>
      <family val="2"/>
    </font>
    <font>
      <sz val="11"/>
      <color theme="9" tint="0.79998168889431442"/>
      <name val="Calibri"/>
      <family val="2"/>
    </font>
    <font>
      <sz val="11"/>
      <name val="Calibri"/>
      <family val="2"/>
    </font>
    <font>
      <b/>
      <u/>
      <sz val="11"/>
      <color rgb="FFFF0000"/>
      <name val="Calibri"/>
      <family val="2"/>
    </font>
    <font>
      <sz val="11"/>
      <color rgb="FF0432FF"/>
      <name val="Calibri"/>
      <family val="2"/>
    </font>
    <font>
      <u/>
      <sz val="12"/>
      <color theme="10"/>
      <name val="Calibri"/>
      <family val="2"/>
      <scheme val="minor"/>
    </font>
    <font>
      <sz val="11"/>
      <color rgb="FFC00000"/>
      <name val="Calibri"/>
      <family val="2"/>
      <scheme val="minor"/>
    </font>
    <font>
      <sz val="11"/>
      <color theme="1"/>
      <name val="Calibri"/>
      <family val="2"/>
      <scheme val="minor"/>
    </font>
    <font>
      <sz val="11"/>
      <name val="Calibri"/>
      <family val="2"/>
      <scheme val="minor"/>
    </font>
    <font>
      <b/>
      <sz val="11"/>
      <color rgb="FFC00000"/>
      <name val="Calibri"/>
      <family val="2"/>
      <scheme val="minor"/>
    </font>
    <font>
      <b/>
      <u/>
      <sz val="11"/>
      <color rgb="FFC00000"/>
      <name val="Calibri"/>
      <family val="2"/>
      <scheme val="minor"/>
    </font>
    <font>
      <b/>
      <u/>
      <sz val="11"/>
      <color rgb="FF0432FF"/>
      <name val="Calibri"/>
      <family val="2"/>
      <scheme val="minor"/>
    </font>
    <font>
      <b/>
      <sz val="11"/>
      <color rgb="FFFF0000"/>
      <name val="Calibri"/>
      <family val="2"/>
    </font>
    <font>
      <vertAlign val="superscript"/>
      <sz val="11"/>
      <color theme="1"/>
      <name val="Cambria"/>
      <family val="1"/>
    </font>
    <font>
      <b/>
      <sz val="11"/>
      <color theme="0"/>
      <name val="Calibri"/>
      <family val="2"/>
      <scheme val="minor"/>
    </font>
    <font>
      <sz val="11"/>
      <color theme="0"/>
      <name val="Calibri"/>
      <family val="2"/>
      <scheme val="minor"/>
    </font>
    <font>
      <b/>
      <sz val="11"/>
      <color theme="0"/>
      <name val="Calibri"/>
      <family val="2"/>
    </font>
    <font>
      <b/>
      <vertAlign val="superscript"/>
      <sz val="11"/>
      <color theme="0"/>
      <name val="Calibri"/>
      <family val="2"/>
    </font>
    <font>
      <b/>
      <u/>
      <sz val="12"/>
      <color theme="9" tint="-0.499984740745262"/>
      <name val="Calibri"/>
      <family val="2"/>
    </font>
    <font>
      <sz val="11"/>
      <color theme="9" tint="-0.499984740745262"/>
      <name val="Calibri"/>
      <family val="2"/>
    </font>
    <font>
      <b/>
      <sz val="12"/>
      <color theme="9" tint="-0.499984740745262"/>
      <name val="Calibri"/>
      <family val="2"/>
    </font>
    <font>
      <sz val="11"/>
      <color theme="0"/>
      <name val="Calibri"/>
      <family val="2"/>
    </font>
    <font>
      <sz val="12"/>
      <color theme="9" tint="-0.499984740745262"/>
      <name val="Calibri"/>
      <family val="2"/>
    </font>
    <font>
      <b/>
      <sz val="12"/>
      <color theme="9" tint="-0.499984740745262"/>
      <name val="Calibri"/>
      <family val="2"/>
      <scheme val="minor"/>
    </font>
    <font>
      <sz val="11"/>
      <color theme="9" tint="-0.499984740745262"/>
      <name val="Calibri"/>
      <family val="2"/>
      <scheme val="minor"/>
    </font>
    <font>
      <b/>
      <vertAlign val="superscript"/>
      <sz val="11"/>
      <color theme="9" tint="-0.499984740745262"/>
      <name val="Calibri"/>
      <family val="2"/>
      <scheme val="minor"/>
    </font>
    <font>
      <b/>
      <u/>
      <sz val="11"/>
      <color theme="9" tint="-0.499984740745262"/>
      <name val="Calibri"/>
      <family val="2"/>
      <scheme val="minor"/>
    </font>
    <font>
      <u/>
      <sz val="11"/>
      <color theme="9" tint="-0.499984740745262"/>
      <name val="Calibri"/>
      <family val="2"/>
      <scheme val="minor"/>
    </font>
    <font>
      <i/>
      <sz val="11"/>
      <color theme="9" tint="-0.499984740745262"/>
      <name val="Calibri"/>
      <family val="2"/>
      <scheme val="minor"/>
    </font>
    <font>
      <b/>
      <u/>
      <sz val="12"/>
      <color theme="9" tint="-0.499984740745262"/>
      <name val="Calibri"/>
      <family val="2"/>
      <scheme val="minor"/>
    </font>
    <font>
      <b/>
      <sz val="11"/>
      <color theme="9" tint="-0.499984740745262"/>
      <name val="Calibri"/>
      <family val="2"/>
      <scheme val="minor"/>
    </font>
    <font>
      <sz val="10"/>
      <color theme="9" tint="-0.499984740745262"/>
      <name val="Calibri"/>
      <family val="2"/>
      <scheme val="minor"/>
    </font>
    <font>
      <b/>
      <sz val="12"/>
      <color theme="0"/>
      <name val="Calibri"/>
      <family val="2"/>
    </font>
    <font>
      <i/>
      <sz val="11"/>
      <color theme="0"/>
      <name val="Calibri"/>
      <family val="2"/>
    </font>
    <font>
      <b/>
      <sz val="11"/>
      <color theme="9" tint="-0.499984740745262"/>
      <name val="Calibri"/>
      <family val="2"/>
    </font>
    <font>
      <vertAlign val="superscript"/>
      <sz val="11"/>
      <color theme="9" tint="-0.499984740745262"/>
      <name val="Calibri"/>
      <family val="2"/>
    </font>
    <font>
      <sz val="10"/>
      <color theme="9" tint="-0.499984740745262"/>
      <name val="Calibri"/>
      <family val="2"/>
    </font>
    <font>
      <b/>
      <sz val="10"/>
      <color theme="9" tint="-0.499984740745262"/>
      <name val="Calibri"/>
      <family val="2"/>
    </font>
    <font>
      <b/>
      <sz val="10"/>
      <color theme="1"/>
      <name val="Calibri"/>
      <family val="2"/>
      <scheme val="minor"/>
    </font>
    <font>
      <sz val="9"/>
      <color theme="9" tint="-0.499984740745262"/>
      <name val="Calibri"/>
      <family val="2"/>
      <scheme val="minor"/>
    </font>
    <font>
      <b/>
      <sz val="9"/>
      <color theme="9" tint="-0.499984740745262"/>
      <name val="Calibri"/>
      <family val="2"/>
      <scheme val="minor"/>
    </font>
    <font>
      <u/>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ECF5E7"/>
        <bgColor indexed="64"/>
      </patternFill>
    </fill>
  </fills>
  <borders count="18">
    <border>
      <left/>
      <right/>
      <top/>
      <bottom/>
      <diagonal/>
    </border>
    <border>
      <left/>
      <right/>
      <top/>
      <bottom style="thick">
        <color theme="0"/>
      </bottom>
      <diagonal/>
    </border>
    <border>
      <left/>
      <right style="thick">
        <color theme="0"/>
      </right>
      <top/>
      <bottom/>
      <diagonal/>
    </border>
    <border>
      <left/>
      <right style="thick">
        <color theme="0"/>
      </right>
      <top/>
      <bottom style="thick">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right style="thick">
        <color theme="0"/>
      </right>
      <top style="thick">
        <color theme="0"/>
      </top>
      <bottom style="thin">
        <color theme="0"/>
      </bottom>
      <diagonal/>
    </border>
    <border>
      <left/>
      <right style="thick">
        <color theme="0"/>
      </right>
      <top style="thick">
        <color theme="0"/>
      </top>
      <bottom/>
      <diagonal/>
    </border>
    <border>
      <left/>
      <right style="thick">
        <color theme="0"/>
      </right>
      <top/>
      <bottom style="thin">
        <color theme="0"/>
      </bottom>
      <diagonal/>
    </border>
    <border>
      <left style="thick">
        <color theme="0"/>
      </left>
      <right/>
      <top/>
      <bottom style="thin">
        <color theme="0"/>
      </bottom>
      <diagonal/>
    </border>
    <border>
      <left/>
      <right/>
      <top/>
      <bottom style="thin">
        <color theme="0"/>
      </bottom>
      <diagonal/>
    </border>
    <border>
      <left style="thick">
        <color theme="0"/>
      </left>
      <right/>
      <top/>
      <bottom style="thick">
        <color theme="0"/>
      </bottom>
      <diagonal/>
    </border>
    <border>
      <left style="thick">
        <color theme="0"/>
      </left>
      <right style="thick">
        <color theme="0"/>
      </right>
      <top/>
      <bottom style="thick">
        <color theme="0"/>
      </bottom>
      <diagonal/>
    </border>
    <border>
      <left/>
      <right/>
      <top style="thin">
        <color theme="0"/>
      </top>
      <bottom style="thick">
        <color theme="0"/>
      </bottom>
      <diagonal/>
    </border>
    <border>
      <left style="thick">
        <color theme="0"/>
      </left>
      <right/>
      <top style="thin">
        <color theme="0"/>
      </top>
      <bottom style="thick">
        <color theme="0"/>
      </bottom>
      <diagonal/>
    </border>
    <border>
      <left/>
      <right/>
      <top style="thick">
        <color theme="0"/>
      </top>
      <bottom style="thin">
        <color theme="0"/>
      </bottom>
      <diagonal/>
    </border>
    <border>
      <left/>
      <right/>
      <top style="thin">
        <color theme="0"/>
      </top>
      <bottom/>
      <diagonal/>
    </border>
  </borders>
  <cellStyleXfs count="2">
    <xf numFmtId="0" fontId="0" fillId="0" borderId="0"/>
    <xf numFmtId="0" fontId="21" fillId="0" borderId="0" applyNumberFormat="0" applyFill="0" applyBorder="0" applyAlignment="0" applyProtection="0"/>
  </cellStyleXfs>
  <cellXfs count="225">
    <xf numFmtId="0" fontId="0" fillId="0" borderId="0" xfId="0"/>
    <xf numFmtId="1" fontId="10" fillId="2" borderId="0" xfId="0" applyNumberFormat="1" applyFont="1" applyFill="1" applyAlignment="1">
      <alignment horizontal="left"/>
    </xf>
    <xf numFmtId="0" fontId="10" fillId="2" borderId="0" xfId="0" applyFont="1" applyFill="1"/>
    <xf numFmtId="0" fontId="10" fillId="2" borderId="0" xfId="0" applyFont="1" applyFill="1" applyAlignment="1">
      <alignment vertical="center"/>
    </xf>
    <xf numFmtId="1" fontId="9" fillId="2" borderId="0" xfId="0" applyNumberFormat="1" applyFont="1" applyFill="1" applyAlignment="1">
      <alignment horizontal="left"/>
    </xf>
    <xf numFmtId="0" fontId="10" fillId="2" borderId="0" xfId="0" applyFont="1" applyFill="1" applyAlignment="1">
      <alignment horizontal="left" vertical="top" wrapText="1"/>
    </xf>
    <xf numFmtId="0" fontId="16" fillId="2" borderId="0" xfId="0" applyFont="1" applyFill="1"/>
    <xf numFmtId="0" fontId="10" fillId="0" borderId="0" xfId="0" applyFont="1"/>
    <xf numFmtId="0" fontId="10" fillId="5" borderId="2" xfId="0" applyFont="1" applyFill="1" applyBorder="1" applyAlignment="1">
      <alignment vertical="center"/>
    </xf>
    <xf numFmtId="0" fontId="10" fillId="5" borderId="0" xfId="0" applyFont="1" applyFill="1" applyAlignment="1">
      <alignment horizontal="right" vertical="center"/>
    </xf>
    <xf numFmtId="0" fontId="10" fillId="6" borderId="0" xfId="0" applyFont="1" applyFill="1"/>
    <xf numFmtId="0" fontId="10" fillId="6" borderId="0" xfId="0" applyFont="1" applyFill="1" applyAlignment="1">
      <alignment vertical="center"/>
    </xf>
    <xf numFmtId="0" fontId="10" fillId="5" borderId="5" xfId="0" applyFont="1" applyFill="1" applyBorder="1"/>
    <xf numFmtId="0" fontId="10" fillId="5" borderId="6" xfId="0" applyFont="1" applyFill="1" applyBorder="1"/>
    <xf numFmtId="0" fontId="18" fillId="5" borderId="5" xfId="0" applyFont="1" applyFill="1" applyBorder="1" applyAlignment="1">
      <alignment wrapText="1"/>
    </xf>
    <xf numFmtId="0" fontId="10" fillId="5" borderId="10" xfId="0" applyFont="1" applyFill="1" applyBorder="1"/>
    <xf numFmtId="0" fontId="10" fillId="5" borderId="11" xfId="0" applyFont="1" applyFill="1" applyBorder="1"/>
    <xf numFmtId="0" fontId="10" fillId="5" borderId="6" xfId="0" applyFont="1" applyFill="1" applyBorder="1" applyAlignment="1">
      <alignment horizontal="right"/>
    </xf>
    <xf numFmtId="0" fontId="10" fillId="5" borderId="11" xfId="0" applyFont="1" applyFill="1" applyBorder="1" applyAlignment="1">
      <alignment horizontal="right"/>
    </xf>
    <xf numFmtId="0" fontId="10" fillId="5" borderId="7" xfId="0" applyFont="1" applyFill="1" applyBorder="1"/>
    <xf numFmtId="0" fontId="10" fillId="5" borderId="4" xfId="0" applyFont="1" applyFill="1" applyBorder="1"/>
    <xf numFmtId="0" fontId="32" fillId="4" borderId="3" xfId="0" applyFont="1" applyFill="1" applyBorder="1"/>
    <xf numFmtId="0" fontId="32" fillId="4" borderId="3" xfId="0" applyFont="1" applyFill="1" applyBorder="1" applyAlignment="1">
      <alignment vertical="top" wrapText="1"/>
    </xf>
    <xf numFmtId="0" fontId="6" fillId="6" borderId="0" xfId="0" applyFont="1" applyFill="1"/>
    <xf numFmtId="0" fontId="14" fillId="6" borderId="0" xfId="0" applyFont="1" applyFill="1" applyAlignment="1">
      <alignment vertical="top" wrapText="1"/>
    </xf>
    <xf numFmtId="0" fontId="6" fillId="6" borderId="0" xfId="0" applyFont="1" applyFill="1" applyAlignment="1">
      <alignment horizontal="right"/>
    </xf>
    <xf numFmtId="0" fontId="36" fillId="2" borderId="0" xfId="0" applyFont="1" applyFill="1"/>
    <xf numFmtId="0" fontId="10" fillId="5" borderId="9" xfId="0" applyFont="1" applyFill="1" applyBorder="1"/>
    <xf numFmtId="0" fontId="35" fillId="2" borderId="0" xfId="0" applyFont="1" applyFill="1" applyAlignment="1">
      <alignment horizontal="left" vertical="top"/>
    </xf>
    <xf numFmtId="0" fontId="20" fillId="2" borderId="0" xfId="0" applyFont="1" applyFill="1" applyAlignment="1">
      <alignment vertical="top"/>
    </xf>
    <xf numFmtId="0" fontId="20" fillId="6" borderId="0" xfId="0" applyFont="1" applyFill="1" applyAlignment="1">
      <alignment vertical="top"/>
    </xf>
    <xf numFmtId="0" fontId="35" fillId="2" borderId="0" xfId="0" applyFont="1" applyFill="1" applyAlignment="1">
      <alignment vertical="top"/>
    </xf>
    <xf numFmtId="0" fontId="10" fillId="6" borderId="0" xfId="0" applyFont="1" applyFill="1" applyAlignment="1">
      <alignment vertical="top"/>
    </xf>
    <xf numFmtId="0" fontId="32" fillId="4" borderId="1" xfId="0" applyFont="1" applyFill="1" applyBorder="1"/>
    <xf numFmtId="0" fontId="32" fillId="4" borderId="3" xfId="0" applyFont="1" applyFill="1" applyBorder="1" applyAlignment="1">
      <alignment vertical="center"/>
    </xf>
    <xf numFmtId="0" fontId="32" fillId="4" borderId="1" xfId="0" applyFont="1" applyFill="1" applyBorder="1" applyAlignment="1">
      <alignment vertical="center"/>
    </xf>
    <xf numFmtId="0" fontId="6" fillId="6" borderId="0" xfId="0" applyFont="1" applyFill="1" applyAlignment="1">
      <alignment vertical="center"/>
    </xf>
    <xf numFmtId="0" fontId="12" fillId="0" borderId="0" xfId="0" applyFont="1"/>
    <xf numFmtId="0" fontId="14" fillId="0" borderId="0" xfId="0" applyFont="1"/>
    <xf numFmtId="0" fontId="13" fillId="0" borderId="0" xfId="0" applyFont="1"/>
    <xf numFmtId="0" fontId="9" fillId="0" borderId="0" xfId="0" applyFont="1"/>
    <xf numFmtId="1" fontId="10" fillId="0" borderId="0" xfId="0" applyNumberFormat="1" applyFont="1" applyAlignment="1">
      <alignment horizontal="left"/>
    </xf>
    <xf numFmtId="0" fontId="6" fillId="0" borderId="0" xfId="0" applyFont="1"/>
    <xf numFmtId="0" fontId="36" fillId="0" borderId="0" xfId="0" applyFont="1"/>
    <xf numFmtId="0" fontId="34" fillId="0" borderId="0" xfId="0" applyFont="1"/>
    <xf numFmtId="0" fontId="38" fillId="0" borderId="0" xfId="0" applyFont="1"/>
    <xf numFmtId="0" fontId="15" fillId="0" borderId="0" xfId="0" applyFont="1" applyAlignment="1">
      <alignment horizontal="left"/>
    </xf>
    <xf numFmtId="0" fontId="37" fillId="0" borderId="0" xfId="0" applyFont="1"/>
    <xf numFmtId="0" fontId="32" fillId="4" borderId="1" xfId="0" applyFont="1" applyFill="1" applyBorder="1" applyAlignment="1">
      <alignment wrapText="1"/>
    </xf>
    <xf numFmtId="1" fontId="10" fillId="5" borderId="11" xfId="0" applyNumberFormat="1" applyFont="1" applyFill="1" applyBorder="1" applyAlignment="1">
      <alignment horizontal="left"/>
    </xf>
    <xf numFmtId="1" fontId="10" fillId="5" borderId="6" xfId="0" applyNumberFormat="1" applyFont="1" applyFill="1" applyBorder="1" applyAlignment="1">
      <alignment horizontal="left"/>
    </xf>
    <xf numFmtId="0" fontId="10" fillId="4" borderId="1" xfId="0" applyFont="1" applyFill="1" applyBorder="1"/>
    <xf numFmtId="0" fontId="18" fillId="5" borderId="4" xfId="0" applyFont="1" applyFill="1" applyBorder="1" applyAlignment="1">
      <alignment wrapText="1"/>
    </xf>
    <xf numFmtId="0" fontId="0" fillId="6" borderId="0" xfId="0" applyFill="1"/>
    <xf numFmtId="0" fontId="14" fillId="6" borderId="0" xfId="0" applyFont="1" applyFill="1"/>
    <xf numFmtId="0" fontId="23" fillId="5" borderId="11" xfId="0" applyFont="1" applyFill="1" applyBorder="1"/>
    <xf numFmtId="0" fontId="23" fillId="5" borderId="6" xfId="0" applyFont="1" applyFill="1" applyBorder="1"/>
    <xf numFmtId="0" fontId="23" fillId="5" borderId="9" xfId="0" applyFont="1" applyFill="1" applyBorder="1"/>
    <xf numFmtId="0" fontId="23" fillId="5" borderId="4" xfId="0" applyFont="1" applyFill="1" applyBorder="1"/>
    <xf numFmtId="0" fontId="2" fillId="6" borderId="0" xfId="0" applyFont="1" applyFill="1"/>
    <xf numFmtId="0" fontId="30" fillId="4" borderId="3" xfId="0" applyFont="1" applyFill="1" applyBorder="1"/>
    <xf numFmtId="0" fontId="30" fillId="4" borderId="1" xfId="0" applyFont="1" applyFill="1" applyBorder="1"/>
    <xf numFmtId="0" fontId="30" fillId="4" borderId="1" xfId="0" applyFont="1" applyFill="1" applyBorder="1" applyAlignment="1">
      <alignment horizontal="right"/>
    </xf>
    <xf numFmtId="0" fontId="30" fillId="4" borderId="3" xfId="0" applyFont="1" applyFill="1" applyBorder="1" applyAlignment="1">
      <alignment vertical="center"/>
    </xf>
    <xf numFmtId="0" fontId="30" fillId="4" borderId="1" xfId="0" applyFont="1" applyFill="1" applyBorder="1" applyAlignment="1">
      <alignment vertical="center"/>
    </xf>
    <xf numFmtId="0" fontId="30" fillId="4" borderId="1" xfId="0" applyFont="1" applyFill="1" applyBorder="1" applyAlignment="1">
      <alignment horizontal="right" vertical="center"/>
    </xf>
    <xf numFmtId="0" fontId="39" fillId="0" borderId="0" xfId="0" applyFont="1"/>
    <xf numFmtId="0" fontId="45" fillId="0" borderId="0" xfId="0" applyFont="1"/>
    <xf numFmtId="0" fontId="23" fillId="0" borderId="0" xfId="0" applyFont="1"/>
    <xf numFmtId="0" fontId="46" fillId="0" borderId="0" xfId="0" applyFont="1"/>
    <xf numFmtId="0" fontId="40" fillId="0" borderId="0" xfId="0" applyFont="1"/>
    <xf numFmtId="0" fontId="22" fillId="0" borderId="0" xfId="0" applyFont="1" applyAlignment="1">
      <alignment horizontal="right"/>
    </xf>
    <xf numFmtId="0" fontId="25" fillId="0" borderId="0" xfId="0" applyFont="1"/>
    <xf numFmtId="0" fontId="39" fillId="0" borderId="0" xfId="0" applyFont="1" applyAlignment="1">
      <alignment vertical="center"/>
    </xf>
    <xf numFmtId="0" fontId="26" fillId="0" borderId="0" xfId="0" applyFont="1"/>
    <xf numFmtId="0" fontId="22" fillId="0" borderId="0" xfId="0" applyFont="1"/>
    <xf numFmtId="0" fontId="24" fillId="0" borderId="0" xfId="0" applyFont="1"/>
    <xf numFmtId="1" fontId="23" fillId="0" borderId="0" xfId="0" applyNumberFormat="1" applyFont="1"/>
    <xf numFmtId="164" fontId="23" fillId="0" borderId="0" xfId="0" applyNumberFormat="1" applyFont="1"/>
    <xf numFmtId="0" fontId="43" fillId="0" borderId="0" xfId="0" applyFont="1"/>
    <xf numFmtId="0" fontId="27" fillId="0" borderId="0" xfId="0" applyFont="1"/>
    <xf numFmtId="0" fontId="30" fillId="4" borderId="1" xfId="0" applyFont="1" applyFill="1" applyBorder="1" applyAlignment="1">
      <alignment horizontal="left"/>
    </xf>
    <xf numFmtId="0" fontId="31" fillId="4" borderId="1" xfId="0" applyFont="1" applyFill="1" applyBorder="1"/>
    <xf numFmtId="0" fontId="24" fillId="5" borderId="4" xfId="0" applyFont="1" applyFill="1" applyBorder="1"/>
    <xf numFmtId="0" fontId="23" fillId="6" borderId="0" xfId="0" applyFont="1" applyFill="1"/>
    <xf numFmtId="0" fontId="40" fillId="6" borderId="0" xfId="0" applyFont="1" applyFill="1"/>
    <xf numFmtId="2" fontId="23" fillId="0" borderId="0" xfId="0" applyNumberFormat="1" applyFont="1"/>
    <xf numFmtId="0" fontId="47" fillId="0" borderId="0" xfId="0" applyFont="1" applyAlignment="1">
      <alignment vertical="center"/>
    </xf>
    <xf numFmtId="164" fontId="23" fillId="5" borderId="5" xfId="0" applyNumberFormat="1" applyFont="1" applyFill="1" applyBorder="1"/>
    <xf numFmtId="0" fontId="24" fillId="5" borderId="11" xfId="0" applyFont="1" applyFill="1" applyBorder="1"/>
    <xf numFmtId="0" fontId="30" fillId="4" borderId="12" xfId="0" applyFont="1" applyFill="1" applyBorder="1" applyAlignment="1">
      <alignment horizontal="right" wrapText="1"/>
    </xf>
    <xf numFmtId="2" fontId="23" fillId="5" borderId="6" xfId="0" applyNumberFormat="1" applyFont="1" applyFill="1" applyBorder="1" applyAlignment="1">
      <alignment horizontal="right"/>
    </xf>
    <xf numFmtId="2" fontId="23" fillId="5" borderId="6" xfId="0" quotePrefix="1" applyNumberFormat="1" applyFont="1" applyFill="1" applyBorder="1" applyAlignment="1">
      <alignment horizontal="right"/>
    </xf>
    <xf numFmtId="2" fontId="23" fillId="5" borderId="6" xfId="0" applyNumberFormat="1" applyFont="1" applyFill="1" applyBorder="1"/>
    <xf numFmtId="0" fontId="23" fillId="0" borderId="11" xfId="0" applyFont="1" applyBorder="1"/>
    <xf numFmtId="0" fontId="23" fillId="0" borderId="6" xfId="0" applyFont="1" applyBorder="1"/>
    <xf numFmtId="2" fontId="23" fillId="0" borderId="6" xfId="0" applyNumberFormat="1" applyFont="1" applyBorder="1"/>
    <xf numFmtId="2" fontId="23" fillId="0" borderId="6" xfId="0" applyNumberFormat="1" applyFont="1" applyBorder="1" applyAlignment="1">
      <alignment horizontal="right"/>
    </xf>
    <xf numFmtId="0" fontId="46" fillId="0" borderId="6" xfId="0" applyFont="1" applyBorder="1"/>
    <xf numFmtId="0" fontId="30" fillId="4" borderId="6" xfId="0" applyFont="1" applyFill="1" applyBorder="1" applyAlignment="1">
      <alignment horizontal="right" vertical="center"/>
    </xf>
    <xf numFmtId="0" fontId="32" fillId="4" borderId="1" xfId="0" applyFont="1" applyFill="1" applyBorder="1" applyAlignment="1">
      <alignment horizontal="right" vertical="top" wrapText="1"/>
    </xf>
    <xf numFmtId="0" fontId="47" fillId="0" borderId="0" xfId="1" applyFont="1" applyAlignment="1">
      <alignment horizontal="center" vertical="center"/>
    </xf>
    <xf numFmtId="0" fontId="40" fillId="8" borderId="0" xfId="0" applyFont="1" applyFill="1" applyAlignment="1">
      <alignment horizontal="left"/>
    </xf>
    <xf numFmtId="0" fontId="43" fillId="8" borderId="0" xfId="1" applyFont="1" applyFill="1"/>
    <xf numFmtId="0" fontId="46" fillId="8" borderId="0" xfId="0" applyFont="1" applyFill="1"/>
    <xf numFmtId="0" fontId="42" fillId="8" borderId="0" xfId="0" applyFont="1" applyFill="1"/>
    <xf numFmtId="0" fontId="42" fillId="8" borderId="0" xfId="1" applyFont="1" applyFill="1"/>
    <xf numFmtId="0" fontId="43" fillId="8" borderId="0" xfId="0" applyFont="1" applyFill="1"/>
    <xf numFmtId="0" fontId="35" fillId="0" borderId="0" xfId="0" applyFont="1"/>
    <xf numFmtId="0" fontId="32" fillId="4" borderId="14" xfId="0" applyFont="1" applyFill="1" applyBorder="1" applyAlignment="1">
      <alignment horizontal="right"/>
    </xf>
    <xf numFmtId="0" fontId="36" fillId="2" borderId="0" xfId="0" applyFont="1" applyFill="1" applyAlignment="1">
      <alignment vertical="center"/>
    </xf>
    <xf numFmtId="0" fontId="17" fillId="0" borderId="0" xfId="0" applyFont="1"/>
    <xf numFmtId="3" fontId="10" fillId="0" borderId="0" xfId="0" applyNumberFormat="1" applyFont="1"/>
    <xf numFmtId="0" fontId="10" fillId="5" borderId="15" xfId="0" applyFont="1" applyFill="1" applyBorder="1"/>
    <xf numFmtId="0" fontId="10" fillId="5" borderId="14" xfId="0" applyFont="1" applyFill="1" applyBorder="1"/>
    <xf numFmtId="0" fontId="2" fillId="0" borderId="0" xfId="0" applyFont="1"/>
    <xf numFmtId="0" fontId="6" fillId="0" borderId="0" xfId="0" applyFont="1" applyAlignment="1">
      <alignment horizontal="right"/>
    </xf>
    <xf numFmtId="0" fontId="35" fillId="0" borderId="0" xfId="0" applyFont="1" applyAlignment="1">
      <alignment wrapText="1"/>
    </xf>
    <xf numFmtId="0" fontId="35" fillId="0" borderId="0" xfId="0" applyFont="1" applyAlignment="1">
      <alignment vertical="top" wrapText="1"/>
    </xf>
    <xf numFmtId="0" fontId="38" fillId="0" borderId="0" xfId="0" applyFont="1" applyAlignment="1">
      <alignment horizontal="right"/>
    </xf>
    <xf numFmtId="0" fontId="14" fillId="0" borderId="0" xfId="0" applyFont="1" applyAlignment="1">
      <alignment wrapText="1"/>
    </xf>
    <xf numFmtId="0" fontId="14" fillId="0" borderId="0" xfId="0" applyFont="1" applyAlignment="1">
      <alignment vertical="top" wrapText="1"/>
    </xf>
    <xf numFmtId="0" fontId="6"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4" borderId="1" xfId="0" applyFont="1" applyFill="1" applyBorder="1" applyAlignment="1">
      <alignment horizontal="right" vertical="center"/>
    </xf>
    <xf numFmtId="0" fontId="32" fillId="4" borderId="1" xfId="0" applyFont="1" applyFill="1" applyBorder="1" applyAlignment="1">
      <alignment horizontal="right"/>
    </xf>
    <xf numFmtId="1" fontId="32" fillId="6" borderId="0" xfId="0" applyNumberFormat="1" applyFont="1" applyFill="1" applyAlignment="1">
      <alignment horizontal="left" vertical="center"/>
    </xf>
    <xf numFmtId="0" fontId="37" fillId="6" borderId="0" xfId="0" applyFont="1" applyFill="1" applyAlignment="1">
      <alignment vertical="center"/>
    </xf>
    <xf numFmtId="0" fontId="48" fillId="6" borderId="0" xfId="0" applyFont="1" applyFill="1" applyAlignment="1">
      <alignment vertical="center"/>
    </xf>
    <xf numFmtId="1" fontId="32" fillId="4" borderId="0" xfId="0" applyNumberFormat="1" applyFont="1" applyFill="1" applyAlignment="1">
      <alignment horizontal="left" vertical="center"/>
    </xf>
    <xf numFmtId="0" fontId="37" fillId="4" borderId="0" xfId="0" applyFont="1" applyFill="1" applyAlignment="1">
      <alignment vertical="center"/>
    </xf>
    <xf numFmtId="1" fontId="37" fillId="4" borderId="0" xfId="0" applyNumberFormat="1" applyFont="1" applyFill="1" applyAlignment="1">
      <alignment horizontal="left" vertical="center"/>
    </xf>
    <xf numFmtId="1" fontId="50" fillId="5" borderId="0" xfId="0" applyNumberFormat="1" applyFont="1" applyFill="1" applyAlignment="1">
      <alignment horizontal="left" vertical="center"/>
    </xf>
    <xf numFmtId="0" fontId="35" fillId="5" borderId="0" xfId="0" applyFont="1" applyFill="1" applyAlignment="1">
      <alignment vertical="center"/>
    </xf>
    <xf numFmtId="0" fontId="35" fillId="5" borderId="0" xfId="0" applyFont="1" applyFill="1"/>
    <xf numFmtId="0" fontId="40" fillId="5" borderId="0" xfId="0" quotePrefix="1" applyFont="1" applyFill="1" applyAlignment="1">
      <alignment horizontal="left" vertical="top"/>
    </xf>
    <xf numFmtId="0" fontId="35" fillId="5" borderId="0" xfId="0" applyFont="1" applyFill="1" applyAlignment="1">
      <alignment horizontal="left" vertical="top"/>
    </xf>
    <xf numFmtId="0" fontId="40" fillId="5" borderId="0" xfId="0" applyFont="1" applyFill="1" applyAlignment="1">
      <alignment horizontal="left" vertical="top"/>
    </xf>
    <xf numFmtId="0" fontId="40" fillId="5" borderId="0" xfId="0" applyFont="1" applyFill="1" applyAlignment="1">
      <alignment horizontal="center"/>
    </xf>
    <xf numFmtId="1" fontId="35" fillId="5" borderId="0" xfId="0" applyNumberFormat="1" applyFont="1" applyFill="1" applyAlignment="1">
      <alignment horizontal="left"/>
    </xf>
    <xf numFmtId="0" fontId="32" fillId="4" borderId="0" xfId="0" applyFont="1" applyFill="1"/>
    <xf numFmtId="0" fontId="10" fillId="5" borderId="0" xfId="0" applyFont="1" applyFill="1"/>
    <xf numFmtId="0" fontId="10" fillId="5" borderId="0" xfId="0" applyFont="1" applyFill="1" applyAlignment="1">
      <alignment horizontal="right"/>
    </xf>
    <xf numFmtId="0" fontId="32" fillId="4" borderId="0" xfId="0" applyFont="1" applyFill="1" applyAlignment="1">
      <alignment horizontal="right"/>
    </xf>
    <xf numFmtId="0" fontId="18" fillId="0" borderId="0" xfId="0" applyFont="1"/>
    <xf numFmtId="0" fontId="19" fillId="0" borderId="0" xfId="0" applyFont="1"/>
    <xf numFmtId="0" fontId="10" fillId="0" borderId="0" xfId="0" applyFont="1" applyAlignment="1">
      <alignment vertical="top"/>
    </xf>
    <xf numFmtId="0" fontId="10" fillId="0" borderId="0" xfId="0" applyFont="1" applyAlignment="1">
      <alignment vertical="center"/>
    </xf>
    <xf numFmtId="0" fontId="23" fillId="3" borderId="4" xfId="0" applyFont="1" applyFill="1" applyBorder="1"/>
    <xf numFmtId="0" fontId="23" fillId="3" borderId="6" xfId="0" applyFont="1" applyFill="1" applyBorder="1"/>
    <xf numFmtId="0" fontId="24" fillId="3" borderId="6" xfId="0" applyFont="1" applyFill="1" applyBorder="1"/>
    <xf numFmtId="0" fontId="11" fillId="0" borderId="0" xfId="0" applyFont="1"/>
    <xf numFmtId="0" fontId="28" fillId="0" borderId="0" xfId="0" applyFont="1"/>
    <xf numFmtId="0" fontId="15" fillId="0" borderId="0" xfId="0" applyFont="1" applyAlignment="1">
      <alignment vertical="center"/>
    </xf>
    <xf numFmtId="0" fontId="10" fillId="0" borderId="0" xfId="0" applyFont="1" applyAlignment="1">
      <alignment horizontal="left"/>
    </xf>
    <xf numFmtId="0" fontId="32" fillId="4" borderId="0" xfId="0" applyFont="1" applyFill="1" applyAlignment="1">
      <alignment horizontal="justify" vertical="center" wrapText="1"/>
    </xf>
    <xf numFmtId="0" fontId="10" fillId="5" borderId="11" xfId="0" applyFont="1" applyFill="1" applyBorder="1" applyAlignment="1">
      <alignment horizontal="justify" vertical="center" wrapText="1"/>
    </xf>
    <xf numFmtId="0" fontId="10" fillId="5" borderId="6" xfId="0" applyFont="1" applyFill="1" applyBorder="1" applyAlignment="1">
      <alignment horizontal="justify" vertical="center" wrapText="1"/>
    </xf>
    <xf numFmtId="0" fontId="10" fillId="5" borderId="6" xfId="0" applyFont="1" applyFill="1" applyBorder="1" applyAlignment="1">
      <alignment vertical="center"/>
    </xf>
    <xf numFmtId="0" fontId="35" fillId="6" borderId="0" xfId="0" applyFont="1" applyFill="1"/>
    <xf numFmtId="0" fontId="35" fillId="5" borderId="0" xfId="0" applyFont="1" applyFill="1" applyAlignment="1">
      <alignment vertical="top" wrapText="1"/>
    </xf>
    <xf numFmtId="0" fontId="35" fillId="5" borderId="0" xfId="0" applyFont="1" applyFill="1" applyAlignment="1">
      <alignment vertical="top"/>
    </xf>
    <xf numFmtId="0" fontId="1" fillId="3" borderId="4" xfId="0" applyFont="1" applyFill="1" applyBorder="1"/>
    <xf numFmtId="1" fontId="10" fillId="6" borderId="0" xfId="0" applyNumberFormat="1" applyFont="1" applyFill="1" applyAlignment="1">
      <alignment horizontal="left"/>
    </xf>
    <xf numFmtId="0" fontId="54" fillId="6" borderId="0" xfId="0" applyFont="1" applyFill="1" applyAlignment="1">
      <alignment horizontal="justify" vertical="center"/>
    </xf>
    <xf numFmtId="0" fontId="37" fillId="4" borderId="1" xfId="0" applyFont="1" applyFill="1" applyBorder="1" applyAlignment="1">
      <alignment horizontal="justify" vertical="center" wrapText="1"/>
    </xf>
    <xf numFmtId="0" fontId="10" fillId="5" borderId="16" xfId="0" applyFont="1" applyFill="1" applyBorder="1" applyAlignment="1">
      <alignment horizontal="justify" vertical="center" wrapText="1"/>
    </xf>
    <xf numFmtId="0" fontId="55" fillId="0" borderId="0" xfId="0" applyFont="1" applyAlignment="1">
      <alignment vertical="top"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left" vertical="center" wrapText="1"/>
    </xf>
    <xf numFmtId="164" fontId="23" fillId="5" borderId="10" xfId="0" applyNumberFormat="1" applyFont="1" applyFill="1" applyBorder="1"/>
    <xf numFmtId="0" fontId="35" fillId="0" borderId="0" xfId="0" applyFont="1" applyAlignment="1">
      <alignment horizontal="left" wrapText="1"/>
    </xf>
    <xf numFmtId="0" fontId="18" fillId="5" borderId="11" xfId="0" applyFont="1" applyFill="1" applyBorder="1"/>
    <xf numFmtId="0" fontId="18" fillId="5" borderId="6" xfId="0" applyFont="1" applyFill="1" applyBorder="1"/>
    <xf numFmtId="2" fontId="18" fillId="5" borderId="6" xfId="0" applyNumberFormat="1" applyFont="1" applyFill="1" applyBorder="1"/>
    <xf numFmtId="2" fontId="24" fillId="5" borderId="6" xfId="0" applyNumberFormat="1" applyFont="1" applyFill="1" applyBorder="1"/>
    <xf numFmtId="1" fontId="18" fillId="5" borderId="6" xfId="0" applyNumberFormat="1" applyFont="1" applyFill="1" applyBorder="1"/>
    <xf numFmtId="0" fontId="18" fillId="5" borderId="6" xfId="0" quotePrefix="1" applyFont="1" applyFill="1" applyBorder="1" applyAlignment="1">
      <alignment horizontal="right"/>
    </xf>
    <xf numFmtId="1" fontId="18" fillId="5" borderId="14" xfId="0" applyNumberFormat="1" applyFont="1" applyFill="1" applyBorder="1"/>
    <xf numFmtId="0" fontId="18" fillId="5" borderId="14" xfId="0" applyFont="1" applyFill="1" applyBorder="1"/>
    <xf numFmtId="2" fontId="18" fillId="5" borderId="11" xfId="0" applyNumberFormat="1" applyFont="1" applyFill="1" applyBorder="1"/>
    <xf numFmtId="1" fontId="24" fillId="5" borderId="6" xfId="0" applyNumberFormat="1" applyFont="1" applyFill="1" applyBorder="1"/>
    <xf numFmtId="0" fontId="57" fillId="5" borderId="6" xfId="1" applyFont="1" applyFill="1" applyBorder="1"/>
    <xf numFmtId="0" fontId="57" fillId="5" borderId="0" xfId="1" applyFont="1" applyFill="1"/>
    <xf numFmtId="0" fontId="35" fillId="0" borderId="0" xfId="0" quotePrefix="1" applyFont="1"/>
    <xf numFmtId="0" fontId="37" fillId="4" borderId="0" xfId="0" applyFont="1" applyFill="1" applyAlignment="1">
      <alignment horizontal="left" vertical="center" wrapText="1"/>
    </xf>
    <xf numFmtId="0" fontId="15" fillId="2" borderId="0" xfId="0" applyFont="1" applyFill="1" applyAlignment="1">
      <alignment horizontal="left" vertical="top" wrapText="1"/>
    </xf>
    <xf numFmtId="0" fontId="35" fillId="5" borderId="0" xfId="0" applyFont="1" applyFill="1" applyAlignment="1">
      <alignment horizontal="left" vertical="top" wrapText="1"/>
    </xf>
    <xf numFmtId="0" fontId="10" fillId="5" borderId="6" xfId="0" applyFont="1" applyFill="1" applyBorder="1" applyAlignment="1">
      <alignment horizontal="left" vertical="center" wrapText="1"/>
    </xf>
    <xf numFmtId="0" fontId="32" fillId="4" borderId="0" xfId="0" applyFont="1" applyFill="1" applyAlignment="1">
      <alignment horizontal="left" vertical="center" wrapText="1"/>
    </xf>
    <xf numFmtId="0" fontId="10" fillId="5" borderId="11" xfId="0" applyFont="1" applyFill="1" applyBorder="1" applyAlignment="1">
      <alignment horizontal="left" vertical="center" wrapText="1"/>
    </xf>
    <xf numFmtId="0" fontId="10" fillId="5" borderId="6" xfId="0" applyFont="1" applyFill="1" applyBorder="1" applyAlignment="1">
      <alignment horizontal="justify" vertical="center" wrapText="1"/>
    </xf>
    <xf numFmtId="0" fontId="10" fillId="5" borderId="6" xfId="0" applyFont="1" applyFill="1" applyBorder="1"/>
    <xf numFmtId="0" fontId="10" fillId="5" borderId="11" xfId="0" applyFont="1" applyFill="1" applyBorder="1" applyAlignment="1">
      <alignment horizontal="left" vertical="center"/>
    </xf>
    <xf numFmtId="0" fontId="10" fillId="5" borderId="6" xfId="0" applyFont="1" applyFill="1" applyBorder="1" applyAlignment="1">
      <alignment horizontal="left" vertical="center"/>
    </xf>
    <xf numFmtId="0" fontId="52" fillId="0" borderId="0" xfId="0" applyFont="1" applyAlignment="1">
      <alignment horizontal="left" wrapText="1"/>
    </xf>
    <xf numFmtId="0" fontId="5" fillId="0" borderId="0" xfId="0" applyFont="1" applyAlignment="1">
      <alignment horizontal="left" vertical="center" wrapText="1"/>
    </xf>
    <xf numFmtId="0" fontId="32" fillId="7" borderId="2" xfId="0" applyFont="1" applyFill="1" applyBorder="1" applyAlignment="1">
      <alignment horizontal="center" vertical="center" textRotation="90"/>
    </xf>
    <xf numFmtId="0" fontId="32" fillId="7" borderId="3" xfId="0" applyFont="1" applyFill="1" applyBorder="1" applyAlignment="1">
      <alignment horizontal="center" vertical="center" textRotation="90"/>
    </xf>
    <xf numFmtId="0" fontId="32" fillId="7" borderId="8" xfId="0" applyFont="1" applyFill="1" applyBorder="1" applyAlignment="1">
      <alignment horizontal="center" vertical="center" textRotation="90"/>
    </xf>
    <xf numFmtId="0" fontId="32" fillId="7" borderId="9" xfId="0" applyFont="1" applyFill="1" applyBorder="1" applyAlignment="1">
      <alignment horizontal="center" vertical="center" textRotation="90"/>
    </xf>
    <xf numFmtId="0" fontId="35" fillId="0" borderId="0" xfId="0" applyFont="1" applyAlignment="1">
      <alignment horizontal="left" wrapText="1"/>
    </xf>
    <xf numFmtId="0" fontId="35" fillId="0" borderId="0" xfId="0" applyFont="1" applyAlignment="1">
      <alignment horizontal="left" vertical="top" wrapText="1"/>
    </xf>
    <xf numFmtId="0" fontId="32" fillId="4" borderId="13" xfId="0" applyFont="1" applyFill="1" applyBorder="1" applyAlignment="1">
      <alignment horizontal="center" vertical="center"/>
    </xf>
    <xf numFmtId="0" fontId="32" fillId="4" borderId="12" xfId="0" applyFont="1" applyFill="1" applyBorder="1" applyAlignment="1">
      <alignment horizontal="center" vertical="center"/>
    </xf>
    <xf numFmtId="0" fontId="24" fillId="5" borderId="6" xfId="0" applyFont="1" applyFill="1" applyBorder="1" applyAlignment="1">
      <alignment horizontal="left" wrapText="1"/>
    </xf>
    <xf numFmtId="0" fontId="30" fillId="4" borderId="0" xfId="0" applyFont="1" applyFill="1" applyAlignment="1">
      <alignment vertical="center"/>
    </xf>
    <xf numFmtId="0" fontId="30" fillId="4" borderId="11" xfId="0" applyFont="1" applyFill="1" applyBorder="1" applyAlignment="1">
      <alignment vertical="center"/>
    </xf>
    <xf numFmtId="0" fontId="30" fillId="4" borderId="11" xfId="0" applyFont="1" applyFill="1" applyBorder="1" applyAlignment="1">
      <alignment horizontal="center" vertical="center"/>
    </xf>
    <xf numFmtId="0" fontId="31" fillId="4" borderId="6" xfId="0" applyFont="1" applyFill="1" applyBorder="1" applyAlignment="1">
      <alignment vertical="center"/>
    </xf>
    <xf numFmtId="0" fontId="31" fillId="4" borderId="11" xfId="0" applyFont="1" applyFill="1" applyBorder="1" applyAlignment="1">
      <alignment horizontal="center" vertical="center"/>
    </xf>
    <xf numFmtId="0" fontId="30" fillId="4" borderId="6" xfId="0" applyFont="1" applyFill="1" applyBorder="1" applyAlignment="1">
      <alignment horizontal="center" vertical="center"/>
    </xf>
    <xf numFmtId="0" fontId="31" fillId="4" borderId="6" xfId="0" applyFont="1" applyFill="1" applyBorder="1" applyAlignment="1">
      <alignment horizontal="center" vertical="center"/>
    </xf>
    <xf numFmtId="0" fontId="30" fillId="4" borderId="6" xfId="0" applyFont="1" applyFill="1" applyBorder="1" applyAlignment="1">
      <alignment horizontal="left" vertical="center"/>
    </xf>
    <xf numFmtId="0" fontId="32" fillId="4" borderId="11" xfId="0" applyFont="1" applyFill="1" applyBorder="1" applyAlignment="1">
      <alignment horizontal="center"/>
    </xf>
    <xf numFmtId="0" fontId="48" fillId="4" borderId="11" xfId="0" applyFont="1" applyFill="1" applyBorder="1" applyAlignment="1">
      <alignment horizontal="center"/>
    </xf>
    <xf numFmtId="0" fontId="32" fillId="4" borderId="11" xfId="0" applyFont="1" applyFill="1" applyBorder="1"/>
    <xf numFmtId="0" fontId="48" fillId="4" borderId="14" xfId="0" applyFont="1" applyFill="1" applyBorder="1"/>
    <xf numFmtId="0" fontId="32" fillId="4" borderId="0" xfId="0" applyFont="1" applyFill="1" applyAlignment="1">
      <alignment horizontal="justify" vertical="center"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center" vertical="center" wrapText="1"/>
    </xf>
    <xf numFmtId="0" fontId="55" fillId="0" borderId="17" xfId="0" applyFont="1" applyBorder="1" applyAlignment="1">
      <alignment horizontal="left" vertical="top" wrapText="1"/>
    </xf>
    <xf numFmtId="0" fontId="55" fillId="0" borderId="0" xfId="0" applyFont="1" applyAlignment="1">
      <alignment horizontal="left" vertical="top" wrapText="1"/>
    </xf>
    <xf numFmtId="0" fontId="35" fillId="2" borderId="0" xfId="0" applyFont="1" applyFill="1" applyAlignment="1">
      <alignment horizontal="left" vertical="top" wrapText="1"/>
    </xf>
  </cellXfs>
  <cellStyles count="2">
    <cellStyle name="Hyperlink" xfId="1" builtinId="8"/>
    <cellStyle name="Normal" xfId="0" builtinId="0"/>
  </cellStyles>
  <dxfs count="6">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general" vertical="center" textRotation="0" wrapText="0" indent="0" justifyLastLine="0" shrinkToFit="0" readingOrder="0"/>
      <border diagonalUp="0" diagonalDown="0" outline="0">
        <left/>
        <right style="thick">
          <color theme="0"/>
        </right>
        <top/>
        <bottom/>
      </border>
    </dxf>
    <dxf>
      <fill>
        <patternFill patternType="solid">
          <fgColor indexed="64"/>
          <bgColor theme="9" tint="0.59999389629810485"/>
        </patternFill>
      </fill>
    </dxf>
    <dxf>
      <border outline="0">
        <bottom style="thick">
          <color theme="0"/>
        </bottom>
      </border>
    </dxf>
    <dxf>
      <font>
        <strike val="0"/>
        <outline val="0"/>
        <shadow val="0"/>
        <u val="none"/>
        <sz val="11"/>
        <color theme="0"/>
        <name val="Calibri"/>
        <family val="2"/>
        <scheme val="none"/>
      </font>
      <fill>
        <patternFill patternType="solid">
          <fgColor indexed="64"/>
          <bgColor theme="9" tint="-0.249977111117893"/>
        </patternFill>
      </fill>
      <alignment vertical="top" textRotation="0" indent="0" justifyLastLine="0" shrinkToFit="0" readingOrder="0"/>
    </dxf>
  </dxfs>
  <tableStyles count="0" defaultTableStyle="TableStyleMedium9" defaultPivotStyle="PivotStyleMedium7"/>
  <colors>
    <mruColors>
      <color rgb="FF3E6129"/>
      <color rgb="FF446A2C"/>
      <color rgb="FFECF5E7"/>
      <color rgb="FF0432FF"/>
      <color rgb="FFFFFA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xdr:col>
      <xdr:colOff>3758</xdr:colOff>
      <xdr:row>3</xdr:row>
      <xdr:rowOff>0</xdr:rowOff>
    </xdr:from>
    <xdr:to>
      <xdr:col>12</xdr:col>
      <xdr:colOff>1</xdr:colOff>
      <xdr:row>46</xdr:row>
      <xdr:rowOff>7315</xdr:rowOff>
    </xdr:to>
    <xdr:grpSp>
      <xdr:nvGrpSpPr>
        <xdr:cNvPr id="25" name="Group 24">
          <a:extLst>
            <a:ext uri="{FF2B5EF4-FFF2-40B4-BE49-F238E27FC236}">
              <a16:creationId xmlns:a16="http://schemas.microsoft.com/office/drawing/2014/main" id="{F0198029-1002-4705-B927-177647ACD6A4}"/>
            </a:ext>
          </a:extLst>
        </xdr:cNvPr>
        <xdr:cNvGrpSpPr/>
      </xdr:nvGrpSpPr>
      <xdr:grpSpPr>
        <a:xfrm>
          <a:off x="1629358" y="508000"/>
          <a:ext cx="6054143" cy="8744915"/>
          <a:chOff x="1448407" y="512063"/>
          <a:chExt cx="6320335" cy="8814817"/>
        </a:xfrm>
      </xdr:grpSpPr>
      <xdr:sp macro="" textlink="">
        <xdr:nvSpPr>
          <xdr:cNvPr id="6" name="Text Box 4">
            <a:extLst>
              <a:ext uri="{FF2B5EF4-FFF2-40B4-BE49-F238E27FC236}">
                <a16:creationId xmlns:a16="http://schemas.microsoft.com/office/drawing/2014/main" id="{58AE2297-2B7D-462D-9064-92BA8E9E51AF}"/>
              </a:ext>
            </a:extLst>
          </xdr:cNvPr>
          <xdr:cNvSpPr txBox="1"/>
        </xdr:nvSpPr>
        <xdr:spPr>
          <a:xfrm>
            <a:off x="1448407" y="512063"/>
            <a:ext cx="2757831" cy="4045279"/>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Assumptions</a:t>
            </a:r>
            <a:endParaRPr lang="en-US" sz="1400"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200">
                <a:solidFill>
                  <a:schemeClr val="bg1"/>
                </a:solidFill>
                <a:effectLst/>
                <a:latin typeface="+mn-lt"/>
                <a:ea typeface="Calibri" charset="0"/>
                <a:cs typeface="Times New Roman" charset="0"/>
              </a:rPr>
              <a:t>See sheet</a:t>
            </a:r>
          </a:p>
          <a:p>
            <a:pPr marL="0" marR="0" algn="ctr">
              <a:spcBef>
                <a:spcPts val="0"/>
              </a:spcBef>
              <a:spcAft>
                <a:spcPts val="0"/>
              </a:spcAft>
            </a:pPr>
            <a:r>
              <a:rPr lang="en-GB" sz="1400">
                <a:solidFill>
                  <a:schemeClr val="bg1"/>
                </a:solidFill>
                <a:effectLst/>
                <a:latin typeface="+mn-lt"/>
                <a:ea typeface="Calibri" charset="0"/>
                <a:cs typeface="Times New Roman" charset="0"/>
              </a:rPr>
              <a:t> </a:t>
            </a:r>
            <a:r>
              <a:rPr lang="en-GB" sz="1200">
                <a:solidFill>
                  <a:schemeClr val="bg1"/>
                </a:solidFill>
                <a:effectLst/>
                <a:latin typeface="+mn-lt"/>
                <a:ea typeface="Calibri" charset="0"/>
                <a:cs typeface="Times New Roman" charset="0"/>
              </a:rPr>
              <a:t>‘Model Details &amp; Assumptions’</a:t>
            </a:r>
            <a:r>
              <a:rPr lang="en-GB" sz="1400">
                <a:solidFill>
                  <a:schemeClr val="bg1"/>
                </a:solidFill>
                <a:effectLst/>
                <a:latin typeface="+mn-lt"/>
                <a:ea typeface="Calibri" charset="0"/>
                <a:cs typeface="Times New Roman" charset="0"/>
              </a:rPr>
              <a:t> </a:t>
            </a:r>
            <a:endParaRPr lang="en-US" sz="1400">
              <a:solidFill>
                <a:schemeClr val="bg1"/>
              </a:solidFill>
              <a:effectLst/>
              <a:latin typeface="+mn-lt"/>
              <a:ea typeface="Calibri" charset="0"/>
              <a:cs typeface="Times New Roman" charset="0"/>
            </a:endParaRPr>
          </a:p>
        </xdr:txBody>
      </xdr:sp>
      <xdr:sp macro="" textlink="">
        <xdr:nvSpPr>
          <xdr:cNvPr id="8" name="Text Box 3">
            <a:extLst>
              <a:ext uri="{FF2B5EF4-FFF2-40B4-BE49-F238E27FC236}">
                <a16:creationId xmlns:a16="http://schemas.microsoft.com/office/drawing/2014/main" id="{EC6AC85C-C02B-4F81-ACE5-B884F2349638}"/>
              </a:ext>
            </a:extLst>
          </xdr:cNvPr>
          <xdr:cNvSpPr txBox="1"/>
        </xdr:nvSpPr>
        <xdr:spPr>
          <a:xfrm>
            <a:off x="4915814" y="512063"/>
            <a:ext cx="2852928" cy="4045278"/>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endParaRPr lang="en-GB" sz="1400" b="1" cap="small"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Inputs</a:t>
            </a:r>
          </a:p>
          <a:p>
            <a:pPr marL="0" marR="0" algn="just">
              <a:spcBef>
                <a:spcPts val="0"/>
              </a:spcBef>
              <a:spcAft>
                <a:spcPts val="0"/>
              </a:spcAft>
            </a:pPr>
            <a:endParaRPr lang="en-US" sz="900" spc="80" baseline="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Soil type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types</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Length of rotation/ rotation probability</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Tillage practice methods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delayed sowing</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Herbicide/Glyphosate dose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Number of Sprays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Subsidy payment</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Level of black-grass infestation</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yield data input</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Machine sizes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Fuel price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Hourly labour wage</a:t>
            </a:r>
            <a:endParaRPr lang="en-US" sz="1100">
              <a:solidFill>
                <a:schemeClr val="bg1"/>
              </a:solidFill>
              <a:effectLst/>
              <a:latin typeface="+mn-lt"/>
              <a:ea typeface="Calibri" charset="0"/>
              <a:cs typeface="Times New Roman" charset="0"/>
            </a:endParaRPr>
          </a:p>
          <a:p>
            <a:pPr marL="0" marR="0" algn="just">
              <a:spcBef>
                <a:spcPts val="0"/>
              </a:spcBef>
              <a:spcAft>
                <a:spcPts val="0"/>
              </a:spcAft>
            </a:pPr>
            <a:r>
              <a:rPr lang="en-GB" sz="1100">
                <a:solidFill>
                  <a:schemeClr val="bg1"/>
                </a:solidFill>
                <a:effectLst/>
                <a:latin typeface="+mn-lt"/>
                <a:ea typeface="Calibri" charset="0"/>
                <a:cs typeface="Times New Roman" charset="0"/>
              </a:rPr>
              <a:t> </a:t>
            </a:r>
            <a:endParaRPr lang="en-US" sz="1100">
              <a:solidFill>
                <a:schemeClr val="bg1"/>
              </a:solidFill>
              <a:effectLst/>
              <a:latin typeface="+mn-lt"/>
              <a:ea typeface="Calibri" charset="0"/>
              <a:cs typeface="Times New Roman" charset="0"/>
            </a:endParaRPr>
          </a:p>
        </xdr:txBody>
      </xdr:sp>
      <xdr:sp macro="" textlink="">
        <xdr:nvSpPr>
          <xdr:cNvPr id="9" name="Rectangle 8">
            <a:extLst>
              <a:ext uri="{FF2B5EF4-FFF2-40B4-BE49-F238E27FC236}">
                <a16:creationId xmlns:a16="http://schemas.microsoft.com/office/drawing/2014/main" id="{B4B349F7-7966-426D-8DA6-5E86ED3875E3}"/>
              </a:ext>
            </a:extLst>
          </xdr:cNvPr>
          <xdr:cNvSpPr/>
        </xdr:nvSpPr>
        <xdr:spPr>
          <a:xfrm>
            <a:off x="3313791" y="4820717"/>
            <a:ext cx="2514600" cy="1865629"/>
          </a:xfrm>
          <a:prstGeom prst="rect">
            <a:avLst/>
          </a:prstGeom>
          <a:solidFill>
            <a:schemeClr val="accent6">
              <a:lumMod val="50000"/>
            </a:schemeClr>
          </a:solidFill>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endParaRPr lang="en-US"/>
          </a:p>
        </xdr:txBody>
      </xdr:sp>
      <xdr:sp macro="" textlink="">
        <xdr:nvSpPr>
          <xdr:cNvPr id="10" name="Magnetic Disk 9">
            <a:extLst>
              <a:ext uri="{FF2B5EF4-FFF2-40B4-BE49-F238E27FC236}">
                <a16:creationId xmlns:a16="http://schemas.microsoft.com/office/drawing/2014/main" id="{6B3DF8C6-20DB-48B4-BC7B-B91D2B7E281D}"/>
              </a:ext>
            </a:extLst>
          </xdr:cNvPr>
          <xdr:cNvSpPr/>
        </xdr:nvSpPr>
        <xdr:spPr>
          <a:xfrm>
            <a:off x="3650289" y="5208421"/>
            <a:ext cx="1828165" cy="1034415"/>
          </a:xfrm>
          <a:prstGeom prst="flowChartMagneticDisk">
            <a:avLst/>
          </a:prstGeom>
          <a:solidFill>
            <a:schemeClr val="accent6">
              <a:lumMod val="75000"/>
            </a:schemeClr>
          </a:solidFill>
        </xdr:spPr>
        <xdr:style>
          <a:lnRef idx="3">
            <a:schemeClr val="lt1"/>
          </a:lnRef>
          <a:fillRef idx="1">
            <a:schemeClr val="accent3"/>
          </a:fillRef>
          <a:effectRef idx="1">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11" name="Text Box 6">
            <a:extLst>
              <a:ext uri="{FF2B5EF4-FFF2-40B4-BE49-F238E27FC236}">
                <a16:creationId xmlns:a16="http://schemas.microsoft.com/office/drawing/2014/main" id="{365552F5-7D2C-457E-8E01-7582C8CF63F5}"/>
              </a:ext>
            </a:extLst>
          </xdr:cNvPr>
          <xdr:cNvSpPr txBox="1"/>
        </xdr:nvSpPr>
        <xdr:spPr>
          <a:xfrm>
            <a:off x="3313791" y="4820717"/>
            <a:ext cx="2504440" cy="341629"/>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latin typeface="+mn-lt"/>
                <a:ea typeface="Calibri" charset="0"/>
                <a:cs typeface="Times New Roman" charset="0"/>
              </a:rPr>
              <a:t>BGRI-ECOMOD</a:t>
            </a:r>
            <a:endParaRPr lang="en-US" sz="1400" spc="80" baseline="0">
              <a:solidFill>
                <a:schemeClr val="bg1"/>
              </a:solidFill>
              <a:effectLst/>
              <a:latin typeface="+mn-lt"/>
              <a:ea typeface="Calibri" charset="0"/>
              <a:cs typeface="Times New Roman" charset="0"/>
            </a:endParaRPr>
          </a:p>
        </xdr:txBody>
      </xdr:sp>
      <xdr:sp macro="" textlink="">
        <xdr:nvSpPr>
          <xdr:cNvPr id="12" name="Text Box 8">
            <a:extLst>
              <a:ext uri="{FF2B5EF4-FFF2-40B4-BE49-F238E27FC236}">
                <a16:creationId xmlns:a16="http://schemas.microsoft.com/office/drawing/2014/main" id="{E7B16AF3-6903-4951-B44D-19670F5E6FF6}"/>
              </a:ext>
            </a:extLst>
          </xdr:cNvPr>
          <xdr:cNvSpPr txBox="1"/>
        </xdr:nvSpPr>
        <xdr:spPr>
          <a:xfrm>
            <a:off x="3650289" y="5676593"/>
            <a:ext cx="1828800" cy="457200"/>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100" b="1" spc="30" baseline="0">
                <a:solidFill>
                  <a:schemeClr val="bg1"/>
                </a:solidFill>
                <a:effectLst/>
                <a:latin typeface="+mn-lt"/>
                <a:ea typeface="Calibri" charset="0"/>
                <a:cs typeface="Times New Roman" charset="0"/>
              </a:rPr>
              <a:t>Assembled Model</a:t>
            </a:r>
            <a:endParaRPr lang="en-US" sz="1100" spc="30" baseline="0">
              <a:solidFill>
                <a:schemeClr val="bg1"/>
              </a:solidFill>
              <a:effectLst/>
              <a:latin typeface="+mn-lt"/>
              <a:ea typeface="Calibri" charset="0"/>
              <a:cs typeface="Times New Roman" charset="0"/>
            </a:endParaRPr>
          </a:p>
          <a:p>
            <a:pPr marL="0" marR="0" algn="ctr">
              <a:spcBef>
                <a:spcPts val="0"/>
              </a:spcBef>
              <a:spcAft>
                <a:spcPts val="0"/>
              </a:spcAft>
            </a:pPr>
            <a:r>
              <a:rPr lang="en-GB" sz="1100" b="1" spc="30" baseline="0">
                <a:solidFill>
                  <a:schemeClr val="bg1"/>
                </a:solidFill>
                <a:effectLst/>
                <a:latin typeface="+mn-lt"/>
                <a:ea typeface="Calibri" charset="0"/>
                <a:cs typeface="Times New Roman" charset="0"/>
              </a:rPr>
              <a:t>Input Data</a:t>
            </a:r>
            <a:endParaRPr lang="en-US" sz="1100" spc="30" baseline="0">
              <a:solidFill>
                <a:schemeClr val="bg1"/>
              </a:solidFill>
              <a:effectLst/>
              <a:latin typeface="+mn-lt"/>
              <a:ea typeface="Calibri" charset="0"/>
              <a:cs typeface="Times New Roman" charset="0"/>
            </a:endParaRPr>
          </a:p>
        </xdr:txBody>
      </xdr:sp>
      <xdr:sp macro="" textlink="">
        <xdr:nvSpPr>
          <xdr:cNvPr id="14" name="Text Box 6">
            <a:extLst>
              <a:ext uri="{FF2B5EF4-FFF2-40B4-BE49-F238E27FC236}">
                <a16:creationId xmlns:a16="http://schemas.microsoft.com/office/drawing/2014/main" id="{1ACCD9EC-CCBB-40F3-8ABE-8FAF7360DFF6}"/>
              </a:ext>
            </a:extLst>
          </xdr:cNvPr>
          <xdr:cNvSpPr txBox="1"/>
        </xdr:nvSpPr>
        <xdr:spPr>
          <a:xfrm>
            <a:off x="3518610" y="7073798"/>
            <a:ext cx="2099463" cy="2253082"/>
          </a:xfrm>
          <a:prstGeom prst="rect">
            <a:avLst/>
          </a:prstGeom>
          <a:solidFill>
            <a:schemeClr val="accent6">
              <a:lumMod val="75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Output</a:t>
            </a:r>
          </a:p>
          <a:p>
            <a:pPr marL="0" marR="0" algn="ctr">
              <a:spcBef>
                <a:spcPts val="0"/>
              </a:spcBef>
              <a:spcAft>
                <a:spcPts val="0"/>
              </a:spcAft>
            </a:pPr>
            <a:r>
              <a:rPr lang="en-GB" sz="1200">
                <a:solidFill>
                  <a:schemeClr val="bg1"/>
                </a:solidFill>
                <a:latin typeface="+mj-lt"/>
                <a:ea typeface="Calibri" charset="0"/>
                <a:cs typeface="Times New Roman" charset="0"/>
              </a:rPr>
              <a:t>(For different crops)</a:t>
            </a:r>
          </a:p>
          <a:p>
            <a:pPr marL="0" marR="0" algn="ctr">
              <a:spcBef>
                <a:spcPts val="0"/>
              </a:spcBef>
              <a:spcAft>
                <a:spcPts val="0"/>
              </a:spcAft>
            </a:pPr>
            <a:r>
              <a:rPr lang="en-GB" sz="1200">
                <a:solidFill>
                  <a:schemeClr val="bg1"/>
                </a:solidFill>
                <a:latin typeface="+mn-lt"/>
                <a:ea typeface="Calibri" charset="0"/>
                <a:cs typeface="Times New Roman" charset="0"/>
              </a:rPr>
              <a:t>Farm output</a:t>
            </a:r>
          </a:p>
          <a:p>
            <a:pPr marL="0" marR="0" algn="ctr">
              <a:spcBef>
                <a:spcPts val="0"/>
              </a:spcBef>
              <a:spcAft>
                <a:spcPts val="0"/>
              </a:spcAft>
            </a:pPr>
            <a:r>
              <a:rPr lang="en-GB" sz="1200">
                <a:solidFill>
                  <a:schemeClr val="bg1"/>
                </a:solidFill>
                <a:effectLst/>
                <a:latin typeface="+mn-lt"/>
                <a:ea typeface="Calibri" charset="0"/>
                <a:cs typeface="Times New Roman" charset="0"/>
              </a:rPr>
              <a:t>Fertiliser costs</a:t>
            </a:r>
          </a:p>
          <a:p>
            <a:pPr marL="0" marR="0" algn="ctr">
              <a:spcBef>
                <a:spcPts val="0"/>
              </a:spcBef>
              <a:spcAft>
                <a:spcPts val="0"/>
              </a:spcAft>
            </a:pPr>
            <a:r>
              <a:rPr lang="en-GB" sz="1200">
                <a:solidFill>
                  <a:schemeClr val="bg1"/>
                </a:solidFill>
                <a:latin typeface="+mn-lt"/>
                <a:ea typeface="Calibri" charset="0"/>
                <a:cs typeface="Times New Roman" charset="0"/>
              </a:rPr>
              <a:t>Seed cost</a:t>
            </a:r>
          </a:p>
          <a:p>
            <a:pPr marL="0" marR="0" algn="ctr">
              <a:spcBef>
                <a:spcPts val="0"/>
              </a:spcBef>
              <a:spcAft>
                <a:spcPts val="0"/>
              </a:spcAft>
            </a:pPr>
            <a:r>
              <a:rPr lang="en-GB" sz="1200">
                <a:solidFill>
                  <a:schemeClr val="bg1"/>
                </a:solidFill>
                <a:effectLst/>
                <a:latin typeface="+mn-lt"/>
                <a:ea typeface="Calibri" charset="0"/>
                <a:cs typeface="Times New Roman" charset="0"/>
              </a:rPr>
              <a:t>Herbicide cost</a:t>
            </a:r>
          </a:p>
          <a:p>
            <a:pPr marL="0" marR="0" algn="ctr">
              <a:spcBef>
                <a:spcPts val="0"/>
              </a:spcBef>
              <a:spcAft>
                <a:spcPts val="0"/>
              </a:spcAft>
            </a:pPr>
            <a:r>
              <a:rPr lang="en-GB" sz="1200">
                <a:solidFill>
                  <a:schemeClr val="bg1"/>
                </a:solidFill>
                <a:latin typeface="+mn-lt"/>
                <a:ea typeface="Calibri" charset="0"/>
                <a:cs typeface="Times New Roman" charset="0"/>
              </a:rPr>
              <a:t>Gross margin</a:t>
            </a:r>
          </a:p>
          <a:p>
            <a:pPr marL="0" marR="0" algn="ctr">
              <a:spcBef>
                <a:spcPts val="0"/>
              </a:spcBef>
              <a:spcAft>
                <a:spcPts val="0"/>
              </a:spcAft>
            </a:pPr>
            <a:r>
              <a:rPr lang="en-GB" sz="1200">
                <a:solidFill>
                  <a:schemeClr val="bg1"/>
                </a:solidFill>
                <a:latin typeface="+mn-lt"/>
                <a:ea typeface="Calibri" charset="0"/>
                <a:cs typeface="Times New Roman" charset="0"/>
              </a:rPr>
              <a:t>Fuel cost</a:t>
            </a:r>
          </a:p>
          <a:p>
            <a:pPr marL="0" marR="0" algn="ctr">
              <a:spcBef>
                <a:spcPts val="0"/>
              </a:spcBef>
              <a:spcAft>
                <a:spcPts val="0"/>
              </a:spcAft>
            </a:pPr>
            <a:r>
              <a:rPr lang="en-GB" sz="1200">
                <a:solidFill>
                  <a:schemeClr val="bg1"/>
                </a:solidFill>
                <a:effectLst/>
                <a:latin typeface="+mn-lt"/>
                <a:ea typeface="Calibri" charset="0"/>
                <a:cs typeface="Times New Roman" charset="0"/>
              </a:rPr>
              <a:t>Labour cost</a:t>
            </a:r>
          </a:p>
          <a:p>
            <a:pPr marL="0" marR="0" algn="ctr">
              <a:spcBef>
                <a:spcPts val="0"/>
              </a:spcBef>
              <a:spcAft>
                <a:spcPts val="0"/>
              </a:spcAft>
            </a:pPr>
            <a:r>
              <a:rPr lang="en-GB" sz="1200">
                <a:solidFill>
                  <a:schemeClr val="bg1"/>
                </a:solidFill>
                <a:latin typeface="+mn-lt"/>
                <a:ea typeface="Calibri" charset="0"/>
                <a:cs typeface="Times New Roman" charset="0"/>
              </a:rPr>
              <a:t>Gross profit</a:t>
            </a:r>
          </a:p>
          <a:p>
            <a:pPr marL="0" marR="0" algn="ctr">
              <a:spcBef>
                <a:spcPts val="0"/>
              </a:spcBef>
              <a:spcAft>
                <a:spcPts val="0"/>
              </a:spcAft>
            </a:pPr>
            <a:r>
              <a:rPr lang="en-GB" sz="1200">
                <a:solidFill>
                  <a:schemeClr val="bg1"/>
                </a:solidFill>
                <a:latin typeface="+mn-lt"/>
                <a:ea typeface="Calibri" charset="0"/>
                <a:cs typeface="Times New Roman" charset="0"/>
              </a:rPr>
              <a:t>Gross rotation profit</a:t>
            </a:r>
          </a:p>
          <a:p>
            <a:pPr marL="0" marR="0" algn="ctr">
              <a:spcBef>
                <a:spcPts val="0"/>
              </a:spcBef>
              <a:spcAft>
                <a:spcPts val="0"/>
              </a:spcAft>
            </a:pPr>
            <a:endParaRPr lang="en-GB" sz="1100">
              <a:solidFill>
                <a:schemeClr val="bg1"/>
              </a:solidFill>
              <a:latin typeface="+mn-lt"/>
              <a:ea typeface="Calibri" charset="0"/>
              <a:cs typeface="Times New Roman" charset="0"/>
            </a:endParaRPr>
          </a:p>
          <a:p>
            <a:pPr marL="0" marR="0" algn="ctr">
              <a:spcBef>
                <a:spcPts val="0"/>
              </a:spcBef>
              <a:spcAft>
                <a:spcPts val="0"/>
              </a:spcAft>
            </a:pPr>
            <a:r>
              <a:rPr lang="en-GB" sz="1100">
                <a:solidFill>
                  <a:schemeClr val="bg1"/>
                </a:solidFill>
                <a:effectLst/>
                <a:latin typeface="+mn-lt"/>
                <a:ea typeface="Calibri" charset="0"/>
                <a:cs typeface="Times New Roman" charset="0"/>
              </a:rPr>
              <a:t> </a:t>
            </a:r>
          </a:p>
          <a:p>
            <a:pPr marL="0" marR="0" algn="ctr">
              <a:spcBef>
                <a:spcPts val="0"/>
              </a:spcBef>
              <a:spcAft>
                <a:spcPts val="0"/>
              </a:spcAft>
            </a:pPr>
            <a:endParaRPr lang="en-GB" sz="1100">
              <a:solidFill>
                <a:schemeClr val="bg1"/>
              </a:solidFill>
              <a:effectLst/>
              <a:latin typeface="+mn-lt"/>
              <a:ea typeface="Calibri" charset="0"/>
              <a:cs typeface="Times New Roman" charset="0"/>
            </a:endParaRPr>
          </a:p>
          <a:p>
            <a:pPr marL="0" marR="0">
              <a:spcBef>
                <a:spcPts val="0"/>
              </a:spcBef>
              <a:spcAft>
                <a:spcPts val="0"/>
              </a:spcAft>
            </a:pPr>
            <a:endParaRPr lang="en-US" sz="1100">
              <a:solidFill>
                <a:schemeClr val="bg1"/>
              </a:solidFill>
              <a:effectLst/>
              <a:latin typeface="+mn-lt"/>
              <a:ea typeface="Calibri" charset="0"/>
              <a:cs typeface="Times New Roman" charset="0"/>
            </a:endParaRPr>
          </a:p>
        </xdr:txBody>
      </xdr:sp>
      <xdr:grpSp>
        <xdr:nvGrpSpPr>
          <xdr:cNvPr id="2" name="Group 1">
            <a:extLst>
              <a:ext uri="{FF2B5EF4-FFF2-40B4-BE49-F238E27FC236}">
                <a16:creationId xmlns:a16="http://schemas.microsoft.com/office/drawing/2014/main" id="{46F65A67-2192-4764-AC77-A72E49EAA81F}"/>
              </a:ext>
            </a:extLst>
          </xdr:cNvPr>
          <xdr:cNvGrpSpPr/>
        </xdr:nvGrpSpPr>
        <xdr:grpSpPr>
          <a:xfrm>
            <a:off x="2837022" y="4286705"/>
            <a:ext cx="456565" cy="1493190"/>
            <a:chOff x="2829707" y="4389118"/>
            <a:chExt cx="456565" cy="1493190"/>
          </a:xfrm>
        </xdr:grpSpPr>
        <xdr:cxnSp macro="">
          <xdr:nvCxnSpPr>
            <xdr:cNvPr id="15" name="Straight Connector 14">
              <a:extLst>
                <a:ext uri="{FF2B5EF4-FFF2-40B4-BE49-F238E27FC236}">
                  <a16:creationId xmlns:a16="http://schemas.microsoft.com/office/drawing/2014/main" id="{54A86BC7-D1B6-4F5C-892C-68F530E7F3D5}"/>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16" name="Straight Arrow Connector 15">
              <a:extLst>
                <a:ext uri="{FF2B5EF4-FFF2-40B4-BE49-F238E27FC236}">
                  <a16:creationId xmlns:a16="http://schemas.microsoft.com/office/drawing/2014/main" id="{8D529A40-E9C4-45F3-B656-6B79FD3F8348}"/>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grpSp>
        <xdr:nvGrpSpPr>
          <xdr:cNvPr id="18" name="Group 17">
            <a:extLst>
              <a:ext uri="{FF2B5EF4-FFF2-40B4-BE49-F238E27FC236}">
                <a16:creationId xmlns:a16="http://schemas.microsoft.com/office/drawing/2014/main" id="{03BB63EB-6570-463A-A828-179FFBBD1BF3}"/>
              </a:ext>
            </a:extLst>
          </xdr:cNvPr>
          <xdr:cNvGrpSpPr/>
        </xdr:nvGrpSpPr>
        <xdr:grpSpPr>
          <a:xfrm flipH="1">
            <a:off x="5859475" y="4286707"/>
            <a:ext cx="456565" cy="1493190"/>
            <a:chOff x="2829707" y="4389118"/>
            <a:chExt cx="456565" cy="1493190"/>
          </a:xfrm>
        </xdr:grpSpPr>
        <xdr:cxnSp macro="">
          <xdr:nvCxnSpPr>
            <xdr:cNvPr id="19" name="Straight Connector 18">
              <a:extLst>
                <a:ext uri="{FF2B5EF4-FFF2-40B4-BE49-F238E27FC236}">
                  <a16:creationId xmlns:a16="http://schemas.microsoft.com/office/drawing/2014/main" id="{60140E2B-6E7E-4812-AA76-9D81021A7AF2}"/>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90B8B2A7-AD3E-4A36-B930-31474B89095F}"/>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cxnSp macro="">
        <xdr:nvCxnSpPr>
          <xdr:cNvPr id="24" name="Straight Arrow Connector 23">
            <a:extLst>
              <a:ext uri="{FF2B5EF4-FFF2-40B4-BE49-F238E27FC236}">
                <a16:creationId xmlns:a16="http://schemas.microsoft.com/office/drawing/2014/main" id="{D11A8107-F30E-4147-8009-53D4B0BED46F}"/>
              </a:ext>
            </a:extLst>
          </xdr:cNvPr>
          <xdr:cNvCxnSpPr>
            <a:stCxn id="9" idx="2"/>
            <a:endCxn id="14" idx="0"/>
          </xdr:cNvCxnSpPr>
        </xdr:nvCxnSpPr>
        <xdr:spPr>
          <a:xfrm flipH="1">
            <a:off x="4568342" y="6686346"/>
            <a:ext cx="2749" cy="387452"/>
          </a:xfrm>
          <a:prstGeom prst="straightConnector1">
            <a:avLst/>
          </a:prstGeom>
          <a:ln>
            <a:solidFill>
              <a:schemeClr val="accent6">
                <a:lumMod val="50000"/>
              </a:schemeClr>
            </a:solidFill>
            <a:tailEnd type="triangle"/>
          </a:ln>
        </xdr:spPr>
        <xdr:style>
          <a:lnRef idx="2">
            <a:schemeClr val="accent6"/>
          </a:lnRef>
          <a:fillRef idx="0">
            <a:schemeClr val="accent6"/>
          </a:fillRef>
          <a:effectRef idx="1">
            <a:schemeClr val="accent6"/>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rop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Index &amp; Farm Data"/>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cropdata"/>
    </sheetNames>
    <sheetDataSet>
      <sheetData sheetId="0"/>
      <sheetData sheetId="1"/>
      <sheetData sheetId="2"/>
      <sheetData sheetId="3"/>
      <sheetData sheetId="4"/>
      <sheetData sheetId="5">
        <row r="16">
          <cell r="F16">
            <v>0.36</v>
          </cell>
          <cell r="K16">
            <v>0.38</v>
          </cell>
          <cell r="M16">
            <v>7.34</v>
          </cell>
        </row>
      </sheetData>
      <sheetData sheetId="6"/>
      <sheetData sheetId="7"/>
      <sheetData sheetId="8"/>
      <sheetData sheetId="9"/>
      <sheetData sheetId="10"/>
      <sheetData sheetId="11"/>
      <sheetData sheetId="12"/>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2FB4C893-4F8B-42A7-B890-7C3B54E41056}" userId="Alexa Varah" providerId="None"/>
  <person displayName="Alexa Varah" id="{A1ABD1E1-E70A-4E13-BC06-C47A5DAC30C1}" userId="S::Alexa.Varah@ioz.ac.uk::b36d3d10-1a8e-405b-abba-9db04978f55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508BC5-7FC4-473C-B354-0B0267AB5965}" name="Table2" displayName="Table2" ref="C6:E10" totalsRowShown="0" headerRowDxfId="5" dataDxfId="3" headerRowBorderDxfId="4">
  <tableColumns count="3">
    <tableColumn id="1" xr3:uid="{BFF977C6-0E3F-4188-A2B2-4AAA099EE311}" name="Level of Infestation_x000a_(density state)" dataDxfId="2"/>
    <tableColumn id="2" xr3:uid="{B5FBA853-8C34-4E3D-9B5D-36E9D6766023}" name="Blackgrass Density _x000a_(Plants per 400 (20×20) m2)" dataDxfId="1"/>
    <tableColumn id="3" xr3:uid="{2CB9DB1A-054B-475E-BCB0-238A90BD5D93}" name="Reduction in Winter Wheat Yield _x000a_(%)"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0-05-26T14:54:00.23" personId="{2FB4C893-4F8B-42A7-B890-7C3B54E41056}" id="{10DAD4B4-631B-4E67-9359-AA0E464EBE65}">
    <text>Assume winter wheat is for feed.
Fertiliser requirements for winter-sown triticale are the same as for wheat.</text>
  </threadedComment>
  <threadedComment ref="H9" dT="2020-05-26T14:51:04.96" personId="{2FB4C893-4F8B-42A7-B890-7C3B54E41056}" id="{52E4B189-1CAA-465B-B4ED-5F2080D93FA8}">
    <text>Assume winter barley is for feed</text>
  </threadedComment>
  <threadedComment ref="I9" dT="2020-05-26T14:53:33.78" personId="{2FB4C893-4F8B-42A7-B890-7C3B54E41056}" id="{AA575EA5-2B9A-4F7C-B551-5B4963C54D8C}">
    <text>Assume spring barley is for malting</text>
  </threadedComment>
  <threadedComment ref="L9" dT="2020-05-26T15:34:33.91" personId="{2FB4C893-4F8B-42A7-B890-7C3B54E41056}" id="{A8A63996-B22F-4B06-B3EB-7EAB321CC5FB}">
    <text>Assume main crop ware potatoes.</text>
  </threadedComment>
  <threadedComment ref="S9" dT="2020-05-26T14:53:22.46" personId="{2FB4C893-4F8B-42A7-B890-7C3B54E41056}" id="{1B262918-CE06-4CD9-A218-CD567E63CEE1}">
    <text>assume blue peas</text>
  </threadedComment>
  <threadedComment ref="G10" dT="2020-05-26T14:57:32.34" personId="{2FB4C893-4F8B-42A7-B890-7C3B54E41056}" id="{8CA089B2-CAFA-4EC4-BC6A-0B88542823FE}">
    <text>110 kg[N]/ha for spring triticale/ rye/ oats</text>
  </threadedComment>
  <threadedComment ref="L10" dT="2020-05-26T15:20:19.19" personId="{2FB4C893-4F8B-42A7-B890-7C3B54E41056}" id="{E1394BF5-1B7F-445B-B782-832CE7BD8CD7}">
    <text>Assumes the variety determinincy group is 1 or 2, growing season &gt; 60 days. Rough average across these categories.</text>
  </threadedComment>
  <threadedComment ref="Q10" dT="2020-05-26T15:09:49.98" personId="{2FB4C893-4F8B-42A7-B890-7C3B54E41056}" id="{DE20B13D-7D3D-4F2E-A9A9-8B93940EDB89}">
    <text>Rate not given in RB209 so assume the same as for spring linseed.</text>
  </threadedComment>
  <threadedComment ref="F11" dT="2020-08-05T12:36:38.60" personId="{2FB4C893-4F8B-42A7-B890-7C3B54E41056}" id="{C2078CAF-7DFA-42E5-A14C-53344A9A2EC3}">
    <text>RB209 (2020) = 80 kg[P]/ha
ABC 2019 = 70 kg[P]/ha
Nix 2019 = 67 kg[P]/ha for feed wheat
RB209 value: I assumed Soil P index 1 &amp; assumed straw ploughed in / left on field</text>
  </threadedComment>
  <threadedComment ref="G11" dT="2020-05-26T14:48:53.96" personId="{2FB4C893-4F8B-42A7-B890-7C3B54E41056}" id="{FE393BE2-A143-49D9-8BFE-9121AA7647E0}">
    <text>same P requirement for spring triticale/ rye/ oats
RB209 = 80 kg[P]/ha
Nix 2019 = 48 kg[P]/ha 
ABC 2019 = 45 kg[P]/ha</text>
  </threadedComment>
  <threadedComment ref="H11" dT="2020-08-05T12:47:14.55" personId="{2FB4C893-4F8B-42A7-B890-7C3B54E41056}" id="{603A39BC-8D39-4A27-BEBC-9D10452980C4}">
    <text>RB209 = 80 kg[P]/ha
Nix 2019 = 58 kg[P]/ha for winter feed barley</text>
  </threadedComment>
  <threadedComment ref="I11" dT="2020-08-05T12:47:46.05" personId="{2FB4C893-4F8B-42A7-B890-7C3B54E41056}" id="{8CD145BB-08A3-4CF0-ADC3-C5184FFED095}">
    <text>RB209 = 75 kg[P]/ha
Nix 2019 = 44 kg[P]/ha for spring malting barley</text>
  </threadedComment>
  <threadedComment ref="J11" dT="2020-08-05T12:48:10.25" personId="{2FB4C893-4F8B-42A7-B890-7C3B54E41056}" id="{B1D6EC32-A359-4CCC-A27D-072047A5E2FD}">
    <text>RB209 = 70 kg[P]/ha
Nix 2019 = 46 kg[P]/ha</text>
  </threadedComment>
  <threadedComment ref="K11" dT="2020-08-05T12:48:26.09" personId="{2FB4C893-4F8B-42A7-B890-7C3B54E41056}" id="{0B0EDAD3-0358-41BB-BDD2-45298B4068D4}">
    <text>RB209 = 70 kg[P]/ha
Nix 2019 = 43 kg[P]/ha</text>
  </threadedComment>
  <threadedComment ref="L11" dT="2020-08-05T12:49:22.45" personId="{2FB4C893-4F8B-42A7-B890-7C3B54E41056}" id="{062BBF75-AA98-4D62-BCF8-63FF2D79B8C5}">
    <text>RB209 = 210 kg[P]/ha at soil P index of 1
Nix 2019 = 45 kg[P]/ha</text>
  </threadedComment>
  <threadedComment ref="M11" dT="2020-06-03T07:50:44.29" personId="{2FB4C893-4F8B-42A7-B890-7C3B54E41056}" id="{EFEA9CC6-BA83-49CE-867A-8D57440ED26A}">
    <text>RB209 (2020) = 80 kg[P]/ha
ABC 2019 = 55 kg[P]/ha
Nix 2019 = 49 kg[P]/ha
RB209 value: I assumed Soil P index 1 &amp; assumed straw ploughed in / left on field</text>
  </threadedComment>
  <threadedComment ref="N11" dT="2020-08-05T12:53:49.70" personId="{2FB4C893-4F8B-42A7-B890-7C3B54E41056}" id="{4B274C70-E4F6-4AF2-B102-A95E9096E198}">
    <text>RB209 = 60 kg[P]/ha
Nix 2019 = 32 kg[P]/ha</text>
  </threadedComment>
  <threadedComment ref="O11" dT="2020-08-05T12:54:28.67" personId="{2FB4C893-4F8B-42A7-B890-7C3B54E41056}" id="{63573F12-47FE-4E10-A98A-BB206E0CABFA}">
    <text>RB209 = 80 kg[P]/ha
Nix 2019 = 65 kg[P]/ha</text>
  </threadedComment>
  <threadedComment ref="Q11" dT="2020-08-05T12:55:00.73" personId="{2FB4C893-4F8B-42A7-B890-7C3B54E41056}" id="{4807D4AB-E204-42C5-9D4C-0BA3D476D4F5}">
    <text>RB209 = 80 kg[P]/ha
Nix 2019 = 32 kg[P]/ha</text>
  </threadedComment>
  <threadedComment ref="R11" dT="2020-08-05T12:55:57.84" personId="{2FB4C893-4F8B-42A7-B890-7C3B54E41056}" id="{5B812DA4-026F-4EC6-BFE0-1A3833847FC1}">
    <text>RB209 = 60 kg[P]/ha
Nix 2019 = 30 kg[P]/ha</text>
  </threadedComment>
  <threadedComment ref="S11" dT="2020-08-05T12:57:07.18" personId="{2FB4C893-4F8B-42A7-B890-7C3B54E41056}" id="{13CAB7B2-959E-40C2-9138-B2D94ED481D7}">
    <text>RB209 = 70 kg[P]/ha
Nix 2019 = 35 kg[P]/ha</text>
  </threadedComment>
  <threadedComment ref="F12" dT="2020-06-03T07:50:44.29" personId="{2FB4C893-4F8B-42A7-B890-7C3B54E41056}" id="{34D3CBA1-04C5-45C2-BF30-658946C06486}">
    <text>RB209 (2020) = 75 kg[K]/ha
ABC 2019 = 50 kg[K]/ha
Nix 2019 = 48 kg[K]/ha
RB209 value: I assumed Soil K index 1 &amp; assumed straw ploughed in / left on field</text>
  </threadedComment>
  <threadedComment ref="G12" dT="2020-05-26T14:48:56.19" personId="{2FB4C893-4F8B-42A7-B890-7C3B54E41056}" id="{1EDE7212-2CEA-491A-A627-E3C2459789FF}">
    <text>same K requirement for spring triticale/ rye/ oats
RB209 = 65 kg[K]/ha
Nix 2019 = 34 kg[K]/ha
ABC = 30 kg[K]/ha</text>
  </threadedComment>
  <threadedComment ref="H12" dT="2020-08-05T12:39:53.60" personId="{2FB4C893-4F8B-42A7-B890-7C3B54E41056}" id="{11387961-DE99-4A4E-93FE-6C8FA1027E82}">
    <text>RB209 = 65 kg[K]/ha
Nix 2019 = 41 kg[K]/ha for winter feed barley</text>
  </threadedComment>
  <threadedComment ref="I12" dT="2020-08-05T12:40:21.63" personId="{2FB4C893-4F8B-42A7-B890-7C3B54E41056}" id="{0F34F2C8-F02C-4364-86C5-20E0FC3FDAF6}">
    <text>RB209 = 60 kg[K]/ha
Nix 2019 = 32 kg[K]/ha for spring malting barely</text>
  </threadedComment>
  <threadedComment ref="J12" dT="2020-08-05T12:41:00.86" personId="{2FB4C893-4F8B-42A7-B890-7C3B54E41056}" id="{5D29922F-53DB-4B92-8D74-167811FAC78D}">
    <text>RB209 = 70 kg[K]/ha
Nix 2019 = 50 kg[K]/ha</text>
  </threadedComment>
  <threadedComment ref="K12" dT="2020-08-05T12:41:24.09" personId="{2FB4C893-4F8B-42A7-B890-7C3B54E41056}" id="{9A793EA3-0792-41BF-AA3B-1B3A9AED6EC3}">
    <text>RB209 = 70 kg[K]/ha
Nix 2019 = 47 kg[K]/ha</text>
  </threadedComment>
  <threadedComment ref="L12" dT="2020-08-05T12:41:53.06" personId="{2FB4C893-4F8B-42A7-B890-7C3B54E41056}" id="{D3900AFB-90E2-47F8-8ACC-8FBF543A1C42}">
    <text>RB209 = 330 kg[K]/ha at soil P index of 1
Nix 2019 = 261 kg[K]/ha</text>
  </threadedComment>
  <threadedComment ref="M12" dT="2020-06-03T07:50:44.29" personId="{2FB4C893-4F8B-42A7-B890-7C3B54E41056}" id="{27D56CD8-23DE-4E21-8292-95B0CB5D4199}">
    <text>RB209 (2020) = 70 kg[K]/ha
ABC 2019 = 45 kg[K]/ha
Nix 2019 = 39 kg[K]/ha
RB209 value: I assumed Soil K index 1 &amp; assumed straw ploughed in / left on field</text>
  </threadedComment>
  <threadedComment ref="N12" dT="2020-08-05T12:43:00.44" personId="{2FB4C893-4F8B-42A7-B890-7C3B54E41056}" id="{890A06BD-8ED7-40A5-98DA-A23E9F7B61F1}">
    <text>RB209 = 50 kg[K]/ha
Nix 2019 = 25 kg[K]/ha</text>
  </threadedComment>
  <threadedComment ref="O12" dT="2020-08-05T12:43:35.35" personId="{2FB4C893-4F8B-42A7-B890-7C3B54E41056}" id="{2EB1A342-3E83-41EC-9E87-7EF9DD94EEA6}">
    <text>RB209 = 130 kg[K]/ha
Nix 2019 = 131 kg[K]/ha</text>
  </threadedComment>
  <threadedComment ref="Q12" dT="2020-08-05T12:44:06.67" personId="{2FB4C893-4F8B-42A7-B890-7C3B54E41056}" id="{A9FA3C24-9C64-46A7-BD70-67E2720A9554}">
    <text>RB209 = 70 kg[K]/ha
Nix 2019 = 25 kg[K]/ha</text>
  </threadedComment>
  <threadedComment ref="R12" dT="2020-08-05T12:44:24.94" personId="{2FB4C893-4F8B-42A7-B890-7C3B54E41056}" id="{922E1349-5E3E-40D1-BD5F-F4C2AB2F90F1}">
    <text>RB209 = 50 kg[K]/ha
Nix 2019 = 10 kg[K]/ha</text>
  </threadedComment>
  <threadedComment ref="S12" dT="2020-08-05T12:45:02.18" personId="{2FB4C893-4F8B-42A7-B890-7C3B54E41056}" id="{F642071C-0756-4E1A-BE86-BDF2BDF7799F}">
    <text>RB209 = 70 kg[K]/ha
Nix 2019 = 40 kg[K]/ha</text>
  </threadedComment>
  <threadedComment ref="D13" dT="2020-05-26T15:50:24.92" personId="{2FB4C893-4F8B-42A7-B890-7C3B54E41056}" id="{8788EF9A-991A-4ACA-85FF-DE0DE544398D}">
    <text>Ammonium nitrate (domestic) 34.5%N</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0-05-26T07:36:16.81" personId="{2FB4C893-4F8B-42A7-B890-7C3B54E41056}" id="{AFB4F8CD-0D18-4DC2-8B86-5D950FC8C9CE}">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E13" dT="2020-05-26T07:36:16.81" personId="{2FB4C893-4F8B-42A7-B890-7C3B54E41056}" id="{DD2C7350-8326-455E-992A-251674C9AC99}">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F13" dT="2020-05-26T07:36:16.81" personId="{2FB4C893-4F8B-42A7-B890-7C3B54E41056}" id="{45FB2EF9-2203-4EE7-8A9C-B194CF000F3D}">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C20" dT="2020-05-26T07:38:45.54" personId="{2FB4C893-4F8B-42A7-B890-7C3B54E41056}" id="{191BE4B8-184A-446B-8E3B-E2242C194FE3}">
    <text>assume blue peas</text>
  </threadedComment>
  <threadedComment ref="D20" dT="2020-05-26T07:36:16.81" personId="{2FB4C893-4F8B-42A7-B890-7C3B54E41056}" id="{EA0B1140-1283-4FB0-9034-32C99D27F614}">
    <text>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 ref="E20" dT="2020-05-26T07:36:28.64" personId="{2FB4C893-4F8B-42A7-B890-7C3B54E41056}" id="{9FD158FF-9812-4228-93CA-F423357661EB}">
    <text>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s>
</file>

<file path=xl/threadedComments/threadedComment3.xml><?xml version="1.0" encoding="utf-8"?>
<ThreadedComments xmlns="http://schemas.microsoft.com/office/spreadsheetml/2018/threadedcomments" xmlns:x="http://schemas.openxmlformats.org/spreadsheetml/2006/main">
  <threadedComment ref="D6" dT="2020-02-14T09:01:20.93" personId="{A1ABD1E1-E70A-4E13-BC06-C47A5DAC30C1}" id="{376B8AEC-1EA7-4BD9-8310-AA337F3DAC6B}">
    <text>Updated this on 14/02/2020. It was prev 11% but ABC 2019 suggests 10% (compare yields p11 &amp; 12). (For info Nix 2019 says 8%, top page 6)</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uidance/bps-2019" TargetMode="External"/><Relationship Id="rId1" Type="http://schemas.openxmlformats.org/officeDocument/2006/relationships/hyperlink" Target="https://ahdb.org.uk/GB-fertiliser-pri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zoomScale="130" zoomScaleNormal="130" workbookViewId="0">
      <selection activeCell="A74" sqref="A74"/>
    </sheetView>
  </sheetViews>
  <sheetFormatPr baseColWidth="10" defaultColWidth="10.83203125" defaultRowHeight="18" customHeight="1" x14ac:dyDescent="0.2"/>
  <cols>
    <col min="1" max="1" width="8.6640625" style="2" customWidth="1"/>
    <col min="2" max="2" width="3.6640625" style="2" customWidth="1"/>
    <col min="3" max="3" width="6.5" style="1" customWidth="1"/>
    <col min="4" max="4" width="7.33203125" style="2" customWidth="1"/>
    <col min="5" max="15" width="10.83203125" style="2"/>
    <col min="16" max="16" width="3.6640625" style="2" customWidth="1"/>
    <col min="17" max="17" width="8.6640625" style="2" customWidth="1"/>
    <col min="18" max="16384" width="10.83203125" style="2"/>
  </cols>
  <sheetData>
    <row r="1" spans="1:20" ht="8" customHeight="1" x14ac:dyDescent="0.2">
      <c r="A1" s="10"/>
      <c r="B1" s="10"/>
      <c r="C1" s="164"/>
      <c r="D1" s="10"/>
      <c r="E1" s="10"/>
      <c r="F1" s="10"/>
      <c r="G1" s="10"/>
      <c r="H1" s="10"/>
      <c r="I1" s="10"/>
      <c r="J1" s="10"/>
      <c r="K1" s="10"/>
      <c r="L1" s="10"/>
      <c r="M1" s="10"/>
      <c r="N1" s="10"/>
      <c r="O1" s="10"/>
      <c r="P1" s="10"/>
      <c r="Q1" s="10"/>
    </row>
    <row r="2" spans="1:20" ht="8" customHeight="1" x14ac:dyDescent="0.2">
      <c r="A2" s="10"/>
      <c r="Q2" s="10"/>
    </row>
    <row r="3" spans="1:20" s="3" customFormat="1" ht="18" customHeight="1" x14ac:dyDescent="0.2">
      <c r="A3" s="11"/>
      <c r="C3" s="127" t="s">
        <v>360</v>
      </c>
      <c r="D3" s="128"/>
      <c r="E3" s="128"/>
      <c r="F3" s="129" t="s">
        <v>361</v>
      </c>
      <c r="G3" s="129"/>
      <c r="H3" s="129"/>
      <c r="I3" s="128"/>
      <c r="J3" s="128"/>
      <c r="K3" s="128"/>
      <c r="L3" s="128"/>
      <c r="M3" s="128"/>
      <c r="N3" s="128"/>
      <c r="O3" s="128"/>
      <c r="Q3" s="11"/>
    </row>
    <row r="4" spans="1:20" s="3" customFormat="1" ht="18" customHeight="1" x14ac:dyDescent="0.2">
      <c r="A4" s="11"/>
      <c r="C4" s="127" t="s">
        <v>0</v>
      </c>
      <c r="D4" s="128"/>
      <c r="E4" s="128"/>
      <c r="F4" s="128" t="s">
        <v>357</v>
      </c>
      <c r="G4" s="128"/>
      <c r="H4" s="128"/>
      <c r="I4" s="128"/>
      <c r="J4" s="128"/>
      <c r="K4" s="128"/>
      <c r="L4" s="128"/>
      <c r="M4" s="128"/>
      <c r="N4" s="128"/>
      <c r="O4" s="128"/>
      <c r="Q4" s="11"/>
    </row>
    <row r="5" spans="1:20" s="3" customFormat="1" ht="18" customHeight="1" x14ac:dyDescent="0.2">
      <c r="A5" s="11"/>
      <c r="C5" s="127" t="s">
        <v>1</v>
      </c>
      <c r="D5" s="128"/>
      <c r="E5" s="128"/>
      <c r="F5" s="128" t="s">
        <v>491</v>
      </c>
      <c r="G5" s="128"/>
      <c r="H5" s="128"/>
      <c r="I5" s="128"/>
      <c r="J5" s="128"/>
      <c r="K5" s="128"/>
      <c r="L5" s="128"/>
      <c r="M5" s="128"/>
      <c r="N5" s="128"/>
      <c r="O5" s="128"/>
      <c r="Q5" s="11"/>
    </row>
    <row r="6" spans="1:20" s="3" customFormat="1" ht="18" customHeight="1" x14ac:dyDescent="0.2">
      <c r="A6" s="11"/>
      <c r="C6" s="127" t="s">
        <v>358</v>
      </c>
      <c r="D6" s="128"/>
      <c r="E6" s="128"/>
      <c r="F6" s="128" t="s">
        <v>359</v>
      </c>
      <c r="G6" s="128"/>
      <c r="H6" s="128"/>
      <c r="I6" s="128"/>
      <c r="J6" s="128"/>
      <c r="K6" s="128"/>
      <c r="L6" s="128"/>
      <c r="M6" s="128"/>
      <c r="N6" s="128"/>
      <c r="O6" s="128"/>
      <c r="Q6" s="11"/>
    </row>
    <row r="7" spans="1:20" s="3" customFormat="1" ht="18" customHeight="1" x14ac:dyDescent="0.2">
      <c r="A7" s="11"/>
      <c r="C7" s="127" t="s">
        <v>412</v>
      </c>
      <c r="D7" s="128"/>
      <c r="E7" s="128"/>
      <c r="F7" s="128" t="s">
        <v>413</v>
      </c>
      <c r="G7" s="128"/>
      <c r="H7" s="128"/>
      <c r="I7" s="128"/>
      <c r="J7" s="128"/>
      <c r="K7" s="128"/>
      <c r="L7" s="128"/>
      <c r="M7" s="128"/>
      <c r="N7" s="128"/>
      <c r="O7" s="128"/>
      <c r="Q7" s="11"/>
    </row>
    <row r="8" spans="1:20" s="3" customFormat="1" ht="18" customHeight="1" x14ac:dyDescent="0.2">
      <c r="A8" s="11"/>
      <c r="C8" s="127" t="s">
        <v>453</v>
      </c>
      <c r="D8" s="128"/>
      <c r="E8" s="128"/>
      <c r="F8" s="128" t="s">
        <v>490</v>
      </c>
      <c r="G8" s="128"/>
      <c r="H8" s="128"/>
      <c r="I8" s="128"/>
      <c r="J8" s="128"/>
      <c r="K8" s="128"/>
      <c r="L8" s="128"/>
      <c r="M8" s="128"/>
      <c r="N8" s="128"/>
      <c r="O8" s="128"/>
      <c r="Q8" s="11"/>
    </row>
    <row r="9" spans="1:20" ht="8" customHeight="1" x14ac:dyDescent="0.2">
      <c r="A9" s="10"/>
      <c r="C9" s="4"/>
      <c r="Q9" s="10"/>
    </row>
    <row r="10" spans="1:20" s="3" customFormat="1" ht="18" customHeight="1" x14ac:dyDescent="0.2">
      <c r="A10" s="11"/>
      <c r="C10" s="130" t="s">
        <v>2</v>
      </c>
      <c r="D10" s="131"/>
      <c r="E10" s="131"/>
      <c r="F10" s="186" t="s">
        <v>393</v>
      </c>
      <c r="G10" s="186"/>
      <c r="H10" s="186"/>
      <c r="I10" s="186"/>
      <c r="J10" s="186"/>
      <c r="K10" s="186"/>
      <c r="L10" s="186"/>
      <c r="M10" s="186"/>
      <c r="N10" s="186"/>
      <c r="O10" s="131"/>
      <c r="Q10" s="11"/>
    </row>
    <row r="11" spans="1:20" s="3" customFormat="1" ht="23" customHeight="1" x14ac:dyDescent="0.2">
      <c r="A11" s="11"/>
      <c r="C11" s="132"/>
      <c r="D11" s="131"/>
      <c r="E11" s="131"/>
      <c r="F11" s="186"/>
      <c r="G11" s="186"/>
      <c r="H11" s="186"/>
      <c r="I11" s="186"/>
      <c r="J11" s="186"/>
      <c r="K11" s="186"/>
      <c r="L11" s="186"/>
      <c r="M11" s="186"/>
      <c r="N11" s="186"/>
      <c r="O11" s="131"/>
      <c r="Q11" s="11"/>
    </row>
    <row r="12" spans="1:20" s="3" customFormat="1" ht="20.25" customHeight="1" x14ac:dyDescent="0.2">
      <c r="A12" s="11"/>
      <c r="C12" s="132"/>
      <c r="D12" s="131"/>
      <c r="E12" s="131"/>
      <c r="F12" s="186"/>
      <c r="G12" s="186"/>
      <c r="H12" s="186"/>
      <c r="I12" s="186"/>
      <c r="J12" s="186"/>
      <c r="K12" s="186"/>
      <c r="L12" s="186"/>
      <c r="M12" s="186"/>
      <c r="N12" s="186"/>
      <c r="O12" s="131"/>
      <c r="Q12" s="11"/>
    </row>
    <row r="13" spans="1:20" ht="8" customHeight="1" x14ac:dyDescent="0.2">
      <c r="A13" s="10"/>
      <c r="F13" s="5"/>
      <c r="G13" s="5"/>
      <c r="H13" s="5"/>
      <c r="I13" s="5"/>
      <c r="J13" s="5"/>
      <c r="K13" s="5"/>
      <c r="L13" s="5"/>
      <c r="M13" s="5"/>
      <c r="N13" s="5"/>
      <c r="Q13" s="10"/>
    </row>
    <row r="14" spans="1:20" ht="18" customHeight="1" x14ac:dyDescent="0.2">
      <c r="A14" s="10"/>
      <c r="C14" s="133" t="s">
        <v>356</v>
      </c>
      <c r="D14" s="134"/>
      <c r="E14" s="135"/>
      <c r="F14" s="135"/>
      <c r="G14" s="135"/>
      <c r="H14" s="135"/>
      <c r="I14" s="135"/>
      <c r="J14" s="135"/>
      <c r="K14" s="135"/>
      <c r="L14" s="135"/>
      <c r="M14" s="135"/>
      <c r="N14" s="135"/>
      <c r="O14" s="135"/>
      <c r="Q14" s="10"/>
    </row>
    <row r="15" spans="1:20" ht="18" customHeight="1" x14ac:dyDescent="0.2">
      <c r="A15" s="10"/>
      <c r="C15" s="136">
        <v>1</v>
      </c>
      <c r="D15" s="188" t="s">
        <v>467</v>
      </c>
      <c r="E15" s="188"/>
      <c r="F15" s="188"/>
      <c r="G15" s="188"/>
      <c r="H15" s="188"/>
      <c r="I15" s="188"/>
      <c r="J15" s="188"/>
      <c r="K15" s="188"/>
      <c r="L15" s="188"/>
      <c r="M15" s="188"/>
      <c r="N15" s="188"/>
      <c r="O15" s="188"/>
      <c r="Q15" s="10"/>
    </row>
    <row r="16" spans="1:20" ht="12.75" customHeight="1" x14ac:dyDescent="0.2">
      <c r="A16" s="10"/>
      <c r="C16" s="136"/>
      <c r="D16" s="188"/>
      <c r="E16" s="188"/>
      <c r="F16" s="188"/>
      <c r="G16" s="188"/>
      <c r="H16" s="188"/>
      <c r="I16" s="188"/>
      <c r="J16" s="188"/>
      <c r="K16" s="188"/>
      <c r="L16" s="188"/>
      <c r="M16" s="188"/>
      <c r="N16" s="188"/>
      <c r="O16" s="188"/>
      <c r="Q16" s="10"/>
      <c r="R16" s="187"/>
      <c r="S16" s="187"/>
      <c r="T16" s="187"/>
    </row>
    <row r="17" spans="1:20" ht="18" customHeight="1" x14ac:dyDescent="0.2">
      <c r="A17" s="10"/>
      <c r="C17" s="138">
        <v>2</v>
      </c>
      <c r="D17" s="137" t="s">
        <v>468</v>
      </c>
      <c r="E17" s="135"/>
      <c r="F17" s="135"/>
      <c r="G17" s="135"/>
      <c r="H17" s="135"/>
      <c r="I17" s="135"/>
      <c r="J17" s="135"/>
      <c r="K17" s="135"/>
      <c r="L17" s="135"/>
      <c r="M17" s="135"/>
      <c r="N17" s="135"/>
      <c r="O17" s="135"/>
      <c r="Q17" s="10"/>
      <c r="R17" s="187"/>
      <c r="S17" s="187"/>
      <c r="T17" s="187"/>
    </row>
    <row r="18" spans="1:20" ht="18" customHeight="1" x14ac:dyDescent="0.2">
      <c r="A18" s="10"/>
      <c r="C18" s="136">
        <v>3</v>
      </c>
      <c r="D18" s="137" t="s">
        <v>354</v>
      </c>
      <c r="E18" s="135"/>
      <c r="F18" s="135"/>
      <c r="G18" s="135"/>
      <c r="H18" s="135"/>
      <c r="I18" s="135"/>
      <c r="J18" s="135"/>
      <c r="K18" s="135"/>
      <c r="L18" s="135"/>
      <c r="M18" s="135"/>
      <c r="N18" s="135"/>
      <c r="O18" s="135"/>
      <c r="Q18" s="10"/>
      <c r="R18" s="187"/>
      <c r="S18" s="187"/>
      <c r="T18" s="187"/>
    </row>
    <row r="19" spans="1:20" ht="18" customHeight="1" x14ac:dyDescent="0.2">
      <c r="A19" s="10"/>
      <c r="C19" s="138">
        <v>4</v>
      </c>
      <c r="D19" s="137" t="s">
        <v>352</v>
      </c>
      <c r="E19" s="135"/>
      <c r="F19" s="135"/>
      <c r="G19" s="135"/>
      <c r="H19" s="135"/>
      <c r="I19" s="135"/>
      <c r="J19" s="135"/>
      <c r="K19" s="135"/>
      <c r="L19" s="135"/>
      <c r="M19" s="135"/>
      <c r="N19" s="135"/>
      <c r="O19" s="135"/>
      <c r="Q19" s="10"/>
      <c r="R19" s="187"/>
      <c r="S19" s="187"/>
      <c r="T19" s="187"/>
    </row>
    <row r="20" spans="1:20" ht="18" customHeight="1" x14ac:dyDescent="0.2">
      <c r="A20" s="10"/>
      <c r="C20" s="136">
        <v>5</v>
      </c>
      <c r="D20" s="137" t="s">
        <v>341</v>
      </c>
      <c r="E20" s="135"/>
      <c r="F20" s="135"/>
      <c r="G20" s="135"/>
      <c r="H20" s="135"/>
      <c r="I20" s="135"/>
      <c r="J20" s="135"/>
      <c r="K20" s="135"/>
      <c r="L20" s="135"/>
      <c r="M20" s="135"/>
      <c r="N20" s="135"/>
      <c r="O20" s="135"/>
      <c r="Q20" s="10"/>
      <c r="R20" s="187"/>
      <c r="S20" s="187"/>
      <c r="T20" s="187"/>
    </row>
    <row r="21" spans="1:20" ht="18" customHeight="1" x14ac:dyDescent="0.2">
      <c r="A21" s="10"/>
      <c r="C21" s="138">
        <v>6</v>
      </c>
      <c r="D21" s="137" t="s">
        <v>340</v>
      </c>
      <c r="E21" s="135"/>
      <c r="F21" s="135"/>
      <c r="G21" s="135"/>
      <c r="H21" s="135"/>
      <c r="I21" s="135"/>
      <c r="J21" s="135"/>
      <c r="K21" s="135"/>
      <c r="L21" s="135"/>
      <c r="M21" s="135"/>
      <c r="N21" s="135"/>
      <c r="O21" s="135"/>
      <c r="Q21" s="10"/>
      <c r="R21" s="187"/>
      <c r="S21" s="187"/>
      <c r="T21" s="187"/>
    </row>
    <row r="22" spans="1:20" ht="18" customHeight="1" x14ac:dyDescent="0.2">
      <c r="A22" s="10"/>
      <c r="C22" s="136">
        <v>7</v>
      </c>
      <c r="D22" s="137" t="s">
        <v>351</v>
      </c>
      <c r="E22" s="135"/>
      <c r="F22" s="135"/>
      <c r="G22" s="135"/>
      <c r="H22" s="135"/>
      <c r="I22" s="135"/>
      <c r="J22" s="135"/>
      <c r="K22" s="135"/>
      <c r="L22" s="135"/>
      <c r="M22" s="135"/>
      <c r="N22" s="135"/>
      <c r="O22" s="135"/>
      <c r="Q22" s="10"/>
      <c r="R22" s="187"/>
      <c r="S22" s="187"/>
      <c r="T22" s="187"/>
    </row>
    <row r="23" spans="1:20" ht="18" customHeight="1" x14ac:dyDescent="0.2">
      <c r="A23" s="10"/>
      <c r="C23" s="138">
        <v>8</v>
      </c>
      <c r="D23" s="138" t="s">
        <v>342</v>
      </c>
      <c r="E23" s="135"/>
      <c r="F23" s="135"/>
      <c r="G23" s="135"/>
      <c r="H23" s="135"/>
      <c r="I23" s="135"/>
      <c r="J23" s="135"/>
      <c r="K23" s="135"/>
      <c r="L23" s="135"/>
      <c r="M23" s="135"/>
      <c r="N23" s="135"/>
      <c r="O23" s="135"/>
      <c r="Q23" s="10"/>
      <c r="R23" s="187"/>
      <c r="S23" s="187"/>
      <c r="T23" s="187"/>
    </row>
    <row r="24" spans="1:20" ht="18" customHeight="1" x14ac:dyDescent="0.2">
      <c r="A24" s="10"/>
      <c r="C24" s="136">
        <v>9</v>
      </c>
      <c r="D24" s="137" t="s">
        <v>3</v>
      </c>
      <c r="E24" s="135"/>
      <c r="F24" s="135"/>
      <c r="G24" s="135"/>
      <c r="H24" s="135"/>
      <c r="I24" s="135"/>
      <c r="J24" s="135"/>
      <c r="K24" s="135"/>
      <c r="L24" s="135"/>
      <c r="M24" s="135"/>
      <c r="N24" s="135"/>
      <c r="O24" s="135"/>
      <c r="Q24" s="10"/>
      <c r="R24" s="187"/>
      <c r="S24" s="187"/>
      <c r="T24" s="187"/>
    </row>
    <row r="25" spans="1:20" ht="18" customHeight="1" x14ac:dyDescent="0.2">
      <c r="A25" s="10"/>
      <c r="C25" s="138">
        <v>10</v>
      </c>
      <c r="D25" s="137" t="s">
        <v>343</v>
      </c>
      <c r="E25" s="135"/>
      <c r="F25" s="135"/>
      <c r="G25" s="135"/>
      <c r="H25" s="135"/>
      <c r="I25" s="135"/>
      <c r="J25" s="135"/>
      <c r="K25" s="135"/>
      <c r="L25" s="135"/>
      <c r="M25" s="135"/>
      <c r="N25" s="135"/>
      <c r="O25" s="135"/>
      <c r="Q25" s="10"/>
    </row>
    <row r="26" spans="1:20" ht="18" customHeight="1" x14ac:dyDescent="0.2">
      <c r="A26" s="10"/>
      <c r="C26" s="136">
        <v>11</v>
      </c>
      <c r="D26" s="137" t="s">
        <v>339</v>
      </c>
      <c r="E26" s="135"/>
      <c r="F26" s="135"/>
      <c r="G26" s="135"/>
      <c r="H26" s="135"/>
      <c r="I26" s="135"/>
      <c r="J26" s="135"/>
      <c r="K26" s="135"/>
      <c r="L26" s="135"/>
      <c r="M26" s="135"/>
      <c r="N26" s="135"/>
      <c r="O26" s="135"/>
      <c r="Q26" s="10"/>
    </row>
    <row r="27" spans="1:20" ht="18" customHeight="1" x14ac:dyDescent="0.2">
      <c r="A27" s="10"/>
      <c r="C27" s="138">
        <v>12</v>
      </c>
      <c r="D27" s="137" t="s">
        <v>344</v>
      </c>
      <c r="E27" s="135"/>
      <c r="F27" s="135"/>
      <c r="G27" s="135"/>
      <c r="H27" s="135"/>
      <c r="I27" s="135"/>
      <c r="J27" s="135"/>
      <c r="K27" s="135"/>
      <c r="L27" s="135"/>
      <c r="M27" s="135"/>
      <c r="N27" s="135"/>
      <c r="O27" s="135"/>
      <c r="Q27" s="10"/>
    </row>
    <row r="28" spans="1:20" ht="18" customHeight="1" x14ac:dyDescent="0.2">
      <c r="A28" s="10"/>
      <c r="C28" s="136">
        <v>13</v>
      </c>
      <c r="D28" s="137" t="s">
        <v>345</v>
      </c>
      <c r="E28" s="135"/>
      <c r="F28" s="135"/>
      <c r="G28" s="135"/>
      <c r="H28" s="135"/>
      <c r="I28" s="135"/>
      <c r="J28" s="135"/>
      <c r="K28" s="135"/>
      <c r="L28" s="135"/>
      <c r="M28" s="135"/>
      <c r="N28" s="135"/>
      <c r="O28" s="135"/>
      <c r="Q28" s="10"/>
    </row>
    <row r="29" spans="1:20" ht="18" customHeight="1" x14ac:dyDescent="0.2">
      <c r="A29" s="10"/>
      <c r="C29" s="138">
        <v>14</v>
      </c>
      <c r="D29" s="137" t="s">
        <v>346</v>
      </c>
      <c r="E29" s="135"/>
      <c r="F29" s="135"/>
      <c r="G29" s="135"/>
      <c r="H29" s="135"/>
      <c r="I29" s="135"/>
      <c r="J29" s="135"/>
      <c r="K29" s="135"/>
      <c r="L29" s="135"/>
      <c r="M29" s="135"/>
      <c r="N29" s="135"/>
      <c r="O29" s="135"/>
      <c r="Q29" s="10"/>
    </row>
    <row r="30" spans="1:20" ht="18" customHeight="1" x14ac:dyDescent="0.2">
      <c r="A30" s="10"/>
      <c r="C30" s="136">
        <v>15</v>
      </c>
      <c r="D30" s="137" t="s">
        <v>347</v>
      </c>
      <c r="E30" s="135"/>
      <c r="F30" s="135"/>
      <c r="G30" s="135"/>
      <c r="H30" s="135"/>
      <c r="I30" s="135"/>
      <c r="J30" s="135"/>
      <c r="K30" s="135"/>
      <c r="L30" s="135"/>
      <c r="M30" s="135"/>
      <c r="N30" s="135"/>
      <c r="O30" s="135"/>
      <c r="Q30" s="10"/>
    </row>
    <row r="31" spans="1:20" ht="18" customHeight="1" x14ac:dyDescent="0.2">
      <c r="A31" s="10"/>
      <c r="C31" s="138">
        <v>16</v>
      </c>
      <c r="D31" s="137" t="s">
        <v>348</v>
      </c>
      <c r="E31" s="135"/>
      <c r="F31" s="135"/>
      <c r="G31" s="135"/>
      <c r="H31" s="135"/>
      <c r="I31" s="135"/>
      <c r="J31" s="135"/>
      <c r="K31" s="135"/>
      <c r="L31" s="135"/>
      <c r="M31" s="135"/>
      <c r="N31" s="135"/>
      <c r="O31" s="135"/>
      <c r="Q31" s="10"/>
    </row>
    <row r="32" spans="1:20" ht="18" customHeight="1" x14ac:dyDescent="0.2">
      <c r="A32" s="10"/>
      <c r="C32" s="136">
        <v>17</v>
      </c>
      <c r="D32" s="137" t="s">
        <v>349</v>
      </c>
      <c r="E32" s="135"/>
      <c r="F32" s="135"/>
      <c r="G32" s="135"/>
      <c r="H32" s="135"/>
      <c r="I32" s="135"/>
      <c r="J32" s="135"/>
      <c r="K32" s="135"/>
      <c r="L32" s="135"/>
      <c r="M32" s="135"/>
      <c r="N32" s="135"/>
      <c r="O32" s="135"/>
      <c r="Q32" s="10"/>
    </row>
    <row r="33" spans="1:17" ht="18" customHeight="1" x14ac:dyDescent="0.2">
      <c r="A33" s="10"/>
      <c r="C33" s="138">
        <v>18</v>
      </c>
      <c r="D33" s="137" t="s">
        <v>350</v>
      </c>
      <c r="E33" s="135"/>
      <c r="F33" s="135"/>
      <c r="G33" s="135"/>
      <c r="H33" s="135"/>
      <c r="I33" s="135"/>
      <c r="J33" s="135"/>
      <c r="K33" s="135"/>
      <c r="L33" s="135"/>
      <c r="M33" s="135"/>
      <c r="N33" s="135"/>
      <c r="O33" s="135"/>
      <c r="Q33" s="10"/>
    </row>
    <row r="34" spans="1:17" ht="18" customHeight="1" x14ac:dyDescent="0.2">
      <c r="A34" s="10"/>
      <c r="C34" s="136">
        <v>19</v>
      </c>
      <c r="D34" s="137" t="s">
        <v>353</v>
      </c>
      <c r="E34" s="135"/>
      <c r="F34" s="135"/>
      <c r="G34" s="135"/>
      <c r="H34" s="135"/>
      <c r="I34" s="135"/>
      <c r="J34" s="135"/>
      <c r="K34" s="135"/>
      <c r="L34" s="135"/>
      <c r="M34" s="135"/>
      <c r="N34" s="135"/>
      <c r="O34" s="135"/>
      <c r="Q34" s="10"/>
    </row>
    <row r="35" spans="1:17" ht="18" customHeight="1" x14ac:dyDescent="0.2">
      <c r="A35" s="10"/>
      <c r="C35" s="138">
        <v>20</v>
      </c>
      <c r="D35" s="162" t="s">
        <v>409</v>
      </c>
      <c r="E35" s="161"/>
      <c r="F35" s="161"/>
      <c r="G35" s="161"/>
      <c r="H35" s="161"/>
      <c r="I35" s="161"/>
      <c r="J35" s="161"/>
      <c r="K35" s="161"/>
      <c r="L35" s="161"/>
      <c r="M35" s="161"/>
      <c r="N35" s="161"/>
      <c r="O35" s="161"/>
      <c r="Q35" s="10"/>
    </row>
    <row r="36" spans="1:17" ht="18" customHeight="1" x14ac:dyDescent="0.2">
      <c r="A36" s="10"/>
      <c r="C36" s="138"/>
      <c r="D36" s="162" t="s">
        <v>408</v>
      </c>
      <c r="E36" s="161"/>
      <c r="F36" s="161"/>
      <c r="G36" s="161"/>
      <c r="H36" s="161"/>
      <c r="I36" s="161"/>
      <c r="J36" s="161"/>
      <c r="K36" s="161"/>
      <c r="L36" s="161"/>
      <c r="M36" s="161"/>
      <c r="N36" s="161"/>
      <c r="O36" s="161"/>
      <c r="Q36" s="10"/>
    </row>
    <row r="37" spans="1:17" ht="18" customHeight="1" x14ac:dyDescent="0.2">
      <c r="A37" s="10"/>
      <c r="C37" s="136">
        <v>21</v>
      </c>
      <c r="D37" s="137" t="s">
        <v>452</v>
      </c>
      <c r="E37" s="135"/>
      <c r="F37" s="135"/>
      <c r="G37" s="135"/>
      <c r="H37" s="135"/>
      <c r="I37" s="135"/>
      <c r="J37" s="135"/>
      <c r="K37" s="135"/>
      <c r="L37" s="135"/>
      <c r="M37" s="135"/>
      <c r="N37" s="135"/>
      <c r="O37" s="135"/>
      <c r="Q37" s="10"/>
    </row>
    <row r="38" spans="1:17" ht="18" customHeight="1" x14ac:dyDescent="0.2">
      <c r="A38" s="10"/>
      <c r="C38" s="138">
        <v>22</v>
      </c>
      <c r="D38" s="137" t="s">
        <v>451</v>
      </c>
      <c r="E38" s="135"/>
      <c r="F38" s="135"/>
      <c r="G38" s="135"/>
      <c r="H38" s="135"/>
      <c r="I38" s="135"/>
      <c r="J38" s="135"/>
      <c r="K38" s="135"/>
      <c r="L38" s="135"/>
      <c r="M38" s="135"/>
      <c r="N38" s="135"/>
      <c r="O38" s="135"/>
      <c r="Q38" s="10"/>
    </row>
    <row r="39" spans="1:17" ht="18" customHeight="1" x14ac:dyDescent="0.2">
      <c r="A39" s="10"/>
      <c r="C39" s="136">
        <v>23</v>
      </c>
      <c r="D39" s="137" t="s">
        <v>338</v>
      </c>
      <c r="E39" s="135"/>
      <c r="F39" s="135"/>
      <c r="G39" s="135"/>
      <c r="H39" s="135"/>
      <c r="I39" s="135"/>
      <c r="J39" s="135"/>
      <c r="K39" s="135"/>
      <c r="L39" s="135"/>
      <c r="M39" s="135"/>
      <c r="N39" s="135"/>
      <c r="O39" s="135"/>
      <c r="Q39" s="10"/>
    </row>
    <row r="40" spans="1:17" ht="18" customHeight="1" x14ac:dyDescent="0.2">
      <c r="A40" s="10"/>
      <c r="C40" s="138">
        <v>24</v>
      </c>
      <c r="D40" s="137" t="s">
        <v>355</v>
      </c>
      <c r="E40" s="135"/>
      <c r="F40" s="135"/>
      <c r="G40" s="135"/>
      <c r="H40" s="135"/>
      <c r="I40" s="135"/>
      <c r="J40" s="135"/>
      <c r="K40" s="135"/>
      <c r="L40" s="135"/>
      <c r="M40" s="135"/>
      <c r="N40" s="135"/>
      <c r="O40" s="135"/>
      <c r="Q40" s="10"/>
    </row>
    <row r="41" spans="1:17" ht="18" customHeight="1" x14ac:dyDescent="0.2">
      <c r="A41" s="10"/>
      <c r="C41" s="136">
        <v>25</v>
      </c>
      <c r="D41" s="137" t="s">
        <v>5</v>
      </c>
      <c r="E41" s="135"/>
      <c r="F41" s="135"/>
      <c r="G41" s="135"/>
      <c r="H41" s="135"/>
      <c r="I41" s="135"/>
      <c r="J41" s="135"/>
      <c r="K41" s="135"/>
      <c r="L41" s="135"/>
      <c r="M41" s="135"/>
      <c r="N41" s="135"/>
      <c r="O41" s="135"/>
      <c r="Q41" s="10"/>
    </row>
    <row r="42" spans="1:17" ht="18" customHeight="1" x14ac:dyDescent="0.2">
      <c r="A42" s="10"/>
      <c r="C42" s="138">
        <v>26</v>
      </c>
      <c r="D42" s="137" t="s">
        <v>6</v>
      </c>
      <c r="E42" s="135"/>
      <c r="F42" s="135"/>
      <c r="G42" s="135"/>
      <c r="H42" s="135"/>
      <c r="I42" s="135"/>
      <c r="J42" s="135"/>
      <c r="K42" s="135"/>
      <c r="L42" s="135"/>
      <c r="M42" s="135"/>
      <c r="N42" s="135"/>
      <c r="O42" s="135"/>
      <c r="Q42" s="10"/>
    </row>
    <row r="43" spans="1:17" ht="18" customHeight="1" x14ac:dyDescent="0.2">
      <c r="A43" s="10"/>
      <c r="C43" s="136">
        <v>27</v>
      </c>
      <c r="D43" s="137" t="s">
        <v>454</v>
      </c>
      <c r="E43" s="135"/>
      <c r="F43" s="135"/>
      <c r="G43" s="135"/>
      <c r="H43" s="135"/>
      <c r="I43" s="135"/>
      <c r="J43" s="135"/>
      <c r="K43" s="135"/>
      <c r="L43" s="135"/>
      <c r="M43" s="135"/>
      <c r="N43" s="135"/>
      <c r="O43" s="135"/>
      <c r="Q43" s="10"/>
    </row>
    <row r="44" spans="1:17" ht="18" customHeight="1" x14ac:dyDescent="0.2">
      <c r="A44" s="10"/>
      <c r="C44" s="138">
        <v>28</v>
      </c>
      <c r="D44" s="137" t="s">
        <v>290</v>
      </c>
      <c r="E44" s="135"/>
      <c r="F44" s="135"/>
      <c r="G44" s="135"/>
      <c r="H44" s="135"/>
      <c r="I44" s="135"/>
      <c r="J44" s="135"/>
      <c r="K44" s="135"/>
      <c r="L44" s="135"/>
      <c r="M44" s="135"/>
      <c r="N44" s="135"/>
      <c r="O44" s="135"/>
      <c r="Q44" s="10"/>
    </row>
    <row r="45" spans="1:17" ht="18" customHeight="1" x14ac:dyDescent="0.2">
      <c r="A45" s="10"/>
      <c r="C45" s="136">
        <v>29</v>
      </c>
      <c r="D45" s="137" t="s">
        <v>7</v>
      </c>
      <c r="E45" s="135"/>
      <c r="F45" s="135"/>
      <c r="G45" s="135"/>
      <c r="H45" s="135"/>
      <c r="I45" s="135"/>
      <c r="J45" s="135"/>
      <c r="K45" s="135"/>
      <c r="L45" s="135"/>
      <c r="M45" s="135"/>
      <c r="N45" s="135"/>
      <c r="O45" s="135"/>
      <c r="Q45" s="10"/>
    </row>
    <row r="46" spans="1:17" ht="18" customHeight="1" x14ac:dyDescent="0.2">
      <c r="A46" s="10"/>
      <c r="C46" s="138">
        <v>30</v>
      </c>
      <c r="D46" s="137" t="s">
        <v>4</v>
      </c>
      <c r="E46" s="135"/>
      <c r="F46" s="135"/>
      <c r="G46" s="135"/>
      <c r="H46" s="135"/>
      <c r="I46" s="135"/>
      <c r="J46" s="135"/>
      <c r="K46" s="135"/>
      <c r="L46" s="135"/>
      <c r="M46" s="135"/>
      <c r="N46" s="135"/>
      <c r="O46" s="135"/>
      <c r="Q46" s="10"/>
    </row>
    <row r="47" spans="1:17" ht="18" customHeight="1" x14ac:dyDescent="0.2">
      <c r="A47" s="10"/>
      <c r="C47" s="136">
        <v>31</v>
      </c>
      <c r="D47" s="137" t="s">
        <v>8</v>
      </c>
      <c r="E47" s="135"/>
      <c r="F47" s="135"/>
      <c r="G47" s="135"/>
      <c r="H47" s="135"/>
      <c r="I47" s="135"/>
      <c r="J47" s="135"/>
      <c r="K47" s="135"/>
      <c r="L47" s="135"/>
      <c r="M47" s="135"/>
      <c r="N47" s="135"/>
      <c r="O47" s="135"/>
      <c r="Q47" s="10"/>
    </row>
    <row r="48" spans="1:17" ht="18" customHeight="1" x14ac:dyDescent="0.2">
      <c r="A48" s="10"/>
      <c r="C48" s="138">
        <v>32</v>
      </c>
      <c r="D48" s="137" t="s">
        <v>9</v>
      </c>
      <c r="E48" s="135"/>
      <c r="F48" s="135"/>
      <c r="G48" s="135"/>
      <c r="H48" s="135"/>
      <c r="I48" s="135"/>
      <c r="J48" s="135"/>
      <c r="K48" s="135"/>
      <c r="L48" s="135"/>
      <c r="M48" s="135"/>
      <c r="N48" s="135"/>
      <c r="O48" s="135"/>
      <c r="Q48" s="10"/>
    </row>
    <row r="49" spans="1:17" ht="18" customHeight="1" x14ac:dyDescent="0.2">
      <c r="A49" s="10"/>
      <c r="C49" s="136">
        <v>33</v>
      </c>
      <c r="D49" s="137" t="s">
        <v>10</v>
      </c>
      <c r="E49" s="135"/>
      <c r="F49" s="135"/>
      <c r="G49" s="135"/>
      <c r="H49" s="135"/>
      <c r="I49" s="135"/>
      <c r="J49" s="135"/>
      <c r="K49" s="135"/>
      <c r="L49" s="135"/>
      <c r="M49" s="135"/>
      <c r="N49" s="135"/>
      <c r="O49" s="135"/>
      <c r="Q49" s="10"/>
    </row>
    <row r="50" spans="1:17" ht="18" customHeight="1" x14ac:dyDescent="0.2">
      <c r="A50" s="10"/>
      <c r="C50" s="138">
        <v>34</v>
      </c>
      <c r="D50" s="137" t="s">
        <v>11</v>
      </c>
      <c r="E50" s="135"/>
      <c r="F50" s="135"/>
      <c r="G50" s="135"/>
      <c r="H50" s="135"/>
      <c r="I50" s="135"/>
      <c r="J50" s="135"/>
      <c r="K50" s="135"/>
      <c r="L50" s="135"/>
      <c r="M50" s="135"/>
      <c r="N50" s="135"/>
      <c r="O50" s="135"/>
      <c r="Q50" s="10"/>
    </row>
    <row r="51" spans="1:17" ht="18" customHeight="1" x14ac:dyDescent="0.2">
      <c r="A51" s="10"/>
      <c r="C51" s="136">
        <v>35</v>
      </c>
      <c r="D51" s="137" t="s">
        <v>12</v>
      </c>
      <c r="E51" s="135"/>
      <c r="F51" s="135"/>
      <c r="G51" s="135"/>
      <c r="H51" s="135"/>
      <c r="I51" s="135"/>
      <c r="J51" s="135"/>
      <c r="K51" s="135"/>
      <c r="L51" s="135"/>
      <c r="M51" s="135"/>
      <c r="N51" s="135"/>
      <c r="O51" s="135"/>
      <c r="Q51" s="10"/>
    </row>
    <row r="52" spans="1:17" ht="18" customHeight="1" x14ac:dyDescent="0.2">
      <c r="A52" s="10"/>
      <c r="C52" s="138">
        <v>36</v>
      </c>
      <c r="D52" s="137" t="s">
        <v>14</v>
      </c>
      <c r="E52" s="135"/>
      <c r="F52" s="135"/>
      <c r="G52" s="135"/>
      <c r="H52" s="135"/>
      <c r="I52" s="135"/>
      <c r="J52" s="135"/>
      <c r="K52" s="135"/>
      <c r="L52" s="135"/>
      <c r="M52" s="135"/>
      <c r="N52" s="135"/>
      <c r="O52" s="135"/>
      <c r="Q52" s="10"/>
    </row>
    <row r="53" spans="1:17" ht="18" customHeight="1" x14ac:dyDescent="0.2">
      <c r="A53" s="10"/>
      <c r="C53" s="136">
        <v>37</v>
      </c>
      <c r="D53" s="137" t="s">
        <v>13</v>
      </c>
      <c r="E53" s="135"/>
      <c r="F53" s="135"/>
      <c r="G53" s="135"/>
      <c r="H53" s="135"/>
      <c r="I53" s="135"/>
      <c r="J53" s="135"/>
      <c r="K53" s="135"/>
      <c r="L53" s="135"/>
      <c r="M53" s="135"/>
      <c r="N53" s="135"/>
      <c r="O53" s="135"/>
      <c r="Q53" s="10"/>
    </row>
    <row r="54" spans="1:17" ht="8" customHeight="1" x14ac:dyDescent="0.2">
      <c r="A54" s="10"/>
      <c r="C54" s="139"/>
      <c r="D54" s="140"/>
      <c r="E54" s="135"/>
      <c r="F54" s="135"/>
      <c r="G54" s="135"/>
      <c r="H54" s="135"/>
      <c r="I54" s="135"/>
      <c r="J54" s="135"/>
      <c r="K54" s="135"/>
      <c r="L54" s="135"/>
      <c r="M54" s="135"/>
      <c r="N54" s="135"/>
      <c r="O54" s="135"/>
      <c r="Q54" s="10"/>
    </row>
    <row r="55" spans="1:17" ht="8" customHeight="1" x14ac:dyDescent="0.2">
      <c r="A55" s="10"/>
      <c r="Q55" s="10"/>
    </row>
    <row r="56" spans="1:17" ht="8" customHeight="1" x14ac:dyDescent="0.2">
      <c r="A56" s="10"/>
      <c r="B56" s="10"/>
      <c r="C56" s="164"/>
      <c r="D56" s="10"/>
      <c r="E56" s="10"/>
      <c r="F56" s="10"/>
      <c r="G56" s="10"/>
      <c r="H56" s="10"/>
      <c r="I56" s="10"/>
      <c r="J56" s="10"/>
      <c r="K56" s="10"/>
      <c r="L56" s="10"/>
      <c r="M56" s="10"/>
      <c r="N56" s="10"/>
      <c r="O56" s="10"/>
      <c r="P56" s="10"/>
      <c r="Q56" s="10"/>
    </row>
  </sheetData>
  <mergeCells count="3">
    <mergeCell ref="F10:N12"/>
    <mergeCell ref="R16:T24"/>
    <mergeCell ref="D15:O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showGridLines="0" zoomScale="130" zoomScaleNormal="130" workbookViewId="0">
      <selection activeCell="B42" sqref="B42"/>
    </sheetView>
  </sheetViews>
  <sheetFormatPr baseColWidth="10" defaultColWidth="26.33203125" defaultRowHeight="22.25" customHeight="1" x14ac:dyDescent="0.2"/>
  <cols>
    <col min="1" max="1" width="8.6640625" style="7" customWidth="1"/>
    <col min="2" max="2" width="3.6640625" style="7" customWidth="1"/>
    <col min="3" max="3" width="21.1640625" style="7" customWidth="1"/>
    <col min="4" max="4" width="36.1640625" style="7" customWidth="1"/>
    <col min="5" max="5" width="29.1640625" style="7" customWidth="1"/>
    <col min="6" max="6" width="3.6640625" style="7" customWidth="1"/>
    <col min="7" max="7" width="8.6640625" style="7" customWidth="1"/>
    <col min="8" max="16384" width="26.33203125" style="7"/>
  </cols>
  <sheetData>
    <row r="1" spans="1:7" ht="8" customHeight="1" x14ac:dyDescent="0.2">
      <c r="A1" s="10"/>
      <c r="B1" s="10"/>
      <c r="C1" s="10"/>
      <c r="D1" s="10"/>
      <c r="E1" s="10"/>
      <c r="F1" s="10"/>
      <c r="G1" s="10"/>
    </row>
    <row r="2" spans="1:7" ht="31" customHeight="1" x14ac:dyDescent="0.2">
      <c r="A2" s="10"/>
      <c r="C2" s="43" t="s">
        <v>365</v>
      </c>
      <c r="D2" s="108"/>
      <c r="E2" s="108"/>
      <c r="F2" s="145"/>
      <c r="G2" s="10"/>
    </row>
    <row r="3" spans="1:7" ht="15" customHeight="1" x14ac:dyDescent="0.2">
      <c r="A3" s="10"/>
      <c r="C3" s="108" t="s">
        <v>395</v>
      </c>
      <c r="D3" s="108"/>
      <c r="E3" s="108"/>
      <c r="F3" s="145"/>
      <c r="G3" s="10"/>
    </row>
    <row r="4" spans="1:7" ht="15" customHeight="1" x14ac:dyDescent="0.2">
      <c r="A4" s="10"/>
      <c r="C4" s="108" t="s">
        <v>300</v>
      </c>
      <c r="D4" s="108"/>
      <c r="E4" s="108"/>
      <c r="F4" s="145"/>
      <c r="G4" s="10"/>
    </row>
    <row r="5" spans="1:7" ht="22.25" customHeight="1" x14ac:dyDescent="0.2">
      <c r="A5" s="10"/>
      <c r="C5" s="146"/>
      <c r="G5" s="10"/>
    </row>
    <row r="6" spans="1:7" s="147" customFormat="1" ht="37.25" customHeight="1" thickBot="1" x14ac:dyDescent="0.25">
      <c r="A6" s="32"/>
      <c r="C6" s="22" t="s">
        <v>366</v>
      </c>
      <c r="D6" s="100" t="s">
        <v>382</v>
      </c>
      <c r="E6" s="100" t="s">
        <v>381</v>
      </c>
      <c r="G6" s="32"/>
    </row>
    <row r="7" spans="1:7" s="148" customFormat="1" ht="22.25" customHeight="1" thickTop="1" x14ac:dyDescent="0.2">
      <c r="A7" s="11"/>
      <c r="C7" s="8" t="s">
        <v>145</v>
      </c>
      <c r="D7" s="9" t="s">
        <v>146</v>
      </c>
      <c r="E7" s="9">
        <v>0</v>
      </c>
      <c r="G7" s="11"/>
    </row>
    <row r="8" spans="1:7" s="148" customFormat="1" ht="22.25" customHeight="1" x14ac:dyDescent="0.2">
      <c r="A8" s="11"/>
      <c r="C8" s="8" t="s">
        <v>147</v>
      </c>
      <c r="D8" s="9" t="s">
        <v>148</v>
      </c>
      <c r="E8" s="9">
        <v>0</v>
      </c>
      <c r="G8" s="11"/>
    </row>
    <row r="9" spans="1:7" s="148" customFormat="1" ht="22.25" customHeight="1" x14ac:dyDescent="0.2">
      <c r="A9" s="11"/>
      <c r="C9" s="8" t="s">
        <v>149</v>
      </c>
      <c r="D9" s="9" t="s">
        <v>150</v>
      </c>
      <c r="E9" s="9">
        <v>7.45</v>
      </c>
      <c r="G9" s="11"/>
    </row>
    <row r="10" spans="1:7" s="148" customFormat="1" ht="22.25" customHeight="1" x14ac:dyDescent="0.2">
      <c r="A10" s="11"/>
      <c r="C10" s="8" t="s">
        <v>151</v>
      </c>
      <c r="D10" s="9" t="s">
        <v>152</v>
      </c>
      <c r="E10" s="9">
        <v>25.6</v>
      </c>
      <c r="G10" s="11"/>
    </row>
    <row r="11" spans="1:7" ht="22.25" customHeight="1" x14ac:dyDescent="0.2">
      <c r="A11" s="10"/>
      <c r="G11" s="10"/>
    </row>
    <row r="12" spans="1:7" ht="8" customHeight="1" x14ac:dyDescent="0.2">
      <c r="A12" s="10"/>
      <c r="B12" s="10"/>
      <c r="C12" s="10"/>
      <c r="D12" s="10"/>
      <c r="E12" s="10"/>
      <c r="F12" s="10"/>
      <c r="G12" s="10"/>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2"/>
  <sheetViews>
    <sheetView showGridLines="0" zoomScale="115" zoomScaleNormal="115" workbookViewId="0">
      <selection activeCell="B42" sqref="B42"/>
    </sheetView>
  </sheetViews>
  <sheetFormatPr baseColWidth="10" defaultColWidth="10.83203125" defaultRowHeight="19.25" customHeight="1" x14ac:dyDescent="0.2"/>
  <cols>
    <col min="1" max="1" width="8.6640625" style="7" customWidth="1"/>
    <col min="2" max="2" width="3.6640625" style="7" customWidth="1"/>
    <col min="3" max="3" width="23.6640625" style="7" customWidth="1"/>
    <col min="4" max="9" width="10.83203125" style="7"/>
    <col min="10" max="10" width="3.6640625" style="7" customWidth="1"/>
    <col min="11" max="11" width="8.6640625" style="7" customWidth="1"/>
    <col min="12" max="16384" width="10.83203125" style="7"/>
  </cols>
  <sheetData>
    <row r="1" spans="1:11" ht="8" customHeight="1" x14ac:dyDescent="0.2">
      <c r="A1" s="10"/>
      <c r="B1" s="10"/>
      <c r="C1" s="10"/>
      <c r="D1" s="10"/>
      <c r="E1" s="10"/>
      <c r="F1" s="10"/>
      <c r="G1" s="10"/>
      <c r="H1" s="10"/>
      <c r="I1" s="10"/>
      <c r="J1" s="10"/>
      <c r="K1" s="10"/>
    </row>
    <row r="2" spans="1:11" ht="31" customHeight="1" x14ac:dyDescent="0.2">
      <c r="A2" s="10"/>
      <c r="C2" s="43" t="s">
        <v>59</v>
      </c>
      <c r="D2" s="108"/>
      <c r="E2" s="108"/>
      <c r="K2" s="10"/>
    </row>
    <row r="3" spans="1:11" ht="18" customHeight="1" x14ac:dyDescent="0.2">
      <c r="A3" s="10"/>
      <c r="C3" s="108" t="s">
        <v>291</v>
      </c>
      <c r="D3" s="108"/>
      <c r="E3" s="108"/>
      <c r="K3" s="10"/>
    </row>
    <row r="4" spans="1:11" ht="18" customHeight="1" x14ac:dyDescent="0.2">
      <c r="A4" s="10"/>
      <c r="C4" s="108" t="s">
        <v>308</v>
      </c>
      <c r="D4" s="108"/>
      <c r="E4" s="108"/>
      <c r="K4" s="10"/>
    </row>
    <row r="5" spans="1:11" ht="21" customHeight="1" x14ac:dyDescent="0.2">
      <c r="A5" s="10"/>
      <c r="K5" s="10"/>
    </row>
    <row r="6" spans="1:11" ht="21" customHeight="1" x14ac:dyDescent="0.2">
      <c r="A6" s="10"/>
      <c r="C6" s="217" t="s">
        <v>225</v>
      </c>
      <c r="D6" s="215" t="s">
        <v>227</v>
      </c>
      <c r="E6" s="215"/>
      <c r="F6" s="215"/>
      <c r="G6" s="215" t="s">
        <v>226</v>
      </c>
      <c r="H6" s="216"/>
      <c r="I6" s="216"/>
      <c r="K6" s="10"/>
    </row>
    <row r="7" spans="1:11" ht="21" customHeight="1" thickBot="1" x14ac:dyDescent="0.25">
      <c r="A7" s="10"/>
      <c r="C7" s="218"/>
      <c r="D7" s="109" t="s">
        <v>269</v>
      </c>
      <c r="E7" s="109" t="s">
        <v>309</v>
      </c>
      <c r="F7" s="109" t="s">
        <v>310</v>
      </c>
      <c r="G7" s="109" t="s">
        <v>269</v>
      </c>
      <c r="H7" s="109" t="s">
        <v>309</v>
      </c>
      <c r="I7" s="109" t="s">
        <v>310</v>
      </c>
      <c r="K7" s="10"/>
    </row>
    <row r="8" spans="1:11" ht="21" customHeight="1" thickTop="1" x14ac:dyDescent="0.2">
      <c r="A8" s="10"/>
      <c r="C8" s="16" t="s">
        <v>153</v>
      </c>
      <c r="D8" s="18" t="s">
        <v>228</v>
      </c>
      <c r="E8" s="18" t="s">
        <v>229</v>
      </c>
      <c r="F8" s="18" t="s">
        <v>230</v>
      </c>
      <c r="G8" s="16">
        <v>7</v>
      </c>
      <c r="H8" s="16">
        <v>12</v>
      </c>
      <c r="I8" s="16">
        <v>15</v>
      </c>
      <c r="K8" s="10"/>
    </row>
    <row r="9" spans="1:11" ht="21" customHeight="1" x14ac:dyDescent="0.2">
      <c r="A9" s="10"/>
      <c r="C9" s="13" t="s">
        <v>27</v>
      </c>
      <c r="D9" s="17" t="s">
        <v>231</v>
      </c>
      <c r="E9" s="17" t="s">
        <v>232</v>
      </c>
      <c r="F9" s="17" t="s">
        <v>233</v>
      </c>
      <c r="G9" s="13">
        <v>4</v>
      </c>
      <c r="H9" s="13">
        <v>9</v>
      </c>
      <c r="I9" s="13">
        <v>17</v>
      </c>
      <c r="K9" s="10"/>
    </row>
    <row r="10" spans="1:11" ht="21" customHeight="1" x14ac:dyDescent="0.2">
      <c r="A10" s="10"/>
      <c r="C10" s="13" t="s">
        <v>28</v>
      </c>
      <c r="D10" s="17" t="s">
        <v>229</v>
      </c>
      <c r="E10" s="17" t="s">
        <v>230</v>
      </c>
      <c r="F10" s="17" t="s">
        <v>234</v>
      </c>
      <c r="G10" s="13">
        <v>3</v>
      </c>
      <c r="H10" s="13">
        <v>12</v>
      </c>
      <c r="I10" s="13">
        <v>18</v>
      </c>
      <c r="K10" s="10"/>
    </row>
    <row r="11" spans="1:11" ht="21" customHeight="1" x14ac:dyDescent="0.2">
      <c r="A11" s="10"/>
      <c r="C11" s="13" t="s">
        <v>29</v>
      </c>
      <c r="D11" s="17" t="s">
        <v>233</v>
      </c>
      <c r="E11" s="17" t="s">
        <v>163</v>
      </c>
      <c r="F11" s="17" t="s">
        <v>307</v>
      </c>
      <c r="G11" s="13">
        <v>2</v>
      </c>
      <c r="H11" s="13">
        <v>5</v>
      </c>
      <c r="I11" s="13">
        <v>15</v>
      </c>
      <c r="K11" s="10"/>
    </row>
    <row r="12" spans="1:11" ht="21" customHeight="1" x14ac:dyDescent="0.2">
      <c r="A12" s="10"/>
      <c r="C12" s="13" t="s">
        <v>30</v>
      </c>
      <c r="D12" s="17" t="s">
        <v>307</v>
      </c>
      <c r="E12" s="17" t="s">
        <v>307</v>
      </c>
      <c r="F12" s="17" t="s">
        <v>307</v>
      </c>
      <c r="G12" s="13">
        <v>0</v>
      </c>
      <c r="H12" s="13">
        <v>0</v>
      </c>
      <c r="I12" s="13">
        <v>0</v>
      </c>
      <c r="K12" s="10"/>
    </row>
    <row r="13" spans="1:11" ht="21" customHeight="1" x14ac:dyDescent="0.2">
      <c r="A13" s="10"/>
      <c r="C13" s="13" t="s">
        <v>31</v>
      </c>
      <c r="D13" s="17" t="s">
        <v>233</v>
      </c>
      <c r="E13" s="17" t="s">
        <v>163</v>
      </c>
      <c r="F13" s="17" t="s">
        <v>307</v>
      </c>
      <c r="G13" s="13">
        <v>5</v>
      </c>
      <c r="H13" s="13">
        <v>6</v>
      </c>
      <c r="I13" s="13">
        <v>6</v>
      </c>
      <c r="K13" s="10"/>
    </row>
    <row r="14" spans="1:11" ht="21" customHeight="1" x14ac:dyDescent="0.2">
      <c r="A14" s="10"/>
      <c r="C14" s="13" t="s">
        <v>235</v>
      </c>
      <c r="D14" s="17" t="s">
        <v>233</v>
      </c>
      <c r="E14" s="17" t="s">
        <v>163</v>
      </c>
      <c r="F14" s="17" t="s">
        <v>236</v>
      </c>
      <c r="G14" s="13">
        <v>10</v>
      </c>
      <c r="H14" s="13">
        <v>11</v>
      </c>
      <c r="I14" s="13">
        <v>11</v>
      </c>
      <c r="K14" s="10"/>
    </row>
    <row r="15" spans="1:11" ht="21" customHeight="1" x14ac:dyDescent="0.2">
      <c r="A15" s="10"/>
      <c r="C15" s="13" t="s">
        <v>33</v>
      </c>
      <c r="D15" s="17" t="s">
        <v>238</v>
      </c>
      <c r="E15" s="17" t="s">
        <v>228</v>
      </c>
      <c r="F15" s="17" t="s">
        <v>229</v>
      </c>
      <c r="G15" s="13">
        <v>1</v>
      </c>
      <c r="H15" s="13">
        <v>5</v>
      </c>
      <c r="I15" s="13">
        <v>5</v>
      </c>
      <c r="K15" s="10"/>
    </row>
    <row r="16" spans="1:11" ht="21" customHeight="1" x14ac:dyDescent="0.2">
      <c r="A16" s="10"/>
      <c r="C16" s="13" t="s">
        <v>200</v>
      </c>
      <c r="D16" s="17" t="s">
        <v>307</v>
      </c>
      <c r="E16" s="17" t="s">
        <v>307</v>
      </c>
      <c r="F16" s="17" t="s">
        <v>307</v>
      </c>
      <c r="G16" s="13">
        <v>0</v>
      </c>
      <c r="H16" s="13">
        <v>0</v>
      </c>
      <c r="I16" s="13">
        <v>0</v>
      </c>
      <c r="K16" s="10"/>
    </row>
    <row r="17" spans="1:11" ht="21" customHeight="1" x14ac:dyDescent="0.2">
      <c r="A17" s="10"/>
      <c r="C17" s="13" t="s">
        <v>239</v>
      </c>
      <c r="D17" s="17" t="s">
        <v>232</v>
      </c>
      <c r="E17" s="17" t="s">
        <v>233</v>
      </c>
      <c r="F17" s="17" t="s">
        <v>163</v>
      </c>
      <c r="G17" s="13">
        <v>1</v>
      </c>
      <c r="H17" s="13">
        <v>5</v>
      </c>
      <c r="I17" s="13">
        <v>11</v>
      </c>
      <c r="K17" s="10"/>
    </row>
    <row r="18" spans="1:11" ht="21" customHeight="1" x14ac:dyDescent="0.2">
      <c r="A18" s="10"/>
      <c r="C18" s="13" t="s">
        <v>204</v>
      </c>
      <c r="D18" s="17" t="s">
        <v>237</v>
      </c>
      <c r="E18" s="17" t="s">
        <v>238</v>
      </c>
      <c r="F18" s="17" t="s">
        <v>228</v>
      </c>
      <c r="G18" s="13">
        <v>1</v>
      </c>
      <c r="H18" s="13">
        <v>5</v>
      </c>
      <c r="I18" s="13">
        <v>5</v>
      </c>
      <c r="K18" s="10"/>
    </row>
    <row r="19" spans="1:11" ht="20.75" customHeight="1" x14ac:dyDescent="0.2">
      <c r="A19" s="10"/>
      <c r="C19" s="13" t="s">
        <v>205</v>
      </c>
      <c r="D19" s="17" t="s">
        <v>163</v>
      </c>
      <c r="E19" s="17" t="s">
        <v>236</v>
      </c>
      <c r="F19" s="17" t="s">
        <v>307</v>
      </c>
      <c r="G19" s="13">
        <v>0</v>
      </c>
      <c r="H19" s="13">
        <v>0</v>
      </c>
      <c r="I19" s="13">
        <v>0</v>
      </c>
      <c r="K19" s="10"/>
    </row>
    <row r="20" spans="1:11" ht="21" customHeight="1" x14ac:dyDescent="0.2">
      <c r="A20" s="10"/>
      <c r="C20" s="13" t="s">
        <v>206</v>
      </c>
      <c r="D20" s="17" t="s">
        <v>233</v>
      </c>
      <c r="E20" s="17" t="s">
        <v>163</v>
      </c>
      <c r="F20" s="17" t="s">
        <v>307</v>
      </c>
      <c r="G20" s="13">
        <v>3</v>
      </c>
      <c r="H20" s="13">
        <v>6</v>
      </c>
      <c r="I20" s="13">
        <v>6</v>
      </c>
      <c r="K20" s="10"/>
    </row>
    <row r="21" spans="1:11" ht="21" customHeight="1" x14ac:dyDescent="0.2">
      <c r="A21" s="10"/>
      <c r="K21" s="10"/>
    </row>
    <row r="22" spans="1:11" ht="8" customHeight="1" x14ac:dyDescent="0.2">
      <c r="A22" s="10"/>
      <c r="B22" s="10"/>
      <c r="C22" s="10"/>
      <c r="D22" s="10"/>
      <c r="E22" s="10"/>
      <c r="F22" s="10"/>
      <c r="G22" s="10"/>
      <c r="H22" s="10"/>
      <c r="I22" s="10"/>
      <c r="J22" s="10"/>
      <c r="K22" s="10"/>
    </row>
  </sheetData>
  <mergeCells count="3">
    <mergeCell ref="G6:I6"/>
    <mergeCell ref="C6:C7"/>
    <mergeCell ref="D6:F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2AE7-DB8B-482F-8036-BDD642D51FFF}">
  <dimension ref="A1:M34"/>
  <sheetViews>
    <sheetView showGridLines="0" workbookViewId="0">
      <selection activeCell="C49" sqref="C49"/>
    </sheetView>
  </sheetViews>
  <sheetFormatPr baseColWidth="10" defaultColWidth="8.83203125" defaultRowHeight="16" x14ac:dyDescent="0.2"/>
  <cols>
    <col min="1" max="1" width="8.6640625" customWidth="1"/>
    <col min="2" max="2" width="3.6640625" customWidth="1"/>
    <col min="3" max="3" width="15.5" customWidth="1"/>
    <col min="8" max="8" width="3.6640625" customWidth="1"/>
    <col min="9" max="9" width="35.83203125" bestFit="1" customWidth="1"/>
    <col min="10" max="10" width="14.1640625" customWidth="1"/>
    <col min="11" max="11" width="38" bestFit="1" customWidth="1"/>
    <col min="12" max="12" width="3.6640625" customWidth="1"/>
    <col min="13" max="13" width="8.6640625" customWidth="1"/>
  </cols>
  <sheetData>
    <row r="1" spans="1:13" s="7" customFormat="1" ht="8" customHeight="1" x14ac:dyDescent="0.2">
      <c r="A1" s="10"/>
      <c r="B1" s="10"/>
      <c r="C1" s="10"/>
      <c r="D1" s="10"/>
      <c r="E1" s="10"/>
      <c r="F1" s="10"/>
      <c r="G1" s="10"/>
      <c r="H1" s="10"/>
      <c r="I1" s="10"/>
      <c r="J1" s="10"/>
      <c r="K1" s="10"/>
      <c r="L1" s="10"/>
      <c r="M1" s="10"/>
    </row>
    <row r="2" spans="1:13" s="7" customFormat="1" ht="31" customHeight="1" x14ac:dyDescent="0.2">
      <c r="A2" s="10"/>
      <c r="C2" s="43" t="s">
        <v>419</v>
      </c>
      <c r="D2" s="108"/>
      <c r="E2" s="108"/>
      <c r="I2" s="43" t="s">
        <v>444</v>
      </c>
      <c r="M2" s="10"/>
    </row>
    <row r="3" spans="1:13" s="7" customFormat="1" ht="7.25" customHeight="1" x14ac:dyDescent="0.2">
      <c r="A3" s="10"/>
      <c r="M3" s="10"/>
    </row>
    <row r="4" spans="1:13" ht="27.25" customHeight="1" thickBot="1" x14ac:dyDescent="0.25">
      <c r="A4" s="53"/>
      <c r="C4" s="219" t="s">
        <v>414</v>
      </c>
      <c r="D4" s="221" t="s">
        <v>226</v>
      </c>
      <c r="E4" s="221"/>
      <c r="F4" s="221"/>
      <c r="G4" s="221"/>
      <c r="I4" s="169" t="s">
        <v>443</v>
      </c>
      <c r="J4" s="170" t="s">
        <v>226</v>
      </c>
      <c r="K4" s="169" t="s">
        <v>76</v>
      </c>
      <c r="M4" s="53"/>
    </row>
    <row r="5" spans="1:13" ht="22.25" customHeight="1" thickTop="1" thickBot="1" x14ac:dyDescent="0.25">
      <c r="A5" s="53"/>
      <c r="C5" s="220"/>
      <c r="D5" s="166" t="s">
        <v>415</v>
      </c>
      <c r="E5" s="166" t="s">
        <v>416</v>
      </c>
      <c r="F5" s="166" t="s">
        <v>417</v>
      </c>
      <c r="G5" s="166" t="s">
        <v>418</v>
      </c>
      <c r="I5" s="167" t="s">
        <v>420</v>
      </c>
      <c r="J5" s="167">
        <v>11</v>
      </c>
      <c r="K5" s="167"/>
      <c r="M5" s="53"/>
    </row>
    <row r="6" spans="1:13" ht="22.25" customHeight="1" thickTop="1" x14ac:dyDescent="0.2">
      <c r="A6" s="53"/>
      <c r="C6" s="167" t="s">
        <v>153</v>
      </c>
      <c r="D6" s="167">
        <v>10</v>
      </c>
      <c r="E6" s="167">
        <v>11</v>
      </c>
      <c r="F6" s="167">
        <v>15</v>
      </c>
      <c r="G6" s="167">
        <v>15</v>
      </c>
      <c r="I6" s="158" t="s">
        <v>421</v>
      </c>
      <c r="J6" s="158">
        <v>6</v>
      </c>
      <c r="K6" s="158"/>
      <c r="M6" s="53"/>
    </row>
    <row r="7" spans="1:13" ht="22.25" customHeight="1" x14ac:dyDescent="0.2">
      <c r="A7" s="53"/>
      <c r="C7" s="158" t="s">
        <v>27</v>
      </c>
      <c r="D7" s="158">
        <v>11</v>
      </c>
      <c r="E7" s="158">
        <v>11</v>
      </c>
      <c r="F7" s="158">
        <v>11</v>
      </c>
      <c r="G7" s="158">
        <v>11</v>
      </c>
      <c r="I7" s="158" t="s">
        <v>422</v>
      </c>
      <c r="J7" s="158">
        <v>11</v>
      </c>
      <c r="K7" s="158"/>
      <c r="M7" s="53"/>
    </row>
    <row r="8" spans="1:13" ht="22.25" customHeight="1" x14ac:dyDescent="0.2">
      <c r="A8" s="53"/>
      <c r="C8" s="158" t="s">
        <v>28</v>
      </c>
      <c r="D8" s="158">
        <v>11</v>
      </c>
      <c r="E8" s="158">
        <v>11</v>
      </c>
      <c r="F8" s="158">
        <v>11</v>
      </c>
      <c r="G8" s="158">
        <v>11</v>
      </c>
      <c r="I8" s="158" t="s">
        <v>423</v>
      </c>
      <c r="J8" s="158">
        <v>6</v>
      </c>
      <c r="K8" s="158"/>
      <c r="M8" s="53"/>
    </row>
    <row r="9" spans="1:13" ht="22.25" customHeight="1" x14ac:dyDescent="0.2">
      <c r="A9" s="53"/>
      <c r="C9" s="158" t="s">
        <v>29</v>
      </c>
      <c r="D9" s="158">
        <v>11</v>
      </c>
      <c r="E9" s="158">
        <v>11</v>
      </c>
      <c r="F9" s="158">
        <v>11</v>
      </c>
      <c r="G9" s="158">
        <v>11</v>
      </c>
      <c r="I9" s="158" t="s">
        <v>424</v>
      </c>
      <c r="J9" s="158">
        <v>11</v>
      </c>
      <c r="K9" s="158"/>
      <c r="M9" s="53"/>
    </row>
    <row r="10" spans="1:13" ht="22.25" customHeight="1" x14ac:dyDescent="0.2">
      <c r="A10" s="53"/>
      <c r="C10" s="158" t="s">
        <v>30</v>
      </c>
      <c r="D10" s="158">
        <v>0</v>
      </c>
      <c r="E10" s="158">
        <v>0</v>
      </c>
      <c r="F10" s="158">
        <v>0</v>
      </c>
      <c r="G10" s="158">
        <v>0</v>
      </c>
      <c r="I10" s="158" t="s">
        <v>425</v>
      </c>
      <c r="J10" s="158">
        <v>6</v>
      </c>
      <c r="K10" s="158"/>
      <c r="M10" s="53"/>
    </row>
    <row r="11" spans="1:13" ht="22.25" customHeight="1" x14ac:dyDescent="0.2">
      <c r="A11" s="53"/>
      <c r="C11" s="158" t="s">
        <v>31</v>
      </c>
      <c r="D11" s="158">
        <v>0</v>
      </c>
      <c r="E11" s="158">
        <v>0</v>
      </c>
      <c r="F11" s="158">
        <v>0</v>
      </c>
      <c r="G11" s="158">
        <v>0</v>
      </c>
      <c r="I11" s="158" t="s">
        <v>428</v>
      </c>
      <c r="J11" s="158">
        <v>11</v>
      </c>
      <c r="K11" s="158"/>
      <c r="M11" s="53"/>
    </row>
    <row r="12" spans="1:13" ht="22.25" customHeight="1" x14ac:dyDescent="0.2">
      <c r="A12" s="53"/>
      <c r="C12" s="158" t="s">
        <v>206</v>
      </c>
      <c r="D12" s="158">
        <v>11</v>
      </c>
      <c r="E12" s="158">
        <v>11</v>
      </c>
      <c r="F12" s="158">
        <v>11</v>
      </c>
      <c r="G12" s="158">
        <v>11</v>
      </c>
      <c r="I12" s="158" t="s">
        <v>429</v>
      </c>
      <c r="J12" s="158">
        <v>6</v>
      </c>
      <c r="K12" s="158"/>
      <c r="M12" s="53"/>
    </row>
    <row r="13" spans="1:13" ht="34.75" customHeight="1" x14ac:dyDescent="0.2">
      <c r="A13" s="53"/>
      <c r="C13" s="222" t="s">
        <v>450</v>
      </c>
      <c r="D13" s="222"/>
      <c r="E13" s="222"/>
      <c r="F13" s="222"/>
      <c r="G13" s="222"/>
      <c r="I13" s="158" t="s">
        <v>448</v>
      </c>
      <c r="J13" s="158" t="s">
        <v>426</v>
      </c>
      <c r="K13" s="158" t="s">
        <v>427</v>
      </c>
      <c r="M13" s="53"/>
    </row>
    <row r="14" spans="1:13" ht="34.75" customHeight="1" x14ac:dyDescent="0.2">
      <c r="A14" s="53"/>
      <c r="C14" s="223"/>
      <c r="D14" s="223"/>
      <c r="E14" s="223"/>
      <c r="F14" s="223"/>
      <c r="G14" s="223"/>
      <c r="I14" s="158" t="s">
        <v>449</v>
      </c>
      <c r="J14" s="158" t="s">
        <v>426</v>
      </c>
      <c r="K14" s="158" t="s">
        <v>427</v>
      </c>
      <c r="M14" s="53"/>
    </row>
    <row r="15" spans="1:13" ht="29" customHeight="1" x14ac:dyDescent="0.2">
      <c r="A15" s="53"/>
      <c r="C15" s="168"/>
      <c r="D15" s="168"/>
      <c r="E15" s="168"/>
      <c r="F15" s="168"/>
      <c r="G15" s="168"/>
      <c r="I15" s="158" t="s">
        <v>430</v>
      </c>
      <c r="J15" s="158" t="s">
        <v>426</v>
      </c>
      <c r="K15" s="158" t="s">
        <v>427</v>
      </c>
      <c r="M15" s="53"/>
    </row>
    <row r="16" spans="1:13" ht="34.75" customHeight="1" x14ac:dyDescent="0.2">
      <c r="A16" s="53"/>
      <c r="C16" s="168"/>
      <c r="D16" s="168"/>
      <c r="E16" s="168"/>
      <c r="F16" s="168"/>
      <c r="G16" s="168"/>
      <c r="I16" s="158" t="s">
        <v>447</v>
      </c>
      <c r="J16" s="158" t="s">
        <v>426</v>
      </c>
      <c r="K16" s="158" t="s">
        <v>427</v>
      </c>
      <c r="M16" s="53"/>
    </row>
    <row r="17" spans="1:13" ht="22.25" customHeight="1" x14ac:dyDescent="0.2">
      <c r="A17" s="53"/>
      <c r="C17" s="168"/>
      <c r="D17" s="168"/>
      <c r="E17" s="168"/>
      <c r="F17" s="168"/>
      <c r="G17" s="168"/>
      <c r="I17" s="158" t="s">
        <v>431</v>
      </c>
      <c r="J17" s="158" t="s">
        <v>426</v>
      </c>
      <c r="K17" s="158" t="s">
        <v>427</v>
      </c>
      <c r="M17" s="53"/>
    </row>
    <row r="18" spans="1:13" ht="22.25" customHeight="1" x14ac:dyDescent="0.2">
      <c r="A18" s="53"/>
      <c r="C18" s="168"/>
      <c r="D18" s="168"/>
      <c r="E18" s="168"/>
      <c r="F18" s="168"/>
      <c r="G18" s="168"/>
      <c r="I18" s="158" t="s">
        <v>432</v>
      </c>
      <c r="J18" s="158">
        <v>5</v>
      </c>
      <c r="K18" s="158"/>
      <c r="M18" s="53"/>
    </row>
    <row r="19" spans="1:13" ht="22.5" customHeight="1" x14ac:dyDescent="0.2">
      <c r="A19" s="53"/>
      <c r="I19" s="158" t="s">
        <v>433</v>
      </c>
      <c r="J19" s="158" t="s">
        <v>426</v>
      </c>
      <c r="K19" s="158" t="s">
        <v>427</v>
      </c>
      <c r="M19" s="53"/>
    </row>
    <row r="20" spans="1:13" ht="22.25" customHeight="1" x14ac:dyDescent="0.2">
      <c r="A20" s="53"/>
      <c r="I20" s="158" t="s">
        <v>434</v>
      </c>
      <c r="J20" s="158" t="s">
        <v>426</v>
      </c>
      <c r="K20" s="158" t="s">
        <v>427</v>
      </c>
      <c r="M20" s="53"/>
    </row>
    <row r="21" spans="1:13" ht="22.25" customHeight="1" x14ac:dyDescent="0.2">
      <c r="A21" s="53"/>
      <c r="I21" s="158" t="s">
        <v>435</v>
      </c>
      <c r="J21" s="158" t="s">
        <v>426</v>
      </c>
      <c r="K21" s="158" t="s">
        <v>427</v>
      </c>
      <c r="M21" s="53"/>
    </row>
    <row r="22" spans="1:13" ht="22.25" customHeight="1" x14ac:dyDescent="0.2">
      <c r="A22" s="53"/>
      <c r="I22" s="158" t="s">
        <v>436</v>
      </c>
      <c r="J22" s="158" t="s">
        <v>426</v>
      </c>
      <c r="K22" s="158" t="s">
        <v>427</v>
      </c>
      <c r="M22" s="53"/>
    </row>
    <row r="23" spans="1:13" ht="22.25" customHeight="1" x14ac:dyDescent="0.2">
      <c r="A23" s="53"/>
      <c r="I23" s="158" t="s">
        <v>437</v>
      </c>
      <c r="J23" s="158" t="s">
        <v>426</v>
      </c>
      <c r="K23" s="158" t="s">
        <v>427</v>
      </c>
      <c r="M23" s="53"/>
    </row>
    <row r="24" spans="1:13" ht="22.25" customHeight="1" x14ac:dyDescent="0.2">
      <c r="A24" s="53"/>
      <c r="I24" s="158" t="s">
        <v>438</v>
      </c>
      <c r="J24" s="158" t="s">
        <v>426</v>
      </c>
      <c r="K24" s="158" t="s">
        <v>427</v>
      </c>
      <c r="M24" s="53"/>
    </row>
    <row r="25" spans="1:13" ht="22.25" customHeight="1" x14ac:dyDescent="0.2">
      <c r="A25" s="53"/>
      <c r="I25" s="158" t="s">
        <v>439</v>
      </c>
      <c r="J25" s="158" t="s">
        <v>426</v>
      </c>
      <c r="K25" s="158" t="s">
        <v>427</v>
      </c>
      <c r="M25" s="53"/>
    </row>
    <row r="26" spans="1:13" ht="22.25" customHeight="1" x14ac:dyDescent="0.2">
      <c r="A26" s="53"/>
      <c r="I26" s="158" t="s">
        <v>439</v>
      </c>
      <c r="J26" s="158" t="s">
        <v>426</v>
      </c>
      <c r="K26" s="158" t="s">
        <v>427</v>
      </c>
      <c r="M26" s="53"/>
    </row>
    <row r="27" spans="1:13" ht="22.25" customHeight="1" x14ac:dyDescent="0.2">
      <c r="A27" s="53"/>
      <c r="I27" s="158" t="s">
        <v>440</v>
      </c>
      <c r="J27" s="158" t="s">
        <v>426</v>
      </c>
      <c r="K27" s="158" t="s">
        <v>427</v>
      </c>
      <c r="M27" s="53"/>
    </row>
    <row r="28" spans="1:13" ht="22.25" customHeight="1" x14ac:dyDescent="0.2">
      <c r="A28" s="53"/>
      <c r="I28" s="158" t="s">
        <v>441</v>
      </c>
      <c r="J28" s="158" t="s">
        <v>426</v>
      </c>
      <c r="K28" s="158" t="s">
        <v>427</v>
      </c>
      <c r="M28" s="53"/>
    </row>
    <row r="29" spans="1:13" ht="22.25" customHeight="1" x14ac:dyDescent="0.2">
      <c r="A29" s="53"/>
      <c r="I29" s="158" t="s">
        <v>441</v>
      </c>
      <c r="J29" s="158" t="s">
        <v>426</v>
      </c>
      <c r="K29" s="158" t="s">
        <v>427</v>
      </c>
      <c r="M29" s="53"/>
    </row>
    <row r="30" spans="1:13" ht="34.75" customHeight="1" x14ac:dyDescent="0.2">
      <c r="A30" s="53"/>
      <c r="I30" s="158" t="s">
        <v>445</v>
      </c>
      <c r="J30" s="158" t="s">
        <v>426</v>
      </c>
      <c r="K30" s="158" t="s">
        <v>427</v>
      </c>
      <c r="M30" s="53"/>
    </row>
    <row r="31" spans="1:13" ht="34.75" customHeight="1" x14ac:dyDescent="0.2">
      <c r="A31" s="53"/>
      <c r="I31" s="158" t="s">
        <v>446</v>
      </c>
      <c r="J31" s="158" t="s">
        <v>426</v>
      </c>
      <c r="K31" s="158" t="s">
        <v>427</v>
      </c>
      <c r="M31" s="53"/>
    </row>
    <row r="32" spans="1:13" ht="22.25" customHeight="1" x14ac:dyDescent="0.2">
      <c r="A32" s="53"/>
      <c r="I32" s="158" t="s">
        <v>442</v>
      </c>
      <c r="J32" s="158" t="s">
        <v>426</v>
      </c>
      <c r="K32" s="158" t="s">
        <v>427</v>
      </c>
      <c r="M32" s="53"/>
    </row>
    <row r="33" spans="1:13" x14ac:dyDescent="0.2">
      <c r="A33" s="53"/>
      <c r="M33" s="53"/>
    </row>
    <row r="34" spans="1:13" ht="8" customHeight="1" x14ac:dyDescent="0.2">
      <c r="A34" s="53"/>
      <c r="B34" s="53"/>
      <c r="C34" s="53"/>
      <c r="D34" s="53"/>
      <c r="E34" s="53"/>
      <c r="F34" s="53"/>
      <c r="G34" s="53"/>
      <c r="H34" s="53"/>
      <c r="I34" s="53"/>
      <c r="J34" s="53"/>
      <c r="K34" s="53"/>
      <c r="L34" s="53"/>
      <c r="M34" s="53"/>
    </row>
  </sheetData>
  <sheetProtection selectLockedCells="1" selectUnlockedCells="1"/>
  <mergeCells count="3">
    <mergeCell ref="C4:C5"/>
    <mergeCell ref="D4:G4"/>
    <mergeCell ref="C13:G1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5"/>
  <sheetViews>
    <sheetView zoomScale="101" workbookViewId="0">
      <selection activeCell="C65" sqref="C65"/>
    </sheetView>
  </sheetViews>
  <sheetFormatPr baseColWidth="10" defaultColWidth="36.33203125" defaultRowHeight="19.25" customHeight="1" x14ac:dyDescent="0.2"/>
  <cols>
    <col min="1" max="1" width="8.6640625" style="2" customWidth="1"/>
    <col min="2" max="2" width="3.6640625" style="2" customWidth="1"/>
    <col min="3" max="3" width="32.1640625" style="2" customWidth="1"/>
    <col min="4" max="4" width="6.83203125" style="2" customWidth="1"/>
    <col min="5" max="5" width="33" style="2" customWidth="1"/>
    <col min="6" max="6" width="65.5" style="2" customWidth="1"/>
    <col min="7" max="7" width="3.6640625" style="2" customWidth="1"/>
    <col min="8" max="8" width="8.6640625" style="2" customWidth="1"/>
    <col min="9" max="16384" width="36.33203125" style="2"/>
  </cols>
  <sheetData>
    <row r="1" spans="1:8" ht="8" customHeight="1" x14ac:dyDescent="0.2">
      <c r="A1" s="10"/>
      <c r="B1" s="10"/>
      <c r="C1" s="10"/>
      <c r="D1" s="10"/>
      <c r="E1" s="10"/>
      <c r="F1" s="10"/>
      <c r="G1" s="10"/>
      <c r="H1" s="10"/>
    </row>
    <row r="2" spans="1:8" ht="31" customHeight="1" x14ac:dyDescent="0.2">
      <c r="A2" s="10"/>
      <c r="C2" s="26" t="s">
        <v>165</v>
      </c>
      <c r="D2" s="6"/>
      <c r="H2" s="10"/>
    </row>
    <row r="3" spans="1:8" ht="7.25" customHeight="1" x14ac:dyDescent="0.2">
      <c r="A3" s="10"/>
      <c r="H3" s="10"/>
    </row>
    <row r="4" spans="1:8" s="3" customFormat="1" ht="22.25" customHeight="1" thickBot="1" x14ac:dyDescent="0.25">
      <c r="A4" s="11"/>
      <c r="C4" s="34" t="s">
        <v>166</v>
      </c>
      <c r="D4" s="35" t="s">
        <v>66</v>
      </c>
      <c r="E4" s="35" t="s">
        <v>167</v>
      </c>
      <c r="F4" s="35" t="s">
        <v>76</v>
      </c>
      <c r="H4" s="11"/>
    </row>
    <row r="5" spans="1:8" ht="22.25" customHeight="1" thickTop="1" x14ac:dyDescent="0.2">
      <c r="A5" s="10"/>
      <c r="C5" s="27" t="s">
        <v>240</v>
      </c>
      <c r="D5" s="16" t="s">
        <v>82</v>
      </c>
      <c r="E5" s="16" t="s">
        <v>465</v>
      </c>
      <c r="F5" s="16" t="s">
        <v>173</v>
      </c>
      <c r="H5" s="10"/>
    </row>
    <row r="6" spans="1:8" ht="22.25" customHeight="1" x14ac:dyDescent="0.2">
      <c r="A6" s="10"/>
      <c r="C6" s="20" t="s">
        <v>241</v>
      </c>
      <c r="D6" s="13" t="s">
        <v>86</v>
      </c>
      <c r="E6" s="13" t="s">
        <v>469</v>
      </c>
      <c r="F6" s="184" t="s">
        <v>479</v>
      </c>
      <c r="H6" s="10"/>
    </row>
    <row r="7" spans="1:8" ht="22.25" customHeight="1" x14ac:dyDescent="0.2">
      <c r="A7" s="10"/>
      <c r="C7" s="20" t="s">
        <v>242</v>
      </c>
      <c r="D7" s="13" t="s">
        <v>82</v>
      </c>
      <c r="E7" s="13" t="s">
        <v>474</v>
      </c>
      <c r="F7" s="13"/>
      <c r="H7" s="10"/>
    </row>
    <row r="8" spans="1:8" ht="22.25" customHeight="1" x14ac:dyDescent="0.2">
      <c r="A8" s="10"/>
      <c r="C8" s="20" t="s">
        <v>243</v>
      </c>
      <c r="D8" s="13" t="s">
        <v>86</v>
      </c>
      <c r="E8" s="13" t="s">
        <v>469</v>
      </c>
      <c r="F8" s="13"/>
      <c r="H8" s="10"/>
    </row>
    <row r="9" spans="1:8" ht="22.25" customHeight="1" x14ac:dyDescent="0.2">
      <c r="A9" s="10"/>
      <c r="C9" s="20" t="s">
        <v>244</v>
      </c>
      <c r="D9" s="13" t="s">
        <v>90</v>
      </c>
      <c r="E9" s="13" t="s">
        <v>245</v>
      </c>
      <c r="F9" s="13" t="s">
        <v>246</v>
      </c>
      <c r="H9" s="10"/>
    </row>
    <row r="10" spans="1:8" ht="22.25" customHeight="1" x14ac:dyDescent="0.2">
      <c r="A10" s="10"/>
      <c r="C10" s="20" t="s">
        <v>247</v>
      </c>
      <c r="D10" s="13" t="s">
        <v>69</v>
      </c>
      <c r="E10" s="13" t="s">
        <v>245</v>
      </c>
      <c r="F10" s="13"/>
      <c r="H10" s="10"/>
    </row>
    <row r="11" spans="1:8" ht="22.25" customHeight="1" x14ac:dyDescent="0.2">
      <c r="A11" s="10"/>
      <c r="C11" s="20" t="s">
        <v>248</v>
      </c>
      <c r="D11" s="13" t="s">
        <v>169</v>
      </c>
      <c r="E11" s="13" t="s">
        <v>245</v>
      </c>
      <c r="F11" s="13"/>
      <c r="H11" s="10"/>
    </row>
    <row r="12" spans="1:8" ht="22.25" customHeight="1" x14ac:dyDescent="0.2">
      <c r="A12" s="10"/>
      <c r="C12" s="20" t="s">
        <v>170</v>
      </c>
      <c r="D12" s="13" t="s">
        <v>92</v>
      </c>
      <c r="E12" s="13" t="s">
        <v>469</v>
      </c>
      <c r="F12" s="13"/>
      <c r="H12" s="10"/>
    </row>
    <row r="13" spans="1:8" ht="22.25" customHeight="1" x14ac:dyDescent="0.2">
      <c r="A13" s="10"/>
      <c r="C13" s="20" t="s">
        <v>249</v>
      </c>
      <c r="D13" s="13" t="s">
        <v>74</v>
      </c>
      <c r="E13" s="13" t="s">
        <v>473</v>
      </c>
      <c r="F13" s="13"/>
      <c r="H13" s="10"/>
    </row>
    <row r="14" spans="1:8" ht="22.25" customHeight="1" x14ac:dyDescent="0.2">
      <c r="A14" s="10"/>
      <c r="C14" s="20" t="s">
        <v>250</v>
      </c>
      <c r="D14" s="13" t="s">
        <v>92</v>
      </c>
      <c r="E14" s="13" t="s">
        <v>459</v>
      </c>
      <c r="F14" s="13" t="s">
        <v>251</v>
      </c>
      <c r="H14" s="10"/>
    </row>
    <row r="15" spans="1:8" ht="22.25" customHeight="1" x14ac:dyDescent="0.2">
      <c r="A15" s="10"/>
      <c r="C15" s="20" t="s">
        <v>252</v>
      </c>
      <c r="D15" s="13" t="s">
        <v>94</v>
      </c>
      <c r="E15" s="13" t="s">
        <v>253</v>
      </c>
      <c r="F15" s="13" t="s">
        <v>254</v>
      </c>
      <c r="H15" s="10"/>
    </row>
    <row r="16" spans="1:8" ht="22.25" customHeight="1" x14ac:dyDescent="0.2">
      <c r="A16" s="10"/>
      <c r="C16" s="20" t="s">
        <v>255</v>
      </c>
      <c r="D16" s="13" t="s">
        <v>74</v>
      </c>
      <c r="E16" s="13" t="s">
        <v>477</v>
      </c>
      <c r="F16" s="183" t="s">
        <v>478</v>
      </c>
      <c r="H16" s="10"/>
    </row>
    <row r="17" spans="1:8" ht="22.25" customHeight="1" x14ac:dyDescent="0.2">
      <c r="A17" s="10"/>
      <c r="C17" s="20" t="s">
        <v>256</v>
      </c>
      <c r="D17" s="13" t="s">
        <v>69</v>
      </c>
      <c r="E17" s="13" t="s">
        <v>471</v>
      </c>
      <c r="F17" s="13"/>
      <c r="H17" s="10"/>
    </row>
    <row r="18" spans="1:8" ht="22.25" customHeight="1" x14ac:dyDescent="0.2">
      <c r="A18" s="10"/>
      <c r="C18" s="20" t="s">
        <v>257</v>
      </c>
      <c r="D18" s="13" t="s">
        <v>71</v>
      </c>
      <c r="E18" s="13" t="s">
        <v>472</v>
      </c>
      <c r="F18" s="13"/>
      <c r="H18" s="10"/>
    </row>
    <row r="19" spans="1:8" ht="22.25" customHeight="1" x14ac:dyDescent="0.2">
      <c r="A19" s="10"/>
      <c r="C19" s="20" t="s">
        <v>258</v>
      </c>
      <c r="D19" s="13" t="s">
        <v>72</v>
      </c>
      <c r="E19" s="13" t="s">
        <v>174</v>
      </c>
      <c r="F19" s="13"/>
      <c r="H19" s="10"/>
    </row>
    <row r="20" spans="1:8" ht="22.25" customHeight="1" x14ac:dyDescent="0.2">
      <c r="A20" s="10"/>
      <c r="C20" s="20" t="s">
        <v>259</v>
      </c>
      <c r="D20" s="13" t="s">
        <v>72</v>
      </c>
      <c r="E20" s="13" t="s">
        <v>174</v>
      </c>
      <c r="F20" s="13"/>
      <c r="H20" s="10"/>
    </row>
    <row r="21" spans="1:8" ht="22.25" customHeight="1" x14ac:dyDescent="0.2">
      <c r="A21" s="10"/>
      <c r="C21" s="20" t="s">
        <v>396</v>
      </c>
      <c r="D21" s="13" t="s">
        <v>72</v>
      </c>
      <c r="E21" s="13" t="s">
        <v>245</v>
      </c>
      <c r="F21" s="13"/>
      <c r="H21" s="10"/>
    </row>
    <row r="22" spans="1:8" ht="22.25" customHeight="1" x14ac:dyDescent="0.2">
      <c r="A22" s="10"/>
      <c r="C22" s="20" t="s">
        <v>176</v>
      </c>
      <c r="D22" s="13" t="s">
        <v>72</v>
      </c>
      <c r="E22" s="13" t="s">
        <v>174</v>
      </c>
      <c r="F22" s="13"/>
      <c r="H22" s="10"/>
    </row>
    <row r="23" spans="1:8" ht="22.25" customHeight="1" x14ac:dyDescent="0.2">
      <c r="A23" s="10"/>
      <c r="C23" s="20" t="s">
        <v>260</v>
      </c>
      <c r="D23" s="13" t="s">
        <v>261</v>
      </c>
      <c r="E23" s="13" t="s">
        <v>470</v>
      </c>
      <c r="F23" s="13"/>
      <c r="H23" s="10"/>
    </row>
    <row r="24" spans="1:8" ht="22.25" customHeight="1" x14ac:dyDescent="0.2">
      <c r="A24" s="10"/>
      <c r="C24" s="20" t="s">
        <v>177</v>
      </c>
      <c r="D24" s="13" t="s">
        <v>178</v>
      </c>
      <c r="E24" s="13" t="s">
        <v>315</v>
      </c>
      <c r="F24" s="13"/>
      <c r="H24" s="10"/>
    </row>
    <row r="25" spans="1:8" ht="22.25" customHeight="1" x14ac:dyDescent="0.2">
      <c r="A25" s="10"/>
      <c r="C25" s="20" t="s">
        <v>175</v>
      </c>
      <c r="D25" s="13"/>
      <c r="E25" s="13" t="s">
        <v>312</v>
      </c>
      <c r="F25" s="13"/>
      <c r="H25" s="10"/>
    </row>
    <row r="26" spans="1:8" ht="22.25" customHeight="1" x14ac:dyDescent="0.2">
      <c r="A26" s="10"/>
      <c r="H26" s="10"/>
    </row>
    <row r="27" spans="1:8" s="3" customFormat="1" ht="31" customHeight="1" x14ac:dyDescent="0.2">
      <c r="A27" s="11"/>
      <c r="C27" s="110" t="s">
        <v>168</v>
      </c>
      <c r="H27" s="11"/>
    </row>
    <row r="28" spans="1:8" s="29" customFormat="1" ht="22.25" customHeight="1" x14ac:dyDescent="0.2">
      <c r="A28" s="30"/>
      <c r="C28" s="28" t="s">
        <v>475</v>
      </c>
      <c r="H28" s="30"/>
    </row>
    <row r="29" spans="1:8" s="29" customFormat="1" ht="22.25" customHeight="1" x14ac:dyDescent="0.2">
      <c r="A29" s="30"/>
      <c r="C29" s="31" t="s">
        <v>263</v>
      </c>
      <c r="H29" s="30"/>
    </row>
    <row r="30" spans="1:8" s="29" customFormat="1" ht="36.5" customHeight="1" x14ac:dyDescent="0.2">
      <c r="A30" s="30"/>
      <c r="C30" s="224" t="s">
        <v>262</v>
      </c>
      <c r="D30" s="224"/>
      <c r="E30" s="224"/>
      <c r="F30" s="224"/>
      <c r="H30" s="30"/>
    </row>
    <row r="31" spans="1:8" s="29" customFormat="1" ht="22.25" customHeight="1" x14ac:dyDescent="0.2">
      <c r="A31" s="30"/>
      <c r="C31" s="31" t="s">
        <v>476</v>
      </c>
      <c r="H31" s="30"/>
    </row>
    <row r="32" spans="1:8" s="29" customFormat="1" ht="22.25" customHeight="1" x14ac:dyDescent="0.2">
      <c r="A32" s="30"/>
      <c r="C32" s="31" t="s">
        <v>460</v>
      </c>
      <c r="H32" s="30"/>
    </row>
    <row r="33" spans="1:8" s="29" customFormat="1" ht="22.25" customHeight="1" x14ac:dyDescent="0.2">
      <c r="A33" s="30"/>
      <c r="C33" s="31" t="s">
        <v>325</v>
      </c>
      <c r="H33" s="30"/>
    </row>
    <row r="34" spans="1:8" ht="22.25" customHeight="1" x14ac:dyDescent="0.2">
      <c r="A34" s="10"/>
      <c r="H34" s="10"/>
    </row>
    <row r="35" spans="1:8" ht="8" customHeight="1" x14ac:dyDescent="0.2">
      <c r="A35" s="10"/>
      <c r="B35" s="10"/>
      <c r="C35" s="10"/>
      <c r="D35" s="10"/>
      <c r="E35" s="10"/>
      <c r="F35" s="10"/>
      <c r="G35" s="10"/>
      <c r="H35" s="10"/>
    </row>
  </sheetData>
  <sheetProtection selectLockedCells="1" selectUnlockedCells="1"/>
  <mergeCells count="1">
    <mergeCell ref="C30:F30"/>
  </mergeCells>
  <hyperlinks>
    <hyperlink ref="F6" r:id="rId1" display="AHDB GB Fertiliser Prices (May 2019 prices used)" xr:uid="{867B3158-036B-42E9-87A1-8FE75BC4045E}"/>
    <hyperlink ref="F16" r:id="rId2" xr:uid="{FFFA16A0-E42A-49F7-ACFB-A895203DD9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F4E8-C478-4D00-AD2A-5C5A6DD88495}">
  <dimension ref="B2:N48"/>
  <sheetViews>
    <sheetView showGridLines="0" tabSelected="1" zoomScaleNormal="100" workbookViewId="0">
      <selection activeCell="B76" sqref="B76"/>
    </sheetView>
  </sheetViews>
  <sheetFormatPr baseColWidth="10" defaultColWidth="8.83203125" defaultRowHeight="16" x14ac:dyDescent="0.2"/>
  <cols>
    <col min="3" max="3" width="3.6640625" customWidth="1"/>
    <col min="13" max="13" width="3.6640625" customWidth="1"/>
  </cols>
  <sheetData>
    <row r="2" spans="2:14" ht="8" customHeight="1" x14ac:dyDescent="0.2">
      <c r="B2" s="165"/>
      <c r="C2" s="53"/>
      <c r="D2" s="53"/>
      <c r="E2" s="53"/>
      <c r="F2" s="53"/>
      <c r="G2" s="53"/>
      <c r="H2" s="53"/>
      <c r="I2" s="53"/>
      <c r="J2" s="53"/>
      <c r="K2" s="53"/>
      <c r="L2" s="53"/>
      <c r="M2" s="53"/>
      <c r="N2" s="53"/>
    </row>
    <row r="3" spans="2:14" x14ac:dyDescent="0.2">
      <c r="B3" s="53"/>
      <c r="N3" s="53"/>
    </row>
    <row r="4" spans="2:14" x14ac:dyDescent="0.2">
      <c r="B4" s="53"/>
      <c r="N4" s="53"/>
    </row>
    <row r="5" spans="2:14" x14ac:dyDescent="0.2">
      <c r="B5" s="53"/>
      <c r="N5" s="53"/>
    </row>
    <row r="6" spans="2:14" x14ac:dyDescent="0.2">
      <c r="B6" s="53"/>
      <c r="N6" s="53"/>
    </row>
    <row r="7" spans="2:14" x14ac:dyDescent="0.2">
      <c r="B7" s="53"/>
      <c r="N7" s="53"/>
    </row>
    <row r="8" spans="2:14" x14ac:dyDescent="0.2">
      <c r="B8" s="53"/>
      <c r="N8" s="53"/>
    </row>
    <row r="9" spans="2:14" x14ac:dyDescent="0.2">
      <c r="B9" s="53"/>
      <c r="N9" s="53"/>
    </row>
    <row r="10" spans="2:14" x14ac:dyDescent="0.2">
      <c r="B10" s="53"/>
      <c r="N10" s="53"/>
    </row>
    <row r="11" spans="2:14" x14ac:dyDescent="0.2">
      <c r="B11" s="53"/>
      <c r="N11" s="53"/>
    </row>
    <row r="12" spans="2:14" x14ac:dyDescent="0.2">
      <c r="B12" s="53"/>
      <c r="N12" s="53"/>
    </row>
    <row r="13" spans="2:14" x14ac:dyDescent="0.2">
      <c r="B13" s="53"/>
      <c r="N13" s="53"/>
    </row>
    <row r="14" spans="2:14" x14ac:dyDescent="0.2">
      <c r="B14" s="53"/>
      <c r="N14" s="53"/>
    </row>
    <row r="15" spans="2:14" x14ac:dyDescent="0.2">
      <c r="B15" s="53"/>
      <c r="N15" s="53"/>
    </row>
    <row r="16" spans="2:14" x14ac:dyDescent="0.2">
      <c r="B16" s="53"/>
      <c r="N16" s="53"/>
    </row>
    <row r="17" spans="2:14" x14ac:dyDescent="0.2">
      <c r="B17" s="53"/>
      <c r="N17" s="53"/>
    </row>
    <row r="18" spans="2:14" x14ac:dyDescent="0.2">
      <c r="B18" s="53"/>
      <c r="N18" s="53"/>
    </row>
    <row r="19" spans="2:14" x14ac:dyDescent="0.2">
      <c r="B19" s="53"/>
      <c r="N19" s="53"/>
    </row>
    <row r="20" spans="2:14" x14ac:dyDescent="0.2">
      <c r="B20" s="53"/>
      <c r="N20" s="53"/>
    </row>
    <row r="21" spans="2:14" x14ac:dyDescent="0.2">
      <c r="B21" s="53"/>
      <c r="N21" s="53"/>
    </row>
    <row r="22" spans="2:14" x14ac:dyDescent="0.2">
      <c r="B22" s="53"/>
      <c r="N22" s="53"/>
    </row>
    <row r="23" spans="2:14" x14ac:dyDescent="0.2">
      <c r="B23" s="53"/>
      <c r="N23" s="53"/>
    </row>
    <row r="24" spans="2:14" x14ac:dyDescent="0.2">
      <c r="B24" s="53"/>
      <c r="N24" s="53"/>
    </row>
    <row r="25" spans="2:14" x14ac:dyDescent="0.2">
      <c r="B25" s="53"/>
      <c r="N25" s="53"/>
    </row>
    <row r="26" spans="2:14" x14ac:dyDescent="0.2">
      <c r="B26" s="53"/>
      <c r="N26" s="53"/>
    </row>
    <row r="27" spans="2:14" x14ac:dyDescent="0.2">
      <c r="B27" s="53"/>
      <c r="N27" s="53"/>
    </row>
    <row r="28" spans="2:14" x14ac:dyDescent="0.2">
      <c r="B28" s="53"/>
      <c r="N28" s="53"/>
    </row>
    <row r="29" spans="2:14" x14ac:dyDescent="0.2">
      <c r="B29" s="53"/>
      <c r="N29" s="53"/>
    </row>
    <row r="30" spans="2:14" x14ac:dyDescent="0.2">
      <c r="B30" s="53"/>
      <c r="N30" s="53"/>
    </row>
    <row r="31" spans="2:14" x14ac:dyDescent="0.2">
      <c r="B31" s="53"/>
      <c r="N31" s="53"/>
    </row>
    <row r="32" spans="2:14" x14ac:dyDescent="0.2">
      <c r="B32" s="53"/>
      <c r="N32" s="53"/>
    </row>
    <row r="33" spans="2:14" x14ac:dyDescent="0.2">
      <c r="B33" s="53"/>
      <c r="N33" s="53"/>
    </row>
    <row r="34" spans="2:14" x14ac:dyDescent="0.2">
      <c r="B34" s="53"/>
      <c r="N34" s="53"/>
    </row>
    <row r="35" spans="2:14" x14ac:dyDescent="0.2">
      <c r="B35" s="53"/>
      <c r="N35" s="53"/>
    </row>
    <row r="36" spans="2:14" x14ac:dyDescent="0.2">
      <c r="B36" s="53"/>
      <c r="N36" s="53"/>
    </row>
    <row r="37" spans="2:14" x14ac:dyDescent="0.2">
      <c r="B37" s="53"/>
      <c r="N37" s="53"/>
    </row>
    <row r="38" spans="2:14" x14ac:dyDescent="0.2">
      <c r="B38" s="53"/>
      <c r="N38" s="53"/>
    </row>
    <row r="39" spans="2:14" x14ac:dyDescent="0.2">
      <c r="B39" s="53"/>
      <c r="N39" s="53"/>
    </row>
    <row r="40" spans="2:14" x14ac:dyDescent="0.2">
      <c r="B40" s="53"/>
      <c r="N40" s="53"/>
    </row>
    <row r="41" spans="2:14" x14ac:dyDescent="0.2">
      <c r="B41" s="53"/>
      <c r="N41" s="53"/>
    </row>
    <row r="42" spans="2:14" x14ac:dyDescent="0.2">
      <c r="B42" s="53"/>
      <c r="N42" s="53"/>
    </row>
    <row r="43" spans="2:14" x14ac:dyDescent="0.2">
      <c r="B43" s="53"/>
      <c r="N43" s="53"/>
    </row>
    <row r="44" spans="2:14" x14ac:dyDescent="0.2">
      <c r="B44" s="53"/>
      <c r="N44" s="53"/>
    </row>
    <row r="45" spans="2:14" x14ac:dyDescent="0.2">
      <c r="B45" s="53"/>
      <c r="N45" s="53"/>
    </row>
    <row r="46" spans="2:14" x14ac:dyDescent="0.2">
      <c r="B46" s="53"/>
      <c r="N46" s="53"/>
    </row>
    <row r="47" spans="2:14" x14ac:dyDescent="0.2">
      <c r="B47" s="53"/>
      <c r="N47" s="53"/>
    </row>
    <row r="48" spans="2:14" ht="8" customHeight="1" x14ac:dyDescent="0.2">
      <c r="B48" s="53"/>
      <c r="C48" s="53"/>
      <c r="D48" s="53"/>
      <c r="E48" s="53"/>
      <c r="F48" s="53"/>
      <c r="G48" s="53"/>
      <c r="H48" s="53"/>
      <c r="I48" s="53"/>
      <c r="J48" s="53"/>
      <c r="K48" s="53"/>
      <c r="L48" s="53"/>
      <c r="M48" s="53"/>
      <c r="N48" s="5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showGridLines="0" topLeftCell="B1" zoomScale="145" zoomScaleNormal="145" workbookViewId="0">
      <selection activeCell="C45" sqref="C45"/>
    </sheetView>
  </sheetViews>
  <sheetFormatPr baseColWidth="10" defaultColWidth="10.83203125" defaultRowHeight="19.25" customHeight="1" x14ac:dyDescent="0.2"/>
  <cols>
    <col min="1" max="1" width="8.6640625" style="7" customWidth="1"/>
    <col min="2" max="2" width="3.6640625" style="7" customWidth="1"/>
    <col min="3" max="3" width="17.5" style="7" customWidth="1"/>
    <col min="4" max="4" width="11.1640625" style="7" customWidth="1"/>
    <col min="5" max="5" width="15.1640625" style="7" customWidth="1"/>
    <col min="6" max="6" width="111" style="7" customWidth="1"/>
    <col min="7" max="7" width="3.6640625" style="7" customWidth="1"/>
    <col min="8" max="8" width="8.6640625" style="7" customWidth="1"/>
    <col min="9" max="9" width="12" style="7" customWidth="1"/>
    <col min="10" max="10" width="10.83203125" style="7"/>
    <col min="11" max="11" width="11.83203125" style="7" customWidth="1"/>
    <col min="12" max="16384" width="10.83203125" style="7"/>
  </cols>
  <sheetData>
    <row r="1" spans="1:8" ht="8" customHeight="1" x14ac:dyDescent="0.2">
      <c r="A1" s="160"/>
      <c r="B1" s="160"/>
      <c r="C1" s="160"/>
      <c r="D1" s="160"/>
      <c r="E1" s="160"/>
      <c r="F1" s="160"/>
      <c r="G1" s="160"/>
      <c r="H1" s="160"/>
    </row>
    <row r="2" spans="1:8" ht="31" customHeight="1" x14ac:dyDescent="0.2">
      <c r="A2" s="160"/>
      <c r="C2" s="43" t="s">
        <v>36</v>
      </c>
      <c r="D2" s="152"/>
      <c r="H2" s="10"/>
    </row>
    <row r="3" spans="1:8" ht="7.25" customHeight="1" x14ac:dyDescent="0.2">
      <c r="A3" s="160"/>
      <c r="H3" s="10"/>
    </row>
    <row r="4" spans="1:8" ht="30" customHeight="1" x14ac:dyDescent="0.2">
      <c r="A4" s="160"/>
      <c r="C4" s="156" t="s">
        <v>207</v>
      </c>
      <c r="D4" s="156" t="s">
        <v>208</v>
      </c>
      <c r="E4" s="190" t="s">
        <v>329</v>
      </c>
      <c r="F4" s="190"/>
      <c r="H4" s="10"/>
    </row>
    <row r="5" spans="1:8" ht="22.25" customHeight="1" x14ac:dyDescent="0.2">
      <c r="A5" s="160"/>
      <c r="C5" s="157" t="s">
        <v>264</v>
      </c>
      <c r="D5" s="157" t="s">
        <v>265</v>
      </c>
      <c r="E5" s="191" t="s">
        <v>266</v>
      </c>
      <c r="F5" s="191"/>
      <c r="H5" s="10"/>
    </row>
    <row r="6" spans="1:8" ht="22.25" customHeight="1" x14ac:dyDescent="0.2">
      <c r="A6" s="160"/>
      <c r="C6" s="158" t="s">
        <v>209</v>
      </c>
      <c r="D6" s="158" t="s">
        <v>210</v>
      </c>
      <c r="E6" s="192" t="s">
        <v>211</v>
      </c>
      <c r="F6" s="193"/>
      <c r="H6" s="10"/>
    </row>
    <row r="7" spans="1:8" ht="22.25" customHeight="1" x14ac:dyDescent="0.2">
      <c r="A7" s="160"/>
      <c r="C7" s="158" t="s">
        <v>399</v>
      </c>
      <c r="D7" s="158" t="s">
        <v>212</v>
      </c>
      <c r="E7" s="159" t="s">
        <v>330</v>
      </c>
      <c r="F7" s="13"/>
      <c r="G7" s="153"/>
      <c r="H7" s="10"/>
    </row>
    <row r="8" spans="1:8" ht="22.25" customHeight="1" x14ac:dyDescent="0.2">
      <c r="A8" s="160"/>
      <c r="C8" s="158" t="s">
        <v>213</v>
      </c>
      <c r="D8" s="158" t="s">
        <v>212</v>
      </c>
      <c r="E8" s="192" t="s">
        <v>331</v>
      </c>
      <c r="F8" s="193"/>
      <c r="H8" s="10"/>
    </row>
    <row r="9" spans="1:8" ht="22.25" customHeight="1" x14ac:dyDescent="0.2">
      <c r="A9" s="160"/>
      <c r="C9" s="158" t="s">
        <v>398</v>
      </c>
      <c r="D9" s="158" t="s">
        <v>214</v>
      </c>
      <c r="E9" s="189" t="s">
        <v>311</v>
      </c>
      <c r="F9" s="189"/>
      <c r="G9" s="154"/>
      <c r="H9" s="10"/>
    </row>
    <row r="10" spans="1:8" ht="22.25" customHeight="1" x14ac:dyDescent="0.2">
      <c r="A10" s="160"/>
      <c r="C10" s="158" t="s">
        <v>62</v>
      </c>
      <c r="D10" s="158" t="s">
        <v>215</v>
      </c>
      <c r="E10" s="189" t="s">
        <v>216</v>
      </c>
      <c r="F10" s="189"/>
      <c r="H10" s="10"/>
    </row>
    <row r="11" spans="1:8" ht="22.25" customHeight="1" x14ac:dyDescent="0.2">
      <c r="A11" s="160"/>
      <c r="C11" s="158" t="s">
        <v>217</v>
      </c>
      <c r="D11" s="158" t="s">
        <v>214</v>
      </c>
      <c r="E11" s="189" t="s">
        <v>218</v>
      </c>
      <c r="F11" s="189"/>
      <c r="H11" s="10"/>
    </row>
    <row r="12" spans="1:8" ht="22.25" customHeight="1" x14ac:dyDescent="0.2">
      <c r="A12" s="160"/>
      <c r="C12" s="158" t="s">
        <v>179</v>
      </c>
      <c r="D12" s="158" t="s">
        <v>219</v>
      </c>
      <c r="E12" s="189" t="s">
        <v>332</v>
      </c>
      <c r="F12" s="189"/>
      <c r="H12" s="10"/>
    </row>
    <row r="13" spans="1:8" ht="22.25" customHeight="1" x14ac:dyDescent="0.2">
      <c r="A13" s="160"/>
      <c r="C13" s="158" t="s">
        <v>220</v>
      </c>
      <c r="D13" s="158" t="s">
        <v>219</v>
      </c>
      <c r="E13" s="189" t="s">
        <v>333</v>
      </c>
      <c r="F13" s="189"/>
      <c r="H13" s="10"/>
    </row>
    <row r="14" spans="1:8" ht="22.25" customHeight="1" x14ac:dyDescent="0.2">
      <c r="A14" s="160"/>
      <c r="C14" s="158" t="s">
        <v>180</v>
      </c>
      <c r="D14" s="158" t="s">
        <v>214</v>
      </c>
      <c r="E14" s="189" t="s">
        <v>403</v>
      </c>
      <c r="F14" s="189"/>
      <c r="H14" s="10"/>
    </row>
    <row r="15" spans="1:8" ht="22.25" customHeight="1" x14ac:dyDescent="0.2">
      <c r="A15" s="160"/>
      <c r="C15" s="158" t="s">
        <v>181</v>
      </c>
      <c r="D15" s="158" t="s">
        <v>219</v>
      </c>
      <c r="E15" s="189" t="s">
        <v>221</v>
      </c>
      <c r="F15" s="189"/>
      <c r="H15" s="10"/>
    </row>
    <row r="16" spans="1:8" ht="22.25" customHeight="1" x14ac:dyDescent="0.2">
      <c r="A16" s="160"/>
      <c r="C16" s="158" t="s">
        <v>186</v>
      </c>
      <c r="D16" s="158" t="s">
        <v>214</v>
      </c>
      <c r="E16" s="189" t="s">
        <v>404</v>
      </c>
      <c r="F16" s="189"/>
      <c r="H16" s="10"/>
    </row>
    <row r="17" spans="1:8" ht="22.25" customHeight="1" x14ac:dyDescent="0.2">
      <c r="A17" s="160"/>
      <c r="C17" s="158" t="s">
        <v>187</v>
      </c>
      <c r="D17" s="158" t="s">
        <v>214</v>
      </c>
      <c r="E17" s="189" t="s">
        <v>405</v>
      </c>
      <c r="F17" s="189"/>
      <c r="H17" s="10"/>
    </row>
    <row r="18" spans="1:8" ht="22.25" customHeight="1" x14ac:dyDescent="0.2">
      <c r="A18" s="160"/>
      <c r="C18" s="158" t="s">
        <v>188</v>
      </c>
      <c r="D18" s="158" t="s">
        <v>214</v>
      </c>
      <c r="E18" s="189" t="s">
        <v>406</v>
      </c>
      <c r="F18" s="189"/>
      <c r="H18" s="10"/>
    </row>
    <row r="19" spans="1:8" ht="22.25" customHeight="1" x14ac:dyDescent="0.2">
      <c r="A19" s="160"/>
      <c r="C19" s="158" t="s">
        <v>222</v>
      </c>
      <c r="D19" s="158" t="s">
        <v>214</v>
      </c>
      <c r="E19" s="189" t="s">
        <v>481</v>
      </c>
      <c r="F19" s="189"/>
      <c r="H19" s="10"/>
    </row>
    <row r="20" spans="1:8" ht="22.25" customHeight="1" x14ac:dyDescent="0.2">
      <c r="A20" s="160"/>
      <c r="C20" s="158" t="s">
        <v>182</v>
      </c>
      <c r="D20" s="158" t="s">
        <v>214</v>
      </c>
      <c r="E20" s="189" t="s">
        <v>482</v>
      </c>
      <c r="F20" s="189"/>
      <c r="H20" s="10"/>
    </row>
    <row r="21" spans="1:8" ht="22.25" customHeight="1" x14ac:dyDescent="0.2">
      <c r="A21" s="160"/>
      <c r="C21" s="158" t="s">
        <v>223</v>
      </c>
      <c r="D21" s="158" t="s">
        <v>214</v>
      </c>
      <c r="E21" s="189" t="s">
        <v>483</v>
      </c>
      <c r="F21" s="189"/>
      <c r="H21" s="10"/>
    </row>
    <row r="22" spans="1:8" ht="22.25" customHeight="1" x14ac:dyDescent="0.2">
      <c r="A22" s="160"/>
      <c r="C22" s="158" t="s">
        <v>224</v>
      </c>
      <c r="D22" s="158" t="s">
        <v>219</v>
      </c>
      <c r="E22" s="189" t="s">
        <v>489</v>
      </c>
      <c r="F22" s="189"/>
      <c r="H22" s="10"/>
    </row>
    <row r="23" spans="1:8" ht="22.25" customHeight="1" x14ac:dyDescent="0.2">
      <c r="A23" s="160"/>
      <c r="C23" s="158" t="s">
        <v>400</v>
      </c>
      <c r="D23" s="158" t="s">
        <v>219</v>
      </c>
      <c r="E23" s="189" t="s">
        <v>407</v>
      </c>
      <c r="F23" s="189"/>
      <c r="G23" s="154"/>
      <c r="H23" s="10"/>
    </row>
    <row r="24" spans="1:8" ht="22.25" customHeight="1" x14ac:dyDescent="0.2">
      <c r="A24" s="160"/>
      <c r="C24" s="158" t="s">
        <v>183</v>
      </c>
      <c r="D24" s="158" t="s">
        <v>214</v>
      </c>
      <c r="E24" s="189" t="s">
        <v>484</v>
      </c>
      <c r="F24" s="189"/>
      <c r="H24" s="10"/>
    </row>
    <row r="25" spans="1:8" ht="22.25" customHeight="1" x14ac:dyDescent="0.2">
      <c r="A25" s="160"/>
      <c r="C25" s="158" t="s">
        <v>184</v>
      </c>
      <c r="D25" s="158" t="s">
        <v>214</v>
      </c>
      <c r="E25" s="189" t="s">
        <v>485</v>
      </c>
      <c r="F25" s="189"/>
      <c r="H25" s="10"/>
    </row>
    <row r="26" spans="1:8" ht="22.25" customHeight="1" x14ac:dyDescent="0.2">
      <c r="A26" s="160"/>
      <c r="C26" s="158" t="s">
        <v>185</v>
      </c>
      <c r="D26" s="158" t="s">
        <v>219</v>
      </c>
      <c r="E26" s="189" t="s">
        <v>334</v>
      </c>
      <c r="F26" s="189"/>
      <c r="H26" s="10"/>
    </row>
    <row r="27" spans="1:8" ht="22.25" customHeight="1" x14ac:dyDescent="0.2">
      <c r="A27" s="160"/>
      <c r="C27" s="158" t="s">
        <v>189</v>
      </c>
      <c r="D27" s="158" t="s">
        <v>214</v>
      </c>
      <c r="E27" s="189" t="s">
        <v>284</v>
      </c>
      <c r="F27" s="189"/>
      <c r="H27" s="10"/>
    </row>
    <row r="28" spans="1:8" ht="22.25" customHeight="1" x14ac:dyDescent="0.2">
      <c r="A28" s="160"/>
      <c r="C28" s="158" t="s">
        <v>190</v>
      </c>
      <c r="D28" s="158" t="s">
        <v>214</v>
      </c>
      <c r="E28" s="189" t="s">
        <v>285</v>
      </c>
      <c r="F28" s="189"/>
      <c r="H28" s="10"/>
    </row>
    <row r="29" spans="1:8" ht="22.25" customHeight="1" x14ac:dyDescent="0.2">
      <c r="A29" s="160"/>
      <c r="C29" s="158" t="s">
        <v>191</v>
      </c>
      <c r="D29" s="158" t="s">
        <v>214</v>
      </c>
      <c r="E29" s="189" t="s">
        <v>286</v>
      </c>
      <c r="F29" s="189"/>
      <c r="H29" s="10"/>
    </row>
    <row r="30" spans="1:8" ht="22.25" customHeight="1" x14ac:dyDescent="0.2">
      <c r="A30" s="160"/>
      <c r="C30" s="158" t="s">
        <v>192</v>
      </c>
      <c r="D30" s="158" t="s">
        <v>214</v>
      </c>
      <c r="E30" s="189" t="s">
        <v>486</v>
      </c>
      <c r="F30" s="189"/>
      <c r="H30" s="10"/>
    </row>
    <row r="31" spans="1:8" ht="22.25" customHeight="1" x14ac:dyDescent="0.2">
      <c r="A31" s="160"/>
      <c r="C31" s="158" t="s">
        <v>193</v>
      </c>
      <c r="D31" s="158" t="s">
        <v>214</v>
      </c>
      <c r="E31" s="189" t="s">
        <v>487</v>
      </c>
      <c r="F31" s="189"/>
      <c r="H31" s="10"/>
    </row>
    <row r="32" spans="1:8" ht="22.25" customHeight="1" x14ac:dyDescent="0.2">
      <c r="A32" s="160"/>
      <c r="C32" s="158" t="s">
        <v>194</v>
      </c>
      <c r="D32" s="158" t="s">
        <v>214</v>
      </c>
      <c r="E32" s="189" t="s">
        <v>488</v>
      </c>
      <c r="F32" s="189"/>
      <c r="H32" s="10"/>
    </row>
    <row r="33" spans="1:8" ht="22.25" customHeight="1" x14ac:dyDescent="0.2">
      <c r="A33" s="160"/>
      <c r="C33" s="158" t="s">
        <v>195</v>
      </c>
      <c r="D33" s="158" t="s">
        <v>214</v>
      </c>
      <c r="E33" s="189" t="s">
        <v>461</v>
      </c>
      <c r="F33" s="189"/>
      <c r="H33" s="10"/>
    </row>
    <row r="34" spans="1:8" ht="22.25" customHeight="1" x14ac:dyDescent="0.2">
      <c r="A34" s="160"/>
      <c r="C34" s="158" t="s">
        <v>196</v>
      </c>
      <c r="D34" s="158" t="s">
        <v>214</v>
      </c>
      <c r="E34" s="189" t="s">
        <v>287</v>
      </c>
      <c r="F34" s="189"/>
      <c r="H34" s="10"/>
    </row>
    <row r="35" spans="1:8" ht="22.25" customHeight="1" x14ac:dyDescent="0.2">
      <c r="A35" s="160"/>
      <c r="C35" s="158" t="s">
        <v>197</v>
      </c>
      <c r="D35" s="158" t="s">
        <v>214</v>
      </c>
      <c r="E35" s="189" t="s">
        <v>288</v>
      </c>
      <c r="F35" s="189"/>
      <c r="H35" s="10"/>
    </row>
    <row r="36" spans="1:8" ht="7.25" customHeight="1" x14ac:dyDescent="0.2">
      <c r="A36" s="160"/>
      <c r="E36" s="155"/>
      <c r="F36" s="155"/>
      <c r="H36" s="10"/>
    </row>
    <row r="37" spans="1:8" ht="22.25" customHeight="1" x14ac:dyDescent="0.2">
      <c r="A37" s="160"/>
      <c r="C37" s="108" t="s">
        <v>402</v>
      </c>
      <c r="H37" s="10"/>
    </row>
    <row r="38" spans="1:8" ht="22.25" customHeight="1" x14ac:dyDescent="0.2">
      <c r="A38" s="160"/>
      <c r="C38" s="108" t="s">
        <v>462</v>
      </c>
      <c r="H38" s="10"/>
    </row>
    <row r="39" spans="1:8" ht="22.25" customHeight="1" x14ac:dyDescent="0.2">
      <c r="A39" s="160"/>
      <c r="C39" s="108" t="s">
        <v>401</v>
      </c>
      <c r="H39" s="10"/>
    </row>
    <row r="40" spans="1:8" ht="19.25" customHeight="1" x14ac:dyDescent="0.2">
      <c r="A40" s="160"/>
      <c r="H40" s="10"/>
    </row>
    <row r="41" spans="1:8" ht="8" customHeight="1" x14ac:dyDescent="0.2">
      <c r="A41" s="160"/>
      <c r="B41" s="160"/>
      <c r="C41" s="160"/>
      <c r="D41" s="160"/>
      <c r="E41" s="160"/>
      <c r="F41" s="160"/>
      <c r="G41" s="160"/>
      <c r="H41" s="160"/>
    </row>
  </sheetData>
  <mergeCells count="31">
    <mergeCell ref="E16:F16"/>
    <mergeCell ref="E17:F17"/>
    <mergeCell ref="E18:F18"/>
    <mergeCell ref="E35:F35"/>
    <mergeCell ref="E24:F24"/>
    <mergeCell ref="E25:F25"/>
    <mergeCell ref="E26:F26"/>
    <mergeCell ref="E27:F27"/>
    <mergeCell ref="E28:F28"/>
    <mergeCell ref="E29:F29"/>
    <mergeCell ref="E30:F30"/>
    <mergeCell ref="E31:F31"/>
    <mergeCell ref="E32:F32"/>
    <mergeCell ref="E33:F33"/>
    <mergeCell ref="E34:F34"/>
    <mergeCell ref="E13:F13"/>
    <mergeCell ref="E4:F4"/>
    <mergeCell ref="E5:F5"/>
    <mergeCell ref="E23:F23"/>
    <mergeCell ref="E12:F12"/>
    <mergeCell ref="E11:F11"/>
    <mergeCell ref="E6:F6"/>
    <mergeCell ref="E8:F8"/>
    <mergeCell ref="E9:F9"/>
    <mergeCell ref="E10:F10"/>
    <mergeCell ref="E14:F14"/>
    <mergeCell ref="E19:F19"/>
    <mergeCell ref="E20:F20"/>
    <mergeCell ref="E21:F21"/>
    <mergeCell ref="E22:F22"/>
    <mergeCell ref="E15:F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E89B-125E-40B4-9926-E891F31D8848}">
  <dimension ref="A1:O17"/>
  <sheetViews>
    <sheetView showGridLines="0" zoomScale="130" zoomScaleNormal="130" workbookViewId="0">
      <selection activeCell="M18" sqref="M18"/>
    </sheetView>
  </sheetViews>
  <sheetFormatPr baseColWidth="10" defaultColWidth="8.83203125" defaultRowHeight="16" x14ac:dyDescent="0.2"/>
  <cols>
    <col min="1" max="1" width="8.6640625" customWidth="1"/>
    <col min="2" max="2" width="3.6640625" customWidth="1"/>
    <col min="3" max="3" width="13.5" customWidth="1"/>
    <col min="4" max="4" width="43.83203125" bestFit="1" customWidth="1"/>
    <col min="6" max="6" width="3.6640625" customWidth="1"/>
    <col min="7" max="7" width="8.6640625" customWidth="1"/>
    <col min="9" max="9" width="8.6640625" customWidth="1"/>
    <col min="10" max="10" width="3.6640625" customWidth="1"/>
    <col min="11" max="11" width="11.1640625" customWidth="1"/>
    <col min="14" max="14" width="3.6640625" customWidth="1"/>
    <col min="15" max="15" width="8.6640625" customWidth="1"/>
  </cols>
  <sheetData>
    <row r="1" spans="1:15" ht="8" customHeight="1" x14ac:dyDescent="0.2">
      <c r="A1" s="53"/>
      <c r="B1" s="53"/>
      <c r="C1" s="53"/>
      <c r="D1" s="53"/>
      <c r="E1" s="53"/>
      <c r="F1" s="53"/>
      <c r="G1" s="53"/>
      <c r="I1" s="10"/>
      <c r="J1" s="10"/>
      <c r="K1" s="10"/>
      <c r="L1" s="10"/>
      <c r="M1" s="10"/>
      <c r="N1" s="10"/>
      <c r="O1" s="10"/>
    </row>
    <row r="2" spans="1:15" s="7" customFormat="1" ht="31" customHeight="1" x14ac:dyDescent="0.2">
      <c r="A2" s="10"/>
      <c r="C2" s="43" t="s">
        <v>328</v>
      </c>
      <c r="D2" s="42"/>
      <c r="E2" s="42"/>
      <c r="G2" s="10"/>
      <c r="I2" s="10"/>
      <c r="K2" s="43" t="s">
        <v>410</v>
      </c>
      <c r="O2" s="10"/>
    </row>
    <row r="3" spans="1:15" s="7" customFormat="1" ht="7.25" customHeight="1" x14ac:dyDescent="0.2">
      <c r="A3" s="10"/>
      <c r="C3" s="43"/>
      <c r="D3" s="42"/>
      <c r="E3" s="42"/>
      <c r="G3" s="10"/>
      <c r="I3" s="10"/>
      <c r="O3" s="10"/>
    </row>
    <row r="4" spans="1:15" s="7" customFormat="1" ht="20" customHeight="1" thickBot="1" x14ac:dyDescent="0.25">
      <c r="A4" s="10"/>
      <c r="C4" s="33" t="s">
        <v>37</v>
      </c>
      <c r="D4" s="33"/>
      <c r="E4" s="126" t="s">
        <v>75</v>
      </c>
      <c r="G4" s="10"/>
      <c r="I4" s="10"/>
      <c r="K4" s="141" t="s">
        <v>65</v>
      </c>
      <c r="L4" s="141" t="s">
        <v>66</v>
      </c>
      <c r="M4" s="144" t="s">
        <v>362</v>
      </c>
      <c r="O4" s="10"/>
    </row>
    <row r="5" spans="1:15" s="7" customFormat="1" ht="20" customHeight="1" thickTop="1" x14ac:dyDescent="0.2">
      <c r="A5" s="10"/>
      <c r="C5" s="194" t="s">
        <v>77</v>
      </c>
      <c r="D5" s="16" t="s">
        <v>335</v>
      </c>
      <c r="E5" s="16">
        <v>0.5</v>
      </c>
      <c r="G5" s="10"/>
      <c r="I5" s="10"/>
      <c r="K5" s="142" t="s">
        <v>63</v>
      </c>
      <c r="L5" s="142"/>
      <c r="M5" s="143">
        <v>2.5</v>
      </c>
      <c r="N5" s="108" t="s">
        <v>397</v>
      </c>
      <c r="O5" s="10"/>
    </row>
    <row r="6" spans="1:15" s="7" customFormat="1" ht="20" customHeight="1" x14ac:dyDescent="0.2">
      <c r="A6" s="10"/>
      <c r="C6" s="195"/>
      <c r="D6" s="13" t="s">
        <v>323</v>
      </c>
      <c r="E6" s="13">
        <v>0.75</v>
      </c>
      <c r="G6" s="10"/>
      <c r="I6" s="10"/>
      <c r="K6" s="142" t="s">
        <v>68</v>
      </c>
      <c r="L6" s="142" t="s">
        <v>69</v>
      </c>
      <c r="M6" s="142">
        <v>0.6</v>
      </c>
      <c r="O6" s="10"/>
    </row>
    <row r="7" spans="1:15" s="7" customFormat="1" ht="20" customHeight="1" x14ac:dyDescent="0.2">
      <c r="A7" s="10"/>
      <c r="C7" s="195"/>
      <c r="D7" s="13" t="s">
        <v>322</v>
      </c>
      <c r="E7" s="13">
        <v>1</v>
      </c>
      <c r="G7" s="10"/>
      <c r="I7" s="10"/>
      <c r="K7" s="142" t="s">
        <v>70</v>
      </c>
      <c r="L7" s="142" t="s">
        <v>71</v>
      </c>
      <c r="M7" s="142">
        <v>10.08</v>
      </c>
      <c r="O7" s="10"/>
    </row>
    <row r="8" spans="1:15" s="7" customFormat="1" ht="20" customHeight="1" x14ac:dyDescent="0.2">
      <c r="A8" s="10"/>
      <c r="C8" s="195" t="s">
        <v>78</v>
      </c>
      <c r="D8" s="13" t="s">
        <v>318</v>
      </c>
      <c r="E8" s="13">
        <v>1.25</v>
      </c>
      <c r="G8" s="10"/>
      <c r="I8" s="10"/>
      <c r="K8" s="142" t="s">
        <v>73</v>
      </c>
      <c r="L8" s="142" t="s">
        <v>74</v>
      </c>
      <c r="M8" s="142">
        <v>223</v>
      </c>
      <c r="O8" s="10"/>
    </row>
    <row r="9" spans="1:15" s="7" customFormat="1" ht="20" customHeight="1" x14ac:dyDescent="0.2">
      <c r="A9" s="10"/>
      <c r="C9" s="195"/>
      <c r="D9" s="13" t="s">
        <v>317</v>
      </c>
      <c r="E9" s="17" t="s">
        <v>326</v>
      </c>
      <c r="G9" s="10"/>
      <c r="I9" s="10"/>
      <c r="O9" s="10"/>
    </row>
    <row r="10" spans="1:15" s="7" customFormat="1" ht="20" customHeight="1" x14ac:dyDescent="0.2">
      <c r="A10" s="10"/>
      <c r="C10" s="195"/>
      <c r="D10" s="13" t="s">
        <v>320</v>
      </c>
      <c r="E10" s="13">
        <v>1.75</v>
      </c>
      <c r="G10" s="10"/>
      <c r="I10" s="10"/>
      <c r="K10" s="196" t="s">
        <v>463</v>
      </c>
      <c r="L10" s="196"/>
      <c r="M10" s="196"/>
      <c r="O10" s="10"/>
    </row>
    <row r="11" spans="1:15" s="7" customFormat="1" ht="20" customHeight="1" x14ac:dyDescent="0.2">
      <c r="A11" s="10"/>
      <c r="C11" s="195" t="s">
        <v>79</v>
      </c>
      <c r="D11" s="13" t="s">
        <v>321</v>
      </c>
      <c r="E11" s="13">
        <v>2</v>
      </c>
      <c r="G11" s="10"/>
      <c r="I11" s="10"/>
      <c r="K11" s="196"/>
      <c r="L11" s="196"/>
      <c r="M11" s="196"/>
      <c r="O11" s="10"/>
    </row>
    <row r="12" spans="1:15" s="7" customFormat="1" ht="20" customHeight="1" x14ac:dyDescent="0.2">
      <c r="A12" s="10"/>
      <c r="C12" s="195"/>
      <c r="D12" s="13" t="s">
        <v>319</v>
      </c>
      <c r="E12" s="13">
        <v>2.25</v>
      </c>
      <c r="G12" s="10"/>
      <c r="I12" s="10"/>
      <c r="O12" s="10"/>
    </row>
    <row r="13" spans="1:15" s="7" customFormat="1" ht="20" customHeight="1" x14ac:dyDescent="0.2">
      <c r="A13" s="10"/>
      <c r="C13" s="195"/>
      <c r="D13" s="13" t="s">
        <v>316</v>
      </c>
      <c r="E13" s="13">
        <v>2.5</v>
      </c>
      <c r="G13" s="10"/>
      <c r="I13" s="10"/>
      <c r="J13" s="10"/>
      <c r="K13" s="10"/>
      <c r="L13" s="10"/>
      <c r="M13" s="10"/>
      <c r="N13" s="10"/>
      <c r="O13" s="10"/>
    </row>
    <row r="14" spans="1:15" s="7" customFormat="1" ht="20" customHeight="1" x14ac:dyDescent="0.2">
      <c r="A14" s="10"/>
      <c r="C14" s="108" t="s">
        <v>324</v>
      </c>
      <c r="D14" s="108"/>
      <c r="E14" s="108"/>
      <c r="G14" s="10"/>
    </row>
    <row r="15" spans="1:15" s="7" customFormat="1" ht="20" customHeight="1" x14ac:dyDescent="0.2">
      <c r="A15" s="10"/>
      <c r="C15" s="108" t="s">
        <v>394</v>
      </c>
      <c r="D15" s="108"/>
      <c r="E15" s="108"/>
      <c r="G15" s="10"/>
    </row>
    <row r="16" spans="1:15" s="7" customFormat="1" ht="20" customHeight="1" x14ac:dyDescent="0.2">
      <c r="A16" s="10"/>
      <c r="C16" s="108"/>
      <c r="D16" s="108"/>
      <c r="E16" s="108"/>
      <c r="G16" s="10"/>
    </row>
    <row r="17" spans="1:7" ht="8" customHeight="1" x14ac:dyDescent="0.2">
      <c r="A17" s="53"/>
      <c r="B17" s="53"/>
      <c r="C17" s="53"/>
      <c r="D17" s="53"/>
      <c r="E17" s="53"/>
      <c r="F17" s="53"/>
      <c r="G17" s="53"/>
    </row>
  </sheetData>
  <mergeCells count="4">
    <mergeCell ref="C5:C7"/>
    <mergeCell ref="C8:C10"/>
    <mergeCell ref="C11:C13"/>
    <mergeCell ref="K10:M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B427-FA2A-41D8-A846-F3771B222D22}">
  <dimension ref="A1:K20"/>
  <sheetViews>
    <sheetView showGridLines="0" workbookViewId="0">
      <selection activeCell="C51" sqref="C51"/>
    </sheetView>
  </sheetViews>
  <sheetFormatPr baseColWidth="10" defaultColWidth="8.83203125" defaultRowHeight="16" x14ac:dyDescent="0.2"/>
  <cols>
    <col min="1" max="1" width="8.6640625" customWidth="1"/>
    <col min="2" max="2" width="3.6640625" customWidth="1"/>
    <col min="3" max="3" width="14.5" bestFit="1" customWidth="1"/>
    <col min="4" max="5" width="15.6640625" customWidth="1"/>
    <col min="6" max="6" width="3.6640625" customWidth="1"/>
    <col min="7" max="7" width="18.83203125" bestFit="1" customWidth="1"/>
    <col min="10" max="10" width="3.6640625" customWidth="1"/>
    <col min="11" max="11" width="8.6640625" customWidth="1"/>
  </cols>
  <sheetData>
    <row r="1" spans="1:11" ht="8" customHeight="1" x14ac:dyDescent="0.2">
      <c r="A1" s="53"/>
      <c r="B1" s="53"/>
      <c r="C1" s="53"/>
      <c r="D1" s="53"/>
      <c r="E1" s="53"/>
      <c r="F1" s="53"/>
      <c r="G1" s="53"/>
      <c r="H1" s="53"/>
      <c r="I1" s="53"/>
      <c r="J1" s="53"/>
      <c r="K1" s="53"/>
    </row>
    <row r="2" spans="1:11" s="7" customFormat="1" ht="31" customHeight="1" x14ac:dyDescent="0.2">
      <c r="A2" s="10"/>
      <c r="C2" s="43" t="s">
        <v>225</v>
      </c>
      <c r="D2" s="44"/>
      <c r="E2" s="45"/>
      <c r="F2" s="45"/>
      <c r="G2" s="43" t="s">
        <v>48</v>
      </c>
      <c r="K2" s="54"/>
    </row>
    <row r="3" spans="1:11" s="7" customFormat="1" ht="7.25" customHeight="1" x14ac:dyDescent="0.2">
      <c r="A3" s="10"/>
      <c r="C3" s="39"/>
      <c r="D3" s="39"/>
      <c r="G3" s="37"/>
      <c r="K3" s="54"/>
    </row>
    <row r="4" spans="1:11" s="7" customFormat="1" ht="32.25" customHeight="1" thickBot="1" x14ac:dyDescent="0.25">
      <c r="A4" s="10"/>
      <c r="C4" s="21" t="s">
        <v>16</v>
      </c>
      <c r="D4" s="48" t="s">
        <v>363</v>
      </c>
      <c r="E4" s="48" t="s">
        <v>364</v>
      </c>
      <c r="F4" s="47"/>
      <c r="G4" s="21" t="s">
        <v>337</v>
      </c>
      <c r="H4" s="33" t="s">
        <v>49</v>
      </c>
      <c r="I4" s="51"/>
      <c r="J4" s="40"/>
      <c r="K4" s="54"/>
    </row>
    <row r="5" spans="1:11" s="7" customFormat="1" ht="22.25" customHeight="1" thickTop="1" x14ac:dyDescent="0.2">
      <c r="A5" s="10"/>
      <c r="C5" s="27" t="s">
        <v>26</v>
      </c>
      <c r="D5" s="16" t="s">
        <v>38</v>
      </c>
      <c r="E5" s="49" t="s">
        <v>15</v>
      </c>
      <c r="G5" s="27" t="s">
        <v>50</v>
      </c>
      <c r="H5" s="16" t="s">
        <v>51</v>
      </c>
      <c r="I5" s="16"/>
      <c r="J5" s="197"/>
      <c r="K5" s="54"/>
    </row>
    <row r="6" spans="1:11" s="7" customFormat="1" ht="22.25" customHeight="1" x14ac:dyDescent="0.2">
      <c r="A6" s="10"/>
      <c r="C6" s="20" t="s">
        <v>27</v>
      </c>
      <c r="D6" s="13" t="s">
        <v>39</v>
      </c>
      <c r="E6" s="50" t="s">
        <v>17</v>
      </c>
      <c r="G6" s="52" t="s">
        <v>289</v>
      </c>
      <c r="H6" s="13" t="s">
        <v>55</v>
      </c>
      <c r="I6" s="13"/>
      <c r="J6" s="197"/>
      <c r="K6" s="54"/>
    </row>
    <row r="7" spans="1:11" s="7" customFormat="1" ht="22.25" customHeight="1" x14ac:dyDescent="0.2">
      <c r="A7" s="10"/>
      <c r="C7" s="20" t="s">
        <v>28</v>
      </c>
      <c r="D7" s="13" t="s">
        <v>40</v>
      </c>
      <c r="E7" s="50" t="s">
        <v>18</v>
      </c>
      <c r="G7" s="20" t="s">
        <v>52</v>
      </c>
      <c r="H7" s="13" t="s">
        <v>56</v>
      </c>
      <c r="I7" s="13"/>
      <c r="J7" s="197"/>
      <c r="K7" s="54"/>
    </row>
    <row r="8" spans="1:11" s="7" customFormat="1" ht="22.25" customHeight="1" x14ac:dyDescent="0.2">
      <c r="A8" s="10"/>
      <c r="C8" s="20" t="s">
        <v>29</v>
      </c>
      <c r="D8" s="13" t="s">
        <v>41</v>
      </c>
      <c r="E8" s="50" t="s">
        <v>19</v>
      </c>
      <c r="G8" s="20" t="s">
        <v>53</v>
      </c>
      <c r="H8" s="13" t="s">
        <v>57</v>
      </c>
      <c r="I8" s="13"/>
      <c r="K8" s="54"/>
    </row>
    <row r="9" spans="1:11" s="7" customFormat="1" ht="22.25" customHeight="1" x14ac:dyDescent="0.2">
      <c r="A9" s="10"/>
      <c r="C9" s="20" t="s">
        <v>30</v>
      </c>
      <c r="D9" s="13" t="s">
        <v>42</v>
      </c>
      <c r="E9" s="50" t="s">
        <v>20</v>
      </c>
      <c r="G9" s="20" t="s">
        <v>54</v>
      </c>
      <c r="H9" s="13" t="s">
        <v>58</v>
      </c>
      <c r="I9" s="13"/>
      <c r="K9" s="54"/>
    </row>
    <row r="10" spans="1:11" s="7" customFormat="1" ht="22.25" customHeight="1" x14ac:dyDescent="0.2">
      <c r="A10" s="10"/>
      <c r="C10" s="20" t="s">
        <v>31</v>
      </c>
      <c r="D10" s="13" t="s">
        <v>43</v>
      </c>
      <c r="E10" s="50" t="s">
        <v>21</v>
      </c>
      <c r="G10" s="20" t="s">
        <v>164</v>
      </c>
      <c r="H10" s="13" t="s">
        <v>313</v>
      </c>
      <c r="I10" s="13"/>
      <c r="K10" s="54"/>
    </row>
    <row r="11" spans="1:11" s="7" customFormat="1" ht="22.25" customHeight="1" x14ac:dyDescent="0.2">
      <c r="A11" s="10"/>
      <c r="C11" s="20" t="s">
        <v>32</v>
      </c>
      <c r="D11" s="13" t="s">
        <v>44</v>
      </c>
      <c r="E11" s="50" t="s">
        <v>22</v>
      </c>
      <c r="G11" s="52" t="s">
        <v>292</v>
      </c>
      <c r="H11" s="13" t="s">
        <v>293</v>
      </c>
      <c r="I11" s="13"/>
      <c r="J11" s="46"/>
      <c r="K11" s="54"/>
    </row>
    <row r="12" spans="1:11" s="7" customFormat="1" ht="22.25" customHeight="1" x14ac:dyDescent="0.2">
      <c r="A12" s="10"/>
      <c r="C12" s="20" t="s">
        <v>33</v>
      </c>
      <c r="D12" s="13" t="s">
        <v>45</v>
      </c>
      <c r="E12" s="50" t="s">
        <v>23</v>
      </c>
      <c r="K12" s="10"/>
    </row>
    <row r="13" spans="1:11" s="7" customFormat="1" ht="22.25" customHeight="1" x14ac:dyDescent="0.2">
      <c r="A13" s="10"/>
      <c r="C13" s="20" t="s">
        <v>200</v>
      </c>
      <c r="D13" s="13" t="s">
        <v>273</v>
      </c>
      <c r="E13" s="50" t="s">
        <v>199</v>
      </c>
      <c r="K13" s="10"/>
    </row>
    <row r="14" spans="1:11" s="7" customFormat="1" ht="22.25" customHeight="1" x14ac:dyDescent="0.2">
      <c r="A14" s="10"/>
      <c r="C14" s="20" t="s">
        <v>34</v>
      </c>
      <c r="D14" s="13" t="s">
        <v>46</v>
      </c>
      <c r="E14" s="50" t="s">
        <v>24</v>
      </c>
      <c r="K14" s="10"/>
    </row>
    <row r="15" spans="1:11" s="7" customFormat="1" ht="22.25" customHeight="1" x14ac:dyDescent="0.2">
      <c r="A15" s="10"/>
      <c r="C15" s="20" t="s">
        <v>204</v>
      </c>
      <c r="D15" s="13" t="s">
        <v>274</v>
      </c>
      <c r="E15" s="50" t="s">
        <v>201</v>
      </c>
      <c r="K15" s="10"/>
    </row>
    <row r="16" spans="1:11" s="7" customFormat="1" ht="22.25" customHeight="1" x14ac:dyDescent="0.2">
      <c r="A16" s="10"/>
      <c r="C16" s="20" t="s">
        <v>205</v>
      </c>
      <c r="D16" s="13" t="s">
        <v>275</v>
      </c>
      <c r="E16" s="50" t="s">
        <v>202</v>
      </c>
      <c r="K16" s="10"/>
    </row>
    <row r="17" spans="1:11" s="7" customFormat="1" ht="22.25" customHeight="1" x14ac:dyDescent="0.2">
      <c r="A17" s="10"/>
      <c r="C17" s="20" t="s">
        <v>206</v>
      </c>
      <c r="D17" s="13" t="s">
        <v>276</v>
      </c>
      <c r="E17" s="50" t="s">
        <v>203</v>
      </c>
      <c r="K17" s="10"/>
    </row>
    <row r="18" spans="1:11" s="7" customFormat="1" ht="22.25" customHeight="1" x14ac:dyDescent="0.2">
      <c r="A18" s="10"/>
      <c r="C18" s="20" t="s">
        <v>35</v>
      </c>
      <c r="D18" s="13" t="s">
        <v>47</v>
      </c>
      <c r="E18" s="50" t="s">
        <v>25</v>
      </c>
      <c r="G18" s="38"/>
      <c r="K18" s="10"/>
    </row>
    <row r="19" spans="1:11" s="7" customFormat="1" ht="22.25" customHeight="1" x14ac:dyDescent="0.2">
      <c r="A19" s="10"/>
      <c r="D19" s="41"/>
      <c r="G19" s="38"/>
      <c r="K19" s="10"/>
    </row>
    <row r="20" spans="1:11" ht="8" customHeight="1" x14ac:dyDescent="0.2">
      <c r="A20" s="53"/>
      <c r="B20" s="53"/>
      <c r="C20" s="53"/>
      <c r="D20" s="53"/>
      <c r="E20" s="53"/>
      <c r="F20" s="53"/>
      <c r="G20" s="53"/>
      <c r="H20" s="53"/>
      <c r="I20" s="53"/>
      <c r="J20" s="53"/>
      <c r="K20" s="53"/>
    </row>
  </sheetData>
  <mergeCells count="1">
    <mergeCell ref="J5:J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0"/>
  <sheetViews>
    <sheetView showGridLines="0" zoomScaleNormal="100" workbookViewId="0">
      <pane xSplit="5" ySplit="9" topLeftCell="F13" activePane="bottomRight" state="frozen"/>
      <selection pane="topRight" activeCell="F1" sqref="F1"/>
      <selection pane="bottomLeft" activeCell="A10" sqref="A10"/>
      <selection pane="bottomRight" activeCell="D19" sqref="D19"/>
    </sheetView>
  </sheetViews>
  <sheetFormatPr baseColWidth="10" defaultColWidth="10.83203125" defaultRowHeight="20" customHeight="1" x14ac:dyDescent="0.2"/>
  <cols>
    <col min="1" max="1" width="8.6640625" style="7" customWidth="1"/>
    <col min="2" max="2" width="3.6640625" style="7" customWidth="1"/>
    <col min="3" max="3" width="3.1640625" style="7" customWidth="1"/>
    <col min="4" max="4" width="21.83203125" style="7" bestFit="1" customWidth="1"/>
    <col min="5" max="5" width="10.83203125" style="7"/>
    <col min="6" max="19" width="7.6640625" style="7" customWidth="1"/>
    <col min="20" max="20" width="3.6640625" style="7" customWidth="1"/>
    <col min="21" max="21" width="8.6640625" style="7" customWidth="1"/>
    <col min="22" max="16384" width="10.83203125" style="7"/>
  </cols>
  <sheetData>
    <row r="1" spans="1:21" ht="8" customHeight="1" x14ac:dyDescent="0.2">
      <c r="A1" s="10"/>
      <c r="B1" s="10"/>
      <c r="C1" s="10"/>
      <c r="D1" s="10"/>
      <c r="E1" s="10"/>
      <c r="F1" s="10"/>
      <c r="G1" s="10"/>
      <c r="H1" s="10"/>
      <c r="I1" s="10"/>
      <c r="J1" s="10"/>
      <c r="K1" s="10"/>
      <c r="L1" s="10"/>
      <c r="M1" s="10"/>
      <c r="N1" s="10"/>
      <c r="O1" s="10"/>
      <c r="P1" s="10"/>
      <c r="Q1" s="10"/>
      <c r="R1" s="10"/>
      <c r="S1" s="10"/>
      <c r="T1" s="10"/>
      <c r="U1" s="10"/>
    </row>
    <row r="2" spans="1:21" ht="31" customHeight="1" x14ac:dyDescent="0.2">
      <c r="A2" s="10"/>
      <c r="C2" s="43" t="s">
        <v>98</v>
      </c>
      <c r="D2" s="108"/>
      <c r="E2" s="108"/>
      <c r="F2" s="108"/>
      <c r="G2" s="108"/>
      <c r="H2" s="108"/>
      <c r="I2" s="108"/>
      <c r="J2" s="108"/>
      <c r="K2" s="108"/>
      <c r="L2" s="108"/>
      <c r="M2" s="108"/>
      <c r="N2" s="108"/>
      <c r="U2" s="10"/>
    </row>
    <row r="3" spans="1:21" ht="15" customHeight="1" x14ac:dyDescent="0.2">
      <c r="A3" s="10"/>
      <c r="C3" s="108" t="s">
        <v>301</v>
      </c>
      <c r="D3" s="108"/>
      <c r="E3" s="108"/>
      <c r="F3" s="108"/>
      <c r="G3" s="108"/>
      <c r="H3" s="108"/>
      <c r="I3" s="108"/>
      <c r="J3" s="108"/>
      <c r="K3" s="108"/>
      <c r="L3" s="108"/>
      <c r="M3" s="108"/>
      <c r="N3" s="108"/>
      <c r="U3" s="10"/>
    </row>
    <row r="4" spans="1:21" ht="15" customHeight="1" x14ac:dyDescent="0.2">
      <c r="A4" s="10"/>
      <c r="C4" s="108" t="s">
        <v>294</v>
      </c>
      <c r="D4" s="108"/>
      <c r="E4" s="108"/>
      <c r="F4" s="108"/>
      <c r="G4" s="108"/>
      <c r="H4" s="108"/>
      <c r="I4" s="108"/>
      <c r="J4" s="108"/>
      <c r="K4" s="108"/>
      <c r="L4" s="108"/>
      <c r="M4" s="108"/>
      <c r="N4" s="108"/>
      <c r="U4" s="10"/>
    </row>
    <row r="5" spans="1:21" ht="15" customHeight="1" x14ac:dyDescent="0.2">
      <c r="A5" s="10"/>
      <c r="C5" s="108" t="s">
        <v>327</v>
      </c>
      <c r="D5" s="108"/>
      <c r="E5" s="108"/>
      <c r="F5" s="108"/>
      <c r="G5" s="108"/>
      <c r="H5" s="108"/>
      <c r="I5" s="108"/>
      <c r="J5" s="108"/>
      <c r="K5" s="108"/>
      <c r="L5" s="108"/>
      <c r="M5" s="108"/>
      <c r="N5" s="108"/>
      <c r="U5" s="10"/>
    </row>
    <row r="6" spans="1:21" ht="15" customHeight="1" x14ac:dyDescent="0.2">
      <c r="A6" s="10"/>
      <c r="C6" s="202" t="s">
        <v>464</v>
      </c>
      <c r="D6" s="202"/>
      <c r="E6" s="202"/>
      <c r="F6" s="202"/>
      <c r="G6" s="202"/>
      <c r="H6" s="202"/>
      <c r="I6" s="202"/>
      <c r="J6" s="202"/>
      <c r="K6" s="202"/>
      <c r="L6" s="202"/>
      <c r="M6" s="202"/>
      <c r="N6" s="202"/>
      <c r="O6" s="202"/>
      <c r="U6" s="10"/>
    </row>
    <row r="7" spans="1:21" ht="15" customHeight="1" x14ac:dyDescent="0.2">
      <c r="A7" s="10"/>
      <c r="C7" s="202" t="s">
        <v>466</v>
      </c>
      <c r="D7" s="202"/>
      <c r="E7" s="202"/>
      <c r="F7" s="202"/>
      <c r="G7" s="202"/>
      <c r="H7" s="202"/>
      <c r="I7" s="202"/>
      <c r="J7" s="202"/>
      <c r="K7" s="202"/>
      <c r="L7" s="172"/>
      <c r="M7" s="172"/>
      <c r="N7" s="172"/>
      <c r="O7" s="172"/>
      <c r="U7" s="10"/>
    </row>
    <row r="8" spans="1:21" ht="11.75" customHeight="1" x14ac:dyDescent="0.2">
      <c r="A8" s="10"/>
      <c r="I8" s="111"/>
      <c r="U8" s="10"/>
    </row>
    <row r="9" spans="1:21" s="124" customFormat="1" ht="20" customHeight="1" thickBot="1" x14ac:dyDescent="0.25">
      <c r="A9" s="123"/>
      <c r="C9" s="35"/>
      <c r="D9" s="35" t="s">
        <v>80</v>
      </c>
      <c r="E9" s="35" t="s">
        <v>66</v>
      </c>
      <c r="F9" s="125" t="s">
        <v>15</v>
      </c>
      <c r="G9" s="125" t="s">
        <v>17</v>
      </c>
      <c r="H9" s="125" t="s">
        <v>18</v>
      </c>
      <c r="I9" s="125" t="s">
        <v>19</v>
      </c>
      <c r="J9" s="125" t="s">
        <v>20</v>
      </c>
      <c r="K9" s="125" t="s">
        <v>21</v>
      </c>
      <c r="L9" s="125" t="s">
        <v>22</v>
      </c>
      <c r="M9" s="125" t="s">
        <v>23</v>
      </c>
      <c r="N9" s="125" t="s">
        <v>199</v>
      </c>
      <c r="O9" s="125" t="s">
        <v>24</v>
      </c>
      <c r="P9" s="125" t="s">
        <v>25</v>
      </c>
      <c r="Q9" s="125" t="s">
        <v>201</v>
      </c>
      <c r="R9" s="125" t="s">
        <v>202</v>
      </c>
      <c r="S9" s="125" t="s">
        <v>203</v>
      </c>
      <c r="U9" s="123"/>
    </row>
    <row r="10" spans="1:21" ht="20" customHeight="1" thickTop="1" x14ac:dyDescent="0.2">
      <c r="A10" s="10"/>
      <c r="C10" s="198" t="s">
        <v>302</v>
      </c>
      <c r="D10" s="15" t="s">
        <v>81</v>
      </c>
      <c r="E10" s="16" t="s">
        <v>283</v>
      </c>
      <c r="F10" s="173">
        <v>220</v>
      </c>
      <c r="G10" s="173">
        <v>180</v>
      </c>
      <c r="H10" s="173">
        <v>170</v>
      </c>
      <c r="I10" s="173">
        <v>140</v>
      </c>
      <c r="J10" s="173">
        <v>0</v>
      </c>
      <c r="K10" s="173">
        <v>0</v>
      </c>
      <c r="L10" s="173">
        <v>220</v>
      </c>
      <c r="M10" s="173">
        <v>190</v>
      </c>
      <c r="N10" s="173">
        <v>120</v>
      </c>
      <c r="O10" s="173">
        <v>120</v>
      </c>
      <c r="P10" s="173">
        <v>0</v>
      </c>
      <c r="Q10" s="173">
        <v>80</v>
      </c>
      <c r="R10" s="173">
        <v>80</v>
      </c>
      <c r="S10" s="173">
        <v>0</v>
      </c>
      <c r="U10" s="10"/>
    </row>
    <row r="11" spans="1:21" ht="20" customHeight="1" x14ac:dyDescent="0.2">
      <c r="A11" s="10"/>
      <c r="C11" s="198"/>
      <c r="D11" s="12" t="s">
        <v>83</v>
      </c>
      <c r="E11" s="13" t="s">
        <v>282</v>
      </c>
      <c r="F11" s="174">
        <v>67</v>
      </c>
      <c r="G11" s="174">
        <v>48</v>
      </c>
      <c r="H11" s="174">
        <v>58</v>
      </c>
      <c r="I11" s="174">
        <v>44</v>
      </c>
      <c r="J11" s="174">
        <v>46</v>
      </c>
      <c r="K11" s="174">
        <v>43</v>
      </c>
      <c r="L11" s="174">
        <v>45</v>
      </c>
      <c r="M11" s="174">
        <v>49</v>
      </c>
      <c r="N11" s="174">
        <v>32</v>
      </c>
      <c r="O11" s="174">
        <v>65</v>
      </c>
      <c r="P11" s="174">
        <v>0</v>
      </c>
      <c r="Q11" s="174">
        <v>32</v>
      </c>
      <c r="R11" s="174">
        <v>30</v>
      </c>
      <c r="S11" s="174">
        <v>35</v>
      </c>
      <c r="U11" s="10"/>
    </row>
    <row r="12" spans="1:21" ht="20" customHeight="1" x14ac:dyDescent="0.2">
      <c r="A12" s="10"/>
      <c r="C12" s="198"/>
      <c r="D12" s="12" t="s">
        <v>84</v>
      </c>
      <c r="E12" s="13" t="s">
        <v>281</v>
      </c>
      <c r="F12" s="174">
        <v>48</v>
      </c>
      <c r="G12" s="174">
        <v>34</v>
      </c>
      <c r="H12" s="174">
        <v>41</v>
      </c>
      <c r="I12" s="174">
        <v>32</v>
      </c>
      <c r="J12" s="174">
        <v>50</v>
      </c>
      <c r="K12" s="174">
        <v>47</v>
      </c>
      <c r="L12" s="174">
        <v>261</v>
      </c>
      <c r="M12" s="174">
        <v>39</v>
      </c>
      <c r="N12" s="174">
        <v>25</v>
      </c>
      <c r="O12" s="174">
        <v>131</v>
      </c>
      <c r="P12" s="174">
        <v>0</v>
      </c>
      <c r="Q12" s="174">
        <v>25</v>
      </c>
      <c r="R12" s="174">
        <v>10</v>
      </c>
      <c r="S12" s="174">
        <v>40</v>
      </c>
      <c r="U12" s="10"/>
    </row>
    <row r="13" spans="1:21" ht="20" customHeight="1" x14ac:dyDescent="0.2">
      <c r="A13" s="10"/>
      <c r="C13" s="198"/>
      <c r="D13" s="12" t="s">
        <v>85</v>
      </c>
      <c r="E13" s="13" t="s">
        <v>86</v>
      </c>
      <c r="F13" s="175">
        <v>0.8</v>
      </c>
      <c r="G13" s="175">
        <v>0.8</v>
      </c>
      <c r="H13" s="175">
        <v>0.8</v>
      </c>
      <c r="I13" s="175">
        <v>0.8</v>
      </c>
      <c r="J13" s="175">
        <v>0.8</v>
      </c>
      <c r="K13" s="175">
        <v>0.8</v>
      </c>
      <c r="L13" s="175">
        <v>0.8</v>
      </c>
      <c r="M13" s="175">
        <v>0.8</v>
      </c>
      <c r="N13" s="175">
        <v>0.8</v>
      </c>
      <c r="O13" s="175">
        <v>0.8</v>
      </c>
      <c r="P13" s="175">
        <v>0.8</v>
      </c>
      <c r="Q13" s="175">
        <v>0.8</v>
      </c>
      <c r="R13" s="175">
        <v>0.8</v>
      </c>
      <c r="S13" s="175">
        <v>0.8</v>
      </c>
      <c r="U13" s="10"/>
    </row>
    <row r="14" spans="1:21" ht="20" customHeight="1" x14ac:dyDescent="0.2">
      <c r="A14" s="10"/>
      <c r="C14" s="198"/>
      <c r="D14" s="12" t="s">
        <v>87</v>
      </c>
      <c r="E14" s="13" t="s">
        <v>86</v>
      </c>
      <c r="F14" s="175">
        <v>0.72</v>
      </c>
      <c r="G14" s="175">
        <v>0.72</v>
      </c>
      <c r="H14" s="175">
        <v>0.72</v>
      </c>
      <c r="I14" s="175">
        <v>0.72</v>
      </c>
      <c r="J14" s="175">
        <v>0.72</v>
      </c>
      <c r="K14" s="175">
        <v>0.72</v>
      </c>
      <c r="L14" s="175">
        <v>0.72</v>
      </c>
      <c r="M14" s="175">
        <v>0.72</v>
      </c>
      <c r="N14" s="175">
        <v>0.72</v>
      </c>
      <c r="O14" s="175">
        <v>0.72</v>
      </c>
      <c r="P14" s="175">
        <v>0.72</v>
      </c>
      <c r="Q14" s="175">
        <v>0.72</v>
      </c>
      <c r="R14" s="175">
        <v>0.72</v>
      </c>
      <c r="S14" s="175">
        <v>0.72</v>
      </c>
      <c r="U14" s="10"/>
    </row>
    <row r="15" spans="1:21" ht="20" customHeight="1" x14ac:dyDescent="0.2">
      <c r="A15" s="10"/>
      <c r="C15" s="198"/>
      <c r="D15" s="12" t="s">
        <v>88</v>
      </c>
      <c r="E15" s="13" t="s">
        <v>86</v>
      </c>
      <c r="F15" s="174">
        <v>0.46</v>
      </c>
      <c r="G15" s="174">
        <v>0.46</v>
      </c>
      <c r="H15" s="174">
        <v>0.46</v>
      </c>
      <c r="I15" s="174">
        <v>0.46</v>
      </c>
      <c r="J15" s="174">
        <v>0.46</v>
      </c>
      <c r="K15" s="174">
        <v>0.46</v>
      </c>
      <c r="L15" s="174">
        <v>0.46</v>
      </c>
      <c r="M15" s="174">
        <v>0.46</v>
      </c>
      <c r="N15" s="174">
        <v>0.46</v>
      </c>
      <c r="O15" s="174">
        <v>0.46</v>
      </c>
      <c r="P15" s="174">
        <v>0.46</v>
      </c>
      <c r="Q15" s="174">
        <v>0.46</v>
      </c>
      <c r="R15" s="174">
        <v>0.46</v>
      </c>
      <c r="S15" s="174">
        <v>0.46</v>
      </c>
      <c r="U15" s="10"/>
    </row>
    <row r="16" spans="1:21" ht="20" customHeight="1" x14ac:dyDescent="0.2">
      <c r="A16" s="10"/>
      <c r="C16" s="198"/>
      <c r="D16" s="12" t="s">
        <v>458</v>
      </c>
      <c r="E16" s="13" t="s">
        <v>82</v>
      </c>
      <c r="F16" s="174">
        <v>175</v>
      </c>
      <c r="G16" s="174">
        <v>200</v>
      </c>
      <c r="H16" s="174">
        <v>175</v>
      </c>
      <c r="I16" s="174">
        <v>175</v>
      </c>
      <c r="J16" s="174">
        <v>250</v>
      </c>
      <c r="K16" s="174">
        <v>250</v>
      </c>
      <c r="L16" s="174">
        <v>3000</v>
      </c>
      <c r="M16" s="174">
        <v>5</v>
      </c>
      <c r="N16" s="174">
        <v>7</v>
      </c>
      <c r="O16" s="176">
        <v>1.1499999999999999</v>
      </c>
      <c r="P16" s="174">
        <v>0</v>
      </c>
      <c r="Q16" s="177">
        <v>45</v>
      </c>
      <c r="R16" s="174">
        <v>45</v>
      </c>
      <c r="S16" s="174">
        <v>200</v>
      </c>
      <c r="U16" s="10"/>
    </row>
    <row r="17" spans="1:21" ht="20" customHeight="1" x14ac:dyDescent="0.2">
      <c r="A17" s="10"/>
      <c r="C17" s="198"/>
      <c r="D17" s="12" t="s">
        <v>89</v>
      </c>
      <c r="E17" s="13" t="s">
        <v>86</v>
      </c>
      <c r="F17" s="175">
        <v>0.36</v>
      </c>
      <c r="G17" s="175">
        <v>0.4</v>
      </c>
      <c r="H17" s="175">
        <v>0.36</v>
      </c>
      <c r="I17" s="175">
        <v>0.38</v>
      </c>
      <c r="J17" s="175">
        <v>0.36</v>
      </c>
      <c r="K17" s="175">
        <v>0.38</v>
      </c>
      <c r="L17" s="175">
        <v>0.26</v>
      </c>
      <c r="M17" s="175">
        <v>7.34</v>
      </c>
      <c r="N17" s="175">
        <v>7.64</v>
      </c>
      <c r="O17" s="176">
        <v>175</v>
      </c>
      <c r="P17" s="174">
        <v>0</v>
      </c>
      <c r="Q17" s="175">
        <v>2.1</v>
      </c>
      <c r="R17" s="175">
        <v>1.6</v>
      </c>
      <c r="S17" s="174">
        <v>0.47</v>
      </c>
      <c r="U17" s="10"/>
    </row>
    <row r="18" spans="1:21" ht="20" customHeight="1" x14ac:dyDescent="0.2">
      <c r="A18" s="10"/>
      <c r="C18" s="198"/>
      <c r="D18" s="14" t="s">
        <v>456</v>
      </c>
      <c r="E18" s="13" t="s">
        <v>90</v>
      </c>
      <c r="F18" s="174">
        <v>3.5</v>
      </c>
      <c r="G18" s="174">
        <v>3.5</v>
      </c>
      <c r="H18" s="174">
        <v>3.5</v>
      </c>
      <c r="I18" s="174">
        <v>3.5</v>
      </c>
      <c r="J18" s="174">
        <v>3.5</v>
      </c>
      <c r="K18" s="174">
        <v>3.5</v>
      </c>
      <c r="L18" s="174">
        <v>3.5</v>
      </c>
      <c r="M18" s="174">
        <v>3.5</v>
      </c>
      <c r="N18" s="174">
        <v>3.5</v>
      </c>
      <c r="O18" s="174">
        <v>3.5</v>
      </c>
      <c r="P18" s="174">
        <v>3.5</v>
      </c>
      <c r="Q18" s="174">
        <v>3.5</v>
      </c>
      <c r="R18" s="174">
        <v>3.5</v>
      </c>
      <c r="S18" s="174">
        <v>3.5</v>
      </c>
      <c r="U18" s="10"/>
    </row>
    <row r="19" spans="1:21" ht="20" customHeight="1" x14ac:dyDescent="0.2">
      <c r="A19" s="10"/>
      <c r="C19" s="198"/>
      <c r="D19" s="14" t="s">
        <v>455</v>
      </c>
      <c r="E19" s="13" t="s">
        <v>69</v>
      </c>
      <c r="F19" s="174">
        <v>19.5</v>
      </c>
      <c r="G19" s="174">
        <v>19.5</v>
      </c>
      <c r="H19" s="174">
        <v>19.5</v>
      </c>
      <c r="I19" s="174">
        <v>19.5</v>
      </c>
      <c r="J19" s="174">
        <v>19.5</v>
      </c>
      <c r="K19" s="174">
        <v>19.5</v>
      </c>
      <c r="L19" s="174">
        <v>19.5</v>
      </c>
      <c r="M19" s="174">
        <v>19.5</v>
      </c>
      <c r="N19" s="174">
        <v>19.5</v>
      </c>
      <c r="O19" s="174">
        <v>19.5</v>
      </c>
      <c r="P19" s="174">
        <v>19.5</v>
      </c>
      <c r="Q19" s="174">
        <v>19.5</v>
      </c>
      <c r="R19" s="174">
        <v>19.5</v>
      </c>
      <c r="S19" s="174">
        <v>19.5</v>
      </c>
      <c r="U19" s="10"/>
    </row>
    <row r="20" spans="1:21" ht="20" customHeight="1" x14ac:dyDescent="0.2">
      <c r="A20" s="10"/>
      <c r="C20" s="198"/>
      <c r="D20" s="12" t="s">
        <v>171</v>
      </c>
      <c r="E20" s="13" t="s">
        <v>90</v>
      </c>
      <c r="F20" s="174">
        <v>5</v>
      </c>
      <c r="G20" s="174">
        <v>5</v>
      </c>
      <c r="H20" s="174">
        <v>5</v>
      </c>
      <c r="I20" s="174">
        <v>5</v>
      </c>
      <c r="J20" s="174">
        <v>5</v>
      </c>
      <c r="K20" s="174">
        <v>5</v>
      </c>
      <c r="L20" s="174">
        <v>5</v>
      </c>
      <c r="M20" s="174">
        <v>5</v>
      </c>
      <c r="N20" s="174">
        <v>5</v>
      </c>
      <c r="O20" s="174">
        <v>5</v>
      </c>
      <c r="P20" s="174">
        <v>5</v>
      </c>
      <c r="Q20" s="174">
        <v>5</v>
      </c>
      <c r="R20" s="174">
        <v>5</v>
      </c>
      <c r="S20" s="174">
        <v>5</v>
      </c>
      <c r="U20" s="10"/>
    </row>
    <row r="21" spans="1:21" ht="20" customHeight="1" x14ac:dyDescent="0.2">
      <c r="A21" s="10"/>
      <c r="C21" s="198"/>
      <c r="D21" s="12" t="s">
        <v>172</v>
      </c>
      <c r="E21" s="13" t="s">
        <v>69</v>
      </c>
      <c r="F21" s="174">
        <v>2.4300000000000002</v>
      </c>
      <c r="G21" s="174">
        <v>2.4300000000000002</v>
      </c>
      <c r="H21" s="174">
        <v>2.4300000000000002</v>
      </c>
      <c r="I21" s="174">
        <v>2.4300000000000002</v>
      </c>
      <c r="J21" s="174">
        <v>2.4300000000000002</v>
      </c>
      <c r="K21" s="174">
        <v>2.4300000000000002</v>
      </c>
      <c r="L21" s="174">
        <v>2.4300000000000002</v>
      </c>
      <c r="M21" s="174">
        <v>2.4300000000000002</v>
      </c>
      <c r="N21" s="174">
        <v>2.4300000000000002</v>
      </c>
      <c r="O21" s="174">
        <v>2.4300000000000002</v>
      </c>
      <c r="P21" s="174">
        <v>2.4300000000000002</v>
      </c>
      <c r="Q21" s="174">
        <v>2.4300000000000002</v>
      </c>
      <c r="R21" s="174">
        <v>2.4300000000000002</v>
      </c>
      <c r="S21" s="174">
        <v>2.4300000000000002</v>
      </c>
      <c r="U21" s="10"/>
    </row>
    <row r="22" spans="1:21" ht="20" customHeight="1" x14ac:dyDescent="0.2">
      <c r="A22" s="10"/>
      <c r="C22" s="198"/>
      <c r="D22" s="12" t="s">
        <v>91</v>
      </c>
      <c r="E22" s="13" t="s">
        <v>92</v>
      </c>
      <c r="F22" s="178" t="s">
        <v>198</v>
      </c>
      <c r="G22" s="178" t="s">
        <v>198</v>
      </c>
      <c r="H22" s="178" t="s">
        <v>198</v>
      </c>
      <c r="I22" s="178" t="s">
        <v>198</v>
      </c>
      <c r="J22" s="178" t="s">
        <v>198</v>
      </c>
      <c r="K22" s="178" t="s">
        <v>198</v>
      </c>
      <c r="L22" s="178" t="s">
        <v>198</v>
      </c>
      <c r="M22" s="178" t="s">
        <v>198</v>
      </c>
      <c r="N22" s="178"/>
      <c r="O22" s="175">
        <v>4.75</v>
      </c>
      <c r="P22" s="178" t="s">
        <v>198</v>
      </c>
      <c r="Q22" s="178" t="s">
        <v>198</v>
      </c>
      <c r="R22" s="178" t="s">
        <v>198</v>
      </c>
      <c r="S22" s="178" t="s">
        <v>198</v>
      </c>
      <c r="U22" s="10"/>
    </row>
    <row r="23" spans="1:21" ht="20" customHeight="1" thickBot="1" x14ac:dyDescent="0.25">
      <c r="A23" s="10"/>
      <c r="C23" s="199"/>
      <c r="D23" s="113" t="s">
        <v>99</v>
      </c>
      <c r="E23" s="114" t="s">
        <v>74</v>
      </c>
      <c r="F23" s="179">
        <v>182</v>
      </c>
      <c r="G23" s="179">
        <v>100</v>
      </c>
      <c r="H23" s="179">
        <v>158</v>
      </c>
      <c r="I23" s="179">
        <v>151</v>
      </c>
      <c r="J23" s="179">
        <v>91</v>
      </c>
      <c r="K23" s="179">
        <v>81</v>
      </c>
      <c r="L23" s="179">
        <v>2215</v>
      </c>
      <c r="M23" s="179">
        <v>192</v>
      </c>
      <c r="N23" s="179">
        <v>140</v>
      </c>
      <c r="O23" s="179">
        <v>488</v>
      </c>
      <c r="P23" s="180">
        <v>0</v>
      </c>
      <c r="Q23" s="180">
        <v>88</v>
      </c>
      <c r="R23" s="180">
        <v>53</v>
      </c>
      <c r="S23" s="180">
        <v>155</v>
      </c>
      <c r="U23" s="10"/>
    </row>
    <row r="24" spans="1:21" ht="20" customHeight="1" thickTop="1" x14ac:dyDescent="0.2">
      <c r="A24" s="10"/>
      <c r="C24" s="200" t="s">
        <v>303</v>
      </c>
      <c r="D24" s="15" t="s">
        <v>93</v>
      </c>
      <c r="E24" s="16" t="s">
        <v>94</v>
      </c>
      <c r="F24" s="181">
        <f>IFERROR((11.841-(9.211*(0.9907^(F10)))-(0.0075*(F10)))*(0.743+0.1714*('Soil | Fuel | Labour | Subsidy'!$M$5))*0.947,0)</f>
        <v>9.9978000926824588</v>
      </c>
      <c r="G24" s="181">
        <f>IFERROR((5.885-(2.893*(0.984^(G10))))*(0.73+0.18*('Soil | Fuel | Labour | Subsidy'!$M$5)),0)</f>
        <v>6.7570817598351915</v>
      </c>
      <c r="H24" s="181">
        <f>IFERROR((((12.967-(10.029*(0.993^(H10)))-(0.0147*(H10)))*(0.76+0.16*('Soil | Fuel | Labour | Subsidy'!$M$5)))*0.89),0)</f>
        <v>7.6704278999468229</v>
      </c>
      <c r="I24" s="181">
        <f>IFERROR(((19.98-(18.164*(0.9952^(I10)))-(0.0364*(I10)))*(0.887+0.075*('Soil | Fuel | Labour | Subsidy'!$M$5)))*1.02,0)</f>
        <v>6.1626340354615694</v>
      </c>
      <c r="J24" s="181">
        <f>IFERROR((((0.95+1.3625*('Soil | Fuel | Labour | Subsidy'!$M$5))*1.1)*1.05),0)</f>
        <v>5.031468750000001</v>
      </c>
      <c r="K24" s="181">
        <f>IFERROR(((0.7+1.25*('Soil | Fuel | Labour | Subsidy'!$M$5))*1.05)*1.2,0)</f>
        <v>4.8195000000000006</v>
      </c>
      <c r="L24" s="181">
        <f>IFERROR((44.507-(29.135*(0.992^L10)))*1.16,0)</f>
        <v>45.854597195176169</v>
      </c>
      <c r="M24" s="181">
        <f>IFERROR(((3.35+(-0.623*(0.01^(M10)))-0.000324*(M10))*(0.655+0.23*('Soil | Fuel | Labour | Subsidy'!$M$5)))*0.87,0)</f>
        <v>3.5189596440000002</v>
      </c>
      <c r="N24" s="181">
        <f>(2.317-(1.139*(0.984^(N10))))</f>
        <v>2.1525872339694678</v>
      </c>
      <c r="O24" s="181">
        <f>IFERROR((((54.543-(0.05*37.82*(0.984^(O10)))))*1.3),0)</f>
        <v>70.55104846116518</v>
      </c>
      <c r="P24" s="173">
        <v>0</v>
      </c>
      <c r="Q24" s="181">
        <f>0.75+0.45*1.5*('Soil | Fuel | Labour | Subsidy'!$M$5)</f>
        <v>2.4375</v>
      </c>
      <c r="R24" s="181">
        <f>((0.75+0.45*1.5*('Soil | Fuel | Labour | Subsidy'!$M$5))*0.8)</f>
        <v>1.9500000000000002</v>
      </c>
      <c r="S24" s="181">
        <f>(2.48+3.475*('Soil | Fuel | Labour | Subsidy'!$M$5)-(1.2875*('Soil | Fuel | Labour | Subsidy'!$M$5)^2))</f>
        <v>3.1206250000000004</v>
      </c>
      <c r="U24" s="10"/>
    </row>
    <row r="25" spans="1:21" ht="20" customHeight="1" x14ac:dyDescent="0.2">
      <c r="A25" s="10"/>
      <c r="C25" s="198"/>
      <c r="D25" s="12" t="s">
        <v>95</v>
      </c>
      <c r="E25" s="13" t="s">
        <v>92</v>
      </c>
      <c r="F25" s="177">
        <v>150</v>
      </c>
      <c r="G25" s="177">
        <v>162</v>
      </c>
      <c r="H25" s="177">
        <v>138</v>
      </c>
      <c r="I25" s="177">
        <v>157</v>
      </c>
      <c r="J25" s="177">
        <v>180</v>
      </c>
      <c r="K25" s="177">
        <v>185</v>
      </c>
      <c r="L25" s="177">
        <v>145</v>
      </c>
      <c r="M25" s="177">
        <v>335</v>
      </c>
      <c r="N25" s="177">
        <v>335</v>
      </c>
      <c r="O25" s="175">
        <v>27.16</v>
      </c>
      <c r="P25" s="177">
        <v>0</v>
      </c>
      <c r="Q25" s="174">
        <v>380</v>
      </c>
      <c r="R25" s="174">
        <v>380</v>
      </c>
      <c r="S25" s="174">
        <v>225</v>
      </c>
      <c r="U25" s="10"/>
    </row>
    <row r="26" spans="1:21" ht="20" customHeight="1" x14ac:dyDescent="0.2">
      <c r="A26" s="10"/>
      <c r="C26" s="198"/>
      <c r="D26" s="12" t="s">
        <v>96</v>
      </c>
      <c r="E26" s="13" t="s">
        <v>94</v>
      </c>
      <c r="F26" s="175">
        <f>F24*0.5</f>
        <v>4.9989000463412294</v>
      </c>
      <c r="G26" s="175">
        <f>G24*0.5</f>
        <v>3.3785408799175958</v>
      </c>
      <c r="H26" s="175">
        <f t="shared" ref="H26:I26" si="0">H24*0.5</f>
        <v>3.8352139499734115</v>
      </c>
      <c r="I26" s="175">
        <f t="shared" si="0"/>
        <v>3.0813170177307847</v>
      </c>
      <c r="J26" s="178" t="s">
        <v>198</v>
      </c>
      <c r="K26" s="178" t="s">
        <v>198</v>
      </c>
      <c r="L26" s="178" t="s">
        <v>198</v>
      </c>
      <c r="M26" s="178" t="s">
        <v>198</v>
      </c>
      <c r="N26" s="178" t="s">
        <v>198</v>
      </c>
      <c r="O26" s="178" t="s">
        <v>198</v>
      </c>
      <c r="P26" s="178" t="s">
        <v>198</v>
      </c>
      <c r="Q26" s="178" t="s">
        <v>198</v>
      </c>
      <c r="R26" s="178" t="s">
        <v>198</v>
      </c>
      <c r="S26" s="178" t="s">
        <v>198</v>
      </c>
      <c r="U26" s="10"/>
    </row>
    <row r="27" spans="1:21" ht="20" customHeight="1" x14ac:dyDescent="0.2">
      <c r="A27" s="10"/>
      <c r="C27" s="198"/>
      <c r="D27" s="12" t="s">
        <v>97</v>
      </c>
      <c r="E27" s="13" t="s">
        <v>92</v>
      </c>
      <c r="F27" s="174">
        <v>65</v>
      </c>
      <c r="G27" s="174">
        <v>65</v>
      </c>
      <c r="H27" s="182">
        <v>65</v>
      </c>
      <c r="I27" s="182">
        <v>65</v>
      </c>
      <c r="J27" s="178" t="s">
        <v>198</v>
      </c>
      <c r="K27" s="178" t="s">
        <v>198</v>
      </c>
      <c r="L27" s="178" t="s">
        <v>198</v>
      </c>
      <c r="M27" s="178" t="s">
        <v>198</v>
      </c>
      <c r="N27" s="178" t="s">
        <v>198</v>
      </c>
      <c r="O27" s="178" t="s">
        <v>198</v>
      </c>
      <c r="P27" s="178" t="s">
        <v>198</v>
      </c>
      <c r="Q27" s="178" t="s">
        <v>198</v>
      </c>
      <c r="R27" s="178" t="s">
        <v>198</v>
      </c>
      <c r="S27" s="178" t="s">
        <v>198</v>
      </c>
      <c r="U27" s="10"/>
    </row>
    <row r="28" spans="1:21" ht="20" customHeight="1" x14ac:dyDescent="0.2">
      <c r="A28" s="10"/>
      <c r="C28" s="201"/>
      <c r="D28" s="12" t="s">
        <v>73</v>
      </c>
      <c r="E28" s="13" t="s">
        <v>74</v>
      </c>
      <c r="F28" s="182">
        <v>223</v>
      </c>
      <c r="G28" s="174">
        <v>223</v>
      </c>
      <c r="H28" s="174">
        <v>223</v>
      </c>
      <c r="I28" s="174">
        <v>223</v>
      </c>
      <c r="J28" s="174">
        <v>223</v>
      </c>
      <c r="K28" s="174">
        <v>223</v>
      </c>
      <c r="L28" s="174">
        <v>223</v>
      </c>
      <c r="M28" s="174">
        <v>223</v>
      </c>
      <c r="N28" s="174">
        <v>223</v>
      </c>
      <c r="O28" s="174">
        <v>223</v>
      </c>
      <c r="P28" s="174">
        <v>223</v>
      </c>
      <c r="Q28" s="174">
        <v>223</v>
      </c>
      <c r="R28" s="174">
        <v>223</v>
      </c>
      <c r="S28" s="174">
        <v>223</v>
      </c>
      <c r="U28" s="10"/>
    </row>
    <row r="29" spans="1:21" ht="20" customHeight="1" x14ac:dyDescent="0.2">
      <c r="A29" s="10"/>
      <c r="F29" s="112"/>
      <c r="U29" s="10"/>
    </row>
    <row r="30" spans="1:21" ht="8" customHeight="1" x14ac:dyDescent="0.2">
      <c r="A30" s="10"/>
      <c r="B30" s="10"/>
      <c r="C30" s="10"/>
      <c r="D30" s="10"/>
      <c r="E30" s="10"/>
      <c r="F30" s="10"/>
      <c r="G30" s="10"/>
      <c r="H30" s="10"/>
      <c r="I30" s="10"/>
      <c r="J30" s="10"/>
      <c r="K30" s="10"/>
      <c r="L30" s="10"/>
      <c r="M30" s="10"/>
      <c r="N30" s="10"/>
      <c r="O30" s="10"/>
      <c r="P30" s="10"/>
      <c r="Q30" s="10"/>
      <c r="R30" s="10"/>
      <c r="S30" s="10"/>
      <c r="T30" s="10"/>
      <c r="U30" s="10"/>
    </row>
  </sheetData>
  <mergeCells count="4">
    <mergeCell ref="C10:C23"/>
    <mergeCell ref="C24:C28"/>
    <mergeCell ref="C6:O6"/>
    <mergeCell ref="C7:K7"/>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
  <sheetViews>
    <sheetView showGridLines="0" zoomScale="115" zoomScaleNormal="115" workbookViewId="0">
      <selection activeCell="M7" sqref="M7"/>
    </sheetView>
  </sheetViews>
  <sheetFormatPr baseColWidth="10" defaultColWidth="10.83203125" defaultRowHeight="18" customHeight="1" x14ac:dyDescent="0.2"/>
  <cols>
    <col min="1" max="1" width="8.6640625" style="42" customWidth="1"/>
    <col min="2" max="2" width="3.6640625" style="42" customWidth="1"/>
    <col min="3" max="3" width="18.1640625" style="42" customWidth="1"/>
    <col min="4" max="5" width="12.5" style="116" bestFit="1" customWidth="1"/>
    <col min="6" max="9" width="12.83203125" style="116" bestFit="1" customWidth="1"/>
    <col min="10" max="10" width="3.6640625" style="42" customWidth="1"/>
    <col min="11" max="11" width="8.6640625" style="42" customWidth="1"/>
    <col min="12" max="16384" width="10.83203125" style="42"/>
  </cols>
  <sheetData>
    <row r="1" spans="1:12" ht="8" customHeight="1" x14ac:dyDescent="0.2">
      <c r="A1" s="23"/>
      <c r="B1" s="23"/>
      <c r="C1" s="23"/>
      <c r="D1" s="25"/>
      <c r="E1" s="25"/>
      <c r="F1" s="25"/>
      <c r="G1" s="25"/>
      <c r="H1" s="25"/>
      <c r="I1" s="25"/>
      <c r="J1" s="23"/>
      <c r="K1" s="23"/>
    </row>
    <row r="2" spans="1:12" s="7" customFormat="1" ht="31" customHeight="1" x14ac:dyDescent="0.2">
      <c r="A2" s="10"/>
      <c r="C2" s="43" t="s">
        <v>304</v>
      </c>
      <c r="D2" s="108"/>
      <c r="E2" s="108"/>
      <c r="F2" s="108"/>
      <c r="G2" s="108"/>
      <c r="H2" s="108"/>
      <c r="I2" s="108"/>
      <c r="K2" s="10"/>
    </row>
    <row r="3" spans="1:12" ht="15" customHeight="1" x14ac:dyDescent="0.2">
      <c r="A3" s="23"/>
      <c r="C3" s="203" t="s">
        <v>306</v>
      </c>
      <c r="D3" s="203"/>
      <c r="E3" s="203"/>
      <c r="F3" s="203"/>
      <c r="G3" s="203"/>
      <c r="H3" s="203"/>
      <c r="I3" s="203"/>
      <c r="K3" s="23"/>
    </row>
    <row r="4" spans="1:12" ht="15" customHeight="1" x14ac:dyDescent="0.2">
      <c r="A4" s="23"/>
      <c r="C4" s="203"/>
      <c r="D4" s="203"/>
      <c r="E4" s="203"/>
      <c r="F4" s="203"/>
      <c r="G4" s="203"/>
      <c r="H4" s="203"/>
      <c r="I4" s="203"/>
      <c r="K4" s="23"/>
    </row>
    <row r="5" spans="1:12" ht="15" customHeight="1" x14ac:dyDescent="0.2">
      <c r="A5" s="23"/>
      <c r="D5" s="108"/>
      <c r="E5" s="117"/>
      <c r="F5" s="117"/>
      <c r="G5" s="118"/>
      <c r="H5" s="119"/>
      <c r="I5" s="117"/>
      <c r="J5" s="120"/>
      <c r="K5" s="23"/>
    </row>
    <row r="6" spans="1:12" ht="15" customHeight="1" x14ac:dyDescent="0.2">
      <c r="A6" s="23"/>
      <c r="C6" s="108" t="s">
        <v>305</v>
      </c>
      <c r="D6" s="108"/>
      <c r="E6" s="117"/>
      <c r="F6" s="117"/>
      <c r="G6" s="118"/>
      <c r="H6" s="118"/>
      <c r="I6" s="118"/>
      <c r="J6" s="121"/>
      <c r="K6" s="24"/>
      <c r="L6" s="121"/>
    </row>
    <row r="7" spans="1:12" ht="15" customHeight="1" x14ac:dyDescent="0.2">
      <c r="A7" s="23"/>
      <c r="C7" s="185" t="s">
        <v>480</v>
      </c>
      <c r="D7" s="119"/>
      <c r="E7" s="119"/>
      <c r="F7" s="119"/>
      <c r="G7" s="119"/>
      <c r="H7" s="118"/>
      <c r="I7" s="118"/>
      <c r="J7" s="121"/>
      <c r="K7" s="24"/>
      <c r="L7" s="121"/>
    </row>
    <row r="8" spans="1:12" ht="22.25" customHeight="1" x14ac:dyDescent="0.2">
      <c r="A8" s="23"/>
      <c r="K8" s="23"/>
    </row>
    <row r="9" spans="1:12" s="122" customFormat="1" ht="22.25" customHeight="1" thickBot="1" x14ac:dyDescent="0.25">
      <c r="A9" s="36"/>
      <c r="C9" s="34" t="s">
        <v>267</v>
      </c>
      <c r="D9" s="204" t="s">
        <v>67</v>
      </c>
      <c r="E9" s="204"/>
      <c r="F9" s="204"/>
      <c r="G9" s="204"/>
      <c r="H9" s="204"/>
      <c r="I9" s="205"/>
      <c r="K9" s="36"/>
    </row>
    <row r="10" spans="1:12" ht="22.25" customHeight="1" thickTop="1" x14ac:dyDescent="0.2">
      <c r="A10" s="23"/>
      <c r="C10" s="19" t="s">
        <v>61</v>
      </c>
      <c r="D10" s="18">
        <v>2.5</v>
      </c>
      <c r="E10" s="18"/>
      <c r="F10" s="18"/>
      <c r="G10" s="18"/>
      <c r="H10" s="18"/>
      <c r="I10" s="18"/>
      <c r="K10" s="23"/>
    </row>
    <row r="11" spans="1:12" ht="22.25" customHeight="1" x14ac:dyDescent="0.2">
      <c r="A11" s="23"/>
      <c r="C11" s="20" t="s">
        <v>179</v>
      </c>
      <c r="D11" s="17" t="s">
        <v>38</v>
      </c>
      <c r="E11" s="17" t="s">
        <v>38</v>
      </c>
      <c r="F11" s="17" t="s">
        <v>45</v>
      </c>
      <c r="G11" s="17" t="s">
        <v>38</v>
      </c>
      <c r="H11" s="17" t="s">
        <v>43</v>
      </c>
      <c r="I11" s="17" t="s">
        <v>38</v>
      </c>
      <c r="K11" s="23"/>
    </row>
    <row r="12" spans="1:12" ht="22.25" customHeight="1" x14ac:dyDescent="0.2">
      <c r="A12" s="23"/>
      <c r="C12" s="20" t="s">
        <v>220</v>
      </c>
      <c r="D12" s="17" t="s">
        <v>57</v>
      </c>
      <c r="E12" s="17" t="s">
        <v>57</v>
      </c>
      <c r="F12" s="17" t="s">
        <v>268</v>
      </c>
      <c r="G12" s="17" t="s">
        <v>268</v>
      </c>
      <c r="H12" s="17" t="s">
        <v>268</v>
      </c>
      <c r="I12" s="17" t="s">
        <v>268</v>
      </c>
      <c r="K12" s="23"/>
    </row>
    <row r="13" spans="1:12" ht="22.25" customHeight="1" x14ac:dyDescent="0.2">
      <c r="A13" s="23"/>
      <c r="C13" s="20" t="s">
        <v>180</v>
      </c>
      <c r="D13" s="17">
        <v>185</v>
      </c>
      <c r="E13" s="17">
        <v>175</v>
      </c>
      <c r="F13" s="17">
        <v>3.5</v>
      </c>
      <c r="G13" s="17">
        <v>185</v>
      </c>
      <c r="H13" s="17">
        <v>334</v>
      </c>
      <c r="I13" s="17">
        <v>185</v>
      </c>
      <c r="K13" s="23"/>
    </row>
    <row r="14" spans="1:12" ht="22.25" customHeight="1" x14ac:dyDescent="0.2">
      <c r="A14" s="23"/>
      <c r="C14" s="20" t="s">
        <v>181</v>
      </c>
      <c r="D14" s="17" t="s">
        <v>269</v>
      </c>
      <c r="E14" s="17" t="s">
        <v>270</v>
      </c>
      <c r="F14" s="17" t="s">
        <v>269</v>
      </c>
      <c r="G14" s="17" t="s">
        <v>270</v>
      </c>
      <c r="H14" s="17" t="s">
        <v>269</v>
      </c>
      <c r="I14" s="17" t="s">
        <v>269</v>
      </c>
      <c r="K14" s="23"/>
    </row>
    <row r="15" spans="1:12" ht="22.25" customHeight="1" x14ac:dyDescent="0.2">
      <c r="A15" s="23"/>
      <c r="C15" s="20" t="s">
        <v>186</v>
      </c>
      <c r="D15" s="17">
        <v>180</v>
      </c>
      <c r="E15" s="17">
        <v>188</v>
      </c>
      <c r="F15" s="17">
        <v>167</v>
      </c>
      <c r="G15" s="17">
        <v>190</v>
      </c>
      <c r="H15" s="17">
        <v>0</v>
      </c>
      <c r="I15" s="17">
        <v>174</v>
      </c>
      <c r="K15" s="23"/>
    </row>
    <row r="16" spans="1:12" ht="22.25" customHeight="1" x14ac:dyDescent="0.2">
      <c r="A16" s="23"/>
      <c r="C16" s="20" t="s">
        <v>187</v>
      </c>
      <c r="D16" s="17">
        <v>95</v>
      </c>
      <c r="E16" s="17">
        <v>95</v>
      </c>
      <c r="F16" s="17">
        <v>80</v>
      </c>
      <c r="G16" s="17">
        <v>95</v>
      </c>
      <c r="H16" s="17">
        <v>70</v>
      </c>
      <c r="I16" s="17">
        <v>95</v>
      </c>
      <c r="K16" s="23"/>
    </row>
    <row r="17" spans="1:11" ht="22.25" customHeight="1" x14ac:dyDescent="0.2">
      <c r="A17" s="23"/>
      <c r="C17" s="20" t="s">
        <v>188</v>
      </c>
      <c r="D17" s="17">
        <v>115</v>
      </c>
      <c r="E17" s="17">
        <v>115</v>
      </c>
      <c r="F17" s="17">
        <v>70</v>
      </c>
      <c r="G17" s="17">
        <v>115</v>
      </c>
      <c r="H17" s="17">
        <v>70</v>
      </c>
      <c r="I17" s="17">
        <v>115</v>
      </c>
      <c r="K17" s="23"/>
    </row>
    <row r="18" spans="1:11" ht="22.25" customHeight="1" x14ac:dyDescent="0.2">
      <c r="A18" s="23"/>
      <c r="C18" s="52" t="s">
        <v>222</v>
      </c>
      <c r="D18" s="17">
        <v>3.16</v>
      </c>
      <c r="E18" s="17">
        <v>7.24</v>
      </c>
      <c r="F18" s="17">
        <v>2.54</v>
      </c>
      <c r="G18" s="17">
        <v>10.97</v>
      </c>
      <c r="H18" s="17">
        <v>10.17</v>
      </c>
      <c r="I18" s="17">
        <v>1.7</v>
      </c>
      <c r="K18" s="23"/>
    </row>
    <row r="19" spans="1:11" ht="22.25" customHeight="1" x14ac:dyDescent="0.2">
      <c r="A19" s="23"/>
      <c r="C19" s="20" t="s">
        <v>182</v>
      </c>
      <c r="D19" s="17">
        <v>2</v>
      </c>
      <c r="E19" s="17">
        <v>1.6</v>
      </c>
      <c r="F19" s="17">
        <v>4</v>
      </c>
      <c r="G19" s="17">
        <v>2.23</v>
      </c>
      <c r="H19" s="17">
        <v>4.0999999999999996</v>
      </c>
      <c r="I19" s="17">
        <v>0.98</v>
      </c>
      <c r="K19" s="23"/>
    </row>
    <row r="20" spans="1:11" ht="22.25" customHeight="1" x14ac:dyDescent="0.2">
      <c r="A20" s="23"/>
      <c r="C20" s="20" t="s">
        <v>223</v>
      </c>
      <c r="D20" s="17">
        <v>3</v>
      </c>
      <c r="E20" s="17">
        <v>3</v>
      </c>
      <c r="F20" s="17">
        <v>4</v>
      </c>
      <c r="G20" s="17">
        <v>4</v>
      </c>
      <c r="H20" s="17">
        <v>6</v>
      </c>
      <c r="I20" s="17">
        <v>4</v>
      </c>
      <c r="K20" s="23"/>
    </row>
    <row r="21" spans="1:11" ht="22.25" customHeight="1" x14ac:dyDescent="0.2">
      <c r="A21" s="23"/>
      <c r="C21" s="20" t="s">
        <v>64</v>
      </c>
      <c r="D21" s="17" t="s">
        <v>271</v>
      </c>
      <c r="E21" s="17" t="s">
        <v>271</v>
      </c>
      <c r="F21" s="17" t="s">
        <v>271</v>
      </c>
      <c r="G21" s="17" t="s">
        <v>271</v>
      </c>
      <c r="H21" s="17" t="s">
        <v>271</v>
      </c>
      <c r="I21" s="17" t="s">
        <v>271</v>
      </c>
      <c r="K21" s="23"/>
    </row>
    <row r="22" spans="1:11" ht="22.25" customHeight="1" x14ac:dyDescent="0.2">
      <c r="A22" s="23"/>
      <c r="C22" s="20" t="s">
        <v>183</v>
      </c>
      <c r="D22" s="17">
        <v>150</v>
      </c>
      <c r="E22" s="17">
        <v>150</v>
      </c>
      <c r="F22" s="17">
        <v>335</v>
      </c>
      <c r="G22" s="17">
        <v>150</v>
      </c>
      <c r="H22" s="17">
        <v>185</v>
      </c>
      <c r="I22" s="17">
        <v>150</v>
      </c>
      <c r="K22" s="23"/>
    </row>
    <row r="23" spans="1:11" ht="22.25" customHeight="1" x14ac:dyDescent="0.2">
      <c r="A23" s="23"/>
      <c r="C23" s="20" t="s">
        <v>184</v>
      </c>
      <c r="D23" s="17">
        <v>9.1</v>
      </c>
      <c r="E23" s="17">
        <v>9</v>
      </c>
      <c r="F23" s="17">
        <v>3.91</v>
      </c>
      <c r="G23" s="17">
        <v>9.8000000000000007</v>
      </c>
      <c r="H23" s="17">
        <v>5.9</v>
      </c>
      <c r="I23" s="17">
        <v>10</v>
      </c>
      <c r="K23" s="23"/>
    </row>
    <row r="24" spans="1:11" ht="22.25" customHeight="1" x14ac:dyDescent="0.2">
      <c r="A24" s="23"/>
      <c r="C24" s="20" t="s">
        <v>189</v>
      </c>
      <c r="D24" s="17">
        <v>0.78</v>
      </c>
      <c r="E24" s="17"/>
      <c r="F24" s="17"/>
      <c r="G24" s="17"/>
      <c r="H24" s="17"/>
      <c r="I24" s="17"/>
      <c r="K24" s="23"/>
    </row>
    <row r="25" spans="1:11" ht="22.25" customHeight="1" x14ac:dyDescent="0.2">
      <c r="A25" s="23"/>
      <c r="C25" s="20" t="s">
        <v>190</v>
      </c>
      <c r="D25" s="17">
        <v>0.71</v>
      </c>
      <c r="E25" s="17"/>
      <c r="F25" s="17"/>
      <c r="G25" s="17"/>
      <c r="H25" s="17"/>
      <c r="I25" s="17"/>
      <c r="K25" s="23"/>
    </row>
    <row r="26" spans="1:11" ht="22.25" customHeight="1" x14ac:dyDescent="0.2">
      <c r="A26" s="23"/>
      <c r="C26" s="20" t="s">
        <v>191</v>
      </c>
      <c r="D26" s="17">
        <v>0.44</v>
      </c>
      <c r="E26" s="17"/>
      <c r="F26" s="17"/>
      <c r="G26" s="17"/>
      <c r="H26" s="17"/>
      <c r="I26" s="17"/>
      <c r="K26" s="23"/>
    </row>
    <row r="27" spans="1:11" ht="22.25" customHeight="1" x14ac:dyDescent="0.2">
      <c r="A27" s="23"/>
      <c r="C27" s="20" t="s">
        <v>192</v>
      </c>
      <c r="D27" s="17">
        <f>'[1]Crop Data'!$F$16</f>
        <v>0.36</v>
      </c>
      <c r="E27" s="17">
        <f>'[1]Crop Data'!$F$16</f>
        <v>0.36</v>
      </c>
      <c r="F27" s="17">
        <f>'[1]Crop Data'!$M$16</f>
        <v>7.34</v>
      </c>
      <c r="G27" s="17">
        <f>'[1]Crop Data'!$F$16</f>
        <v>0.36</v>
      </c>
      <c r="H27" s="17">
        <f>'[1]Crop Data'!$K$16</f>
        <v>0.38</v>
      </c>
      <c r="I27" s="17">
        <f>'[1]Crop Data'!$F$16</f>
        <v>0.36</v>
      </c>
      <c r="K27" s="23"/>
    </row>
    <row r="28" spans="1:11" ht="22.25" customHeight="1" x14ac:dyDescent="0.2">
      <c r="A28" s="23"/>
      <c r="C28" s="52" t="s">
        <v>193</v>
      </c>
      <c r="D28" s="17">
        <v>19.5</v>
      </c>
      <c r="E28" s="17">
        <v>19.5</v>
      </c>
      <c r="F28" s="17">
        <v>19.5</v>
      </c>
      <c r="G28" s="17">
        <v>19.5</v>
      </c>
      <c r="H28" s="17">
        <v>19.5</v>
      </c>
      <c r="I28" s="17">
        <v>19.5</v>
      </c>
      <c r="K28" s="23"/>
    </row>
    <row r="29" spans="1:11" ht="22.25" customHeight="1" x14ac:dyDescent="0.2">
      <c r="A29" s="23"/>
      <c r="C29" s="20" t="s">
        <v>194</v>
      </c>
      <c r="D29" s="17">
        <v>2.4300000000000002</v>
      </c>
      <c r="E29" s="17">
        <v>2.4300000000000002</v>
      </c>
      <c r="F29" s="17">
        <v>2.4300000000000002</v>
      </c>
      <c r="G29" s="17">
        <v>2.4300000000000002</v>
      </c>
      <c r="H29" s="17">
        <v>2.4300000000000002</v>
      </c>
      <c r="I29" s="17">
        <v>2.4300000000000002</v>
      </c>
      <c r="K29" s="23"/>
    </row>
    <row r="30" spans="1:11" ht="22.25" customHeight="1" x14ac:dyDescent="0.2">
      <c r="A30" s="23"/>
      <c r="C30" s="20" t="s">
        <v>195</v>
      </c>
      <c r="D30" s="17">
        <v>102</v>
      </c>
      <c r="E30" s="17">
        <v>6</v>
      </c>
      <c r="F30" s="17">
        <v>4</v>
      </c>
      <c r="G30" s="17">
        <v>1400</v>
      </c>
      <c r="H30" s="17">
        <v>125</v>
      </c>
      <c r="I30" s="17"/>
      <c r="K30" s="23"/>
    </row>
    <row r="31" spans="1:11" ht="22.25" customHeight="1" x14ac:dyDescent="0.2">
      <c r="A31" s="23"/>
      <c r="C31" s="20" t="s">
        <v>196</v>
      </c>
      <c r="D31" s="17">
        <v>0.625</v>
      </c>
      <c r="E31" s="17"/>
      <c r="F31" s="17"/>
      <c r="G31" s="17"/>
      <c r="H31" s="17"/>
      <c r="I31" s="17"/>
      <c r="K31" s="23"/>
    </row>
    <row r="32" spans="1:11" ht="22.25" customHeight="1" x14ac:dyDescent="0.2">
      <c r="A32" s="23"/>
      <c r="C32" s="20" t="s">
        <v>197</v>
      </c>
      <c r="D32" s="17">
        <v>10.08</v>
      </c>
      <c r="E32" s="17"/>
      <c r="F32" s="17"/>
      <c r="G32" s="17"/>
      <c r="H32" s="17"/>
      <c r="I32" s="17"/>
      <c r="K32" s="23"/>
    </row>
    <row r="33" spans="1:11" ht="22.25" customHeight="1" x14ac:dyDescent="0.2">
      <c r="A33" s="23"/>
      <c r="C33" s="20" t="s">
        <v>224</v>
      </c>
      <c r="D33" s="17" t="s">
        <v>272</v>
      </c>
      <c r="E33" s="17"/>
      <c r="F33" s="17"/>
      <c r="G33" s="17"/>
      <c r="H33" s="17"/>
      <c r="I33" s="17"/>
      <c r="K33" s="23"/>
    </row>
    <row r="34" spans="1:11" ht="22.25" customHeight="1" x14ac:dyDescent="0.2">
      <c r="A34" s="23"/>
      <c r="K34" s="23"/>
    </row>
    <row r="35" spans="1:11" ht="8" customHeight="1" x14ac:dyDescent="0.2">
      <c r="A35" s="23"/>
      <c r="B35" s="23"/>
      <c r="C35" s="23"/>
      <c r="D35" s="25"/>
      <c r="E35" s="25"/>
      <c r="F35" s="25"/>
      <c r="G35" s="25"/>
      <c r="H35" s="25"/>
      <c r="I35" s="25"/>
      <c r="J35" s="23"/>
      <c r="K35" s="23"/>
    </row>
    <row r="38" spans="1:11" ht="20.75" customHeight="1" x14ac:dyDescent="0.2"/>
  </sheetData>
  <mergeCells count="2">
    <mergeCell ref="C3:I4"/>
    <mergeCell ref="D9:I9"/>
  </mergeCells>
  <pageMargins left="0.7" right="0.7" top="0.75" bottom="0.75" header="0.3" footer="0.3"/>
  <ignoredErrors>
    <ignoredError sqref="F27 H27" formula="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showGridLines="0" zoomScale="160" zoomScaleNormal="160" workbookViewId="0">
      <selection activeCell="C43" sqref="C43"/>
    </sheetView>
  </sheetViews>
  <sheetFormatPr baseColWidth="10" defaultColWidth="12.5" defaultRowHeight="19.25" customHeight="1" x14ac:dyDescent="0.15"/>
  <cols>
    <col min="1" max="1" width="8.6640625" style="115" customWidth="1"/>
    <col min="2" max="2" width="3.6640625" style="115" customWidth="1"/>
    <col min="3" max="3" width="19.1640625" style="115" customWidth="1"/>
    <col min="4" max="4" width="1" style="115" customWidth="1"/>
    <col min="5" max="5" width="8" style="115" customWidth="1"/>
    <col min="6" max="6" width="10.1640625" style="115" customWidth="1"/>
    <col min="7" max="7" width="12.5" style="115"/>
    <col min="8" max="8" width="3.6640625" style="115" customWidth="1"/>
    <col min="9" max="9" width="8.6640625" style="115" customWidth="1"/>
    <col min="10" max="16384" width="12.5" style="115"/>
  </cols>
  <sheetData>
    <row r="1" spans="1:9" ht="8" customHeight="1" x14ac:dyDescent="0.15">
      <c r="A1" s="59"/>
      <c r="B1" s="59"/>
      <c r="C1" s="59"/>
      <c r="D1" s="59"/>
      <c r="E1" s="59"/>
      <c r="F1" s="59"/>
      <c r="G1" s="59"/>
      <c r="H1" s="59"/>
      <c r="I1" s="59"/>
    </row>
    <row r="2" spans="1:9" ht="31" customHeight="1" x14ac:dyDescent="0.2">
      <c r="A2" s="59"/>
      <c r="C2" s="66" t="s">
        <v>144</v>
      </c>
      <c r="D2" s="66"/>
      <c r="I2" s="59"/>
    </row>
    <row r="3" spans="1:9" ht="15" customHeight="1" x14ac:dyDescent="0.2">
      <c r="A3" s="59"/>
      <c r="C3" s="70" t="s">
        <v>336</v>
      </c>
      <c r="D3" s="70"/>
      <c r="I3" s="59"/>
    </row>
    <row r="4" spans="1:9" ht="15" customHeight="1" x14ac:dyDescent="0.2">
      <c r="A4" s="59"/>
      <c r="C4" s="70" t="s">
        <v>368</v>
      </c>
      <c r="D4" s="70"/>
      <c r="I4" s="59"/>
    </row>
    <row r="5" spans="1:9" ht="15" customHeight="1" x14ac:dyDescent="0.2">
      <c r="A5" s="59"/>
      <c r="C5" s="70" t="s">
        <v>367</v>
      </c>
      <c r="D5" s="70"/>
      <c r="I5" s="59"/>
    </row>
    <row r="6" spans="1:9" ht="22.25" customHeight="1" x14ac:dyDescent="0.15">
      <c r="A6" s="59"/>
      <c r="I6" s="59"/>
    </row>
    <row r="7" spans="1:9" ht="22.25" customHeight="1" thickBot="1" x14ac:dyDescent="0.2">
      <c r="A7" s="59"/>
      <c r="C7" s="63" t="s">
        <v>100</v>
      </c>
      <c r="D7" s="64"/>
      <c r="E7" s="64" t="s">
        <v>66</v>
      </c>
      <c r="F7" s="65" t="s">
        <v>101</v>
      </c>
      <c r="I7" s="59"/>
    </row>
    <row r="8" spans="1:9" ht="22.25" customHeight="1" thickTop="1" x14ac:dyDescent="0.2">
      <c r="A8" s="59"/>
      <c r="C8" s="57" t="s">
        <v>102</v>
      </c>
      <c r="D8" s="55"/>
      <c r="E8" s="55" t="s">
        <v>103</v>
      </c>
      <c r="F8" s="55">
        <v>102</v>
      </c>
      <c r="I8" s="59"/>
    </row>
    <row r="9" spans="1:9" ht="22.25" customHeight="1" x14ac:dyDescent="0.2">
      <c r="A9" s="59"/>
      <c r="C9" s="58" t="s">
        <v>104</v>
      </c>
      <c r="D9" s="56"/>
      <c r="E9" s="56" t="s">
        <v>105</v>
      </c>
      <c r="F9" s="56">
        <v>6</v>
      </c>
      <c r="I9" s="59"/>
    </row>
    <row r="10" spans="1:9" ht="22.25" customHeight="1" x14ac:dyDescent="0.2">
      <c r="A10" s="59"/>
      <c r="C10" s="58" t="s">
        <v>106</v>
      </c>
      <c r="D10" s="56"/>
      <c r="E10" s="56" t="s">
        <v>107</v>
      </c>
      <c r="F10" s="56">
        <v>1400</v>
      </c>
      <c r="I10" s="59"/>
    </row>
    <row r="11" spans="1:9" ht="22.25" customHeight="1" x14ac:dyDescent="0.2">
      <c r="A11" s="59"/>
      <c r="C11" s="58" t="s">
        <v>109</v>
      </c>
      <c r="D11" s="56"/>
      <c r="E11" s="56" t="s">
        <v>103</v>
      </c>
      <c r="F11" s="56">
        <v>125</v>
      </c>
      <c r="I11" s="59"/>
    </row>
    <row r="12" spans="1:9" ht="22.25" customHeight="1" x14ac:dyDescent="0.2">
      <c r="A12" s="59"/>
      <c r="C12" s="149" t="s">
        <v>108</v>
      </c>
      <c r="D12" s="150"/>
      <c r="E12" s="150"/>
      <c r="F12" s="151"/>
      <c r="I12" s="59"/>
    </row>
    <row r="13" spans="1:9" ht="22.25" customHeight="1" x14ac:dyDescent="0.2">
      <c r="A13" s="59"/>
      <c r="C13" s="149" t="s">
        <v>110</v>
      </c>
      <c r="D13" s="150"/>
      <c r="E13" s="150"/>
      <c r="F13" s="151"/>
      <c r="I13" s="59"/>
    </row>
    <row r="14" spans="1:9" ht="22.25" customHeight="1" x14ac:dyDescent="0.2">
      <c r="A14" s="59"/>
      <c r="C14" s="163" t="s">
        <v>411</v>
      </c>
      <c r="D14" s="150"/>
      <c r="E14" s="150"/>
      <c r="F14" s="151"/>
      <c r="I14" s="59"/>
    </row>
    <row r="15" spans="1:9" ht="22.25" customHeight="1" x14ac:dyDescent="0.15">
      <c r="A15" s="59"/>
      <c r="I15" s="59"/>
    </row>
    <row r="16" spans="1:9" ht="8" customHeight="1" x14ac:dyDescent="0.15">
      <c r="A16" s="59"/>
      <c r="B16" s="59"/>
      <c r="C16" s="59"/>
      <c r="D16" s="59"/>
      <c r="E16" s="59"/>
      <c r="F16" s="59"/>
      <c r="G16" s="59"/>
      <c r="H16" s="59"/>
      <c r="I16"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36"/>
  <sheetViews>
    <sheetView showGridLines="0" zoomScaleNormal="100" workbookViewId="0">
      <selection activeCell="C142" sqref="C142"/>
    </sheetView>
  </sheetViews>
  <sheetFormatPr baseColWidth="10" defaultColWidth="10.83203125" defaultRowHeight="20" customHeight="1" x14ac:dyDescent="0.2"/>
  <cols>
    <col min="1" max="1" width="8.6640625" style="68" customWidth="1"/>
    <col min="2" max="2" width="3.6640625" style="68" customWidth="1"/>
    <col min="3" max="3" width="20.83203125" style="68" customWidth="1"/>
    <col min="4" max="4" width="10.83203125" style="68"/>
    <col min="5" max="5" width="10.83203125" style="68" customWidth="1"/>
    <col min="6" max="7" width="10.83203125" style="68"/>
    <col min="8" max="8" width="20" style="68" bestFit="1" customWidth="1"/>
    <col min="9" max="10" width="10.83203125" style="68"/>
    <col min="11" max="11" width="10" style="68" customWidth="1"/>
    <col min="12" max="12" width="3.6640625" style="68" customWidth="1"/>
    <col min="13" max="13" width="8.6640625" style="68" customWidth="1"/>
    <col min="14" max="14" width="10.83203125" style="68"/>
    <col min="15" max="15" width="10.83203125" style="68" customWidth="1"/>
    <col min="16" max="16384" width="10.83203125" style="68"/>
  </cols>
  <sheetData>
    <row r="1" spans="1:13" ht="8" customHeight="1" x14ac:dyDescent="0.2">
      <c r="A1" s="84"/>
      <c r="B1" s="84"/>
      <c r="C1" s="84"/>
      <c r="D1" s="84"/>
      <c r="E1" s="84"/>
      <c r="F1" s="84"/>
      <c r="G1" s="84"/>
      <c r="H1" s="84"/>
      <c r="I1" s="84"/>
      <c r="J1" s="84"/>
      <c r="K1" s="84"/>
      <c r="L1" s="84"/>
      <c r="M1" s="84"/>
    </row>
    <row r="2" spans="1:13" customFormat="1" ht="31" customHeight="1" x14ac:dyDescent="0.2">
      <c r="A2" s="53"/>
      <c r="C2" s="66" t="s">
        <v>378</v>
      </c>
      <c r="M2" s="53"/>
    </row>
    <row r="3" spans="1:13" ht="7.5" customHeight="1" x14ac:dyDescent="0.2">
      <c r="A3" s="84"/>
      <c r="C3" s="67"/>
      <c r="M3" s="84"/>
    </row>
    <row r="4" spans="1:13" ht="15" customHeight="1" x14ac:dyDescent="0.2">
      <c r="A4" s="84"/>
      <c r="C4" s="102" t="s">
        <v>370</v>
      </c>
      <c r="D4" s="103" t="s">
        <v>111</v>
      </c>
      <c r="E4" s="104"/>
      <c r="F4" s="105"/>
      <c r="G4" s="104"/>
      <c r="H4" s="104"/>
      <c r="M4" s="84"/>
    </row>
    <row r="5" spans="1:13" ht="15" customHeight="1" x14ac:dyDescent="0.2">
      <c r="A5" s="84"/>
      <c r="C5" s="102"/>
      <c r="D5" s="103" t="s">
        <v>383</v>
      </c>
      <c r="E5" s="103" t="s">
        <v>384</v>
      </c>
      <c r="F5" s="103" t="s">
        <v>385</v>
      </c>
      <c r="G5" s="103" t="s">
        <v>386</v>
      </c>
      <c r="H5" s="103" t="s">
        <v>457</v>
      </c>
      <c r="M5" s="84"/>
    </row>
    <row r="6" spans="1:13" ht="15" customHeight="1" x14ac:dyDescent="0.2">
      <c r="A6" s="84"/>
      <c r="C6" s="102"/>
      <c r="D6" s="106"/>
      <c r="E6" s="103" t="s">
        <v>387</v>
      </c>
      <c r="F6" s="103" t="s">
        <v>388</v>
      </c>
      <c r="G6" s="103" t="s">
        <v>389</v>
      </c>
      <c r="H6" s="103" t="s">
        <v>390</v>
      </c>
      <c r="M6" s="84"/>
    </row>
    <row r="7" spans="1:13" ht="15" customHeight="1" x14ac:dyDescent="0.2">
      <c r="A7" s="84"/>
      <c r="C7" s="102"/>
      <c r="D7" s="106"/>
      <c r="E7" s="103" t="s">
        <v>391</v>
      </c>
      <c r="F7" s="107"/>
      <c r="G7" s="107"/>
      <c r="H7" s="107"/>
      <c r="M7" s="84"/>
    </row>
    <row r="8" spans="1:13" ht="6" customHeight="1" x14ac:dyDescent="0.2">
      <c r="A8" s="84"/>
      <c r="C8" s="70"/>
      <c r="D8" s="71"/>
      <c r="E8" s="72"/>
      <c r="F8" s="72"/>
      <c r="G8" s="72"/>
      <c r="M8" s="84"/>
    </row>
    <row r="9" spans="1:13" ht="18" customHeight="1" x14ac:dyDescent="0.2">
      <c r="A9" s="84"/>
      <c r="C9" s="70" t="s">
        <v>369</v>
      </c>
      <c r="M9" s="84"/>
    </row>
    <row r="10" spans="1:13" ht="18" customHeight="1" x14ac:dyDescent="0.2">
      <c r="A10" s="84"/>
      <c r="C10" s="70" t="s">
        <v>375</v>
      </c>
      <c r="M10" s="84"/>
    </row>
    <row r="11" spans="1:13" ht="18" customHeight="1" x14ac:dyDescent="0.2">
      <c r="A11" s="84"/>
      <c r="C11" s="70" t="s">
        <v>379</v>
      </c>
      <c r="M11" s="84"/>
    </row>
    <row r="12" spans="1:13" ht="18" customHeight="1" x14ac:dyDescent="0.2">
      <c r="A12" s="84"/>
      <c r="C12" s="70" t="s">
        <v>373</v>
      </c>
      <c r="M12" s="84"/>
    </row>
    <row r="13" spans="1:13" ht="6" customHeight="1" x14ac:dyDescent="0.2">
      <c r="A13" s="84"/>
      <c r="C13" s="70"/>
      <c r="M13" s="84"/>
    </row>
    <row r="14" spans="1:13" s="70" customFormat="1" ht="18" customHeight="1" x14ac:dyDescent="0.2">
      <c r="A14" s="85"/>
      <c r="C14" s="70" t="s">
        <v>295</v>
      </c>
      <c r="M14" s="85"/>
    </row>
    <row r="15" spans="1:13" s="70" customFormat="1" ht="18" customHeight="1" x14ac:dyDescent="0.2">
      <c r="A15" s="85"/>
      <c r="C15" s="70" t="s">
        <v>376</v>
      </c>
      <c r="M15" s="85"/>
    </row>
    <row r="16" spans="1:13" s="70" customFormat="1" ht="22.25" customHeight="1" x14ac:dyDescent="0.2">
      <c r="A16" s="85"/>
      <c r="M16" s="85"/>
    </row>
    <row r="17" spans="1:16" s="70" customFormat="1" ht="22.25" customHeight="1" x14ac:dyDescent="0.2">
      <c r="A17" s="85"/>
      <c r="C17" s="73" t="s">
        <v>111</v>
      </c>
      <c r="M17" s="85"/>
    </row>
    <row r="18" spans="1:16" s="70" customFormat="1" ht="7.25" customHeight="1" x14ac:dyDescent="0.2">
      <c r="A18" s="85"/>
      <c r="C18" s="73"/>
      <c r="M18" s="85"/>
    </row>
    <row r="19" spans="1:16" ht="22.25" customHeight="1" thickBot="1" x14ac:dyDescent="0.25">
      <c r="A19" s="84"/>
      <c r="C19" s="60" t="s">
        <v>111</v>
      </c>
      <c r="D19" s="61" t="s">
        <v>112</v>
      </c>
      <c r="E19" s="61"/>
      <c r="F19" s="81" t="s">
        <v>113</v>
      </c>
      <c r="G19" s="62"/>
      <c r="H19" s="82"/>
      <c r="L19" s="74"/>
      <c r="M19" s="84"/>
    </row>
    <row r="20" spans="1:16" ht="22.25" customHeight="1" thickTop="1" x14ac:dyDescent="0.2">
      <c r="A20" s="84"/>
      <c r="C20" s="57" t="s">
        <v>114</v>
      </c>
      <c r="D20" s="55" t="s">
        <v>160</v>
      </c>
      <c r="E20" s="55"/>
      <c r="F20" s="55" t="s">
        <v>116</v>
      </c>
      <c r="G20" s="55"/>
      <c r="H20" s="55"/>
      <c r="L20" s="75"/>
      <c r="M20" s="84"/>
    </row>
    <row r="21" spans="1:16" ht="22.25" customHeight="1" x14ac:dyDescent="0.2">
      <c r="A21" s="84"/>
      <c r="C21" s="58" t="s">
        <v>117</v>
      </c>
      <c r="D21" s="56" t="s">
        <v>118</v>
      </c>
      <c r="E21" s="56"/>
      <c r="F21" s="56" t="s">
        <v>119</v>
      </c>
      <c r="G21" s="56"/>
      <c r="H21" s="56"/>
      <c r="L21" s="75"/>
      <c r="M21" s="84"/>
    </row>
    <row r="22" spans="1:16" ht="22.25" customHeight="1" x14ac:dyDescent="0.2">
      <c r="A22" s="84"/>
      <c r="C22" s="58" t="s">
        <v>60</v>
      </c>
      <c r="D22" s="56" t="s">
        <v>118</v>
      </c>
      <c r="E22" s="56"/>
      <c r="F22" s="56" t="s">
        <v>120</v>
      </c>
      <c r="G22" s="56"/>
      <c r="H22" s="56"/>
      <c r="M22" s="84"/>
    </row>
    <row r="23" spans="1:16" ht="22.25" customHeight="1" x14ac:dyDescent="0.2">
      <c r="A23" s="84"/>
      <c r="C23" s="58" t="s">
        <v>122</v>
      </c>
      <c r="D23" s="56" t="s">
        <v>123</v>
      </c>
      <c r="E23" s="56"/>
      <c r="F23" s="56" t="s">
        <v>124</v>
      </c>
      <c r="G23" s="56"/>
      <c r="H23" s="56"/>
      <c r="L23" s="76"/>
      <c r="M23" s="84"/>
      <c r="P23" s="77"/>
    </row>
    <row r="24" spans="1:16" ht="22.25" customHeight="1" x14ac:dyDescent="0.2">
      <c r="A24" s="84"/>
      <c r="C24" s="58" t="s">
        <v>126</v>
      </c>
      <c r="D24" s="56" t="s">
        <v>115</v>
      </c>
      <c r="E24" s="56"/>
      <c r="F24" s="56" t="s">
        <v>127</v>
      </c>
      <c r="G24" s="56"/>
      <c r="H24" s="56"/>
      <c r="M24" s="84"/>
      <c r="P24" s="77"/>
    </row>
    <row r="25" spans="1:16" ht="22.25" customHeight="1" x14ac:dyDescent="0.2">
      <c r="A25" s="84"/>
      <c r="C25" s="58" t="s">
        <v>129</v>
      </c>
      <c r="D25" s="56" t="s">
        <v>296</v>
      </c>
      <c r="E25" s="56"/>
      <c r="F25" s="56" t="s">
        <v>130</v>
      </c>
      <c r="G25" s="56"/>
      <c r="H25" s="56"/>
      <c r="M25" s="84"/>
      <c r="P25" s="78"/>
    </row>
    <row r="26" spans="1:16" ht="22.25" customHeight="1" x14ac:dyDescent="0.2">
      <c r="A26" s="84"/>
      <c r="C26" s="58" t="s">
        <v>132</v>
      </c>
      <c r="D26" s="56" t="s">
        <v>296</v>
      </c>
      <c r="E26" s="56"/>
      <c r="F26" s="56" t="s">
        <v>133</v>
      </c>
      <c r="G26" s="56"/>
      <c r="H26" s="56"/>
      <c r="M26" s="84"/>
    </row>
    <row r="27" spans="1:16" ht="22.25" customHeight="1" x14ac:dyDescent="0.2">
      <c r="A27" s="84"/>
      <c r="C27" s="58" t="s">
        <v>157</v>
      </c>
      <c r="D27" s="56" t="s">
        <v>160</v>
      </c>
      <c r="E27" s="56"/>
      <c r="F27" s="56" t="s">
        <v>134</v>
      </c>
      <c r="G27" s="56"/>
      <c r="H27" s="56"/>
      <c r="M27" s="84"/>
      <c r="P27" s="78"/>
    </row>
    <row r="28" spans="1:16" ht="22.25" customHeight="1" x14ac:dyDescent="0.2">
      <c r="A28" s="84"/>
      <c r="C28" s="83" t="s">
        <v>136</v>
      </c>
      <c r="D28" s="56" t="s">
        <v>118</v>
      </c>
      <c r="E28" s="56"/>
      <c r="F28" s="56" t="s">
        <v>119</v>
      </c>
      <c r="G28" s="56"/>
      <c r="H28" s="56"/>
      <c r="M28" s="84"/>
      <c r="P28" s="78"/>
    </row>
    <row r="29" spans="1:16" ht="22.25" customHeight="1" x14ac:dyDescent="0.2">
      <c r="A29" s="84"/>
      <c r="C29" s="83" t="s">
        <v>138</v>
      </c>
      <c r="D29" s="56"/>
      <c r="E29" s="56"/>
      <c r="F29" s="56" t="s">
        <v>139</v>
      </c>
      <c r="G29" s="56"/>
      <c r="H29" s="56"/>
      <c r="M29" s="84"/>
      <c r="P29" s="78"/>
    </row>
    <row r="30" spans="1:16" ht="22.25" customHeight="1" x14ac:dyDescent="0.2">
      <c r="A30" s="84"/>
      <c r="C30" s="83" t="s">
        <v>141</v>
      </c>
      <c r="D30" s="56"/>
      <c r="E30" s="56"/>
      <c r="F30" s="56" t="s">
        <v>142</v>
      </c>
      <c r="G30" s="56"/>
      <c r="H30" s="56"/>
      <c r="M30" s="84"/>
      <c r="N30" s="101" t="s">
        <v>392</v>
      </c>
      <c r="P30" s="78"/>
    </row>
    <row r="31" spans="1:16" ht="22.25" customHeight="1" x14ac:dyDescent="0.2">
      <c r="A31" s="84"/>
      <c r="M31" s="84"/>
    </row>
    <row r="32" spans="1:16" s="70" customFormat="1" ht="20" customHeight="1" x14ac:dyDescent="0.2">
      <c r="A32" s="85"/>
      <c r="C32" s="66" t="s">
        <v>314</v>
      </c>
      <c r="M32" s="85"/>
    </row>
    <row r="33" spans="1:14" s="70" customFormat="1" ht="20" customHeight="1" x14ac:dyDescent="0.2">
      <c r="A33" s="85"/>
      <c r="C33" s="70" t="s">
        <v>298</v>
      </c>
      <c r="M33" s="85"/>
    </row>
    <row r="34" spans="1:14" s="70" customFormat="1" ht="20" customHeight="1" x14ac:dyDescent="0.2">
      <c r="A34" s="85"/>
      <c r="C34" s="79" t="s">
        <v>297</v>
      </c>
      <c r="M34" s="85"/>
    </row>
    <row r="35" spans="1:14" s="70" customFormat="1" ht="20" customHeight="1" x14ac:dyDescent="0.2">
      <c r="A35" s="85"/>
      <c r="C35" s="70" t="s">
        <v>371</v>
      </c>
      <c r="M35" s="85"/>
    </row>
    <row r="36" spans="1:14" s="70" customFormat="1" ht="20" customHeight="1" x14ac:dyDescent="0.2">
      <c r="A36" s="85"/>
      <c r="C36" s="70" t="s">
        <v>372</v>
      </c>
      <c r="M36" s="85"/>
    </row>
    <row r="37" spans="1:14" s="70" customFormat="1" ht="20" customHeight="1" x14ac:dyDescent="0.2">
      <c r="A37" s="85"/>
      <c r="C37" s="70" t="s">
        <v>299</v>
      </c>
      <c r="M37" s="85"/>
    </row>
    <row r="38" spans="1:14" s="70" customFormat="1" ht="20" customHeight="1" x14ac:dyDescent="0.2">
      <c r="A38" s="85"/>
      <c r="M38" s="85"/>
    </row>
    <row r="39" spans="1:14" s="70" customFormat="1" ht="35" customHeight="1" thickBot="1" x14ac:dyDescent="0.25">
      <c r="A39" s="85"/>
      <c r="C39" s="61" t="s">
        <v>65</v>
      </c>
      <c r="D39" s="61"/>
      <c r="E39" s="90" t="s">
        <v>67</v>
      </c>
      <c r="M39" s="85"/>
    </row>
    <row r="40" spans="1:14" ht="22.25" customHeight="1" thickTop="1" x14ac:dyDescent="0.2">
      <c r="A40" s="84"/>
      <c r="C40" s="89" t="s">
        <v>121</v>
      </c>
      <c r="D40" s="55"/>
      <c r="E40" s="171">
        <f>IFERROR(((10/90)*Machinery!F11),0)</f>
        <v>13.888888888888888</v>
      </c>
      <c r="M40" s="84"/>
    </row>
    <row r="41" spans="1:14" ht="22.25" customHeight="1" x14ac:dyDescent="0.2">
      <c r="A41" s="84"/>
      <c r="C41" s="56" t="s">
        <v>125</v>
      </c>
      <c r="D41" s="56"/>
      <c r="E41" s="88">
        <v>4</v>
      </c>
      <c r="M41" s="84"/>
    </row>
    <row r="42" spans="1:14" ht="22.25" customHeight="1" x14ac:dyDescent="0.2">
      <c r="A42" s="84"/>
      <c r="C42" s="56" t="s">
        <v>128</v>
      </c>
      <c r="D42" s="56"/>
      <c r="E42" s="88">
        <v>0.6</v>
      </c>
      <c r="M42" s="84"/>
    </row>
    <row r="43" spans="1:14" ht="22.25" customHeight="1" x14ac:dyDescent="0.2">
      <c r="A43" s="84"/>
      <c r="C43" s="56" t="s">
        <v>131</v>
      </c>
      <c r="D43" s="56"/>
      <c r="E43" s="88">
        <v>19</v>
      </c>
      <c r="M43" s="84"/>
    </row>
    <row r="44" spans="1:14" ht="22.25" customHeight="1" x14ac:dyDescent="0.2">
      <c r="A44" s="84"/>
      <c r="C44" s="206" t="s">
        <v>135</v>
      </c>
      <c r="D44" s="206"/>
      <c r="E44" s="88">
        <f>1.341*Machinery!F8</f>
        <v>136.78200000000001</v>
      </c>
      <c r="M44" s="84"/>
    </row>
    <row r="45" spans="1:14" ht="22.25" customHeight="1" x14ac:dyDescent="0.2">
      <c r="A45" s="84"/>
      <c r="C45" s="56" t="s">
        <v>137</v>
      </c>
      <c r="D45" s="56"/>
      <c r="E45" s="88">
        <f>E44*0.044*4.546</f>
        <v>27.359682768000003</v>
      </c>
      <c r="M45" s="84"/>
    </row>
    <row r="46" spans="1:14" ht="22.25" customHeight="1" x14ac:dyDescent="0.2">
      <c r="A46" s="84"/>
      <c r="C46" s="206" t="s">
        <v>140</v>
      </c>
      <c r="D46" s="206"/>
      <c r="E46" s="88">
        <f>1.341*Machinery!F11</f>
        <v>167.625</v>
      </c>
      <c r="M46" s="84"/>
    </row>
    <row r="47" spans="1:14" ht="22.25" customHeight="1" x14ac:dyDescent="0.2">
      <c r="A47" s="84"/>
      <c r="C47" s="56" t="s">
        <v>143</v>
      </c>
      <c r="D47" s="56"/>
      <c r="E47" s="88">
        <f>E46*0.044*4.546</f>
        <v>33.529023000000002</v>
      </c>
      <c r="M47" s="84"/>
      <c r="N47" s="101" t="s">
        <v>392</v>
      </c>
    </row>
    <row r="48" spans="1:14" ht="22.25" customHeight="1" x14ac:dyDescent="0.2">
      <c r="A48" s="84"/>
      <c r="C48" s="80"/>
      <c r="M48" s="84"/>
    </row>
    <row r="49" spans="1:14" ht="22.25" customHeight="1" x14ac:dyDescent="0.2">
      <c r="A49" s="84"/>
      <c r="C49" s="69" t="s">
        <v>153</v>
      </c>
      <c r="H49" s="69" t="s">
        <v>27</v>
      </c>
      <c r="M49" s="84"/>
    </row>
    <row r="50" spans="1:14" ht="22.25" customHeight="1" x14ac:dyDescent="0.2">
      <c r="A50" s="84"/>
      <c r="C50" s="208" t="s">
        <v>111</v>
      </c>
      <c r="D50" s="209" t="s">
        <v>380</v>
      </c>
      <c r="E50" s="211"/>
      <c r="F50" s="211"/>
      <c r="H50" s="207" t="s">
        <v>111</v>
      </c>
      <c r="I50" s="209" t="s">
        <v>380</v>
      </c>
      <c r="J50" s="209"/>
      <c r="K50" s="209"/>
      <c r="M50" s="84"/>
    </row>
    <row r="51" spans="1:14" ht="22.25" customHeight="1" x14ac:dyDescent="0.2">
      <c r="A51" s="84"/>
      <c r="C51" s="210"/>
      <c r="D51" s="99" t="s">
        <v>102</v>
      </c>
      <c r="E51" s="99" t="s">
        <v>112</v>
      </c>
      <c r="F51" s="99" t="s">
        <v>154</v>
      </c>
      <c r="H51" s="208"/>
      <c r="I51" s="99" t="s">
        <v>102</v>
      </c>
      <c r="J51" s="99" t="s">
        <v>112</v>
      </c>
      <c r="K51" s="99" t="s">
        <v>154</v>
      </c>
      <c r="M51" s="84"/>
    </row>
    <row r="52" spans="1:14" ht="22.25" customHeight="1" x14ac:dyDescent="0.2">
      <c r="A52" s="84"/>
      <c r="C52" s="56" t="s">
        <v>114</v>
      </c>
      <c r="D52" s="91">
        <f>(0.06+0.00025*('Crop Data'!F11+'Crop Data'!F12))+(64.48+0.094*('Crop Data'!F11+'Crop Data'!F12))/Machinery!$F$10</f>
        <v>0.14252857142857142</v>
      </c>
      <c r="E52" s="92"/>
      <c r="F52" s="91">
        <f>D52</f>
        <v>0.14252857142857142</v>
      </c>
      <c r="H52" s="56" t="s">
        <v>114</v>
      </c>
      <c r="I52" s="91">
        <f>(0.06+0.00025*('Crop Data'!G11+'Crop Data'!G12))+(64.48+0.094*('Crop Data'!G11+'Crop Data'!G12))/Machinery!$F$10</f>
        <v>0.13206285714285715</v>
      </c>
      <c r="J52" s="91"/>
      <c r="K52" s="91">
        <f>I52</f>
        <v>0.13206285714285715</v>
      </c>
      <c r="M52" s="84"/>
    </row>
    <row r="53" spans="1:14" ht="22.25" customHeight="1" x14ac:dyDescent="0.2">
      <c r="A53" s="84"/>
      <c r="C53" s="56" t="s">
        <v>117</v>
      </c>
      <c r="D53" s="91">
        <f>(1.44*(50*('Soil | Fuel | Labour | Subsidy'!$M$5)+20))/Machinery!$F$8</f>
        <v>2.0470588235294116</v>
      </c>
      <c r="E53" s="92"/>
      <c r="F53" s="91">
        <f>D53</f>
        <v>2.0470588235294116</v>
      </c>
      <c r="H53" s="56" t="s">
        <v>117</v>
      </c>
      <c r="I53" s="91">
        <f>(1.44*(50*('Soil | Fuel | Labour | Subsidy'!$M$5)+20))/Machinery!$F$8</f>
        <v>2.0470588235294116</v>
      </c>
      <c r="J53" s="91"/>
      <c r="K53" s="91">
        <f>I53</f>
        <v>2.0470588235294116</v>
      </c>
      <c r="M53" s="84"/>
    </row>
    <row r="54" spans="1:14" ht="22.25" customHeight="1" x14ac:dyDescent="0.2">
      <c r="A54" s="84"/>
      <c r="C54" s="56" t="s">
        <v>60</v>
      </c>
      <c r="D54" s="91">
        <f>(0.06+0.00069*'Crop Data'!F16)+(58.82+41.5*'Soil | Fuel | Labour | Subsidy'!$M$5+0.00626*'Crop Data'!F16)/Machinery!$F$8</f>
        <v>1.7853137254901958</v>
      </c>
      <c r="E54" s="92"/>
      <c r="F54" s="91">
        <f>D54</f>
        <v>1.7853137254901958</v>
      </c>
      <c r="H54" s="56" t="s">
        <v>60</v>
      </c>
      <c r="I54" s="91">
        <f>(0.06+0.00069*'Crop Data'!G16)+(58.82+41.5*'Soil | Fuel | Labour | Subsidy'!$M$5+0.00626*'Crop Data'!G16)/Machinery!$F$8</f>
        <v>1.8040980392156862</v>
      </c>
      <c r="J54" s="91"/>
      <c r="K54" s="91">
        <f>I54</f>
        <v>1.8040980392156862</v>
      </c>
      <c r="M54" s="84"/>
    </row>
    <row r="55" spans="1:14" ht="22.25" customHeight="1" x14ac:dyDescent="0.2">
      <c r="A55" s="84"/>
      <c r="C55" s="56" t="s">
        <v>122</v>
      </c>
      <c r="D55" s="91">
        <f>(1.5/(4*Machinery!$F$9/10))*0.85</f>
        <v>0.53125</v>
      </c>
      <c r="E55" s="92"/>
      <c r="F55" s="91">
        <f>D55</f>
        <v>0.53125</v>
      </c>
      <c r="H55" s="56" t="s">
        <v>122</v>
      </c>
      <c r="I55" s="91">
        <f>(1.5/(4*Machinery!$F$9/10))*0.85</f>
        <v>0.53125</v>
      </c>
      <c r="J55" s="91"/>
      <c r="K55" s="91">
        <f>I55</f>
        <v>0.53125</v>
      </c>
      <c r="M55" s="84"/>
    </row>
    <row r="56" spans="1:14" ht="22.25" customHeight="1" x14ac:dyDescent="0.2">
      <c r="A56" s="84"/>
      <c r="C56" s="56" t="s">
        <v>157</v>
      </c>
      <c r="D56" s="91">
        <f>((0.06+0.00025*('Crop Data'!F10))+(64.68+0.094*('Crop Data'!F10))/Machinery!$F$10)</f>
        <v>0.17597142857142856</v>
      </c>
      <c r="E56" s="92"/>
      <c r="F56" s="91">
        <f>D56</f>
        <v>0.17597142857142856</v>
      </c>
      <c r="H56" s="56" t="s">
        <v>157</v>
      </c>
      <c r="I56" s="91">
        <f>((0.06+0.00025*('Crop Data'!G10))+(64.68+0.094*('Crop Data'!G10))/Machinery!$F$10)</f>
        <v>0.16328571428571428</v>
      </c>
      <c r="J56" s="91"/>
      <c r="K56" s="91">
        <f>I56</f>
        <v>0.16328571428571428</v>
      </c>
      <c r="M56" s="84"/>
    </row>
    <row r="57" spans="1:14" ht="22.25" customHeight="1" x14ac:dyDescent="0.2">
      <c r="A57" s="84"/>
      <c r="C57" s="56" t="s">
        <v>126</v>
      </c>
      <c r="D57" s="93">
        <f>E57</f>
        <v>0.25585714285714284</v>
      </c>
      <c r="E57" s="91">
        <f>0.11+204.2/Machinery!$F$10</f>
        <v>0.25585714285714284</v>
      </c>
      <c r="F57" s="91">
        <f>E57</f>
        <v>0.25585714285714284</v>
      </c>
      <c r="H57" s="56" t="s">
        <v>126</v>
      </c>
      <c r="I57" s="93">
        <f>J57</f>
        <v>0.25585714285714284</v>
      </c>
      <c r="J57" s="91">
        <f>0.11+204.2/Machinery!$F$10</f>
        <v>0.25585714285714284</v>
      </c>
      <c r="K57" s="91">
        <f>J57</f>
        <v>0.25585714285714284</v>
      </c>
      <c r="M57" s="84"/>
    </row>
    <row r="58" spans="1:14" ht="22.25" customHeight="1" x14ac:dyDescent="0.2">
      <c r="A58" s="84"/>
      <c r="C58" s="56" t="s">
        <v>129</v>
      </c>
      <c r="D58" s="93">
        <f>E58*2</f>
        <v>1.0799208033365686</v>
      </c>
      <c r="E58" s="91">
        <f>((1*'Crop Data'!F24+20)/4)/($E$40)</f>
        <v>0.5399604016682843</v>
      </c>
      <c r="F58" s="91">
        <f>E58*3</f>
        <v>1.619881205004853</v>
      </c>
      <c r="H58" s="56" t="s">
        <v>129</v>
      </c>
      <c r="I58" s="93">
        <f>J58*2</f>
        <v>1.1437431848571771</v>
      </c>
      <c r="J58" s="91">
        <f>((1.15*'Crop Data'!G24+24)/4)/('Operations &amp; Work Rates'!E40)</f>
        <v>0.57187159242858854</v>
      </c>
      <c r="K58" s="91">
        <f>J58*3</f>
        <v>1.7156147772857655</v>
      </c>
      <c r="M58" s="84"/>
    </row>
    <row r="59" spans="1:14" ht="22.25" customHeight="1" x14ac:dyDescent="0.2">
      <c r="A59" s="84"/>
      <c r="C59" s="56" t="s">
        <v>132</v>
      </c>
      <c r="D59" s="93">
        <f>E59*2</f>
        <v>0.64796040166828439</v>
      </c>
      <c r="E59" s="91">
        <f>(('Crop Data'!F26+13)/4)/('Operations &amp; Work Rates'!$E$40)</f>
        <v>0.3239802008341422</v>
      </c>
      <c r="F59" s="91">
        <f>E59*2</f>
        <v>0.64796040166828439</v>
      </c>
      <c r="H59" s="56" t="s">
        <v>132</v>
      </c>
      <c r="I59" s="93">
        <f>J59*2</f>
        <v>0.58962747167703344</v>
      </c>
      <c r="J59" s="91">
        <f>(('Crop Data'!G26+13)/4)/('Operations &amp; Work Rates'!E40)</f>
        <v>0.29481373583851672</v>
      </c>
      <c r="K59" s="91">
        <f>J59*3</f>
        <v>0.88444120751555011</v>
      </c>
      <c r="M59" s="84"/>
      <c r="N59" s="101" t="s">
        <v>392</v>
      </c>
    </row>
    <row r="60" spans="1:14" ht="22.25" customHeight="1" x14ac:dyDescent="0.2">
      <c r="A60" s="84"/>
      <c r="M60" s="84"/>
    </row>
    <row r="61" spans="1:14" ht="22.25" customHeight="1" x14ac:dyDescent="0.2">
      <c r="A61" s="84"/>
      <c r="C61" s="69" t="s">
        <v>28</v>
      </c>
      <c r="H61" s="69" t="s">
        <v>29</v>
      </c>
      <c r="M61" s="84"/>
    </row>
    <row r="62" spans="1:14" ht="22.25" customHeight="1" x14ac:dyDescent="0.2">
      <c r="A62" s="84"/>
      <c r="C62" s="207" t="s">
        <v>111</v>
      </c>
      <c r="D62" s="209" t="s">
        <v>380</v>
      </c>
      <c r="E62" s="209"/>
      <c r="F62" s="209"/>
      <c r="G62" s="94"/>
      <c r="H62" s="207" t="s">
        <v>111</v>
      </c>
      <c r="I62" s="209" t="s">
        <v>380</v>
      </c>
      <c r="J62" s="209"/>
      <c r="K62" s="209"/>
      <c r="M62" s="84"/>
    </row>
    <row r="63" spans="1:14" ht="22.25" customHeight="1" x14ac:dyDescent="0.2">
      <c r="A63" s="84"/>
      <c r="C63" s="208"/>
      <c r="D63" s="99" t="s">
        <v>102</v>
      </c>
      <c r="E63" s="99" t="s">
        <v>112</v>
      </c>
      <c r="F63" s="99" t="s">
        <v>154</v>
      </c>
      <c r="G63" s="95"/>
      <c r="H63" s="208"/>
      <c r="I63" s="99" t="s">
        <v>102</v>
      </c>
      <c r="J63" s="99" t="s">
        <v>112</v>
      </c>
      <c r="K63" s="99" t="s">
        <v>154</v>
      </c>
      <c r="M63" s="84"/>
    </row>
    <row r="64" spans="1:14" ht="22.25" customHeight="1" x14ac:dyDescent="0.2">
      <c r="A64" s="84"/>
      <c r="C64" s="56" t="s">
        <v>114</v>
      </c>
      <c r="D64" s="91">
        <f>(0.06+0.00025*('Crop Data'!H11+'Crop Data'!H12))+(64.48+0.094*('Crop Data'!H11+'Crop Data'!H12))/Machinery!$F$10</f>
        <v>0.1374542857142857</v>
      </c>
      <c r="E64" s="92"/>
      <c r="F64" s="91">
        <f>D64</f>
        <v>0.1374542857142857</v>
      </c>
      <c r="G64" s="95"/>
      <c r="H64" s="56" t="s">
        <v>114</v>
      </c>
      <c r="I64" s="91">
        <f>(0.06+0.00025*('Crop Data'!I11+'Crop Data'!I12))+(64.48+0.094*('Crop Data'!I11+'Crop Data'!I12))/Machinery!$F$10</f>
        <v>0.13016</v>
      </c>
      <c r="J64" s="91"/>
      <c r="K64" s="91">
        <f>I64</f>
        <v>0.13016</v>
      </c>
      <c r="M64" s="84"/>
    </row>
    <row r="65" spans="1:14" ht="22.25" customHeight="1" x14ac:dyDescent="0.2">
      <c r="A65" s="84"/>
      <c r="C65" s="56" t="s">
        <v>117</v>
      </c>
      <c r="D65" s="91">
        <f>(1.44*(50*('Soil | Fuel | Labour | Subsidy'!$M$5)+20))/Machinery!$F$8</f>
        <v>2.0470588235294116</v>
      </c>
      <c r="E65" s="92"/>
      <c r="F65" s="91">
        <f>D65</f>
        <v>2.0470588235294116</v>
      </c>
      <c r="G65" s="95"/>
      <c r="H65" s="56" t="s">
        <v>117</v>
      </c>
      <c r="I65" s="91">
        <f>(1.44*(50*('Soil | Fuel | Labour | Subsidy'!$M$5)+20))/Machinery!$F$8</f>
        <v>2.0470588235294116</v>
      </c>
      <c r="J65" s="91"/>
      <c r="K65" s="91">
        <f>I65</f>
        <v>2.0470588235294116</v>
      </c>
      <c r="M65" s="84"/>
    </row>
    <row r="66" spans="1:14" ht="22.25" customHeight="1" x14ac:dyDescent="0.2">
      <c r="A66" s="84"/>
      <c r="C66" s="56" t="s">
        <v>60</v>
      </c>
      <c r="D66" s="91">
        <f>(0.06+0.00069*'Crop Data'!H16)+(58.82+41.5*'Soil | Fuel | Labour | Subsidy'!$M$5+0.00626*'Crop Data'!H16)/Machinery!F8</f>
        <v>1.7853137254901958</v>
      </c>
      <c r="E66" s="92"/>
      <c r="F66" s="91">
        <f>D66</f>
        <v>1.7853137254901958</v>
      </c>
      <c r="G66" s="95"/>
      <c r="H66" s="56" t="s">
        <v>60</v>
      </c>
      <c r="I66" s="91">
        <f>(0.06+0.00069*'Crop Data'!I16)+(58.82+41.5*'Soil | Fuel | Labour | Subsidy'!$M$5+0.00626*'Crop Data'!I16)/Machinery!$F$8</f>
        <v>1.7853137254901958</v>
      </c>
      <c r="J66" s="91"/>
      <c r="K66" s="91">
        <f>I66</f>
        <v>1.7853137254901958</v>
      </c>
      <c r="M66" s="84"/>
    </row>
    <row r="67" spans="1:14" ht="22.25" customHeight="1" x14ac:dyDescent="0.2">
      <c r="A67" s="84"/>
      <c r="C67" s="56" t="s">
        <v>122</v>
      </c>
      <c r="D67" s="91">
        <f>(1.5/(4*Machinery!$F$9/10))*0.85</f>
        <v>0.53125</v>
      </c>
      <c r="E67" s="92"/>
      <c r="F67" s="91">
        <f>D67</f>
        <v>0.53125</v>
      </c>
      <c r="G67" s="95"/>
      <c r="H67" s="56" t="s">
        <v>122</v>
      </c>
      <c r="I67" s="91">
        <f>(1.5/(4*Machinery!$F$9/10))*0.85</f>
        <v>0.53125</v>
      </c>
      <c r="J67" s="91"/>
      <c r="K67" s="91">
        <f>I67</f>
        <v>0.53125</v>
      </c>
      <c r="M67" s="84"/>
    </row>
    <row r="68" spans="1:14" ht="22.25" customHeight="1" x14ac:dyDescent="0.2">
      <c r="A68" s="84"/>
      <c r="C68" s="56" t="s">
        <v>157</v>
      </c>
      <c r="D68" s="91">
        <f>((0.06+0.00025*('Crop Data'!H10))+(64.68+0.094*('Crop Data'!H10))/Machinery!$F$10)</f>
        <v>0.16011428571428574</v>
      </c>
      <c r="E68" s="92"/>
      <c r="F68" s="91">
        <f>D68</f>
        <v>0.16011428571428574</v>
      </c>
      <c r="G68" s="95"/>
      <c r="H68" s="56" t="s">
        <v>157</v>
      </c>
      <c r="I68" s="91">
        <f>((0.06+0.00025*('Crop Data'!I10))+(64.68+0.094*('Crop Data'!I10))/Machinery!$F$10)</f>
        <v>0.15060000000000001</v>
      </c>
      <c r="J68" s="91"/>
      <c r="K68" s="91">
        <f>I68</f>
        <v>0.15060000000000001</v>
      </c>
      <c r="M68" s="84"/>
    </row>
    <row r="69" spans="1:14" ht="22.25" customHeight="1" x14ac:dyDescent="0.2">
      <c r="A69" s="84"/>
      <c r="C69" s="56" t="s">
        <v>126</v>
      </c>
      <c r="D69" s="93">
        <f>E69</f>
        <v>0.25585714285714284</v>
      </c>
      <c r="E69" s="91">
        <f>0.11+204.2/Machinery!$F$10</f>
        <v>0.25585714285714284</v>
      </c>
      <c r="F69" s="91">
        <f>E69</f>
        <v>0.25585714285714284</v>
      </c>
      <c r="G69" s="95"/>
      <c r="H69" s="56" t="s">
        <v>126</v>
      </c>
      <c r="I69" s="93">
        <f>J69</f>
        <v>0.25585714285714284</v>
      </c>
      <c r="J69" s="91">
        <f>0.11+204.2/Machinery!$F$10</f>
        <v>0.25585714285714284</v>
      </c>
      <c r="K69" s="91">
        <f>J69</f>
        <v>0.25585714285714284</v>
      </c>
      <c r="M69" s="84"/>
    </row>
    <row r="70" spans="1:14" ht="22.25" customHeight="1" x14ac:dyDescent="0.2">
      <c r="A70" s="84"/>
      <c r="C70" s="56" t="s">
        <v>129</v>
      </c>
      <c r="D70" s="93">
        <f>E70*2</f>
        <v>0.99613540439808568</v>
      </c>
      <c r="E70" s="91">
        <f>((1*'Crop Data'!H24+20)/4)/('Operations &amp; Work Rates'!E40)</f>
        <v>0.49806770219904284</v>
      </c>
      <c r="F70" s="91">
        <f>E70*3</f>
        <v>1.4942031065971286</v>
      </c>
      <c r="G70" s="95"/>
      <c r="H70" s="56" t="s">
        <v>129</v>
      </c>
      <c r="I70" s="93">
        <f>J70*2</f>
        <v>1.1191330490681091</v>
      </c>
      <c r="J70" s="91">
        <f>((1.15*'Crop Data'!I24+24)/4)/('Operations &amp; Work Rates'!E40)</f>
        <v>0.55956652453405453</v>
      </c>
      <c r="K70" s="91">
        <f>J70*3</f>
        <v>1.6786995736021635</v>
      </c>
      <c r="M70" s="84"/>
    </row>
    <row r="71" spans="1:14" ht="22.25" customHeight="1" x14ac:dyDescent="0.2">
      <c r="A71" s="84"/>
      <c r="C71" s="56" t="s">
        <v>132</v>
      </c>
      <c r="D71" s="93">
        <f>E71*2</f>
        <v>0.60606770219904282</v>
      </c>
      <c r="E71" s="91">
        <f>(('Crop Data'!H26+13)/4)/('Operations &amp; Work Rates'!E40)</f>
        <v>0.30303385109952141</v>
      </c>
      <c r="F71" s="91">
        <f>E71*2</f>
        <v>0.60606770219904282</v>
      </c>
      <c r="G71" s="95"/>
      <c r="H71" s="56" t="s">
        <v>132</v>
      </c>
      <c r="I71" s="93">
        <f>J71*3</f>
        <v>0.86839111895746257</v>
      </c>
      <c r="J71" s="91">
        <f>(('Crop Data'!I26+13)/4)/('Operations &amp; Work Rates'!E40)</f>
        <v>0.28946370631915419</v>
      </c>
      <c r="K71" s="91">
        <f>J71*3</f>
        <v>0.86839111895746257</v>
      </c>
      <c r="M71" s="84"/>
      <c r="N71" s="101" t="s">
        <v>392</v>
      </c>
    </row>
    <row r="72" spans="1:14" ht="22.25" customHeight="1" x14ac:dyDescent="0.2">
      <c r="A72" s="84"/>
      <c r="M72" s="84"/>
    </row>
    <row r="73" spans="1:14" ht="22.25" customHeight="1" x14ac:dyDescent="0.2">
      <c r="A73" s="84"/>
      <c r="C73" s="69" t="s">
        <v>30</v>
      </c>
      <c r="H73" s="69" t="s">
        <v>31</v>
      </c>
      <c r="M73" s="84"/>
    </row>
    <row r="74" spans="1:14" ht="22.25" customHeight="1" x14ac:dyDescent="0.2">
      <c r="A74" s="84"/>
      <c r="C74" s="207" t="s">
        <v>111</v>
      </c>
      <c r="D74" s="209" t="s">
        <v>380</v>
      </c>
      <c r="E74" s="209"/>
      <c r="F74" s="209"/>
      <c r="G74" s="94"/>
      <c r="H74" s="207" t="s">
        <v>111</v>
      </c>
      <c r="I74" s="209" t="s">
        <v>380</v>
      </c>
      <c r="J74" s="209"/>
      <c r="K74" s="209"/>
      <c r="M74" s="84"/>
    </row>
    <row r="75" spans="1:14" ht="22.25" customHeight="1" x14ac:dyDescent="0.2">
      <c r="A75" s="84"/>
      <c r="C75" s="208"/>
      <c r="D75" s="99" t="s">
        <v>102</v>
      </c>
      <c r="E75" s="99" t="s">
        <v>112</v>
      </c>
      <c r="F75" s="99" t="s">
        <v>154</v>
      </c>
      <c r="G75" s="95"/>
      <c r="H75" s="208"/>
      <c r="I75" s="99" t="s">
        <v>102</v>
      </c>
      <c r="J75" s="99" t="s">
        <v>112</v>
      </c>
      <c r="K75" s="99" t="s">
        <v>154</v>
      </c>
      <c r="M75" s="84"/>
    </row>
    <row r="76" spans="1:14" ht="22.25" customHeight="1" x14ac:dyDescent="0.2">
      <c r="A76" s="84"/>
      <c r="C76" s="56" t="s">
        <v>114</v>
      </c>
      <c r="D76" s="91">
        <f>(0.06+0.00025*('Crop Data'!J11+'Crop Data'!J12))+(64.48+0.094*('Crop Data'!J11+'Crop Data'!J12))/Machinery!$F$10</f>
        <v>0.13650285714285715</v>
      </c>
      <c r="E76" s="91"/>
      <c r="F76" s="91">
        <f>D76</f>
        <v>0.13650285714285715</v>
      </c>
      <c r="G76" s="95"/>
      <c r="H76" s="56" t="s">
        <v>114</v>
      </c>
      <c r="I76" s="91">
        <f>(0.06+0.00025*('Crop Data'!K11+'Crop Data'!K12))+(64.48+0.094*('Crop Data'!K11+'Crop Data'!K12))/Machinery!$F$10</f>
        <v>0.1346</v>
      </c>
      <c r="J76" s="91"/>
      <c r="K76" s="91">
        <f>I76</f>
        <v>0.1346</v>
      </c>
      <c r="M76" s="84"/>
    </row>
    <row r="77" spans="1:14" ht="22.25" customHeight="1" x14ac:dyDescent="0.2">
      <c r="A77" s="84"/>
      <c r="C77" s="56" t="s">
        <v>117</v>
      </c>
      <c r="D77" s="91">
        <f>(1.44*(50*('Soil | Fuel | Labour | Subsidy'!$M$5)+20))/Machinery!$F$8</f>
        <v>2.0470588235294116</v>
      </c>
      <c r="E77" s="91"/>
      <c r="F77" s="91">
        <f t="shared" ref="F77:F78" si="0">D77</f>
        <v>2.0470588235294116</v>
      </c>
      <c r="G77" s="95"/>
      <c r="H77" s="56" t="s">
        <v>117</v>
      </c>
      <c r="I77" s="91">
        <f>(1.44*(50*('Soil | Fuel | Labour | Subsidy'!$M$5)+20))/Machinery!$F$8</f>
        <v>2.0470588235294116</v>
      </c>
      <c r="J77" s="91"/>
      <c r="K77" s="91">
        <f t="shared" ref="K77:K78" si="1">I77</f>
        <v>2.0470588235294116</v>
      </c>
      <c r="M77" s="84"/>
    </row>
    <row r="78" spans="1:14" ht="22.25" customHeight="1" x14ac:dyDescent="0.2">
      <c r="A78" s="84"/>
      <c r="C78" s="56" t="s">
        <v>60</v>
      </c>
      <c r="D78" s="91">
        <f>((0.06+0.00069*('Crop Data'!J16))+(92.42+0.00626*('Crop Data'!J16)+41.5*('Soil | Fuel | Labour | Subsidy'!$M$5))/Machinery!F8)</f>
        <v>2.1710784313725493</v>
      </c>
      <c r="E78" s="91"/>
      <c r="F78" s="91">
        <f t="shared" si="0"/>
        <v>2.1710784313725493</v>
      </c>
      <c r="G78" s="95"/>
      <c r="H78" s="56" t="s">
        <v>60</v>
      </c>
      <c r="I78" s="91">
        <f>((0.06+0.00069*('Crop Data'!K16))+(92.42+0.00626*('Crop Data'!K16)+41.5*('Soil | Fuel | Labour | Subsidy'!$M$5))/Machinery!F8)</f>
        <v>2.1710784313725493</v>
      </c>
      <c r="J78" s="91"/>
      <c r="K78" s="91">
        <f t="shared" si="1"/>
        <v>2.1710784313725493</v>
      </c>
      <c r="M78" s="84"/>
    </row>
    <row r="79" spans="1:14" ht="22.25" customHeight="1" x14ac:dyDescent="0.2">
      <c r="A79" s="84"/>
      <c r="C79" s="56" t="s">
        <v>122</v>
      </c>
      <c r="D79" s="91">
        <f>(1.5/(4*Machinery!$F$9/10))*0.85</f>
        <v>0.53125</v>
      </c>
      <c r="E79" s="91"/>
      <c r="F79" s="91">
        <f>D79</f>
        <v>0.53125</v>
      </c>
      <c r="G79" s="95"/>
      <c r="H79" s="56" t="s">
        <v>126</v>
      </c>
      <c r="I79" s="93">
        <f>J79</f>
        <v>0.25585714285714284</v>
      </c>
      <c r="J79" s="91">
        <f>0.11+204.2/Machinery!$F$10</f>
        <v>0.25585714285714284</v>
      </c>
      <c r="K79" s="91">
        <f>J79</f>
        <v>0.25585714285714284</v>
      </c>
      <c r="M79" s="84"/>
    </row>
    <row r="80" spans="1:14" ht="22.25" customHeight="1" x14ac:dyDescent="0.2">
      <c r="A80" s="84"/>
      <c r="C80" s="56" t="s">
        <v>126</v>
      </c>
      <c r="D80" s="93">
        <f>E80</f>
        <v>0.25585714285714284</v>
      </c>
      <c r="E80" s="91">
        <f>0.11+204.2/Machinery!$F$10</f>
        <v>0.25585714285714284</v>
      </c>
      <c r="F80" s="91">
        <f>E80</f>
        <v>0.25585714285714284</v>
      </c>
      <c r="G80" s="95"/>
      <c r="H80" s="56" t="s">
        <v>129</v>
      </c>
      <c r="I80" s="93">
        <f>J80*2</f>
        <v>4.2018831000000008</v>
      </c>
      <c r="J80" s="91">
        <f>(4.05*('Crop Data'!K24+24)/4)/(E40)</f>
        <v>2.1009415500000004</v>
      </c>
      <c r="K80" s="91">
        <f>J80*3</f>
        <v>6.3028246500000016</v>
      </c>
      <c r="M80" s="84"/>
      <c r="N80" s="101" t="s">
        <v>392</v>
      </c>
    </row>
    <row r="81" spans="1:14" ht="22.25" customHeight="1" x14ac:dyDescent="0.2">
      <c r="A81" s="84"/>
      <c r="C81" s="56" t="s">
        <v>129</v>
      </c>
      <c r="D81" s="93">
        <f>E81*2</f>
        <v>4.2327881437500006</v>
      </c>
      <c r="E81" s="91">
        <f>(4.05*('Crop Data'!J24+24)/4)/(E40)</f>
        <v>2.1163940718750003</v>
      </c>
      <c r="F81" s="91">
        <f>E81*3</f>
        <v>6.3491822156250013</v>
      </c>
      <c r="G81" s="95"/>
      <c r="H81" s="95"/>
      <c r="I81" s="96"/>
      <c r="J81" s="97"/>
      <c r="K81" s="97"/>
      <c r="M81" s="84"/>
    </row>
    <row r="82" spans="1:14" ht="22.25" customHeight="1" x14ac:dyDescent="0.2">
      <c r="A82" s="84"/>
      <c r="M82" s="84"/>
    </row>
    <row r="83" spans="1:14" ht="22.25" customHeight="1" x14ac:dyDescent="0.2">
      <c r="A83" s="84"/>
      <c r="C83" s="69" t="s">
        <v>155</v>
      </c>
      <c r="H83" s="69" t="s">
        <v>277</v>
      </c>
      <c r="M83" s="84"/>
    </row>
    <row r="84" spans="1:14" ht="22.25" customHeight="1" x14ac:dyDescent="0.2">
      <c r="A84" s="84"/>
      <c r="C84" s="207" t="s">
        <v>111</v>
      </c>
      <c r="D84" s="209" t="s">
        <v>380</v>
      </c>
      <c r="E84" s="209"/>
      <c r="F84" s="209"/>
      <c r="G84" s="94"/>
      <c r="H84" s="207" t="s">
        <v>111</v>
      </c>
      <c r="I84" s="209" t="s">
        <v>380</v>
      </c>
      <c r="J84" s="209"/>
      <c r="K84" s="209"/>
      <c r="M84" s="84"/>
    </row>
    <row r="85" spans="1:14" ht="22.25" customHeight="1" x14ac:dyDescent="0.2">
      <c r="A85" s="84"/>
      <c r="C85" s="208"/>
      <c r="D85" s="99" t="s">
        <v>102</v>
      </c>
      <c r="E85" s="99" t="s">
        <v>112</v>
      </c>
      <c r="F85" s="99" t="s">
        <v>154</v>
      </c>
      <c r="G85" s="95"/>
      <c r="H85" s="208"/>
      <c r="I85" s="99" t="s">
        <v>102</v>
      </c>
      <c r="J85" s="99" t="s">
        <v>112</v>
      </c>
      <c r="K85" s="99" t="s">
        <v>154</v>
      </c>
      <c r="M85" s="84"/>
    </row>
    <row r="86" spans="1:14" ht="22.25" customHeight="1" x14ac:dyDescent="0.2">
      <c r="A86" s="84"/>
      <c r="C86" s="56" t="s">
        <v>114</v>
      </c>
      <c r="D86" s="91">
        <f>(0.06+0.00025*('Crop Data'!M11+'Crop Data'!M12))+(64.48+0.094*('Crop Data'!M11+'Crop Data'!M12))/Machinery!$F$10</f>
        <v>0.1339657142857143</v>
      </c>
      <c r="E86" s="91"/>
      <c r="F86" s="91">
        <f>D86</f>
        <v>0.1339657142857143</v>
      </c>
      <c r="G86" s="95"/>
      <c r="H86" s="56" t="s">
        <v>114</v>
      </c>
      <c r="I86" s="91">
        <f>(0.06+0.00025*('Crop Data'!N11+'Crop Data'!N12))+(64.48+0.094*('Crop Data'!N11+'Crop Data'!N12))/Machinery!$F$10</f>
        <v>0.12413428571428572</v>
      </c>
      <c r="J86" s="91"/>
      <c r="K86" s="91">
        <f>I86</f>
        <v>0.12413428571428572</v>
      </c>
      <c r="M86" s="84"/>
    </row>
    <row r="87" spans="1:14" ht="22.25" customHeight="1" x14ac:dyDescent="0.2">
      <c r="A87" s="84"/>
      <c r="C87" s="56" t="s">
        <v>117</v>
      </c>
      <c r="D87" s="91">
        <f>(1.44*(50*('Soil | Fuel | Labour | Subsidy'!$M$5)+20))/Machinery!$F$8</f>
        <v>2.0470588235294116</v>
      </c>
      <c r="E87" s="91"/>
      <c r="F87" s="91">
        <f>D87</f>
        <v>2.0470588235294116</v>
      </c>
      <c r="G87" s="95"/>
      <c r="H87" s="56" t="s">
        <v>117</v>
      </c>
      <c r="I87" s="91">
        <f>(1.44*(50*('Soil | Fuel | Labour | Subsidy'!$M$5)+20))/Machinery!$F$8</f>
        <v>2.0470588235294116</v>
      </c>
      <c r="J87" s="91"/>
      <c r="K87" s="91">
        <f>I87</f>
        <v>2.0470588235294116</v>
      </c>
      <c r="M87" s="84"/>
    </row>
    <row r="88" spans="1:14" ht="22.25" customHeight="1" x14ac:dyDescent="0.2">
      <c r="A88" s="84"/>
      <c r="C88" s="56" t="s">
        <v>60</v>
      </c>
      <c r="D88" s="91">
        <f>((0.387+0.00069*'Crop Data'!M16)+(99.42+0.00626*'Crop Data'!M16)/Machinery!F8)</f>
        <v>1.3654627450980392</v>
      </c>
      <c r="E88" s="91"/>
      <c r="F88" s="91">
        <f>D88</f>
        <v>1.3654627450980392</v>
      </c>
      <c r="G88" s="95"/>
      <c r="H88" s="56" t="s">
        <v>60</v>
      </c>
      <c r="I88" s="91">
        <f>(0.94*((0.06+0.00069*'Crop Data'!N16)+(99.42+0.00626*'Crop Data'!N16+(41.5*'Soil | Fuel | Labour | Subsidy'!$M$5))/Machinery!F8))</f>
        <v>1.9336950117647058</v>
      </c>
      <c r="J88" s="91"/>
      <c r="K88" s="91">
        <f>I88</f>
        <v>1.9336950117647058</v>
      </c>
      <c r="M88" s="84"/>
    </row>
    <row r="89" spans="1:14" ht="22.25" customHeight="1" x14ac:dyDescent="0.2">
      <c r="A89" s="84"/>
      <c r="C89" s="56" t="s">
        <v>157</v>
      </c>
      <c r="D89" s="91">
        <f>((0.06+0.00025*('Crop Data'!M10))+(64.68+0.094*('Crop Data'!M10))/Machinery!F10)</f>
        <v>0.16645714285714286</v>
      </c>
      <c r="E89" s="91"/>
      <c r="F89" s="91">
        <f>D89</f>
        <v>0.16645714285714286</v>
      </c>
      <c r="G89" s="95"/>
      <c r="H89" s="56" t="s">
        <v>157</v>
      </c>
      <c r="I89" s="91">
        <f>((0.06+0.00025*('Crop Data'!N10))+(64.68+0.094*('Crop Data'!N10))/Machinery!F10)</f>
        <v>0.14425714285714286</v>
      </c>
      <c r="J89" s="91"/>
      <c r="K89" s="91">
        <f>I89</f>
        <v>0.14425714285714286</v>
      </c>
      <c r="M89" s="84"/>
    </row>
    <row r="90" spans="1:14" ht="22.25" customHeight="1" x14ac:dyDescent="0.2">
      <c r="A90" s="84"/>
      <c r="C90" s="56" t="s">
        <v>126</v>
      </c>
      <c r="D90" s="93">
        <f>E90</f>
        <v>0.25585714285714284</v>
      </c>
      <c r="E90" s="91">
        <f>0.11+204.2/Machinery!$F$10</f>
        <v>0.25585714285714284</v>
      </c>
      <c r="F90" s="91">
        <f>E90</f>
        <v>0.25585714285714284</v>
      </c>
      <c r="G90" s="95"/>
      <c r="H90" s="56" t="s">
        <v>126</v>
      </c>
      <c r="I90" s="93">
        <f>J90</f>
        <v>0.25585714285714284</v>
      </c>
      <c r="J90" s="91">
        <f>0.11+204.2/Machinery!$F$10</f>
        <v>0.25585714285714284</v>
      </c>
      <c r="K90" s="91">
        <f>J90</f>
        <v>0.25585714285714284</v>
      </c>
      <c r="M90" s="84"/>
    </row>
    <row r="91" spans="1:14" ht="22.25" customHeight="1" x14ac:dyDescent="0.2">
      <c r="A91" s="84"/>
      <c r="C91" s="56" t="s">
        <v>129</v>
      </c>
      <c r="D91" s="91">
        <f>E91*2</f>
        <v>4.0122643160951998</v>
      </c>
      <c r="E91" s="91">
        <f>((4.05*('Crop Data'!M24+24)/4)/'Operations &amp; Work Rates'!E40)</f>
        <v>2.0061321580475999</v>
      </c>
      <c r="F91" s="91">
        <f>E91*3</f>
        <v>6.0183964741427998</v>
      </c>
      <c r="G91" s="95"/>
      <c r="H91" s="56" t="s">
        <v>129</v>
      </c>
      <c r="I91" s="91">
        <f>J91*2</f>
        <v>3.8130472187127484</v>
      </c>
      <c r="J91" s="91">
        <f>((4.05*('Crop Data'!N24+24)/4)/'Operations &amp; Work Rates'!E40)</f>
        <v>1.9065236093563742</v>
      </c>
      <c r="K91" s="91">
        <f>J91*3</f>
        <v>5.7195708280691226</v>
      </c>
      <c r="M91" s="84"/>
      <c r="N91" s="101" t="s">
        <v>392</v>
      </c>
    </row>
    <row r="92" spans="1:14" ht="22.25" customHeight="1" x14ac:dyDescent="0.2">
      <c r="A92" s="84"/>
      <c r="C92" s="95"/>
      <c r="D92" s="95"/>
      <c r="E92" s="95"/>
      <c r="F92" s="95"/>
      <c r="G92" s="95"/>
      <c r="H92" s="95"/>
      <c r="I92" s="97"/>
      <c r="J92" s="97"/>
      <c r="K92" s="97"/>
      <c r="M92" s="84"/>
    </row>
    <row r="93" spans="1:14" ht="22.25" customHeight="1" x14ac:dyDescent="0.2">
      <c r="A93" s="84"/>
      <c r="C93" s="98" t="s">
        <v>32</v>
      </c>
      <c r="D93" s="95"/>
      <c r="E93" s="95"/>
      <c r="F93" s="95"/>
      <c r="G93" s="95"/>
      <c r="H93" s="98" t="s">
        <v>34</v>
      </c>
      <c r="I93" s="95"/>
      <c r="J93" s="95"/>
      <c r="K93" s="95"/>
      <c r="M93" s="84"/>
    </row>
    <row r="94" spans="1:14" ht="22.25" customHeight="1" x14ac:dyDescent="0.2">
      <c r="A94" s="84"/>
      <c r="C94" s="207" t="s">
        <v>111</v>
      </c>
      <c r="D94" s="209" t="s">
        <v>380</v>
      </c>
      <c r="E94" s="209"/>
      <c r="F94" s="209"/>
      <c r="G94" s="95"/>
      <c r="H94" s="207" t="s">
        <v>111</v>
      </c>
      <c r="I94" s="209" t="s">
        <v>380</v>
      </c>
      <c r="J94" s="209"/>
      <c r="K94" s="209"/>
      <c r="M94" s="84"/>
    </row>
    <row r="95" spans="1:14" ht="22.25" customHeight="1" x14ac:dyDescent="0.2">
      <c r="A95" s="84"/>
      <c r="C95" s="208"/>
      <c r="D95" s="99" t="s">
        <v>102</v>
      </c>
      <c r="E95" s="99" t="s">
        <v>112</v>
      </c>
      <c r="F95" s="99" t="s">
        <v>154</v>
      </c>
      <c r="G95" s="95"/>
      <c r="H95" s="208"/>
      <c r="I95" s="99" t="s">
        <v>102</v>
      </c>
      <c r="J95" s="99" t="s">
        <v>112</v>
      </c>
      <c r="K95" s="99" t="s">
        <v>154</v>
      </c>
      <c r="M95" s="84"/>
    </row>
    <row r="96" spans="1:14" ht="22.25" customHeight="1" x14ac:dyDescent="0.2">
      <c r="A96" s="84"/>
      <c r="C96" s="56" t="s">
        <v>117</v>
      </c>
      <c r="D96" s="91">
        <f>(1.8*(50*('Soil | Fuel | Labour | Subsidy'!$M$5)+20))/Machinery!$F$8</f>
        <v>2.5588235294117645</v>
      </c>
      <c r="E96" s="91"/>
      <c r="F96" s="91">
        <f>D96</f>
        <v>2.5588235294117645</v>
      </c>
      <c r="G96" s="95"/>
      <c r="H96" s="56" t="s">
        <v>117</v>
      </c>
      <c r="I96" s="91">
        <f>(1.8*(50*('Soil | Fuel | Labour | Subsidy'!$M$5)+20))/Machinery!F8</f>
        <v>2.5588235294117645</v>
      </c>
      <c r="J96" s="91"/>
      <c r="K96" s="91">
        <f>I96</f>
        <v>2.5588235294117645</v>
      </c>
      <c r="M96" s="84"/>
    </row>
    <row r="97" spans="1:14" ht="22.25" customHeight="1" x14ac:dyDescent="0.2">
      <c r="A97" s="84"/>
      <c r="C97" s="56" t="s">
        <v>136</v>
      </c>
      <c r="D97" s="91">
        <f>E97</f>
        <v>0.93627450980392157</v>
      </c>
      <c r="E97" s="91">
        <f>((25*'Soil | Fuel | Labour | Subsidy'!$M$5+33)/Machinery!F8)</f>
        <v>0.93627450980392157</v>
      </c>
      <c r="F97" s="91">
        <f>E97</f>
        <v>0.93627450980392157</v>
      </c>
      <c r="G97" s="95"/>
      <c r="H97" s="56" t="s">
        <v>136</v>
      </c>
      <c r="I97" s="91">
        <f>J97</f>
        <v>0.93627450980392157</v>
      </c>
      <c r="J97" s="91">
        <f>((25*'Soil | Fuel | Labour | Subsidy'!$M$5+33)/Machinery!F8)</f>
        <v>0.93627450980392157</v>
      </c>
      <c r="K97" s="91">
        <f>J97</f>
        <v>0.93627450980392157</v>
      </c>
      <c r="M97" s="84"/>
    </row>
    <row r="98" spans="1:14" ht="22.25" customHeight="1" x14ac:dyDescent="0.2">
      <c r="A98" s="84"/>
      <c r="C98" s="56" t="s">
        <v>60</v>
      </c>
      <c r="D98" s="91">
        <f>(0.39+157/Machinery!F8)</f>
        <v>1.9292156862745098</v>
      </c>
      <c r="E98" s="91"/>
      <c r="F98" s="91">
        <f>D98</f>
        <v>1.9292156862745098</v>
      </c>
      <c r="G98" s="95"/>
      <c r="H98" s="56" t="s">
        <v>60</v>
      </c>
      <c r="I98" s="91">
        <f>(0.39+157/Machinery!F8)</f>
        <v>1.9292156862745098</v>
      </c>
      <c r="J98" s="91"/>
      <c r="K98" s="91">
        <f>I98</f>
        <v>1.9292156862745098</v>
      </c>
      <c r="M98" s="84"/>
    </row>
    <row r="99" spans="1:14" ht="22.25" customHeight="1" x14ac:dyDescent="0.2">
      <c r="A99" s="84"/>
      <c r="C99" s="56" t="s">
        <v>161</v>
      </c>
      <c r="D99" s="91">
        <f>(40*'Soil | Fuel | Labour | Subsidy'!$M$5+33)/Machinery!F8</f>
        <v>1.303921568627451</v>
      </c>
      <c r="E99" s="91"/>
      <c r="F99" s="91">
        <f>D99</f>
        <v>1.303921568627451</v>
      </c>
      <c r="G99" s="95"/>
      <c r="H99" s="56" t="s">
        <v>126</v>
      </c>
      <c r="I99" s="93">
        <f>J99</f>
        <v>0.25585714285714284</v>
      </c>
      <c r="J99" s="91">
        <f>0.11+204.2/Machinery!$F$10</f>
        <v>0.25585714285714284</v>
      </c>
      <c r="K99" s="91">
        <f>J99</f>
        <v>0.25585714285714284</v>
      </c>
      <c r="M99" s="84"/>
    </row>
    <row r="100" spans="1:14" ht="22.25" customHeight="1" x14ac:dyDescent="0.2">
      <c r="A100" s="84"/>
      <c r="C100" s="56" t="s">
        <v>114</v>
      </c>
      <c r="D100" s="91">
        <f>(0.06+0.00025*('Crop Data'!L11+'Crop Data'!L12))+(64.48+0.094*('Crop Data'!L11+'Crop Data'!L12))/Machinery!$F$10</f>
        <v>0.20310285714285714</v>
      </c>
      <c r="E100" s="91"/>
      <c r="F100" s="91">
        <f>D100</f>
        <v>0.20310285714285714</v>
      </c>
      <c r="G100" s="95"/>
      <c r="H100" s="56" t="s">
        <v>114</v>
      </c>
      <c r="I100" s="91">
        <f>(0.06+0.00025*('Crop Data'!O11+'Crop Data'!O12))+(64.48+0.094*('Crop Data'!O11+'Crop Data'!O12))/Machinery!$F$10</f>
        <v>0.16821714285714284</v>
      </c>
      <c r="J100" s="91"/>
      <c r="K100" s="91">
        <f>I100</f>
        <v>0.16821714285714284</v>
      </c>
      <c r="M100" s="84"/>
    </row>
    <row r="101" spans="1:14" ht="22.25" customHeight="1" x14ac:dyDescent="0.2">
      <c r="A101" s="84"/>
      <c r="C101" s="56" t="s">
        <v>157</v>
      </c>
      <c r="D101" s="91">
        <f>((0.06+0.00025*('Crop Data'!L10))+(64.68+0.094*('Crop Data'!L10))/Machinery!F10)</f>
        <v>0.17597142857142856</v>
      </c>
      <c r="E101" s="91"/>
      <c r="F101" s="91">
        <f>D101</f>
        <v>0.17597142857142856</v>
      </c>
      <c r="G101" s="95"/>
      <c r="H101" s="56" t="s">
        <v>157</v>
      </c>
      <c r="I101" s="91">
        <f>((0.06+0.00025*('Crop Data'!O10))+(64.68+0.094*('Crop Data'!O10))/Machinery!F10)</f>
        <v>0.14425714285714286</v>
      </c>
      <c r="J101" s="91"/>
      <c r="K101" s="91">
        <f>I101</f>
        <v>0.14425714285714286</v>
      </c>
      <c r="M101" s="84"/>
    </row>
    <row r="102" spans="1:14" ht="22.25" customHeight="1" x14ac:dyDescent="0.2">
      <c r="A102" s="84"/>
      <c r="C102" s="56" t="s">
        <v>126</v>
      </c>
      <c r="D102" s="93">
        <f>E102</f>
        <v>0.25585714285714284</v>
      </c>
      <c r="E102" s="91">
        <f>0.11+204.2/Machinery!F10</f>
        <v>0.25585714285714284</v>
      </c>
      <c r="F102" s="91">
        <f>E102</f>
        <v>0.25585714285714284</v>
      </c>
      <c r="G102" s="95"/>
      <c r="H102" s="56" t="s">
        <v>158</v>
      </c>
      <c r="I102" s="91">
        <f>1/($E$42*$E$43/10*0.8)</f>
        <v>1.0964912280701753</v>
      </c>
      <c r="J102" s="91"/>
      <c r="K102" s="91">
        <f>I102</f>
        <v>1.0964912280701753</v>
      </c>
      <c r="M102" s="84"/>
    </row>
    <row r="103" spans="1:14" ht="22.25" customHeight="1" x14ac:dyDescent="0.2">
      <c r="A103" s="84"/>
      <c r="C103" s="56" t="s">
        <v>158</v>
      </c>
      <c r="D103" s="91">
        <f>1/($E$42*$E$43/10*0.8)</f>
        <v>1.0964912280701753</v>
      </c>
      <c r="E103" s="91"/>
      <c r="F103" s="91">
        <f>D103</f>
        <v>1.0964912280701753</v>
      </c>
      <c r="G103" s="95"/>
      <c r="H103" s="56" t="s">
        <v>156</v>
      </c>
      <c r="I103" s="91">
        <f>J103*3</f>
        <v>2.4385736393469055</v>
      </c>
      <c r="J103" s="91">
        <f>((403/600)+2/(3*(1.25+0.51*'Soil | Fuel | Labour | Subsidy'!$M$5)*('Crop Data'!O24/37.728)))</f>
        <v>0.81285787978230184</v>
      </c>
      <c r="K103" s="91">
        <f>J103*3</f>
        <v>2.4385736393469055</v>
      </c>
      <c r="M103" s="84"/>
      <c r="N103" s="101" t="s">
        <v>392</v>
      </c>
    </row>
    <row r="104" spans="1:14" ht="22.25" customHeight="1" x14ac:dyDescent="0.2">
      <c r="A104" s="84"/>
      <c r="C104" s="56" t="s">
        <v>156</v>
      </c>
      <c r="D104" s="91">
        <f>E104*3</f>
        <v>2.6667026903374333</v>
      </c>
      <c r="E104" s="91">
        <f>((403/600)+2/(3*(1.25+0.51*'Soil | Fuel | Labour | Subsidy'!$M$5)*('Crop Data'!L24/37.728)))</f>
        <v>0.88890089677914452</v>
      </c>
      <c r="F104" s="91">
        <f>E104*3</f>
        <v>2.6667026903374333</v>
      </c>
      <c r="G104" s="95"/>
      <c r="H104" s="95"/>
      <c r="I104" s="95"/>
      <c r="J104" s="95"/>
      <c r="K104" s="95"/>
      <c r="M104" s="84"/>
    </row>
    <row r="105" spans="1:14" ht="22.25" customHeight="1" x14ac:dyDescent="0.2">
      <c r="A105" s="84"/>
      <c r="C105" s="95"/>
      <c r="D105" s="95"/>
      <c r="E105" s="95"/>
      <c r="F105" s="95"/>
      <c r="G105" s="95"/>
      <c r="H105" s="95"/>
      <c r="I105" s="95"/>
      <c r="J105" s="95"/>
      <c r="K105" s="95"/>
      <c r="M105" s="84"/>
    </row>
    <row r="106" spans="1:14" ht="22.25" customHeight="1" x14ac:dyDescent="0.2">
      <c r="A106" s="84"/>
      <c r="C106" s="98" t="s">
        <v>204</v>
      </c>
      <c r="D106" s="95"/>
      <c r="E106" s="95"/>
      <c r="F106" s="95"/>
      <c r="G106" s="95"/>
      <c r="H106" s="98" t="s">
        <v>205</v>
      </c>
      <c r="I106" s="95"/>
      <c r="J106" s="95"/>
      <c r="K106" s="95"/>
      <c r="M106" s="84"/>
    </row>
    <row r="107" spans="1:14" ht="22.25" customHeight="1" x14ac:dyDescent="0.2">
      <c r="A107" s="84"/>
      <c r="C107" s="207" t="s">
        <v>111</v>
      </c>
      <c r="D107" s="209" t="s">
        <v>380</v>
      </c>
      <c r="E107" s="209"/>
      <c r="F107" s="209"/>
      <c r="G107" s="95"/>
      <c r="H107" s="207" t="s">
        <v>111</v>
      </c>
      <c r="I107" s="209" t="s">
        <v>380</v>
      </c>
      <c r="J107" s="209"/>
      <c r="K107" s="209"/>
      <c r="M107" s="84"/>
    </row>
    <row r="108" spans="1:14" ht="22.25" customHeight="1" x14ac:dyDescent="0.2">
      <c r="A108" s="84"/>
      <c r="C108" s="208"/>
      <c r="D108" s="99" t="s">
        <v>102</v>
      </c>
      <c r="E108" s="99" t="s">
        <v>112</v>
      </c>
      <c r="F108" s="99" t="s">
        <v>154</v>
      </c>
      <c r="G108" s="95"/>
      <c r="H108" s="208"/>
      <c r="I108" s="99" t="s">
        <v>102</v>
      </c>
      <c r="J108" s="99" t="s">
        <v>112</v>
      </c>
      <c r="K108" s="99" t="s">
        <v>154</v>
      </c>
      <c r="M108" s="84"/>
    </row>
    <row r="109" spans="1:14" ht="22.25" customHeight="1" x14ac:dyDescent="0.2">
      <c r="A109" s="84"/>
      <c r="C109" s="56" t="s">
        <v>114</v>
      </c>
      <c r="D109" s="91">
        <f>(0.06+0.00025*('Crop Data'!Q11+'Crop Data'!Q12))+(64.48+0.094*('Crop Data'!Q11+'Crop Data'!Q12))/Machinery!$F$10</f>
        <v>0.12413428571428572</v>
      </c>
      <c r="E109" s="91"/>
      <c r="F109" s="91">
        <f>D109</f>
        <v>0.12413428571428572</v>
      </c>
      <c r="G109" s="95"/>
      <c r="H109" s="56" t="s">
        <v>114</v>
      </c>
      <c r="I109" s="91">
        <f>(0.06+0.00025*('Crop Data'!R11+'Crop Data'!R12))+(64.48+0.094*('Crop Data'!R11+'Crop Data'!R12))/Machinery!$F$10</f>
        <v>0.11874285714285715</v>
      </c>
      <c r="J109" s="91"/>
      <c r="K109" s="91">
        <f>I109</f>
        <v>0.11874285714285715</v>
      </c>
      <c r="M109" s="84"/>
    </row>
    <row r="110" spans="1:14" ht="22.25" customHeight="1" x14ac:dyDescent="0.2">
      <c r="A110" s="84"/>
      <c r="C110" s="56" t="s">
        <v>117</v>
      </c>
      <c r="D110" s="91">
        <f>(1.44*(50*('Soil | Fuel | Labour | Subsidy'!$M$5)+20))/Machinery!$F$8</f>
        <v>2.0470588235294116</v>
      </c>
      <c r="E110" s="91"/>
      <c r="F110" s="91">
        <f>D110</f>
        <v>2.0470588235294116</v>
      </c>
      <c r="G110" s="95"/>
      <c r="H110" s="56" t="s">
        <v>117</v>
      </c>
      <c r="I110" s="91">
        <f>(1.44*(50*('Soil | Fuel | Labour | Subsidy'!$M$5)+20))/Machinery!$F$8</f>
        <v>2.0470588235294116</v>
      </c>
      <c r="J110" s="91"/>
      <c r="K110" s="91">
        <f>I110</f>
        <v>2.0470588235294116</v>
      </c>
      <c r="M110" s="84"/>
    </row>
    <row r="111" spans="1:14" ht="22.25" customHeight="1" x14ac:dyDescent="0.2">
      <c r="A111" s="84"/>
      <c r="C111" s="56" t="s">
        <v>60</v>
      </c>
      <c r="D111" s="91">
        <f>((0.387+0.00069*'Crop Data'!Q16)+(99.42+0.00626*'Crop Data'!Q16)/Machinery!F8)</f>
        <v>1.3955176470588238</v>
      </c>
      <c r="E111" s="91"/>
      <c r="F111" s="91">
        <f>D111</f>
        <v>1.3955176470588238</v>
      </c>
      <c r="G111" s="95"/>
      <c r="H111" s="56" t="s">
        <v>60</v>
      </c>
      <c r="I111" s="91">
        <f>(0.94*((0.06+0.00069*'Crop Data'!R16)+(99.42+0.00626*'Crop Data'!R16+(41.5*'Soil | Fuel | Labour | Subsidy'!$M$5))/Machinery!F8))</f>
        <v>1.9605340392156863</v>
      </c>
      <c r="J111" s="91"/>
      <c r="K111" s="91">
        <f>I111</f>
        <v>1.9605340392156863</v>
      </c>
      <c r="M111" s="84"/>
    </row>
    <row r="112" spans="1:14" ht="22.25" customHeight="1" x14ac:dyDescent="0.2">
      <c r="A112" s="84"/>
      <c r="C112" s="56" t="s">
        <v>157</v>
      </c>
      <c r="D112" s="91">
        <f>((0.06+0.00025*('Crop Data'!Q10))+(64.68+0.094*('Crop Data'!Q10))/Machinery!F10)</f>
        <v>0.13157142857142856</v>
      </c>
      <c r="E112" s="91"/>
      <c r="F112" s="91">
        <f>D112</f>
        <v>0.13157142857142856</v>
      </c>
      <c r="G112" s="95"/>
      <c r="H112" s="56" t="s">
        <v>157</v>
      </c>
      <c r="I112" s="91">
        <f>((0.06+0.00025*('Crop Data'!R10))+(64.68+0.094*('Crop Data'!R10))/Machinery!F10)</f>
        <v>0.13157142857142856</v>
      </c>
      <c r="J112" s="91"/>
      <c r="K112" s="91">
        <f>I112</f>
        <v>0.13157142857142856</v>
      </c>
      <c r="M112" s="84"/>
    </row>
    <row r="113" spans="1:14" ht="22.25" customHeight="1" x14ac:dyDescent="0.2">
      <c r="A113" s="84"/>
      <c r="C113" s="56" t="s">
        <v>126</v>
      </c>
      <c r="D113" s="93">
        <f>E113</f>
        <v>0.25585714285714284</v>
      </c>
      <c r="E113" s="91">
        <f>0.11+204.2/Machinery!$F$10</f>
        <v>0.25585714285714284</v>
      </c>
      <c r="F113" s="91">
        <f>E113</f>
        <v>0.25585714285714284</v>
      </c>
      <c r="G113" s="95"/>
      <c r="H113" s="56" t="s">
        <v>126</v>
      </c>
      <c r="I113" s="93">
        <f>J113</f>
        <v>0.25585714285714284</v>
      </c>
      <c r="J113" s="91">
        <f>0.11+204.2/Machinery!$F$10</f>
        <v>0.25585714285714284</v>
      </c>
      <c r="K113" s="91">
        <f>J113</f>
        <v>0.25585714285714284</v>
      </c>
      <c r="M113" s="84"/>
    </row>
    <row r="114" spans="1:14" ht="22.25" customHeight="1" x14ac:dyDescent="0.2">
      <c r="A114" s="84"/>
      <c r="C114" s="56" t="s">
        <v>129</v>
      </c>
      <c r="D114" s="91">
        <f>E114*2</f>
        <v>3.8545875000000001</v>
      </c>
      <c r="E114" s="91">
        <f>((4.05*('Crop Data'!Q24+24)/4)/'Operations &amp; Work Rates'!E40)</f>
        <v>1.92729375</v>
      </c>
      <c r="F114" s="91">
        <f>E114*3</f>
        <v>5.7818812499999996</v>
      </c>
      <c r="G114" s="95"/>
      <c r="H114" s="56" t="s">
        <v>129</v>
      </c>
      <c r="I114" s="91">
        <f>J114*2</f>
        <v>3.7835100000000002</v>
      </c>
      <c r="J114" s="91">
        <f>((4.05*('Crop Data'!R24+24)/4)/'Operations &amp; Work Rates'!E40)</f>
        <v>1.8917550000000001</v>
      </c>
      <c r="K114" s="91">
        <f>J114*3</f>
        <v>5.6752650000000004</v>
      </c>
      <c r="M114" s="84"/>
      <c r="N114" s="101" t="s">
        <v>392</v>
      </c>
    </row>
    <row r="115" spans="1:14" ht="22.25" customHeight="1" x14ac:dyDescent="0.2">
      <c r="A115" s="84"/>
      <c r="C115" s="95"/>
      <c r="D115" s="95"/>
      <c r="E115" s="95"/>
      <c r="F115" s="95"/>
      <c r="G115" s="95"/>
      <c r="H115" s="95"/>
      <c r="I115" s="95"/>
      <c r="J115" s="95"/>
      <c r="K115" s="95"/>
      <c r="M115" s="84"/>
    </row>
    <row r="116" spans="1:14" ht="22.25" customHeight="1" x14ac:dyDescent="0.2">
      <c r="A116" s="84"/>
      <c r="C116" s="98" t="s">
        <v>206</v>
      </c>
      <c r="D116" s="95"/>
      <c r="E116" s="95"/>
      <c r="F116" s="95"/>
      <c r="G116" s="95"/>
      <c r="H116" s="98" t="s">
        <v>159</v>
      </c>
      <c r="I116" s="95"/>
      <c r="J116" s="95"/>
      <c r="K116" s="95"/>
      <c r="M116" s="84"/>
    </row>
    <row r="117" spans="1:14" ht="22.25" customHeight="1" x14ac:dyDescent="0.2">
      <c r="A117" s="84"/>
      <c r="C117" s="207" t="s">
        <v>111</v>
      </c>
      <c r="D117" s="209" t="s">
        <v>380</v>
      </c>
      <c r="E117" s="209"/>
      <c r="F117" s="209"/>
      <c r="G117" s="95"/>
      <c r="H117" s="207" t="s">
        <v>111</v>
      </c>
      <c r="I117" s="209" t="s">
        <v>380</v>
      </c>
      <c r="J117" s="209"/>
      <c r="K117" s="209"/>
      <c r="M117" s="84"/>
    </row>
    <row r="118" spans="1:14" ht="22.25" customHeight="1" x14ac:dyDescent="0.2">
      <c r="A118" s="84"/>
      <c r="C118" s="208"/>
      <c r="D118" s="99" t="s">
        <v>102</v>
      </c>
      <c r="E118" s="99" t="s">
        <v>112</v>
      </c>
      <c r="F118" s="99" t="s">
        <v>154</v>
      </c>
      <c r="G118" s="95"/>
      <c r="H118" s="208"/>
      <c r="I118" s="99" t="s">
        <v>102</v>
      </c>
      <c r="J118" s="99" t="s">
        <v>112</v>
      </c>
      <c r="K118" s="99" t="s">
        <v>154</v>
      </c>
      <c r="M118" s="84"/>
    </row>
    <row r="119" spans="1:14" ht="22.25" customHeight="1" x14ac:dyDescent="0.2">
      <c r="A119" s="84"/>
      <c r="C119" s="56" t="s">
        <v>114</v>
      </c>
      <c r="D119" s="91">
        <f>(0.06+0.00025*('Crop Data'!S11+'Crop Data'!S12))+(64.48+0.094*('Crop Data'!S11+'Crop Data'!S12))/Machinery!$F$10</f>
        <v>0.12984285714285715</v>
      </c>
      <c r="E119" s="91"/>
      <c r="F119" s="91">
        <f>D119</f>
        <v>0.12984285714285715</v>
      </c>
      <c r="G119" s="95"/>
      <c r="H119" s="56" t="s">
        <v>117</v>
      </c>
      <c r="I119" s="91">
        <f>(1.44*(50*('Soil | Fuel | Labour | Subsidy'!$M$5)+20))/Machinery!$F$8</f>
        <v>2.0470588235294116</v>
      </c>
      <c r="J119" s="92"/>
      <c r="K119" s="92">
        <f>I119</f>
        <v>2.0470588235294116</v>
      </c>
      <c r="M119" s="84"/>
    </row>
    <row r="120" spans="1:14" ht="22.25" customHeight="1" x14ac:dyDescent="0.2">
      <c r="A120" s="84"/>
      <c r="C120" s="56" t="s">
        <v>117</v>
      </c>
      <c r="D120" s="91">
        <f>(1.44*(50*('Soil | Fuel | Labour | Subsidy'!$M$5)+20))/Machinery!$F$8</f>
        <v>2.0470588235294116</v>
      </c>
      <c r="E120" s="91"/>
      <c r="F120" s="91">
        <f>D120</f>
        <v>2.0470588235294116</v>
      </c>
      <c r="G120" s="95"/>
      <c r="H120" s="56" t="s">
        <v>126</v>
      </c>
      <c r="I120" s="93">
        <f>J120</f>
        <v>0.25585714285714284</v>
      </c>
      <c r="J120" s="91">
        <f>0.11+204.2/Machinery!$F$10</f>
        <v>0.25585714285714284</v>
      </c>
      <c r="K120" s="91">
        <f>J120</f>
        <v>0.25585714285714284</v>
      </c>
      <c r="M120" s="84"/>
    </row>
    <row r="121" spans="1:14" ht="22.25" customHeight="1" x14ac:dyDescent="0.2">
      <c r="A121" s="84"/>
      <c r="C121" s="56" t="s">
        <v>60</v>
      </c>
      <c r="D121" s="91">
        <f>(0.06+0.00069*'Crop Data'!S16)+(92.42+0.00626*('Crop Data'!S16)+41.5*('Soil | Fuel | Labour | Subsidy'!$M$5))/Machinery!F8</f>
        <v>2.1335098039215685</v>
      </c>
      <c r="E121" s="91"/>
      <c r="F121" s="91">
        <f>D121</f>
        <v>2.1335098039215685</v>
      </c>
      <c r="G121" s="95"/>
      <c r="H121" s="95"/>
      <c r="I121" s="95"/>
      <c r="J121" s="95"/>
      <c r="K121" s="95"/>
      <c r="M121" s="84"/>
    </row>
    <row r="122" spans="1:14" ht="22.25" customHeight="1" x14ac:dyDescent="0.2">
      <c r="A122" s="84"/>
      <c r="C122" s="56" t="s">
        <v>126</v>
      </c>
      <c r="D122" s="93">
        <f>E122</f>
        <v>0.25585714285714284</v>
      </c>
      <c r="E122" s="91">
        <f>0.11+204.2/Machinery!$F$10</f>
        <v>0.25585714285714284</v>
      </c>
      <c r="F122" s="91">
        <f>E122</f>
        <v>0.25585714285714284</v>
      </c>
      <c r="G122" s="95"/>
      <c r="H122" s="95"/>
      <c r="I122" s="95"/>
      <c r="J122" s="95"/>
      <c r="K122" s="95"/>
      <c r="M122" s="84"/>
    </row>
    <row r="123" spans="1:14" ht="22.25" customHeight="1" x14ac:dyDescent="0.2">
      <c r="A123" s="84"/>
      <c r="C123" s="56" t="s">
        <v>129</v>
      </c>
      <c r="D123" s="91">
        <f>E123*2</f>
        <v>1.318987125</v>
      </c>
      <c r="E123" s="91">
        <f>((4.05*('Crop Data'!S24)+24)/4)/'Operations &amp; Work Rates'!E40</f>
        <v>0.65949356250000002</v>
      </c>
      <c r="F123" s="91">
        <f>E123*3</f>
        <v>1.9784806875000001</v>
      </c>
      <c r="G123" s="95"/>
      <c r="H123" s="95"/>
      <c r="I123" s="95"/>
      <c r="J123" s="95"/>
      <c r="K123" s="95"/>
      <c r="M123" s="84"/>
      <c r="N123" s="101" t="s">
        <v>392</v>
      </c>
    </row>
    <row r="124" spans="1:14" ht="22.25" customHeight="1" x14ac:dyDescent="0.2">
      <c r="A124" s="84"/>
      <c r="C124" s="95"/>
      <c r="D124" s="97"/>
      <c r="E124" s="97"/>
      <c r="F124" s="97"/>
      <c r="G124" s="95"/>
      <c r="H124" s="95"/>
      <c r="I124" s="95"/>
      <c r="J124" s="95"/>
      <c r="K124" s="95"/>
      <c r="M124" s="84"/>
    </row>
    <row r="125" spans="1:14" ht="22.25" customHeight="1" x14ac:dyDescent="0.2">
      <c r="A125" s="84"/>
      <c r="C125" s="98" t="s">
        <v>377</v>
      </c>
      <c r="D125" s="95"/>
      <c r="E125" s="95"/>
      <c r="F125" s="95"/>
      <c r="G125" s="95"/>
      <c r="H125" s="95"/>
      <c r="I125" s="95"/>
      <c r="J125" s="95"/>
      <c r="K125" s="95"/>
      <c r="M125" s="84"/>
    </row>
    <row r="126" spans="1:14" ht="22.25" customHeight="1" x14ac:dyDescent="0.2">
      <c r="A126" s="84"/>
      <c r="C126" s="214" t="s">
        <v>162</v>
      </c>
      <c r="D126" s="212" t="s">
        <v>380</v>
      </c>
      <c r="E126" s="213"/>
      <c r="F126" s="213"/>
      <c r="G126" s="95"/>
      <c r="H126" s="95"/>
      <c r="I126" s="95"/>
      <c r="J126" s="95"/>
      <c r="K126" s="95"/>
      <c r="M126" s="84"/>
    </row>
    <row r="127" spans="1:14" ht="22.25" customHeight="1" x14ac:dyDescent="0.2">
      <c r="A127" s="84"/>
      <c r="C127" s="214"/>
      <c r="D127" s="99" t="s">
        <v>102</v>
      </c>
      <c r="E127" s="99" t="s">
        <v>112</v>
      </c>
      <c r="F127" s="99" t="s">
        <v>154</v>
      </c>
      <c r="G127" s="95"/>
      <c r="H127" s="95"/>
      <c r="I127" s="95"/>
      <c r="J127" s="95"/>
      <c r="K127" s="95"/>
      <c r="M127" s="84"/>
    </row>
    <row r="128" spans="1:14" ht="22.25" customHeight="1" x14ac:dyDescent="0.2">
      <c r="A128" s="84"/>
      <c r="C128" s="56" t="s">
        <v>52</v>
      </c>
      <c r="D128" s="93">
        <f>$D$53*0.5</f>
        <v>1.0235294117647058</v>
      </c>
      <c r="E128" s="56"/>
      <c r="F128" s="93">
        <f>D128</f>
        <v>1.0235294117647058</v>
      </c>
      <c r="G128" s="95"/>
      <c r="H128" s="95"/>
      <c r="I128" s="95"/>
      <c r="J128" s="95"/>
      <c r="K128" s="95"/>
      <c r="M128" s="84"/>
    </row>
    <row r="129" spans="1:14" ht="22.25" customHeight="1" x14ac:dyDescent="0.2">
      <c r="A129" s="84"/>
      <c r="C129" s="56" t="s">
        <v>53</v>
      </c>
      <c r="D129" s="93">
        <f>$D$53*0.6</f>
        <v>1.2282352941176469</v>
      </c>
      <c r="E129" s="56"/>
      <c r="F129" s="93">
        <f>D129</f>
        <v>1.2282352941176469</v>
      </c>
      <c r="G129" s="95"/>
      <c r="H129" s="95"/>
      <c r="I129" s="95"/>
      <c r="J129" s="95"/>
      <c r="K129" s="95"/>
      <c r="M129" s="84"/>
    </row>
    <row r="130" spans="1:14" ht="22.25" customHeight="1" x14ac:dyDescent="0.2">
      <c r="A130" s="84"/>
      <c r="C130" s="93" t="s">
        <v>279</v>
      </c>
      <c r="D130" s="93">
        <f>$D$129*1.4</f>
        <v>1.7195294117647055</v>
      </c>
      <c r="E130" s="56"/>
      <c r="F130" s="93">
        <f t="shared" ref="F130:F133" si="2">D130</f>
        <v>1.7195294117647055</v>
      </c>
      <c r="G130" s="96"/>
      <c r="H130" s="95"/>
      <c r="I130" s="95"/>
      <c r="J130" s="95"/>
      <c r="K130" s="95"/>
      <c r="M130" s="84"/>
    </row>
    <row r="131" spans="1:14" ht="22.25" customHeight="1" x14ac:dyDescent="0.2">
      <c r="A131" s="84"/>
      <c r="C131" s="56" t="s">
        <v>54</v>
      </c>
      <c r="D131" s="93">
        <f>$D$53/0.75</f>
        <v>2.729411764705882</v>
      </c>
      <c r="E131" s="56"/>
      <c r="F131" s="93">
        <f t="shared" si="2"/>
        <v>2.729411764705882</v>
      </c>
      <c r="G131" s="95"/>
      <c r="H131" s="95"/>
      <c r="I131" s="95"/>
      <c r="J131" s="95"/>
      <c r="K131" s="95"/>
      <c r="M131" s="84"/>
    </row>
    <row r="132" spans="1:14" ht="22.25" customHeight="1" x14ac:dyDescent="0.2">
      <c r="A132" s="84"/>
      <c r="C132" s="56" t="s">
        <v>278</v>
      </c>
      <c r="D132" s="93">
        <f>$D$53*0.3</f>
        <v>0.61411764705882343</v>
      </c>
      <c r="E132" s="56"/>
      <c r="F132" s="93">
        <f t="shared" si="2"/>
        <v>0.61411764705882343</v>
      </c>
      <c r="G132" s="95"/>
      <c r="H132" s="95"/>
      <c r="I132" s="95"/>
      <c r="J132" s="95"/>
      <c r="K132" s="95"/>
      <c r="M132" s="84"/>
    </row>
    <row r="133" spans="1:14" ht="22.25" customHeight="1" x14ac:dyDescent="0.2">
      <c r="A133" s="84"/>
      <c r="C133" s="56" t="s">
        <v>280</v>
      </c>
      <c r="D133" s="93">
        <f>D53*0</f>
        <v>0</v>
      </c>
      <c r="E133" s="56"/>
      <c r="F133" s="93">
        <f t="shared" si="2"/>
        <v>0</v>
      </c>
      <c r="G133" s="95"/>
      <c r="H133" s="95"/>
      <c r="I133" s="95"/>
      <c r="J133" s="95"/>
      <c r="K133" s="95"/>
      <c r="M133" s="84"/>
    </row>
    <row r="134" spans="1:14" ht="22.25" customHeight="1" x14ac:dyDescent="0.2">
      <c r="A134" s="84"/>
      <c r="C134" s="87" t="s">
        <v>374</v>
      </c>
      <c r="D134" s="86"/>
      <c r="F134" s="86"/>
      <c r="M134" s="84"/>
      <c r="N134" s="101" t="s">
        <v>392</v>
      </c>
    </row>
    <row r="135" spans="1:14" ht="22.25" customHeight="1" x14ac:dyDescent="0.2">
      <c r="A135" s="84"/>
      <c r="M135" s="84"/>
    </row>
    <row r="136" spans="1:14" ht="8" customHeight="1" x14ac:dyDescent="0.2">
      <c r="A136" s="84"/>
      <c r="B136" s="84"/>
      <c r="C136" s="84"/>
      <c r="D136" s="84"/>
      <c r="E136" s="84"/>
      <c r="F136" s="84"/>
      <c r="G136" s="84"/>
      <c r="H136" s="84"/>
      <c r="I136" s="84"/>
      <c r="J136" s="84"/>
      <c r="K136" s="84"/>
      <c r="L136" s="84"/>
      <c r="M136" s="84"/>
    </row>
  </sheetData>
  <mergeCells count="32">
    <mergeCell ref="D126:F126"/>
    <mergeCell ref="I117:K117"/>
    <mergeCell ref="C126:C127"/>
    <mergeCell ref="H117:H118"/>
    <mergeCell ref="I74:K74"/>
    <mergeCell ref="I84:K84"/>
    <mergeCell ref="I107:K107"/>
    <mergeCell ref="C117:C118"/>
    <mergeCell ref="D117:F117"/>
    <mergeCell ref="C107:C108"/>
    <mergeCell ref="D107:F107"/>
    <mergeCell ref="H107:H108"/>
    <mergeCell ref="C94:C95"/>
    <mergeCell ref="D94:F94"/>
    <mergeCell ref="D84:F84"/>
    <mergeCell ref="I94:K94"/>
    <mergeCell ref="I62:K62"/>
    <mergeCell ref="H50:H51"/>
    <mergeCell ref="I50:K50"/>
    <mergeCell ref="H74:H75"/>
    <mergeCell ref="C74:C75"/>
    <mergeCell ref="D74:F74"/>
    <mergeCell ref="C50:C51"/>
    <mergeCell ref="D50:F50"/>
    <mergeCell ref="C62:C63"/>
    <mergeCell ref="D62:F62"/>
    <mergeCell ref="H62:H63"/>
    <mergeCell ref="C44:D44"/>
    <mergeCell ref="C46:D46"/>
    <mergeCell ref="H94:H95"/>
    <mergeCell ref="C84:C85"/>
    <mergeCell ref="H84:H85"/>
  </mergeCells>
  <hyperlinks>
    <hyperlink ref="D4" location="Operations!A31" display="Operations" xr:uid="{00000000-0004-0000-0600-000000000000}"/>
    <hyperlink ref="D5" location="Operations!A48" display="Work rates:" xr:uid="{00000000-0004-0000-0600-000001000000}"/>
    <hyperlink ref="E5" location="Operations!A60" display="wheat" xr:uid="{00000000-0004-0000-0600-000002000000}"/>
    <hyperlink ref="F5" location="Operations!A72" display="barley" xr:uid="{F6D7FBA4-122D-4018-984E-2D0C53994B3D}"/>
    <hyperlink ref="G5" location="Operations!A82" display="beans" xr:uid="{1DF652C5-7A37-4B61-AFEB-1B4893414713}"/>
    <hyperlink ref="E6" location="Operations!A92" display="OSR" xr:uid="{0F298D59-2D67-44CB-B5C8-28842A4DDD6C}"/>
    <hyperlink ref="H5" location="Operations!A105" display="potatoes &amp; beet" xr:uid="{B50E65F9-874D-45D5-9E47-693825DAD3E4}"/>
    <hyperlink ref="F6" location="Operations!A115" display="linseed" xr:uid="{9E7CAF98-DEBA-4869-924E-038C2AC1581D}"/>
    <hyperlink ref="G6" location="Operations!A124" display="peas" xr:uid="{7F1D9879-A2E9-4998-9727-010E94DAF398}"/>
    <hyperlink ref="H6" location="Operations!A124" display="fallow" xr:uid="{EB4F3022-7EF2-4AE6-B68E-F3AC17C65998}"/>
    <hyperlink ref="E7" location="Operations!A135" display="cultivations" xr:uid="{662E9EEF-ACE0-4D2D-B164-D2780BA9A209}"/>
    <hyperlink ref="N59" location="Operations!A1" display="back to top ↑" xr:uid="{1D9399AE-3997-40A2-918D-D66C5E639450}"/>
    <hyperlink ref="N71" location="Operations!A1" display="back to top ↑" xr:uid="{2ABCBE1E-D997-4BCA-9825-4518046AB13A}"/>
    <hyperlink ref="N80" location="Operations!A1" display="back to top ↑" xr:uid="{10437242-9C5D-4B99-82CE-B2A0ACA5029C}"/>
    <hyperlink ref="N91" location="Operations!A1" display="back to top ↑" xr:uid="{F5999B47-EA3C-4F53-B555-FF42A4183883}"/>
    <hyperlink ref="N103" location="Operations!A1" display="back to top ↑" xr:uid="{7B48D313-0F85-4901-B126-2026933FDC55}"/>
    <hyperlink ref="N123" location="Operations!A1" display="back to top ↑" xr:uid="{79B19251-9433-407E-8EA6-6BCFF71FC415}"/>
    <hyperlink ref="N134" location="Operations!A1" display="back to top ↑" xr:uid="{29DDED48-57E4-4816-8AC4-201DE91D636E}"/>
    <hyperlink ref="N47" location="Operations!A1" display="back to top ↑" xr:uid="{7DB91A6B-E288-49C1-97DA-E50FC2C76AA8}"/>
    <hyperlink ref="N30" location="Operations!A1" display="back to top ↑" xr:uid="{E48C53C4-A1B5-4D47-AAE7-22CAD48C2360}"/>
    <hyperlink ref="N114" location="Operations!A1" display="back to top ↑" xr:uid="{DF9580B3-C91F-4A45-96E0-08F47D207D12}"/>
  </hyperlinks>
  <pageMargins left="0.7" right="0.7" top="0.75" bottom="0.75" header="0.3" footer="0.3"/>
  <pageSetup paperSize="9" orientation="portrait" r:id="rId1"/>
  <ignoredErrors>
    <ignoredError sqref="D81 D123 F123" evalError="1"/>
    <ignoredError sqref="F97 F102 I98 K97 K99 E46"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Model Details &amp; Assumptions</vt:lpstr>
      <vt:lpstr>Model Overview</vt:lpstr>
      <vt:lpstr>Model Input Variables</vt:lpstr>
      <vt:lpstr>Soil | Fuel | Labour | Subsidy</vt:lpstr>
      <vt:lpstr>Crop &amp; Tillage Labels</vt:lpstr>
      <vt:lpstr>Crop Data</vt:lpstr>
      <vt:lpstr>Default Data</vt:lpstr>
      <vt:lpstr>Machinery</vt:lpstr>
      <vt:lpstr>Operations &amp; Work Rates</vt:lpstr>
      <vt:lpstr>Yield Penalty | Black-grass</vt:lpstr>
      <vt:lpstr>Yield Penalty | Sowing Date</vt:lpstr>
      <vt:lpstr>Yield Penalty | Crop Rotations</vt:lpstr>
      <vt:lpstr>Data Sources &amp; References</vt:lpstr>
      <vt:lpstr>cropdata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Alexa Varah</cp:lastModifiedBy>
  <dcterms:created xsi:type="dcterms:W3CDTF">2017-06-18T12:58:29Z</dcterms:created>
  <dcterms:modified xsi:type="dcterms:W3CDTF">2023-09-09T13:38:35Z</dcterms:modified>
</cp:coreProperties>
</file>