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Reactor 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<sst xmlns="http://schemas.openxmlformats.org/spreadsheetml/2006/main" uniqueCount="70">
  <si>
    <t>Constants</t>
  </si>
  <si>
    <t>MWs</t>
  </si>
  <si>
    <t>Media Bottle Volume</t>
  </si>
  <si>
    <t>L</t>
  </si>
  <si>
    <t>Na</t>
  </si>
  <si>
    <t>N</t>
  </si>
  <si>
    <t>O</t>
  </si>
  <si>
    <t>H</t>
  </si>
  <si>
    <t>Cl</t>
  </si>
  <si>
    <t>Measured by Probe</t>
  </si>
  <si>
    <t>Measured by Gallery</t>
  </si>
  <si>
    <t>Relative Constants</t>
  </si>
  <si>
    <t>Calculations</t>
  </si>
  <si>
    <t>Time Stamps</t>
  </si>
  <si>
    <t>Begin</t>
  </si>
  <si>
    <t>End of Anaerobic</t>
  </si>
  <si>
    <t>End of Aerobic</t>
  </si>
  <si>
    <t>End of Aeration</t>
  </si>
  <si>
    <t>Calculated Influent Concentration</t>
  </si>
  <si>
    <t>Pump Flowrates</t>
  </si>
  <si>
    <t>Cycle Timing</t>
  </si>
  <si>
    <t>Other</t>
  </si>
  <si>
    <t>Date</t>
  </si>
  <si>
    <t>Total N Rem/Cycle (mgN/L) 
Calculations</t>
  </si>
  <si>
    <t>NH4 Probe Error %
Calculations</t>
  </si>
  <si>
    <t>Begin
Timestamps</t>
  </si>
  <si>
    <t>End of Anaerobic
Timestamps</t>
  </si>
  <si>
    <t>End of Aerobic
Timestamps</t>
  </si>
  <si>
    <t>DO (mg/L)
Probe - Begin</t>
  </si>
  <si>
    <t>pH
Probe - Begin</t>
  </si>
  <si>
    <t>NH4+ (mgN/L)
Probe - Begin</t>
  </si>
  <si>
    <t>ORP (mV)
Probe - Begin</t>
  </si>
  <si>
    <t>DO (mg/L)
Probe - End of Anaerobic</t>
  </si>
  <si>
    <t>NH4+ (mgN/L)
Probe - End of Anaerobic</t>
  </si>
  <si>
    <t>pH
Probe - End of Anaerobic</t>
  </si>
  <si>
    <t>ORP (mV)
Probe - End of Anaerobic</t>
  </si>
  <si>
    <t>DO (mg/L)
Probe - End of Aerobic</t>
  </si>
  <si>
    <t>pH
Probe - End of Aerobic</t>
  </si>
  <si>
    <t>NH4+ (mgN/L)
Probe - End of Aerobic</t>
  </si>
  <si>
    <t>ORP (mV)
Probe - End of Aerobic</t>
  </si>
  <si>
    <t>NO2- (mgN/L)
Gallery - Begin</t>
  </si>
  <si>
    <t>NO3- (mgN/L)
Gallery - Begin</t>
  </si>
  <si>
    <t>NH4+ (mgN/L)
Gallery - Begin</t>
  </si>
  <si>
    <t>NO2- (mgN/L)
Gallery - End of Anaerobic</t>
  </si>
  <si>
    <t>NO3- (mgN/L)
Gallery - End of Anaerobic</t>
  </si>
  <si>
    <t>NH4+ (mgN/L)
Gallery - End of Anaerobic</t>
  </si>
  <si>
    <t>NO2- (mgN/L)
Gallery - End of Aerobic</t>
  </si>
  <si>
    <t>NO3- (mgN/L)
Gallery - End of Aerobic</t>
  </si>
  <si>
    <t>NH4+ (mgN/L)
Gallery - End of Aerobic</t>
  </si>
  <si>
    <t>NO2- In (mgN/L)
Calculated Influent Concentration</t>
  </si>
  <si>
    <t>NH4+ In (mgN/L)
Calculated Influent Concentration</t>
  </si>
  <si>
    <t>N Media In (ml/min)
Calculated Influent Concentration</t>
  </si>
  <si>
    <t>C Media In (ml/min)
Pump Flowrates</t>
  </si>
  <si>
    <t>Water In (ml/min)
Pump Flowrates</t>
  </si>
  <si>
    <t>Flowrate In (ml/min)
Pump Flowrates</t>
  </si>
  <si>
    <t>Plug Flow (min)
Cycle Timing</t>
  </si>
  <si>
    <t>Feed+Aerate (min)
Cycle Timing</t>
  </si>
  <si>
    <t>Aerate (min)
Cycle Timing</t>
  </si>
  <si>
    <t>Settle (min)
Cycle Timing</t>
  </si>
  <si>
    <t>Decant (min)
Cycle Timing</t>
  </si>
  <si>
    <t>Influent Volume (L)
Other</t>
  </si>
  <si>
    <t>NaNO2 in Media (g)
Other</t>
  </si>
  <si>
    <t>NH4Cl in Media (g)
Other</t>
  </si>
  <si>
    <t>Comments</t>
  </si>
  <si>
    <t>#N/A</t>
  </si>
  <si>
    <t>Need to recalibrate nitrate in the gallery.  Ammonium Probe out of range, don't trust those readings.</t>
  </si>
  <si>
    <t>Forgot to record ammonium probe vals</t>
  </si>
  <si>
    <t>negative</t>
  </si>
  <si>
    <t>Recalibrated Probe</t>
  </si>
  <si>
    <t>Added additional biomass</t>
  </si>
</sst>
</file>

<file path=xl/styles.xml><?xml version="1.0" encoding="utf-8"?>
<styleSheet xmlns="http://schemas.openxmlformats.org/spreadsheetml/2006/main">
  <numFmts count="2">
    <numFmt formatCode="m/d" numFmtId="164"/>
    <numFmt formatCode="[$-409]d\-mmm\-yyyy" numFmtId="165"/>
  </numFmts>
  <fonts count="4">
    <font>
      <name val="Calibri"/>
      <family val="2"/>
      <color theme="1"/>
      <sz val="12"/>
      <scheme val="minor"/>
    </font>
    <font>
      <name val="Arial"/>
      <family val="2"/>
      <color rgb="FF000000"/>
      <sz val="12"/>
    </font>
    <font>
      <name val="Calibri"/>
      <family val="2"/>
      <color theme="10"/>
      <sz val="12"/>
      <scheme val="minor"/>
    </font>
    <font>
      <name val="Calibri"/>
      <family val="2"/>
      <color theme="1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3" numFmtId="0"/>
    <xf borderId="0" fillId="0" fontId="0" numFmtId="0"/>
    <xf borderId="0" fillId="0" fontId="2" numFmtId="0"/>
  </cellStyleXfs>
  <cellXfs count="15">
    <xf borderId="0" fillId="0" fontId="0" numFmtId="0" xfId="0"/>
    <xf borderId="0" fillId="0" fontId="0" numFmtId="2" xfId="0"/>
    <xf applyAlignment="1" borderId="0" fillId="0" fontId="0" numFmtId="0" xfId="0">
      <alignment horizontal="center"/>
    </xf>
    <xf applyAlignment="1" borderId="0" fillId="0" fontId="0" numFmtId="2" xfId="0">
      <alignment wrapText="1"/>
    </xf>
    <xf borderId="0" fillId="0" fontId="0" numFmtId="14" xfId="0"/>
    <xf borderId="0" fillId="0" fontId="0" numFmtId="10" xfId="0"/>
    <xf borderId="0" fillId="0" fontId="0" numFmtId="20" xfId="0"/>
    <xf applyAlignment="1" borderId="0" fillId="0" fontId="1" numFmtId="2" xfId="0">
      <alignment horizontal="right"/>
    </xf>
    <xf applyAlignment="1" borderId="0" fillId="0" fontId="1" numFmtId="0" xfId="0">
      <alignment horizontal="right"/>
    </xf>
    <xf borderId="0" fillId="0" fontId="0" numFmtId="164" xfId="0"/>
    <xf borderId="0" fillId="0" fontId="0" numFmtId="165" xfId="0"/>
    <xf borderId="0" fillId="0" fontId="0" numFmtId="2" xfId="0"/>
    <xf applyAlignment="1" borderId="0" fillId="0" fontId="0" numFmtId="2" xfId="0">
      <alignment horizontal="center"/>
    </xf>
    <xf borderId="0" fillId="0" fontId="0" numFmtId="0" xfId="0"/>
    <xf applyAlignment="1" borderId="0" fillId="0" fontId="0" numFmtId="0" xfId="0">
      <alignment horizontal="center"/>
    </xf>
  </cellXfs>
  <cellStyles count="3">
    <cellStyle builtinId="9" hidden="1" name="Followed Hyperlink" xfId="0"/>
    <cellStyle builtinId="0" name="Normal" xfId="1"/>
    <cellStyle builtinId="8" hidden="1" name="Hyperlink" xfId="2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"/>
  <sheetViews>
    <sheetView tabSelected="1" workbookViewId="0">
      <selection activeCell="G23" sqref="G23"/>
    </sheetView>
  </sheetViews>
  <sheetFormatPr baseColWidth="10" defaultRowHeight="15"/>
  <cols>
    <col customWidth="1" max="1" min="1" style="13" width="18.5"/>
    <col customWidth="1" max="2" min="2" style="13" width="19.5"/>
    <col customWidth="1" max="3" min="3" style="13" width="14.5"/>
    <col customWidth="1" max="4" min="4" style="13" width="14"/>
    <col customWidth="1" max="5" min="5" style="13" width="11.5"/>
    <col customWidth="1" max="6" min="6" style="13" width="12.33203125"/>
    <col customWidth="1" max="7" min="7" style="13" width="12.83203125"/>
    <col customWidth="1" max="21" min="8" style="13" width="10.5"/>
    <col customWidth="1" max="23" min="22" style="13" width="16"/>
    <col customWidth="1" max="24" min="24" style="13" width="13.83203125"/>
    <col customWidth="1" max="27" min="25" style="13" width="10.5"/>
    <col customWidth="1" max="28" min="28" style="13" width="13.5"/>
    <col customWidth="1" max="29" min="29" style="13" width="14.83203125"/>
    <col customWidth="1" max="30" min="30" style="13" width="17.83203125"/>
    <col customWidth="1" max="31" min="31" style="13" width="17.5"/>
    <col customWidth="1" max="32" min="32" style="13" width="16.83203125"/>
    <col customWidth="1" max="33" min="33" style="13" width="17.33203125"/>
    <col customWidth="1" max="34" min="34" style="13" width="16.5"/>
    <col customWidth="1" max="42" min="35" style="13" width="10.5"/>
    <col customWidth="1" max="52" min="43" style="13" width="13.5"/>
  </cols>
  <sheetData>
    <row r="1" spans="1:42">
      <c r="A1" s="14" t="s">
        <v>0</v>
      </c>
      <c r="D1" t="s">
        <v>1</v>
      </c>
    </row>
    <row r="2" spans="1:42">
      <c r="A2" t="s">
        <v>2</v>
      </c>
      <c r="B2" t="n">
        <v>10</v>
      </c>
      <c r="C2" t="s">
        <v>3</v>
      </c>
      <c r="D2" t="s">
        <v>4</v>
      </c>
      <c r="E2">
        <f>23</f>
        <v/>
      </c>
    </row>
    <row r="3" spans="1:42">
      <c r="D3" t="s">
        <v>5</v>
      </c>
      <c r="E3" t="n">
        <v>14</v>
      </c>
    </row>
    <row r="4" spans="1:42">
      <c r="D4" t="s">
        <v>6</v>
      </c>
      <c r="E4" t="n">
        <v>16</v>
      </c>
    </row>
    <row r="5" spans="1:42">
      <c r="D5" t="s">
        <v>7</v>
      </c>
      <c r="E5" t="n">
        <v>1</v>
      </c>
    </row>
    <row r="6" spans="1:42">
      <c r="D6" t="s">
        <v>8</v>
      </c>
      <c r="E6" t="n">
        <v>35</v>
      </c>
    </row>
    <row r="11" spans="1:42">
      <c r="A11" s="11" t="n"/>
      <c r="B11" s="11" t="n"/>
      <c r="C11" s="11" t="n"/>
      <c r="D11" s="11" t="n"/>
      <c r="E11" s="11" t="n"/>
      <c r="F11" s="11" t="n"/>
      <c r="G11" s="12" t="s">
        <v>9</v>
      </c>
      <c r="S11" s="14" t="s">
        <v>10</v>
      </c>
      <c r="AB11" s="14" t="n"/>
      <c r="AC11" s="12" t="s">
        <v>11</v>
      </c>
    </row>
    <row r="12" spans="1:42">
      <c r="A12" s="11" t="n"/>
      <c r="B12" s="12" t="s">
        <v>12</v>
      </c>
      <c r="D12" s="12" t="s">
        <v>13</v>
      </c>
      <c r="G12" s="14" t="s">
        <v>14</v>
      </c>
      <c r="K12" s="14" t="s">
        <v>15</v>
      </c>
      <c r="O12" s="14" t="s">
        <v>16</v>
      </c>
      <c r="S12" s="12" t="s">
        <v>14</v>
      </c>
      <c r="V12" s="12" t="s">
        <v>15</v>
      </c>
      <c r="Y12" s="12" t="s">
        <v>17</v>
      </c>
      <c r="AB12" s="12" t="s">
        <v>18</v>
      </c>
      <c r="AD12" s="12" t="s">
        <v>19</v>
      </c>
      <c r="AH12" s="12" t="s">
        <v>20</v>
      </c>
      <c r="AM12" s="12" t="s">
        <v>21</v>
      </c>
      <c r="AP12" s="11" t="n"/>
    </row>
    <row customHeight="1" ht="15" r="13" s="13" spans="1:42">
      <c r="A13" s="11" t="s">
        <v>22</v>
      </c>
      <c r="B13" s="11" t="s">
        <v>23</v>
      </c>
      <c r="C13" s="11" t="s">
        <v>24</v>
      </c>
      <c r="D13" s="11" t="s">
        <v>25</v>
      </c>
      <c r="E13" s="11" t="s">
        <v>26</v>
      </c>
      <c r="F13" s="11" t="s">
        <v>27</v>
      </c>
      <c r="G13" s="11" t="s">
        <v>28</v>
      </c>
      <c r="H13" t="s">
        <v>29</v>
      </c>
      <c r="I13" s="11" t="s">
        <v>30</v>
      </c>
      <c r="J13" s="11" t="s">
        <v>31</v>
      </c>
      <c r="K13" s="11" t="s">
        <v>32</v>
      </c>
      <c r="L13" s="11" t="s">
        <v>33</v>
      </c>
      <c r="M13" s="11" t="s">
        <v>34</v>
      </c>
      <c r="N13" s="3" t="s">
        <v>35</v>
      </c>
      <c r="O13" s="11" t="s">
        <v>36</v>
      </c>
      <c r="P13" t="s">
        <v>37</v>
      </c>
      <c r="Q13" s="11" t="s">
        <v>38</v>
      </c>
      <c r="R13" s="3" t="s">
        <v>39</v>
      </c>
      <c r="S13" s="11" t="s">
        <v>40</v>
      </c>
      <c r="T13" s="11" t="s">
        <v>41</v>
      </c>
      <c r="U13" s="11" t="s">
        <v>42</v>
      </c>
      <c r="V13" s="3" t="s">
        <v>43</v>
      </c>
      <c r="W13" s="3" t="s">
        <v>44</v>
      </c>
      <c r="X13" s="3" t="s">
        <v>45</v>
      </c>
      <c r="Y13" s="11" t="s">
        <v>46</v>
      </c>
      <c r="Z13" s="11" t="s">
        <v>47</v>
      </c>
      <c r="AA13" s="11" t="s">
        <v>48</v>
      </c>
      <c r="AB13" s="11" t="s">
        <v>49</v>
      </c>
      <c r="AC13" s="11" t="s">
        <v>50</v>
      </c>
      <c r="AD13" s="11" t="s">
        <v>51</v>
      </c>
      <c r="AE13" s="11" t="s">
        <v>52</v>
      </c>
      <c r="AF13" s="11" t="s">
        <v>53</v>
      </c>
      <c r="AG13" s="11" t="s">
        <v>54</v>
      </c>
      <c r="AH13" s="11" t="s">
        <v>55</v>
      </c>
      <c r="AI13" s="11" t="s">
        <v>56</v>
      </c>
      <c r="AJ13" s="11" t="s">
        <v>57</v>
      </c>
      <c r="AK13" s="11" t="s">
        <v>58</v>
      </c>
      <c r="AL13" s="11" t="s">
        <v>59</v>
      </c>
      <c r="AM13" s="11" t="s">
        <v>60</v>
      </c>
      <c r="AN13" s="11" t="s">
        <v>61</v>
      </c>
      <c r="AO13" s="11" t="s">
        <v>62</v>
      </c>
      <c r="AP13" s="11" t="s">
        <v>63</v>
      </c>
    </row>
    <row r="14" spans="1:42">
      <c r="A14" s="4" t="n">
        <v>42474</v>
      </c>
      <c r="B14" s="11">
        <f>SUM(AB14:AC14)-SUM(Y14:AA14)</f>
        <v/>
      </c>
      <c r="C14" s="5">
        <f>AVERAGE((K14-X14)/X14)</f>
        <v/>
      </c>
      <c r="D14" s="6" t="n">
        <v>0.4826388888888889</v>
      </c>
      <c r="E14" s="6" t="n">
        <v>0.5555555555555556</v>
      </c>
      <c r="F14" s="6" t="n">
        <v>0.607638888888889</v>
      </c>
      <c r="G14" s="7" t="n">
        <v>0.811956407246569</v>
      </c>
      <c r="H14" s="7" t="n">
        <v>7.39677579637537</v>
      </c>
      <c r="I14" s="7" t="n">
        <v>0.29999854836658</v>
      </c>
      <c r="J14" s="11" t="s">
        <v>64</v>
      </c>
      <c r="K14" s="7" t="n">
        <v>-0.0568651058527009</v>
      </c>
      <c r="L14" s="7" t="n">
        <v>0.300000229184405</v>
      </c>
      <c r="M14" s="7" t="n">
        <v>7.15168096562526</v>
      </c>
      <c r="N14" s="11" t="s">
        <v>64</v>
      </c>
      <c r="O14" s="7" t="n">
        <v>0.857393390570809</v>
      </c>
      <c r="P14" s="7" t="n">
        <v>7.44034738212527</v>
      </c>
      <c r="Q14" s="7" t="n">
        <v>0.299998549225445</v>
      </c>
      <c r="R14" s="11" t="s">
        <v>64</v>
      </c>
      <c r="S14" t="n">
        <v>1.66855</v>
      </c>
      <c r="T14" t="n">
        <v>-33402.5</v>
      </c>
      <c r="U14" t="n">
        <v>21.1872</v>
      </c>
      <c r="V14" t="n">
        <v>2.7371</v>
      </c>
      <c r="W14" t="n">
        <v>10.588</v>
      </c>
      <c r="X14" t="n">
        <v>21.882</v>
      </c>
      <c r="Y14" t="s">
        <v>64</v>
      </c>
      <c r="Z14" t="s">
        <v>64</v>
      </c>
      <c r="AA14" t="s">
        <v>64</v>
      </c>
      <c r="AB14" s="11">
        <f>AN14/($E$2+$E$3+$E$4*2)*$E$3*1000/$B$2*AE14/AG14</f>
        <v/>
      </c>
      <c r="AC14" s="11">
        <f>AO14/($E$3+$E$5*4+$E$6)*$E$3*1000/$B$2*AD14/AG14</f>
        <v/>
      </c>
      <c r="AD14" s="11" t="n">
        <v>2.5</v>
      </c>
      <c r="AE14" s="11" t="n">
        <v>2.5</v>
      </c>
      <c r="AF14" s="11" t="n">
        <v>10.5</v>
      </c>
      <c r="AG14" s="11">
        <f>AF14+AE14+AD14</f>
        <v/>
      </c>
      <c r="AH14" s="11" t="n">
        <v>100</v>
      </c>
      <c r="AI14" s="11" t="n">
        <v>0</v>
      </c>
      <c r="AJ14" s="11" t="n">
        <v>45</v>
      </c>
      <c r="AK14" s="11" t="n">
        <v>5</v>
      </c>
      <c r="AL14" s="11" t="n">
        <v>5</v>
      </c>
      <c r="AM14" s="11">
        <f>AG14*(AH14+AI14)/1000</f>
        <v/>
      </c>
      <c r="AN14" s="11" t="n">
        <v>2.67</v>
      </c>
      <c r="AO14" s="11" t="n">
        <v>7.21</v>
      </c>
      <c r="AP14" t="s">
        <v>65</v>
      </c>
    </row>
    <row r="15" spans="1:42">
      <c r="A15" s="4" t="n">
        <v>42489</v>
      </c>
      <c r="B15" s="11">
        <f>SUM(AB15:AC15)-SUM(Y15:AA15)</f>
        <v/>
      </c>
      <c r="C15" s="5">
        <f>AVERAGE((K15-X15)/X15)</f>
        <v/>
      </c>
      <c r="D15" s="6" t="n">
        <v>0.4513888888888889</v>
      </c>
      <c r="E15" s="6" t="n">
        <v>0.5208333333333334</v>
      </c>
      <c r="F15" s="6" t="n">
        <v>0.5520833333333334</v>
      </c>
      <c r="G15" s="11" t="s">
        <v>64</v>
      </c>
      <c r="H15" s="11" t="s">
        <v>64</v>
      </c>
      <c r="I15" s="11" t="s">
        <v>64</v>
      </c>
      <c r="J15" s="11" t="s">
        <v>64</v>
      </c>
      <c r="K15" s="11" t="s">
        <v>64</v>
      </c>
      <c r="L15" s="11" t="s">
        <v>64</v>
      </c>
      <c r="M15" s="11" t="s">
        <v>64</v>
      </c>
      <c r="N15" s="11" t="s">
        <v>64</v>
      </c>
      <c r="O15" s="11" t="s">
        <v>64</v>
      </c>
      <c r="P15" s="11" t="s">
        <v>64</v>
      </c>
      <c r="Q15" s="11" t="s">
        <v>64</v>
      </c>
      <c r="R15" s="11" t="s">
        <v>64</v>
      </c>
      <c r="S15" t="n">
        <v>2.16945</v>
      </c>
      <c r="T15" t="n">
        <v>1.13055</v>
      </c>
      <c r="U15" t="n">
        <v>13.75</v>
      </c>
      <c r="V15" t="n">
        <v>1.57501</v>
      </c>
      <c r="W15" t="n">
        <v>0.8722300000000001</v>
      </c>
      <c r="X15" t="n">
        <v>17.64</v>
      </c>
      <c r="Y15" t="n">
        <v>3.15696</v>
      </c>
      <c r="Z15" t="n">
        <v>1.5542</v>
      </c>
      <c r="AA15" t="n">
        <v>17.91</v>
      </c>
      <c r="AB15" s="11">
        <f>AN15/($E$2+$E$3+$E$4*2)*$E$3*1000/$B$2*AE15/AG15</f>
        <v/>
      </c>
      <c r="AC15" s="11">
        <f>AO15/($E$3+$E$5*4+$E$6)*$E$3*1000/$B$2*AD15/AG15</f>
        <v/>
      </c>
      <c r="AD15" s="11" t="n">
        <v>2.5</v>
      </c>
      <c r="AE15" s="11" t="n">
        <v>2.5</v>
      </c>
      <c r="AF15" s="11" t="n">
        <v>10.5</v>
      </c>
      <c r="AG15" s="11">
        <f>AF15+AE15+AD15</f>
        <v/>
      </c>
      <c r="AH15" s="11" t="n">
        <v>100</v>
      </c>
      <c r="AI15" s="11" t="n">
        <v>0</v>
      </c>
      <c r="AJ15" s="11" t="n">
        <v>45</v>
      </c>
      <c r="AK15" s="11" t="n">
        <v>5</v>
      </c>
      <c r="AL15" s="11" t="n">
        <v>5</v>
      </c>
      <c r="AM15" s="11">
        <f>AG15*(AH15+AI15)/1000</f>
        <v/>
      </c>
      <c r="AN15" s="11" t="n">
        <v>2.67</v>
      </c>
      <c r="AO15" s="11" t="n">
        <v>7.21</v>
      </c>
      <c r="AP15" t="s">
        <v>66</v>
      </c>
    </row>
    <row r="16" spans="1:42">
      <c r="A16" s="4" t="n">
        <v>42495</v>
      </c>
      <c r="B16" s="11">
        <f>SUM(AB16:AC16)-SUM(Y16:AA16)</f>
        <v/>
      </c>
      <c r="C16" s="5">
        <f>AVERAGE((K16-X16)/X16)</f>
        <v/>
      </c>
      <c r="D16" s="6" t="n">
        <v>0.4854166666666667</v>
      </c>
      <c r="E16" s="6" t="n">
        <v>0.5520833333333334</v>
      </c>
      <c r="F16" s="6" t="n">
        <v>0.5833333333333334</v>
      </c>
      <c r="G16" s="11" t="s">
        <v>64</v>
      </c>
      <c r="H16" s="11" t="s">
        <v>64</v>
      </c>
      <c r="I16" s="11" t="s">
        <v>64</v>
      </c>
      <c r="J16" s="11" t="s">
        <v>64</v>
      </c>
      <c r="K16" s="11" t="s">
        <v>64</v>
      </c>
      <c r="L16" s="11" t="s">
        <v>64</v>
      </c>
      <c r="M16" s="11" t="s">
        <v>64</v>
      </c>
      <c r="N16" s="11" t="s">
        <v>64</v>
      </c>
      <c r="O16" s="11" t="s">
        <v>64</v>
      </c>
      <c r="P16" s="11" t="s">
        <v>64</v>
      </c>
      <c r="Q16" s="11" t="s">
        <v>64</v>
      </c>
      <c r="R16" s="11" t="s">
        <v>64</v>
      </c>
      <c r="S16" t="n">
        <v>4.202430000000001</v>
      </c>
      <c r="T16" t="n">
        <v>2.15272</v>
      </c>
      <c r="U16" t="n">
        <v>23.15463</v>
      </c>
      <c r="V16" t="n">
        <v>2.67108</v>
      </c>
      <c r="W16" t="n">
        <v>1.51682</v>
      </c>
      <c r="X16" t="n">
        <v>24.19338</v>
      </c>
      <c r="Y16" t="n">
        <v>3.81662</v>
      </c>
      <c r="Z16" t="n">
        <v>1.94664</v>
      </c>
      <c r="AA16" t="n">
        <v>23.38791</v>
      </c>
      <c r="AB16" s="11">
        <f>AN16/($E$2+$E$3+$E$4*2)*$E$3*1000/$B$2*AE16/AG16</f>
        <v/>
      </c>
      <c r="AC16" s="11">
        <f>AO16/($E$3+$E$5*4+$E$6)*$E$3*1000/$B$2*AD16/AG16</f>
        <v/>
      </c>
      <c r="AD16" s="11" t="n">
        <v>2.5</v>
      </c>
      <c r="AE16" s="11" t="n">
        <v>2.5</v>
      </c>
      <c r="AF16" s="11" t="n">
        <v>10.5</v>
      </c>
      <c r="AG16" s="11">
        <f>AF16+AE16+AD16</f>
        <v/>
      </c>
      <c r="AH16" s="11" t="n">
        <v>100</v>
      </c>
      <c r="AI16" s="11" t="n">
        <v>0</v>
      </c>
      <c r="AJ16" s="11" t="n">
        <v>45</v>
      </c>
      <c r="AK16" s="11" t="n">
        <v>5</v>
      </c>
      <c r="AL16" s="11" t="n">
        <v>5</v>
      </c>
      <c r="AM16" s="11">
        <f>AG16*(AH16+AI16)/1000</f>
        <v/>
      </c>
      <c r="AN16" s="11" t="n">
        <v>2.67</v>
      </c>
      <c r="AO16" s="11" t="n">
        <v>7.21</v>
      </c>
      <c r="AP16" t="s">
        <v>66</v>
      </c>
    </row>
    <row r="17" spans="1:42">
      <c r="A17" s="4" t="n">
        <v>42502</v>
      </c>
      <c r="B17" s="11">
        <f>SUM(AB17:AC17)-SUM(Y17:AA17)</f>
        <v/>
      </c>
      <c r="C17" s="5">
        <f>AVERAGE((K17-X17)/X17)</f>
        <v/>
      </c>
      <c r="D17" s="6" t="n">
        <v>0.4</v>
      </c>
      <c r="E17" s="6" t="n">
        <v>0.4694444444444445</v>
      </c>
      <c r="F17" s="6" t="n">
        <v>0.5006944444444444</v>
      </c>
      <c r="G17" s="7" t="n">
        <v>0.0561678234714992</v>
      </c>
      <c r="H17" s="7" t="n">
        <v>7.14767402037557</v>
      </c>
      <c r="I17" s="7" t="n">
        <v>53.1229647441428</v>
      </c>
      <c r="J17" s="11" t="s">
        <v>64</v>
      </c>
      <c r="K17" s="7" t="n">
        <v>0.119071042422724</v>
      </c>
      <c r="L17" s="7" t="n">
        <v>6.94618519437566</v>
      </c>
      <c r="M17" s="7" t="n">
        <v>61.6465214554597</v>
      </c>
      <c r="N17" s="11" t="s">
        <v>64</v>
      </c>
      <c r="O17" s="7" t="n">
        <v>0.575610471075808</v>
      </c>
      <c r="P17" s="7" t="n">
        <v>7.15595465812576</v>
      </c>
      <c r="Q17" s="7" t="n">
        <v>52.2335964921919</v>
      </c>
      <c r="R17" s="11" t="s">
        <v>64</v>
      </c>
      <c r="S17" t="n">
        <v>1.73272</v>
      </c>
      <c r="T17" t="n">
        <v>0.9914700000000001</v>
      </c>
      <c r="U17" t="n">
        <v>4.356</v>
      </c>
      <c r="V17" t="n">
        <v>2.2981</v>
      </c>
      <c r="W17" t="n">
        <v>1.28262</v>
      </c>
      <c r="X17" t="n">
        <v>4.21037</v>
      </c>
      <c r="Y17" t="n">
        <v>3.44218</v>
      </c>
      <c r="Z17" t="n">
        <v>1.76144</v>
      </c>
      <c r="AA17" t="n">
        <v>3.40386</v>
      </c>
      <c r="AB17" s="11">
        <f>AN17/($E$2+$E$3+$E$4*2)*$E$3*1000/$B$2*AE17/AG17</f>
        <v/>
      </c>
      <c r="AC17" s="11">
        <f>AO17/($E$3+$E$5*4+$E$6)*$E$3*1000/$B$2*AD17/AG17</f>
        <v/>
      </c>
      <c r="AD17" s="11" t="n">
        <v>2.5</v>
      </c>
      <c r="AE17" s="11" t="n">
        <v>2.5</v>
      </c>
      <c r="AF17" s="11" t="n">
        <v>10.5</v>
      </c>
      <c r="AG17" s="11">
        <f>AF17+AE17+AD17</f>
        <v/>
      </c>
      <c r="AH17" s="11" t="n">
        <v>100</v>
      </c>
      <c r="AI17" s="11" t="n">
        <v>0</v>
      </c>
      <c r="AJ17" s="11" t="n">
        <v>45</v>
      </c>
      <c r="AK17" s="11" t="n">
        <v>5</v>
      </c>
      <c r="AL17" s="11" t="n">
        <v>5</v>
      </c>
      <c r="AM17" s="11">
        <f>AG17*(AH17+AI17)/1000</f>
        <v/>
      </c>
      <c r="AN17" s="11" t="n">
        <v>2.67</v>
      </c>
      <c r="AO17" s="11" t="n">
        <v>3.6</v>
      </c>
      <c r="AP17" t="s">
        <v>66</v>
      </c>
    </row>
    <row r="18" spans="1:42">
      <c r="A18" s="4" t="n">
        <v>42510</v>
      </c>
      <c r="B18" s="11">
        <f>SUM(AB18:AC18)-SUM(Y18:AA18)</f>
        <v/>
      </c>
      <c r="C18" s="5">
        <f>AVERAGE((K18-X18)/X18)</f>
        <v/>
      </c>
      <c r="D18" s="6" t="n">
        <v>0.5041666666666667</v>
      </c>
      <c r="E18" s="6" t="n">
        <v>0.5736111111111112</v>
      </c>
      <c r="F18" s="6" t="n">
        <v>0.6048611111111112</v>
      </c>
      <c r="G18" s="7" t="n">
        <v>-0.0134377986442473</v>
      </c>
      <c r="H18" s="8" t="n">
        <v>7.70656974237435</v>
      </c>
      <c r="I18" s="8" t="n">
        <v>10.42227616597</v>
      </c>
      <c r="J18" s="11" t="s">
        <v>64</v>
      </c>
      <c r="K18" s="7" t="n">
        <v>0.581798092789462</v>
      </c>
      <c r="L18" s="8" t="n">
        <v>7.68674153012468</v>
      </c>
      <c r="M18" s="8" t="n">
        <v>10.10744062502</v>
      </c>
      <c r="N18" s="11" t="s">
        <v>64</v>
      </c>
      <c r="O18" s="7" t="n">
        <v>0.0579298614393515</v>
      </c>
      <c r="P18" s="8" t="n">
        <v>7.23535642287472</v>
      </c>
      <c r="Q18" s="8" t="n">
        <v>10.9331491214765</v>
      </c>
      <c r="R18" s="11" t="s">
        <v>64</v>
      </c>
      <c r="S18" t="s">
        <v>64</v>
      </c>
      <c r="T18">
        <f>4795.84/1000</f>
        <v/>
      </c>
      <c r="U18" t="s">
        <v>64</v>
      </c>
      <c r="V18" t="s">
        <v>67</v>
      </c>
      <c r="W18" t="s">
        <v>64</v>
      </c>
      <c r="X18" t="s">
        <v>64</v>
      </c>
      <c r="Y18" t="s">
        <v>64</v>
      </c>
      <c r="Z18" t="s">
        <v>64</v>
      </c>
      <c r="AA18" t="s">
        <v>64</v>
      </c>
      <c r="AB18" s="11">
        <f>AN18/($E$2+$E$3+$E$4*2)*$E$3*1000/$B$2*AE18/AG18</f>
        <v/>
      </c>
      <c r="AC18" s="11">
        <f>AO18/($E$3+$E$5*4+$E$6)*$E$3*1000/$B$2*AD18/AG18</f>
        <v/>
      </c>
      <c r="AD18" s="11" t="n">
        <v>2.5</v>
      </c>
      <c r="AE18" s="11" t="n">
        <v>2.5</v>
      </c>
      <c r="AF18" s="11" t="n">
        <v>10.5</v>
      </c>
      <c r="AG18" s="11">
        <f>AF18+AE18+AD18</f>
        <v/>
      </c>
      <c r="AH18" s="11" t="n">
        <v>100</v>
      </c>
      <c r="AI18" s="11" t="n">
        <v>0</v>
      </c>
      <c r="AJ18" s="11" t="n">
        <v>45</v>
      </c>
      <c r="AK18" s="11" t="n">
        <v>5</v>
      </c>
      <c r="AL18" s="11" t="n">
        <v>5</v>
      </c>
      <c r="AM18" s="11">
        <f>AG18*(AH18+AI18)/1000</f>
        <v/>
      </c>
      <c r="AN18" s="11" t="n">
        <v>2.67</v>
      </c>
      <c r="AO18" s="11" t="n">
        <v>3.6</v>
      </c>
      <c r="AP18" t="s">
        <v>68</v>
      </c>
    </row>
    <row r="19" spans="1:42">
      <c r="A19" s="4" t="n">
        <v>42511</v>
      </c>
      <c r="B19" s="11">
        <f>SUM(AB19:AC19)-SUM(Y19:AA19)</f>
        <v/>
      </c>
      <c r="C19" s="5">
        <f>AVERAGE((K19-X19)/X19)</f>
        <v/>
      </c>
      <c r="D19" s="6" t="n">
        <v>0.5916666666666667</v>
      </c>
      <c r="E19" s="6" t="n">
        <v>0.6611111111111111</v>
      </c>
      <c r="F19" s="6" t="n">
        <v>0.6909722222222222</v>
      </c>
      <c r="G19" s="7" t="n">
        <v>0.0235188989448005</v>
      </c>
      <c r="H19" s="8" t="n">
        <v>7.71337896787495</v>
      </c>
      <c r="I19" s="8" t="n">
        <v>12.0581693530811</v>
      </c>
      <c r="J19" s="11" t="s">
        <v>64</v>
      </c>
      <c r="K19" s="7" t="n">
        <v>0.567043585872831</v>
      </c>
      <c r="L19" s="8" t="n">
        <v>7.67621505262498</v>
      </c>
      <c r="M19" s="8" t="n">
        <v>9.68928519457452</v>
      </c>
      <c r="N19" s="11" t="s">
        <v>64</v>
      </c>
      <c r="O19" s="7" t="n">
        <v>0.057499596353443</v>
      </c>
      <c r="P19" s="8" t="n">
        <v>7.67868748412498</v>
      </c>
      <c r="Q19" s="8" t="n">
        <v>9.4671823683202</v>
      </c>
      <c r="R19" s="11" t="s">
        <v>64</v>
      </c>
      <c r="S19">
        <f>2951.75/1000</f>
        <v/>
      </c>
      <c r="T19">
        <f>(9247.04/1000)-S19</f>
        <v/>
      </c>
      <c r="U19" t="n">
        <v>3.76</v>
      </c>
      <c r="V19">
        <f>1195.57/1000</f>
        <v/>
      </c>
      <c r="W19">
        <f>(8245.41/1000)/V19</f>
        <v/>
      </c>
      <c r="X19" t="n">
        <v>2.79</v>
      </c>
      <c r="Y19">
        <f>1422.89/1000</f>
        <v/>
      </c>
      <c r="Z19">
        <f>(7602.82/1000)-Y19</f>
        <v/>
      </c>
      <c r="AA19" t="n">
        <v>1.57</v>
      </c>
      <c r="AB19" s="11">
        <f>AN19/($E$2+$E$3+$E$4*2)*$E$3*1000/$B$2*AE19/AG19</f>
        <v/>
      </c>
      <c r="AC19" s="11">
        <f>AO19/($E$3+$E$5*4+$E$6)*$E$3*1000/$B$2*AD19/AG19</f>
        <v/>
      </c>
      <c r="AD19" s="11" t="n">
        <v>2.5</v>
      </c>
      <c r="AE19" s="11" t="n">
        <v>2.5</v>
      </c>
      <c r="AF19" s="11" t="n">
        <v>10.5</v>
      </c>
      <c r="AG19" s="11">
        <f>AF19+AE19+AD19</f>
        <v/>
      </c>
      <c r="AH19" s="11" t="n">
        <v>100</v>
      </c>
      <c r="AI19" s="11" t="n">
        <v>0</v>
      </c>
      <c r="AJ19" s="11" t="n">
        <v>45</v>
      </c>
      <c r="AK19" s="11" t="n">
        <v>5</v>
      </c>
      <c r="AL19" s="11" t="n">
        <v>5</v>
      </c>
      <c r="AM19" s="11">
        <f>AG19*(AH19+AI19)/1000</f>
        <v/>
      </c>
      <c r="AN19" s="11" t="n">
        <v>2.67</v>
      </c>
      <c r="AO19" s="11" t="n">
        <v>3.6</v>
      </c>
    </row>
    <row r="20" spans="1:42">
      <c r="A20" s="4" t="n">
        <v>42515</v>
      </c>
      <c r="B20" s="11">
        <f>SUM(AB20:AC20)-SUM(Y20:AA20)</f>
        <v/>
      </c>
      <c r="C20" s="5">
        <f>AVERAGE((K20-X20)/X20)</f>
        <v/>
      </c>
      <c r="D20" s="6" t="n">
        <v>0.5847222222222223</v>
      </c>
      <c r="E20" s="6" t="n">
        <v>0.6541666666666667</v>
      </c>
      <c r="F20" s="6" t="n">
        <v>0.6854166666666667</v>
      </c>
      <c r="G20" s="11" t="n">
        <v>0.07271510157711703</v>
      </c>
      <c r="H20" t="n">
        <v>7.26072609412449</v>
      </c>
      <c r="I20" t="n">
        <v>4.935157641898726</v>
      </c>
      <c r="J20" s="11" t="s">
        <v>64</v>
      </c>
      <c r="K20" s="11" t="n">
        <v>7.497144053336555</v>
      </c>
      <c r="L20" t="n">
        <v>9.560583426907117</v>
      </c>
      <c r="M20" t="n">
        <v>6.936536401374459</v>
      </c>
      <c r="N20" s="11" t="s">
        <v>64</v>
      </c>
      <c r="O20" s="11" t="n">
        <v>6.406634631078508</v>
      </c>
      <c r="P20" t="n">
        <v>7.300262052124372</v>
      </c>
      <c r="Q20" t="n">
        <v>5.373515285373607</v>
      </c>
      <c r="R20" s="11" t="s">
        <v>64</v>
      </c>
      <c r="S20">
        <f>(3939.76)/1000</f>
        <v/>
      </c>
      <c r="T20">
        <f>3316.64/1000</f>
        <v/>
      </c>
      <c r="U20">
        <f>1125.74/1000</f>
        <v/>
      </c>
      <c r="V20">
        <f>(6124.8-U20)/1000</f>
        <v/>
      </c>
      <c r="W20">
        <f>2882.45/1000</f>
        <v/>
      </c>
      <c r="X20">
        <f>1615.4/1000</f>
        <v/>
      </c>
      <c r="Y20">
        <f>(8098.3-X20)/1000</f>
        <v/>
      </c>
      <c r="Z20">
        <f>1648.41/1000</f>
        <v/>
      </c>
      <c r="AA20" s="11">
        <f>AM20/($E$2+$E$3+$E$4*2)*$E$3*1000/$B$2*AD20/AF20</f>
        <v/>
      </c>
      <c r="AB20" s="11">
        <f>AN20/($E$2+$E$3+$E$4*2)*$E$3*1000/$B$2*AE20/AG20</f>
        <v/>
      </c>
      <c r="AC20" s="11">
        <f>AO20/($E$3+$E$5*4+$E$6)*$E$3*1000/$B$2*AD20/AG20</f>
        <v/>
      </c>
      <c r="AD20" s="11" t="n">
        <v>2.5</v>
      </c>
      <c r="AE20" s="11" t="n">
        <v>2.5</v>
      </c>
      <c r="AF20" s="11" t="n">
        <v>10.5</v>
      </c>
      <c r="AG20" s="11">
        <f>AF20+AE20+AD20</f>
        <v/>
      </c>
      <c r="AH20" s="11" t="n">
        <v>100</v>
      </c>
      <c r="AI20" s="11" t="n">
        <v>0</v>
      </c>
      <c r="AJ20" s="11" t="n">
        <v>45</v>
      </c>
      <c r="AK20" s="11" t="n">
        <v>5</v>
      </c>
      <c r="AL20" s="11" t="n">
        <v>5</v>
      </c>
      <c r="AM20" s="11">
        <f>AG20*(AH20+AI20)/1000</f>
        <v/>
      </c>
      <c r="AN20" s="11" t="n">
        <v>2.67</v>
      </c>
      <c r="AO20" s="11" t="n">
        <v>3.6</v>
      </c>
      <c r="AP20" t="s">
        <v>69</v>
      </c>
    </row>
    <row r="21" spans="1:42">
      <c r="A21" s="4" t="n">
        <v>42517</v>
      </c>
      <c r="B21" s="11">
        <f>SUM(AB21:AC21)-SUM(Y21:AA21)</f>
        <v/>
      </c>
      <c r="C21" s="5">
        <f>AVERAGE((K21-X21)/X21)</f>
        <v/>
      </c>
      <c r="D21" s="6" t="n">
        <v>0.4930555555555556</v>
      </c>
      <c r="E21" s="6" t="n">
        <v>0.5618055555555556</v>
      </c>
      <c r="F21" s="6" t="n">
        <v>0.59375</v>
      </c>
      <c r="G21" s="11" t="n">
        <v>0.04335207054073642</v>
      </c>
      <c r="H21" t="n">
        <v>7.081612486374782</v>
      </c>
      <c r="I21" t="n">
        <v>6.595445380984454</v>
      </c>
      <c r="J21" s="11" t="s">
        <v>64</v>
      </c>
      <c r="K21" s="11" t="n">
        <v>2.20519082439559</v>
      </c>
      <c r="L21" t="n">
        <v>13.51625268626572</v>
      </c>
      <c r="M21" t="n">
        <v>6.92362067162491</v>
      </c>
      <c r="N21" s="11" t="s">
        <v>64</v>
      </c>
      <c r="O21" s="11" t="n">
        <v>0.04812852521876643</v>
      </c>
      <c r="P21" t="n">
        <v>7.086571690624977</v>
      </c>
      <c r="Q21" t="n">
        <v>6.774500784888767</v>
      </c>
      <c r="R21" s="11" t="s">
        <v>64</v>
      </c>
      <c r="S21">
        <f>2785.26/1000</f>
        <v/>
      </c>
      <c r="T21">
        <f>(8795.12/1000)-S21</f>
        <v/>
      </c>
      <c r="U21">
        <f>523.58/1000</f>
        <v/>
      </c>
      <c r="V21">
        <f>1630.5/1000</f>
        <v/>
      </c>
      <c r="W21">
        <f>(6777.25/1000)-V21</f>
        <v/>
      </c>
      <c r="X21">
        <f>2184.21/1000</f>
        <v/>
      </c>
      <c r="Y21">
        <f>1720.65/1000</f>
        <v/>
      </c>
      <c r="Z21">
        <f>(6556.67/1000)-Y21</f>
        <v/>
      </c>
      <c r="AA21">
        <f>2241.91/1000</f>
        <v/>
      </c>
      <c r="AB21" s="11">
        <f>AN21/($E$2+$E$3+$E$4*2)*$E$3*1000/$B$2*AE21/AG21</f>
        <v/>
      </c>
      <c r="AC21" s="11">
        <f>AO21/($E$3+$E$5*4+$E$6)*$E$3*1000/$B$2*AD21/AG21</f>
        <v/>
      </c>
      <c r="AD21" s="11" t="n">
        <v>2.5</v>
      </c>
      <c r="AE21" s="11" t="n">
        <v>2.5</v>
      </c>
      <c r="AF21" s="11" t="n">
        <v>10.5</v>
      </c>
      <c r="AG21" s="11">
        <f>AF21+AE21+AD21</f>
        <v/>
      </c>
      <c r="AH21" s="11" t="n">
        <v>100</v>
      </c>
      <c r="AI21" s="11" t="n">
        <v>0</v>
      </c>
      <c r="AJ21" s="11" t="n">
        <v>45</v>
      </c>
      <c r="AK21" s="11" t="n">
        <v>5</v>
      </c>
      <c r="AL21" s="11" t="n">
        <v>5</v>
      </c>
      <c r="AM21" s="11">
        <f>AG21*(AH21+AI21)/1000</f>
        <v/>
      </c>
      <c r="AN21" s="11" t="n">
        <v>2.67</v>
      </c>
      <c r="AO21" s="11" t="n">
        <v>3.6</v>
      </c>
    </row>
    <row r="22" spans="1:42">
      <c r="A22" s="4" t="n">
        <v>42522</v>
      </c>
      <c r="B22" s="11">
        <f>SUM(AB22:AC22)-SUM(Y22:AA22)</f>
        <v/>
      </c>
      <c r="C22" s="5">
        <f>AVERAGE((K22-X22)/X22)</f>
        <v/>
      </c>
      <c r="D22" s="6" t="n">
        <v>0.4826388888888889</v>
      </c>
      <c r="E22" s="6" t="n">
        <v>0.5520833333333334</v>
      </c>
      <c r="F22" s="6" t="n">
        <v>0.5833333333333334</v>
      </c>
      <c r="G22" t="n">
        <v>-0.011632222</v>
      </c>
      <c r="H22" t="n">
        <v>7.076687701124652</v>
      </c>
      <c r="I22" t="n">
        <v>3.654018353514502</v>
      </c>
      <c r="J22" s="11" t="s">
        <v>64</v>
      </c>
      <c r="K22" t="n">
        <v>2.140902049422543</v>
      </c>
      <c r="L22" t="n">
        <v>5.815472872072201</v>
      </c>
      <c r="M22" t="n">
        <v>6.875789734624737</v>
      </c>
      <c r="N22" s="11" t="s">
        <v>64</v>
      </c>
      <c r="O22" t="n">
        <v>0.0554712038046965</v>
      </c>
      <c r="P22" t="n">
        <v>7.090045141374544</v>
      </c>
      <c r="Q22" t="n">
        <v>3.083936205233944</v>
      </c>
      <c r="R22" s="11" t="s">
        <v>64</v>
      </c>
      <c r="S22">
        <f>3475.23/1000</f>
        <v/>
      </c>
      <c r="T22">
        <f>(9451.16/1000)-S22</f>
        <v/>
      </c>
      <c r="U22">
        <f>933.62/1000</f>
        <v/>
      </c>
      <c r="V22">
        <f>1468.56/1000</f>
        <v/>
      </c>
      <c r="W22">
        <f>(6185.82/1000)-V22</f>
        <v/>
      </c>
      <c r="X22">
        <f>3486.94/1000</f>
        <v/>
      </c>
      <c r="Y22">
        <f>2588.1/1000</f>
        <v/>
      </c>
      <c r="Z22">
        <f>(8105.77/1000)-Y22</f>
        <v/>
      </c>
      <c r="AA22">
        <f>4387.88/1000</f>
        <v/>
      </c>
      <c r="AB22" s="11">
        <f>AN22/($E$2+$E$3+$E$4*2)*$E$3*1000/$B$2*AE22/AG22</f>
        <v/>
      </c>
      <c r="AC22" s="11">
        <f>AO22/($E$3+$E$5*4+$E$6)*$E$3*1000/$B$2*AD22/AG22</f>
        <v/>
      </c>
      <c r="AD22" s="11" t="n">
        <v>2.5</v>
      </c>
      <c r="AE22" s="11" t="n">
        <v>2.5</v>
      </c>
      <c r="AF22" s="11" t="n">
        <v>10.5</v>
      </c>
      <c r="AG22" s="11">
        <f>AF22+AE22+AD22</f>
        <v/>
      </c>
      <c r="AH22" s="11" t="n">
        <v>100</v>
      </c>
      <c r="AI22" s="11" t="n">
        <v>0</v>
      </c>
      <c r="AJ22" s="11" t="n">
        <v>45</v>
      </c>
      <c r="AK22" s="11" t="n">
        <v>5</v>
      </c>
      <c r="AL22" s="11" t="n">
        <v>5</v>
      </c>
      <c r="AM22" s="11">
        <f>AG22*(AH22+AI22)/1000</f>
        <v/>
      </c>
      <c r="AN22" s="11" t="n">
        <v>2.67</v>
      </c>
      <c r="AO22" s="11" t="n">
        <v>3.6</v>
      </c>
    </row>
    <row r="23" spans="1:42">
      <c r="A23" s="4" t="n">
        <v>42530</v>
      </c>
      <c r="B23" s="11">
        <f>SUM(AB23:AC23)-SUM(Y23:AA23)</f>
        <v/>
      </c>
      <c r="C23" s="5">
        <f>AVERAGE((K23-X23)/X23)</f>
        <v/>
      </c>
      <c r="D23" s="6" t="n">
        <v>0.4444444444444444</v>
      </c>
      <c r="E23" s="6" t="n">
        <v>0.513888888888889</v>
      </c>
      <c r="F23" s="6" t="n">
        <v>0.545138888888889</v>
      </c>
      <c r="G23" t="n">
        <v>0.085999536</v>
      </c>
      <c r="H23" t="n">
        <v>7.203117292999999</v>
      </c>
      <c r="I23" t="n">
        <v>6.469887868</v>
      </c>
      <c r="J23" s="11" t="s">
        <v>64</v>
      </c>
      <c r="K23" t="n">
        <v>1.301216684</v>
      </c>
      <c r="L23" t="n">
        <v>9.547565911</v>
      </c>
      <c r="M23" t="n">
        <v>7.022994061</v>
      </c>
      <c r="N23" s="11" t="s">
        <v>64</v>
      </c>
      <c r="O23" t="n">
        <v>0.07075842</v>
      </c>
      <c r="P23" t="n">
        <v>7.18433886</v>
      </c>
      <c r="Q23" t="n">
        <v>5.275511768</v>
      </c>
      <c r="R23" s="11" t="s">
        <v>64</v>
      </c>
      <c r="S23">
        <f>2300.2/1000</f>
        <v/>
      </c>
      <c r="T23">
        <f>(7026.5/1000)-S23</f>
        <v/>
      </c>
      <c r="U23">
        <f>294.15/1000</f>
        <v/>
      </c>
      <c r="V23">
        <f>3227.29/1000</f>
        <v/>
      </c>
      <c r="W23">
        <f>(7681.34/1000)-V23</f>
        <v/>
      </c>
      <c r="X23">
        <f>1955.65/1000</f>
        <v/>
      </c>
      <c r="Y23">
        <f>5351.61/1000</f>
        <v/>
      </c>
      <c r="Z23">
        <f>(11289.81/1000)-Y23</f>
        <v/>
      </c>
      <c r="AA23">
        <f>6429.08/1000</f>
        <v/>
      </c>
      <c r="AB23" s="11">
        <f>AN23/($E$2+$E$3+$E$4*2)*$E$3*1000/$B$2*AE23/AG23</f>
        <v/>
      </c>
      <c r="AC23" s="11">
        <f>AO23/($E$3+$E$5*4+$E$6)*$E$3*1000/$B$2*AD23/AG23</f>
        <v/>
      </c>
      <c r="AD23" s="11" t="n">
        <v>2.5</v>
      </c>
      <c r="AE23" s="11" t="n">
        <v>2.5</v>
      </c>
      <c r="AF23" s="11" t="n">
        <v>10.5</v>
      </c>
      <c r="AG23" s="11">
        <f>AF23+AE23+AD23</f>
        <v/>
      </c>
      <c r="AH23" s="11" t="n">
        <v>100</v>
      </c>
      <c r="AI23" s="11" t="n">
        <v>0</v>
      </c>
      <c r="AJ23" s="11" t="n">
        <v>45</v>
      </c>
      <c r="AK23" s="11" t="n">
        <v>5</v>
      </c>
      <c r="AL23" s="11" t="n">
        <v>5</v>
      </c>
      <c r="AM23" s="11">
        <f>AG23*(AH23+AI23)/1000</f>
        <v/>
      </c>
      <c r="AN23" s="11" t="n">
        <v>2.67</v>
      </c>
      <c r="AO23" s="11" t="n">
        <v>3.6</v>
      </c>
    </row>
    <row r="24" spans="1:42">
      <c r="AF24" s="11" t="n"/>
    </row>
    <row r="25" spans="1:42">
      <c r="F25" s="9" t="n"/>
    </row>
    <row r="26" spans="1:42">
      <c r="F26" s="9" t="n"/>
    </row>
    <row r="27" spans="1:42">
      <c r="F27" s="10" t="n"/>
    </row>
    <row r="28" spans="1:42">
      <c r="H28" s="6" t="n"/>
      <c r="I28" s="11" t="n"/>
    </row>
    <row r="29" spans="1:42">
      <c r="H29" s="6" t="n"/>
      <c r="I29" s="11" t="n"/>
    </row>
    <row r="30" spans="1:42">
      <c r="H30" s="6" t="n"/>
      <c r="I30" s="11" t="n"/>
    </row>
  </sheetData>
  <mergeCells count="16">
    <mergeCell ref="AM12:AO12"/>
    <mergeCell ref="A1:C1"/>
    <mergeCell ref="G11:R11"/>
    <mergeCell ref="S11:AA11"/>
    <mergeCell ref="AC11:AO11"/>
    <mergeCell ref="B12:C12"/>
    <mergeCell ref="D12:F12"/>
    <mergeCell ref="G12:J12"/>
    <mergeCell ref="K12:N12"/>
    <mergeCell ref="O12:R12"/>
    <mergeCell ref="S12:U12"/>
    <mergeCell ref="V12:X12"/>
    <mergeCell ref="Y12:AA12"/>
    <mergeCell ref="AB12:AC12"/>
    <mergeCell ref="AD12:AG12"/>
    <mergeCell ref="AH12:AL12"/>
  </mergeCells>
  <pageMargins bottom="1" footer="0.5" header="0.5" left="0.75" right="0.75" top="1"/>
  <pageSetup horizontalDpi="4294967292" orientation="portrait" verticalDpi="4294967292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Reactor 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Kathryn Cogert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2016-06-16T00:19:41Z</dcterms:created>
  <dcterms:modified xmlns:dcterms="http://purl.org/dc/terms/" xmlns:xsi="http://www.w3.org/2001/XMLSchema-instance" xsi:type="dcterms:W3CDTF">2016-06-16T05:24:12Z</dcterms:modified>
  <cp:lastModifiedBy>Kathryn Cogert</cp:lastModifiedBy>
  <cp:category/>
  <cp:contentStatus/>
  <cp:version/>
  <cp:revision/>
  <cp:keywords/>
</cp:coreProperties>
</file>