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500"/>
  </bookViews>
  <sheets>
    <sheet name="Reactor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3" i="1" l="1"/>
  <c r="AM23" i="1"/>
  <c r="AC23" i="1"/>
  <c r="E2" i="1"/>
  <c r="AB23" i="1"/>
  <c r="AA23" i="1"/>
  <c r="Y23" i="1"/>
  <c r="Z23" i="1"/>
  <c r="X23" i="1"/>
  <c r="V23" i="1"/>
  <c r="W23" i="1"/>
  <c r="U23" i="1"/>
  <c r="S23" i="1"/>
  <c r="T23" i="1"/>
  <c r="C23" i="1"/>
  <c r="B23" i="1"/>
  <c r="AG22" i="1"/>
  <c r="AM22" i="1"/>
  <c r="AC22" i="1"/>
  <c r="AB22" i="1"/>
  <c r="AA22" i="1"/>
  <c r="Y22" i="1"/>
  <c r="Z22" i="1"/>
  <c r="X22" i="1"/>
  <c r="V22" i="1"/>
  <c r="W22" i="1"/>
  <c r="U22" i="1"/>
  <c r="S22" i="1"/>
  <c r="T22" i="1"/>
  <c r="C22" i="1"/>
  <c r="B22" i="1"/>
  <c r="AG21" i="1"/>
  <c r="AM21" i="1"/>
  <c r="AC21" i="1"/>
  <c r="AB21" i="1"/>
  <c r="AA21" i="1"/>
  <c r="Y21" i="1"/>
  <c r="Z21" i="1"/>
  <c r="X21" i="1"/>
  <c r="V21" i="1"/>
  <c r="W21" i="1"/>
  <c r="U21" i="1"/>
  <c r="S21" i="1"/>
  <c r="T21" i="1"/>
  <c r="C21" i="1"/>
  <c r="B21" i="1"/>
  <c r="AG20" i="1"/>
  <c r="AM20" i="1"/>
  <c r="AC20" i="1"/>
  <c r="AB20" i="1"/>
  <c r="AA20" i="1"/>
  <c r="Z20" i="1"/>
  <c r="X20" i="1"/>
  <c r="Y20" i="1"/>
  <c r="W20" i="1"/>
  <c r="U20" i="1"/>
  <c r="V20" i="1"/>
  <c r="T20" i="1"/>
  <c r="S20" i="1"/>
  <c r="C20" i="1"/>
  <c r="B20" i="1"/>
  <c r="AG19" i="1"/>
  <c r="AM19" i="1"/>
  <c r="AC19" i="1"/>
  <c r="AB19" i="1"/>
  <c r="Y19" i="1"/>
  <c r="Z19" i="1"/>
  <c r="V19" i="1"/>
  <c r="W19" i="1"/>
  <c r="S19" i="1"/>
  <c r="T19" i="1"/>
  <c r="C19" i="1"/>
  <c r="B19" i="1"/>
  <c r="AG18" i="1"/>
  <c r="AM18" i="1"/>
  <c r="AC18" i="1"/>
  <c r="AB18" i="1"/>
  <c r="T18" i="1"/>
  <c r="C18" i="1"/>
  <c r="B18" i="1"/>
  <c r="AG17" i="1"/>
  <c r="AM17" i="1"/>
  <c r="AC17" i="1"/>
  <c r="AB17" i="1"/>
  <c r="C17" i="1"/>
  <c r="B17" i="1"/>
  <c r="AG16" i="1"/>
  <c r="AM16" i="1"/>
  <c r="AC16" i="1"/>
  <c r="AB16" i="1"/>
  <c r="C16" i="1"/>
  <c r="B16" i="1"/>
  <c r="AG15" i="1"/>
  <c r="AM15" i="1"/>
  <c r="AC15" i="1"/>
  <c r="AB15" i="1"/>
  <c r="C15" i="1"/>
  <c r="B15" i="1"/>
  <c r="AG14" i="1"/>
  <c r="AM14" i="1"/>
  <c r="AC14" i="1"/>
  <c r="AB14" i="1"/>
  <c r="C14" i="1"/>
  <c r="B14" i="1"/>
</calcChain>
</file>

<file path=xl/sharedStrings.xml><?xml version="1.0" encoding="utf-8"?>
<sst xmlns="http://schemas.openxmlformats.org/spreadsheetml/2006/main" count="131" uniqueCount="70">
  <si>
    <t>Constants</t>
  </si>
  <si>
    <t>MWs</t>
  </si>
  <si>
    <t>Media Bottle Volume</t>
  </si>
  <si>
    <t>L</t>
  </si>
  <si>
    <t>Na</t>
  </si>
  <si>
    <t>N</t>
  </si>
  <si>
    <t>O</t>
  </si>
  <si>
    <t>H</t>
  </si>
  <si>
    <t>Cl</t>
  </si>
  <si>
    <t>Measured by Probe</t>
  </si>
  <si>
    <t>Measured by Gallery</t>
  </si>
  <si>
    <t>Relative Constants</t>
  </si>
  <si>
    <t>Calculations</t>
  </si>
  <si>
    <t>Time Stamps</t>
  </si>
  <si>
    <t>Begin</t>
  </si>
  <si>
    <t>End of Anaerobic</t>
  </si>
  <si>
    <t>End of Aerobic</t>
  </si>
  <si>
    <t>End of Aeration</t>
  </si>
  <si>
    <t>Calculated Influent Concentration</t>
  </si>
  <si>
    <t>Pump Flowrates</t>
  </si>
  <si>
    <t>Cycle Timing</t>
  </si>
  <si>
    <t>Other</t>
  </si>
  <si>
    <t>Date</t>
  </si>
  <si>
    <t>Total N Rem/Cycle (mgN/L) 
Calculations</t>
  </si>
  <si>
    <t>NH4 Probe Error %
Calculations</t>
  </si>
  <si>
    <t>Begin
Timestamps</t>
  </si>
  <si>
    <t>End of Anaerobic
Timestamps</t>
  </si>
  <si>
    <t>End of Aerobic
Timestamps</t>
  </si>
  <si>
    <t>DO (mg/L)
Probe - Begin</t>
  </si>
  <si>
    <t>pH
Probe - Begin</t>
  </si>
  <si>
    <t>NH4+ (mgN/L)
Probe - Begin</t>
  </si>
  <si>
    <t>DO (mg/L)
Probe - End of Anaerobic</t>
  </si>
  <si>
    <t>NH4+ (mgN/L)
Probe - End of Anaerobic</t>
  </si>
  <si>
    <t>pH
Probe - End of Anaerobic</t>
  </si>
  <si>
    <t>DO (mg/L)
Probe - End of Aerobic</t>
  </si>
  <si>
    <t>pH
Probe - End of Aerobic</t>
  </si>
  <si>
    <t>NH4+ (mgN/L)
Probe - End of Aerobic</t>
  </si>
  <si>
    <t>NO2- (mgN/L)
Gallery - Begin</t>
  </si>
  <si>
    <t>NO3- (mgN/L)
Gallery - Begin</t>
  </si>
  <si>
    <t>NH4+ (mgN/L)
Gallery - Begin</t>
  </si>
  <si>
    <t>NO2- (mgN/L)
Gallery - End of Anaerobic</t>
  </si>
  <si>
    <t>NO3- (mgN/L)
Gallery - End of Anaerobic</t>
  </si>
  <si>
    <t>NH4+ (mgN/L)
Gallery - End of Anaerobic</t>
  </si>
  <si>
    <t>NO2- (mgN/L)
Gallery - End of Aerobic</t>
  </si>
  <si>
    <t>NO3- (mgN/L)
Gallery - End of Aerobic</t>
  </si>
  <si>
    <t>NH4+ (mgN/L)
Gallery - End of Aerobic</t>
  </si>
  <si>
    <t>NO2- In (mgN/L)
Calculated Influent Concentration</t>
  </si>
  <si>
    <t>NH4+ In (mgN/L)
Calculated Influent Concentration</t>
  </si>
  <si>
    <t>N Media In (ml/min)
Calculated Influent Concentration</t>
  </si>
  <si>
    <t>C Media In (ml/min)
Pump Flowrates</t>
  </si>
  <si>
    <t>Water In (ml/min)
Pump Flowrates</t>
  </si>
  <si>
    <t>Flowrate In (ml/min)
Pump Flowrates</t>
  </si>
  <si>
    <t>Plug Flow (min)
Cycle Timing</t>
  </si>
  <si>
    <t>Feed+Aerate (min)
Cycle Timing</t>
  </si>
  <si>
    <t>Aerate (min)
Cycle Timing</t>
  </si>
  <si>
    <t>Settle (min)
Cycle Timing</t>
  </si>
  <si>
    <t>Decant (min)
Cycle Timing</t>
  </si>
  <si>
    <t>Influent Volume (L)
Other</t>
  </si>
  <si>
    <t>NaNO2 in Media (g)
Other</t>
  </si>
  <si>
    <t>NH4Cl in Media (g)
Other</t>
  </si>
  <si>
    <t>Comments</t>
  </si>
  <si>
    <t>#N/A</t>
  </si>
  <si>
    <t>Need to recalibrate nitrate in the gallery.  Ammonium Probe out of range, don't trust those readings.</t>
  </si>
  <si>
    <t>Forgot to record ammonium probe vals</t>
  </si>
  <si>
    <t>negative</t>
  </si>
  <si>
    <t>Recalibrated Probe</t>
  </si>
  <si>
    <t>Added additional biomass</t>
  </si>
  <si>
    <t>ORP (mV)
Probe - Begin</t>
  </si>
  <si>
    <t>ORP (mV)
Probe - End of Aerobic</t>
  </si>
  <si>
    <t>ORP (mV)
Probe - End of Anaerobic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</si>
</sst>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[$-409]d\-mmm\-yyyy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20" fontId="0" fillId="0" borderId="0" xfId="0" applyNumberForma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/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abSelected="1" workbookViewId="0">
      <selection activeCell="G23" sqref="G23"/>
    </sheetView>
  </sheetViews>
  <sheetFormatPr baseColWidth="10" defaultRowHeight="15" x14ac:dyDescent="0"/>
  <cols>
    <col min="1" max="1" width="18.5" customWidth="1"/>
    <col min="2" max="2" width="19.5" customWidth="1"/>
    <col min="3" max="3" width="14.5" customWidth="1"/>
    <col min="4" max="4" width="14" customWidth="1"/>
    <col min="5" max="5" width="11.5" customWidth="1"/>
    <col min="6" max="6" width="12.33203125" customWidth="1"/>
    <col min="7" max="7" width="12.83203125" customWidth="1"/>
    <col min="8" max="21" width="10.5" customWidth="1"/>
    <col min="22" max="23" width="16" customWidth="1"/>
    <col min="24" max="24" width="13.83203125" customWidth="1"/>
    <col min="25" max="27" width="10.5" customWidth="1"/>
    <col min="28" max="28" width="13.5" customWidth="1"/>
    <col min="29" max="29" width="14.83203125" customWidth="1"/>
    <col min="30" max="30" width="17.83203125" customWidth="1"/>
    <col min="31" max="31" width="17.5" customWidth="1"/>
    <col min="32" max="32" width="16.83203125" customWidth="1"/>
    <col min="33" max="33" width="17.33203125" customWidth="1"/>
    <col min="34" max="34" width="16.5" customWidth="1"/>
    <col min="35" max="42" width="10.5" customWidth="1"/>
    <col min="43" max="52" width="13.5" customWidth="1"/>
  </cols>
  <sheetData>
    <row r="1" spans="1:42">
      <c r="A1" s="14" t="s">
        <v>0</v>
      </c>
      <c r="B1" s="13"/>
      <c r="C1" s="13"/>
      <c r="D1" t="s">
        <v>1</v>
      </c>
    </row>
    <row r="2" spans="1:42">
      <c r="A2" t="s">
        <v>2</v>
      </c>
      <c r="B2">
        <v>10</v>
      </c>
      <c r="C2" t="s">
        <v>3</v>
      </c>
      <c r="D2" t="s">
        <v>4</v>
      </c>
      <c r="E2">
        <f>23</f>
        <v>23</v>
      </c>
    </row>
    <row r="3" spans="1:42">
      <c r="D3" t="s">
        <v>5</v>
      </c>
      <c r="E3">
        <v>14</v>
      </c>
    </row>
    <row r="4" spans="1:42">
      <c r="D4" t="s">
        <v>6</v>
      </c>
      <c r="E4">
        <v>16</v>
      </c>
    </row>
    <row r="5" spans="1:42">
      <c r="D5" t="s">
        <v>7</v>
      </c>
      <c r="E5">
        <v>1</v>
      </c>
    </row>
    <row r="6" spans="1:42">
      <c r="D6" t="s">
        <v>8</v>
      </c>
      <c r="E6">
        <v>35</v>
      </c>
    </row>
    <row r="11" spans="1:42">
      <c r="A11" s="1"/>
      <c r="B11" s="1"/>
      <c r="C11" s="1"/>
      <c r="D11" s="1"/>
      <c r="E11" s="1"/>
      <c r="F11" s="1"/>
      <c r="G11" s="12" t="s">
        <v>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 t="s">
        <v>10</v>
      </c>
      <c r="T11" s="13"/>
      <c r="U11" s="13"/>
      <c r="V11" s="13"/>
      <c r="W11" s="13"/>
      <c r="X11" s="13"/>
      <c r="Y11" s="13"/>
      <c r="Z11" s="13"/>
      <c r="AA11" s="13"/>
      <c r="AB11" s="2"/>
      <c r="AC11" s="12" t="s">
        <v>11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2">
      <c r="A12" s="1"/>
      <c r="B12" s="12" t="s">
        <v>12</v>
      </c>
      <c r="C12" s="13"/>
      <c r="D12" s="12" t="s">
        <v>13</v>
      </c>
      <c r="E12" s="13"/>
      <c r="F12" s="13"/>
      <c r="G12" s="14" t="s">
        <v>14</v>
      </c>
      <c r="H12" s="13"/>
      <c r="I12" s="13"/>
      <c r="J12" s="13"/>
      <c r="K12" s="14" t="s">
        <v>15</v>
      </c>
      <c r="L12" s="13"/>
      <c r="M12" s="13"/>
      <c r="N12" s="13"/>
      <c r="O12" s="14" t="s">
        <v>16</v>
      </c>
      <c r="P12" s="13"/>
      <c r="Q12" s="13"/>
      <c r="R12" s="13"/>
      <c r="S12" s="12" t="s">
        <v>14</v>
      </c>
      <c r="T12" s="13"/>
      <c r="U12" s="13"/>
      <c r="V12" s="12" t="s">
        <v>15</v>
      </c>
      <c r="W12" s="13"/>
      <c r="X12" s="13"/>
      <c r="Y12" s="12" t="s">
        <v>17</v>
      </c>
      <c r="Z12" s="13"/>
      <c r="AA12" s="13"/>
      <c r="AB12" s="12" t="s">
        <v>18</v>
      </c>
      <c r="AC12" s="13"/>
      <c r="AD12" s="12" t="s">
        <v>19</v>
      </c>
      <c r="AE12" s="13"/>
      <c r="AF12" s="13"/>
      <c r="AG12" s="13"/>
      <c r="AH12" s="12" t="s">
        <v>20</v>
      </c>
      <c r="AI12" s="13"/>
      <c r="AJ12" s="13"/>
      <c r="AK12" s="13"/>
      <c r="AL12" s="13"/>
      <c r="AM12" s="12" t="s">
        <v>21</v>
      </c>
      <c r="AN12" s="13"/>
      <c r="AO12" s="13"/>
      <c r="AP12" s="1"/>
    </row>
    <row r="13" spans="1:42" ht="15" customHeight="1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t="s">
        <v>29</v>
      </c>
      <c r="I13" s="1" t="s">
        <v>30</v>
      </c>
      <c r="J13" s="11" t="s">
        <v>67</v>
      </c>
      <c r="K13" s="1" t="s">
        <v>31</v>
      </c>
      <c r="L13" s="1" t="s">
        <v>32</v>
      </c>
      <c r="M13" s="1" t="s">
        <v>33</v>
      </c>
      <c r="N13" s="3" t="s">
        <v>69</v>
      </c>
      <c r="O13" s="1" t="s">
        <v>34</v>
      </c>
      <c r="P13" t="s">
        <v>35</v>
      </c>
      <c r="Q13" s="1" t="s">
        <v>36</v>
      </c>
      <c r="R13" s="3" t="s">
        <v>68</v>
      </c>
      <c r="S13" s="1" t="s">
        <v>37</v>
      </c>
      <c r="T13" s="1" t="s">
        <v>38</v>
      </c>
      <c r="U13" s="1" t="s">
        <v>39</v>
      </c>
      <c r="V13" s="3" t="s">
        <v>40</v>
      </c>
      <c r="W13" s="3" t="s">
        <v>41</v>
      </c>
      <c r="X13" s="3" t="s">
        <v>42</v>
      </c>
      <c r="Y13" s="1" t="s">
        <v>43</v>
      </c>
      <c r="Z13" s="1" t="s">
        <v>44</v>
      </c>
      <c r="AA13" s="1" t="s">
        <v>45</v>
      </c>
      <c r="AB13" s="1" t="s">
        <v>46</v>
      </c>
      <c r="AC13" s="1" t="s">
        <v>47</v>
      </c>
      <c r="AD13" s="1" t="s">
        <v>48</v>
      </c>
      <c r="AE13" s="1" t="s">
        <v>49</v>
      </c>
      <c r="AF13" s="1" t="s">
        <v>50</v>
      </c>
      <c r="AG13" s="1" t="s">
        <v>51</v>
      </c>
      <c r="AH13" s="1" t="s">
        <v>52</v>
      </c>
      <c r="AI13" s="1" t="s">
        <v>53</v>
      </c>
      <c r="AJ13" s="1" t="s">
        <v>54</v>
      </c>
      <c r="AK13" s="1" t="s">
        <v>55</v>
      </c>
      <c r="AL13" s="1" t="s">
        <v>56</v>
      </c>
      <c r="AM13" s="1" t="s">
        <v>57</v>
      </c>
      <c r="AN13" s="1" t="s">
        <v>58</v>
      </c>
      <c r="AO13" s="1" t="s">
        <v>59</v>
      </c>
      <c r="AP13" s="1" t="s">
        <v>60</v>
      </c>
    </row>
    <row r="14" spans="1:42">
      <c r="A14" s="4">
        <v>42474</v>
      </c>
      <c r="B14" s="1">
        <f t="shared" ref="B14:B23" si="0">SUM(AB14:AC14)-SUM(Y14:AA14)</f>
        <v>39.455926327767337</v>
      </c>
      <c r="C14" s="5">
        <f t="shared" ref="C14:C23" si="1">AVERAGE((K14-X14)/X14)</f>
        <v>-1.0025987161069692</v>
      </c>
      <c r="D14" s="6">
        <v>0.4826388888888889</v>
      </c>
      <c r="E14" s="6">
        <v>0.55555555555555558</v>
      </c>
      <c r="F14" s="6">
        <v>0.60763888888888895</v>
      </c>
      <c r="G14" s="7">
        <v>0.81195640724656903</v>
      </c>
      <c r="H14" s="7">
        <v>7.39677579637537</v>
      </c>
      <c r="I14" s="7">
        <v>0.29999854836658002</v>
      </c>
      <c r="J14" s="1" t="s">
        <v>61</v>
      </c>
      <c r="K14" s="7">
        <v>-5.6865105852700902E-2</v>
      </c>
      <c r="L14" s="7">
        <v>0.300000229184405</v>
      </c>
      <c r="M14" s="7">
        <v>7.1516809656252596</v>
      </c>
      <c r="N14" s="1" t="s">
        <v>61</v>
      </c>
      <c r="O14" s="7">
        <v>0.85739339057080899</v>
      </c>
      <c r="P14" s="7">
        <v>7.4403473821252701</v>
      </c>
      <c r="Q14" s="7">
        <v>0.299998549225445</v>
      </c>
      <c r="R14" s="1" t="s">
        <v>61</v>
      </c>
      <c r="S14">
        <v>1.66855</v>
      </c>
      <c r="T14">
        <v>-33402.5</v>
      </c>
      <c r="U14">
        <v>21.187200000000001</v>
      </c>
      <c r="V14">
        <v>2.7370999999999999</v>
      </c>
      <c r="W14">
        <v>10.587999999999999</v>
      </c>
      <c r="X14">
        <v>21.882000000000001</v>
      </c>
      <c r="Y14" t="s">
        <v>61</v>
      </c>
      <c r="Z14" t="s">
        <v>61</v>
      </c>
      <c r="AA14" t="s">
        <v>61</v>
      </c>
      <c r="AB14" s="1">
        <f t="shared" ref="AB14:AB23" si="2">AN14/($E$2+$E$3+$E$4*2)*$E$3*1000/$B$2*AE14/AG14</f>
        <v>8.73772791023843</v>
      </c>
      <c r="AC14" s="1">
        <f t="shared" ref="AC14:AC23" si="3">AO14/($E$3+$E$5*4+$E$6)*$E$3*1000/$B$2*AD14/AG14</f>
        <v>30.718198417528907</v>
      </c>
      <c r="AD14" s="1">
        <v>2.5</v>
      </c>
      <c r="AE14" s="1">
        <v>2.5</v>
      </c>
      <c r="AF14" s="1">
        <v>10.5</v>
      </c>
      <c r="AG14" s="1">
        <f t="shared" ref="AG14:AG23" si="4">AF14+AE14+AD14</f>
        <v>15.5</v>
      </c>
      <c r="AH14" s="1">
        <v>100</v>
      </c>
      <c r="AI14" s="1">
        <v>0</v>
      </c>
      <c r="AJ14" s="1">
        <v>45</v>
      </c>
      <c r="AK14" s="1">
        <v>5</v>
      </c>
      <c r="AL14" s="1">
        <v>5</v>
      </c>
      <c r="AM14" s="1">
        <f t="shared" ref="AM14:AM23" si="5">AG14*(AH14+AI14)/1000</f>
        <v>1.55</v>
      </c>
      <c r="AN14" s="1">
        <v>2.67</v>
      </c>
      <c r="AO14" s="1">
        <v>7.21</v>
      </c>
      <c r="AP14" t="s">
        <v>62</v>
      </c>
    </row>
    <row r="15" spans="1:42">
      <c r="A15" s="4">
        <v>42489</v>
      </c>
      <c r="B15" s="1">
        <f t="shared" si="0"/>
        <v>16.834766327767337</v>
      </c>
      <c r="C15" s="5" t="e">
        <f t="shared" si="1"/>
        <v>#VALUE!</v>
      </c>
      <c r="D15" s="6">
        <v>0.4513888888888889</v>
      </c>
      <c r="E15" s="6">
        <v>0.52083333333333337</v>
      </c>
      <c r="F15" s="6">
        <v>0.55208333333333337</v>
      </c>
      <c r="G15" s="1" t="s">
        <v>61</v>
      </c>
      <c r="H15" s="1" t="s">
        <v>61</v>
      </c>
      <c r="I15" s="1" t="s">
        <v>61</v>
      </c>
      <c r="J15" s="1" t="s">
        <v>61</v>
      </c>
      <c r="K15" s="1" t="s">
        <v>61</v>
      </c>
      <c r="L15" s="1" t="s">
        <v>61</v>
      </c>
      <c r="M15" s="1" t="s">
        <v>61</v>
      </c>
      <c r="N15" s="1" t="s">
        <v>61</v>
      </c>
      <c r="O15" s="1" t="s">
        <v>61</v>
      </c>
      <c r="P15" s="1" t="s">
        <v>61</v>
      </c>
      <c r="Q15" s="1" t="s">
        <v>61</v>
      </c>
      <c r="R15" s="1" t="s">
        <v>61</v>
      </c>
      <c r="S15">
        <v>2.1694499999999999</v>
      </c>
      <c r="T15">
        <v>1.1305499999999999</v>
      </c>
      <c r="U15">
        <v>13.75</v>
      </c>
      <c r="V15">
        <v>1.57501</v>
      </c>
      <c r="W15">
        <v>0.87223000000000006</v>
      </c>
      <c r="X15">
        <v>17.64</v>
      </c>
      <c r="Y15">
        <v>3.1569600000000002</v>
      </c>
      <c r="Z15">
        <v>1.5542</v>
      </c>
      <c r="AA15">
        <v>17.91</v>
      </c>
      <c r="AB15" s="1">
        <f t="shared" si="2"/>
        <v>8.73772791023843</v>
      </c>
      <c r="AC15" s="1">
        <f t="shared" si="3"/>
        <v>30.718198417528907</v>
      </c>
      <c r="AD15" s="1">
        <v>2.5</v>
      </c>
      <c r="AE15" s="1">
        <v>2.5</v>
      </c>
      <c r="AF15" s="1">
        <v>10.5</v>
      </c>
      <c r="AG15" s="1">
        <f t="shared" si="4"/>
        <v>15.5</v>
      </c>
      <c r="AH15" s="1">
        <v>100</v>
      </c>
      <c r="AI15" s="1">
        <v>0</v>
      </c>
      <c r="AJ15" s="1">
        <v>45</v>
      </c>
      <c r="AK15" s="1">
        <v>5</v>
      </c>
      <c r="AL15" s="1">
        <v>5</v>
      </c>
      <c r="AM15" s="1">
        <f t="shared" si="5"/>
        <v>1.55</v>
      </c>
      <c r="AN15" s="1">
        <v>2.67</v>
      </c>
      <c r="AO15" s="1">
        <v>7.21</v>
      </c>
      <c r="AP15" t="s">
        <v>63</v>
      </c>
    </row>
    <row r="16" spans="1:42">
      <c r="A16" s="4">
        <v>42495</v>
      </c>
      <c r="B16" s="1">
        <f t="shared" si="0"/>
        <v>10.304756327767336</v>
      </c>
      <c r="C16" s="5" t="e">
        <f t="shared" si="1"/>
        <v>#VALUE!</v>
      </c>
      <c r="D16" s="6">
        <v>0.48541666666666672</v>
      </c>
      <c r="E16" s="6">
        <v>0.55208333333333337</v>
      </c>
      <c r="F16" s="6">
        <v>0.58333333333333337</v>
      </c>
      <c r="G16" s="1" t="s">
        <v>61</v>
      </c>
      <c r="H16" s="1" t="s">
        <v>61</v>
      </c>
      <c r="I16" s="1" t="s">
        <v>61</v>
      </c>
      <c r="J16" s="1" t="s">
        <v>61</v>
      </c>
      <c r="K16" s="1" t="s">
        <v>61</v>
      </c>
      <c r="L16" s="1" t="s">
        <v>61</v>
      </c>
      <c r="M16" s="1" t="s">
        <v>61</v>
      </c>
      <c r="N16" s="1" t="s">
        <v>61</v>
      </c>
      <c r="O16" s="1" t="s">
        <v>61</v>
      </c>
      <c r="P16" s="1" t="s">
        <v>61</v>
      </c>
      <c r="Q16" s="1" t="s">
        <v>61</v>
      </c>
      <c r="R16" s="1" t="s">
        <v>61</v>
      </c>
      <c r="S16">
        <v>4.2024300000000014</v>
      </c>
      <c r="T16">
        <v>2.15272</v>
      </c>
      <c r="U16">
        <v>23.154630000000001</v>
      </c>
      <c r="V16">
        <v>2.6710799999999999</v>
      </c>
      <c r="W16">
        <v>1.5168200000000001</v>
      </c>
      <c r="X16">
        <v>24.193380000000001</v>
      </c>
      <c r="Y16">
        <v>3.8166199999999999</v>
      </c>
      <c r="Z16">
        <v>1.9466399999999999</v>
      </c>
      <c r="AA16">
        <v>23.387910000000002</v>
      </c>
      <c r="AB16" s="1">
        <f t="shared" si="2"/>
        <v>8.73772791023843</v>
      </c>
      <c r="AC16" s="1">
        <f t="shared" si="3"/>
        <v>30.718198417528907</v>
      </c>
      <c r="AD16" s="1">
        <v>2.5</v>
      </c>
      <c r="AE16" s="1">
        <v>2.5</v>
      </c>
      <c r="AF16" s="1">
        <v>10.5</v>
      </c>
      <c r="AG16" s="1">
        <f t="shared" si="4"/>
        <v>15.5</v>
      </c>
      <c r="AH16" s="1">
        <v>100</v>
      </c>
      <c r="AI16" s="1">
        <v>0</v>
      </c>
      <c r="AJ16" s="1">
        <v>45</v>
      </c>
      <c r="AK16" s="1">
        <v>5</v>
      </c>
      <c r="AL16" s="1">
        <v>5</v>
      </c>
      <c r="AM16" s="1">
        <f t="shared" si="5"/>
        <v>1.55</v>
      </c>
      <c r="AN16" s="1">
        <v>2.67</v>
      </c>
      <c r="AO16" s="1">
        <v>7.21</v>
      </c>
      <c r="AP16" t="s">
        <v>63</v>
      </c>
    </row>
    <row r="17" spans="1:42">
      <c r="A17" s="4">
        <v>42502</v>
      </c>
      <c r="B17" s="1">
        <f t="shared" si="0"/>
        <v>15.46804462356771</v>
      </c>
      <c r="C17" s="5">
        <f t="shared" si="1"/>
        <v>-0.97171957751391824</v>
      </c>
      <c r="D17" s="6">
        <v>0.4</v>
      </c>
      <c r="E17" s="6">
        <v>0.4694444444444445</v>
      </c>
      <c r="F17" s="6">
        <v>0.50069444444444444</v>
      </c>
      <c r="G17" s="7">
        <v>5.6167823471499199E-2</v>
      </c>
      <c r="H17" s="7">
        <v>7.14767402037557</v>
      </c>
      <c r="I17" s="7">
        <v>53.122964744142799</v>
      </c>
      <c r="J17" s="1" t="s">
        <v>61</v>
      </c>
      <c r="K17" s="7">
        <v>0.119071042422724</v>
      </c>
      <c r="L17" s="7">
        <v>6.9461851943756603</v>
      </c>
      <c r="M17" s="7">
        <v>61.646521455459698</v>
      </c>
      <c r="N17" s="1" t="s">
        <v>61</v>
      </c>
      <c r="O17" s="7">
        <v>0.57561047107580798</v>
      </c>
      <c r="P17" s="7">
        <v>7.1559546581257596</v>
      </c>
      <c r="Q17" s="7">
        <v>52.2335964921919</v>
      </c>
      <c r="R17" s="1" t="s">
        <v>61</v>
      </c>
      <c r="S17">
        <v>1.73272</v>
      </c>
      <c r="T17">
        <v>0.99147000000000007</v>
      </c>
      <c r="U17">
        <v>4.3559999999999999</v>
      </c>
      <c r="V17">
        <v>2.2980999999999998</v>
      </c>
      <c r="W17">
        <v>1.2826200000000001</v>
      </c>
      <c r="X17">
        <v>4.2103700000000002</v>
      </c>
      <c r="Y17">
        <v>3.44218</v>
      </c>
      <c r="Z17">
        <v>1.7614399999999999</v>
      </c>
      <c r="AA17">
        <v>3.4038599999999999</v>
      </c>
      <c r="AB17" s="1">
        <f t="shared" si="2"/>
        <v>8.73772791023843</v>
      </c>
      <c r="AC17" s="1">
        <f t="shared" si="3"/>
        <v>15.337796713329277</v>
      </c>
      <c r="AD17" s="1">
        <v>2.5</v>
      </c>
      <c r="AE17" s="1">
        <v>2.5</v>
      </c>
      <c r="AF17" s="1">
        <v>10.5</v>
      </c>
      <c r="AG17" s="1">
        <f t="shared" si="4"/>
        <v>15.5</v>
      </c>
      <c r="AH17" s="1">
        <v>100</v>
      </c>
      <c r="AI17" s="1">
        <v>0</v>
      </c>
      <c r="AJ17" s="1">
        <v>45</v>
      </c>
      <c r="AK17" s="1">
        <v>5</v>
      </c>
      <c r="AL17" s="1">
        <v>5</v>
      </c>
      <c r="AM17" s="1">
        <f t="shared" si="5"/>
        <v>1.55</v>
      </c>
      <c r="AN17" s="1">
        <v>2.67</v>
      </c>
      <c r="AO17" s="1">
        <v>3.6</v>
      </c>
      <c r="AP17" t="s">
        <v>63</v>
      </c>
    </row>
    <row r="18" spans="1:42">
      <c r="A18" s="4">
        <v>42510</v>
      </c>
      <c r="B18" s="1">
        <f t="shared" si="0"/>
        <v>24.075524623567709</v>
      </c>
      <c r="C18" s="5" t="e">
        <f t="shared" si="1"/>
        <v>#VALUE!</v>
      </c>
      <c r="D18" s="6">
        <v>0.50416666666666665</v>
      </c>
      <c r="E18" s="6">
        <v>0.57361111111111118</v>
      </c>
      <c r="F18" s="6">
        <v>0.60486111111111118</v>
      </c>
      <c r="G18" s="7">
        <v>-1.34377986442473E-2</v>
      </c>
      <c r="H18" s="8">
        <v>7.7065697423743504</v>
      </c>
      <c r="I18" s="8">
        <v>10.422276165970001</v>
      </c>
      <c r="J18" s="1" t="s">
        <v>61</v>
      </c>
      <c r="K18" s="7">
        <v>0.58179809278946204</v>
      </c>
      <c r="L18" s="8">
        <v>7.6867415301246798</v>
      </c>
      <c r="M18" s="8">
        <v>10.107440625020001</v>
      </c>
      <c r="N18" s="1" t="s">
        <v>61</v>
      </c>
      <c r="O18" s="7">
        <v>5.7929861439351499E-2</v>
      </c>
      <c r="P18" s="8">
        <v>7.2353564228747196</v>
      </c>
      <c r="Q18" s="8">
        <v>10.9331491214765</v>
      </c>
      <c r="R18" s="1" t="s">
        <v>61</v>
      </c>
      <c r="S18" t="s">
        <v>61</v>
      </c>
      <c r="T18">
        <f>4795.84/1000</f>
        <v>4.7958400000000001</v>
      </c>
      <c r="U18" t="s">
        <v>61</v>
      </c>
      <c r="V18" t="s">
        <v>64</v>
      </c>
      <c r="W18" t="s">
        <v>61</v>
      </c>
      <c r="X18" t="s">
        <v>61</v>
      </c>
      <c r="Y18" t="s">
        <v>61</v>
      </c>
      <c r="Z18" t="s">
        <v>61</v>
      </c>
      <c r="AA18" t="s">
        <v>61</v>
      </c>
      <c r="AB18" s="1">
        <f t="shared" si="2"/>
        <v>8.73772791023843</v>
      </c>
      <c r="AC18" s="1">
        <f t="shared" si="3"/>
        <v>15.337796713329277</v>
      </c>
      <c r="AD18" s="1">
        <v>2.5</v>
      </c>
      <c r="AE18" s="1">
        <v>2.5</v>
      </c>
      <c r="AF18" s="1">
        <v>10.5</v>
      </c>
      <c r="AG18" s="1">
        <f t="shared" si="4"/>
        <v>15.5</v>
      </c>
      <c r="AH18" s="1">
        <v>100</v>
      </c>
      <c r="AI18" s="1">
        <v>0</v>
      </c>
      <c r="AJ18" s="1">
        <v>45</v>
      </c>
      <c r="AK18" s="1">
        <v>5</v>
      </c>
      <c r="AL18" s="1">
        <v>5</v>
      </c>
      <c r="AM18" s="1">
        <f t="shared" si="5"/>
        <v>1.55</v>
      </c>
      <c r="AN18" s="1">
        <v>2.67</v>
      </c>
      <c r="AO18" s="1">
        <v>3.6</v>
      </c>
      <c r="AP18" t="s">
        <v>65</v>
      </c>
    </row>
    <row r="19" spans="1:42">
      <c r="A19" s="4">
        <v>42511</v>
      </c>
      <c r="B19" s="1">
        <f t="shared" si="0"/>
        <v>14.902704623567709</v>
      </c>
      <c r="C19" s="5">
        <f t="shared" si="1"/>
        <v>-0.79675857137174511</v>
      </c>
      <c r="D19" s="6">
        <v>0.59166666666666667</v>
      </c>
      <c r="E19" s="6">
        <v>0.66111111111111109</v>
      </c>
      <c r="F19" s="6">
        <v>0.69097222222222221</v>
      </c>
      <c r="G19" s="7">
        <v>2.3518898944800502E-2</v>
      </c>
      <c r="H19" s="8">
        <v>7.7133789678749496</v>
      </c>
      <c r="I19" s="8">
        <v>12.0581693530811</v>
      </c>
      <c r="J19" s="1" t="s">
        <v>61</v>
      </c>
      <c r="K19" s="7">
        <v>0.56704358587283099</v>
      </c>
      <c r="L19" s="8">
        <v>7.6762150526249799</v>
      </c>
      <c r="M19" s="8">
        <v>9.68928519457452</v>
      </c>
      <c r="N19" s="1" t="s">
        <v>61</v>
      </c>
      <c r="O19" s="7">
        <v>5.7499596353442997E-2</v>
      </c>
      <c r="P19" s="8">
        <v>7.6786874841249801</v>
      </c>
      <c r="Q19" s="8">
        <v>9.4671823683202003</v>
      </c>
      <c r="R19" s="1" t="s">
        <v>61</v>
      </c>
      <c r="S19">
        <f>2951.75/1000</f>
        <v>2.9517500000000001</v>
      </c>
      <c r="T19">
        <f>(9247.04/1000)-S19</f>
        <v>6.2952899999999996</v>
      </c>
      <c r="U19">
        <v>3.76</v>
      </c>
      <c r="V19">
        <f>1195.57/1000</f>
        <v>1.19557</v>
      </c>
      <c r="W19">
        <f>(8245.41/1000)/V19</f>
        <v>6.8966350778289849</v>
      </c>
      <c r="X19">
        <v>2.79</v>
      </c>
      <c r="Y19">
        <f>1422.89/1000</f>
        <v>1.4228900000000002</v>
      </c>
      <c r="Z19">
        <f>(7602.82/1000)-Y19</f>
        <v>6.1799299999999988</v>
      </c>
      <c r="AA19">
        <v>1.57</v>
      </c>
      <c r="AB19" s="1">
        <f t="shared" si="2"/>
        <v>8.73772791023843</v>
      </c>
      <c r="AC19" s="1">
        <f t="shared" si="3"/>
        <v>15.337796713329277</v>
      </c>
      <c r="AD19" s="1">
        <v>2.5</v>
      </c>
      <c r="AE19" s="1">
        <v>2.5</v>
      </c>
      <c r="AF19" s="1">
        <v>10.5</v>
      </c>
      <c r="AG19" s="1">
        <f t="shared" si="4"/>
        <v>15.5</v>
      </c>
      <c r="AH19" s="1">
        <v>100</v>
      </c>
      <c r="AI19" s="1">
        <v>0</v>
      </c>
      <c r="AJ19" s="1">
        <v>45</v>
      </c>
      <c r="AK19" s="1">
        <v>5</v>
      </c>
      <c r="AL19" s="1">
        <v>5</v>
      </c>
      <c r="AM19" s="1">
        <f t="shared" si="5"/>
        <v>1.55</v>
      </c>
      <c r="AN19" s="1">
        <v>2.67</v>
      </c>
      <c r="AO19" s="1">
        <v>3.6</v>
      </c>
    </row>
    <row r="20" spans="1:42">
      <c r="A20" s="4">
        <v>42515</v>
      </c>
      <c r="B20" s="1">
        <f t="shared" si="0"/>
        <v>6.842507318253702</v>
      </c>
      <c r="C20" s="5">
        <f t="shared" si="1"/>
        <v>3.6410449754466723</v>
      </c>
      <c r="D20" s="6">
        <v>0.58472222222222225</v>
      </c>
      <c r="E20" s="6">
        <v>0.65416666666666667</v>
      </c>
      <c r="F20" s="6">
        <v>0.68541666666666667</v>
      </c>
      <c r="G20" s="1">
        <v>7.2715101577117025E-2</v>
      </c>
      <c r="H20">
        <v>7.2607260941244904</v>
      </c>
      <c r="I20">
        <v>4.9351576418987264</v>
      </c>
      <c r="J20" s="1" t="s">
        <v>61</v>
      </c>
      <c r="K20" s="1">
        <v>7.4971440533365552</v>
      </c>
      <c r="L20">
        <v>9.560583426907117</v>
      </c>
      <c r="M20">
        <v>6.9365364013744593</v>
      </c>
      <c r="N20" s="1" t="s">
        <v>61</v>
      </c>
      <c r="O20" s="1">
        <v>6.4066346310785081</v>
      </c>
      <c r="P20">
        <v>7.3002620521243724</v>
      </c>
      <c r="Q20">
        <v>5.3735152853736068</v>
      </c>
      <c r="R20" s="1" t="s">
        <v>61</v>
      </c>
      <c r="S20">
        <f>(3939.76)/1000</f>
        <v>3.9397600000000002</v>
      </c>
      <c r="T20">
        <f>3316.64/1000</f>
        <v>3.31664</v>
      </c>
      <c r="U20">
        <f>1125.74/1000</f>
        <v>1.12574</v>
      </c>
      <c r="V20">
        <f>(6124.8-U20)/1000</f>
        <v>6.1236742599999996</v>
      </c>
      <c r="W20">
        <f>2882.45/1000</f>
        <v>2.88245</v>
      </c>
      <c r="X20">
        <f>1615.4/1000</f>
        <v>1.6154000000000002</v>
      </c>
      <c r="Y20">
        <f>(8098.3-X20)/1000</f>
        <v>8.0966845999999997</v>
      </c>
      <c r="Z20">
        <f>1648.41/1000</f>
        <v>1.6484100000000002</v>
      </c>
      <c r="AA20" s="1">
        <f>AM20/($E$2+$E$3+$E$4*2)*$E$3*1000/$B$2*AD20/AF20</f>
        <v>7.4879227053140092</v>
      </c>
      <c r="AB20" s="1">
        <f t="shared" si="2"/>
        <v>8.73772791023843</v>
      </c>
      <c r="AC20" s="1">
        <f t="shared" si="3"/>
        <v>15.337796713329277</v>
      </c>
      <c r="AD20" s="1">
        <v>2.5</v>
      </c>
      <c r="AE20" s="1">
        <v>2.5</v>
      </c>
      <c r="AF20" s="1">
        <v>10.5</v>
      </c>
      <c r="AG20" s="1">
        <f t="shared" si="4"/>
        <v>15.5</v>
      </c>
      <c r="AH20" s="1">
        <v>100</v>
      </c>
      <c r="AI20" s="1">
        <v>0</v>
      </c>
      <c r="AJ20" s="1">
        <v>45</v>
      </c>
      <c r="AK20" s="1">
        <v>5</v>
      </c>
      <c r="AL20" s="1">
        <v>5</v>
      </c>
      <c r="AM20" s="1">
        <f t="shared" si="5"/>
        <v>1.55</v>
      </c>
      <c r="AN20" s="1">
        <v>2.67</v>
      </c>
      <c r="AO20" s="1">
        <v>3.6</v>
      </c>
      <c r="AP20" t="s">
        <v>66</v>
      </c>
    </row>
    <row r="21" spans="1:42">
      <c r="A21" s="4">
        <v>42517</v>
      </c>
      <c r="B21" s="1">
        <f t="shared" si="0"/>
        <v>15.276944623567708</v>
      </c>
      <c r="C21" s="5">
        <f t="shared" si="1"/>
        <v>9.605680953566639E-3</v>
      </c>
      <c r="D21" s="6">
        <v>0.49305555555555558</v>
      </c>
      <c r="E21" s="6">
        <v>0.56180555555555556</v>
      </c>
      <c r="F21" s="6">
        <v>0.59375</v>
      </c>
      <c r="G21" s="1">
        <v>4.335207054073642E-2</v>
      </c>
      <c r="H21">
        <v>7.081612486374782</v>
      </c>
      <c r="I21">
        <v>6.5954453809844544</v>
      </c>
      <c r="J21" s="1" t="s">
        <v>61</v>
      </c>
      <c r="K21" s="1">
        <v>2.20519082439559</v>
      </c>
      <c r="L21">
        <v>13.51625268626572</v>
      </c>
      <c r="M21">
        <v>6.92362067162491</v>
      </c>
      <c r="N21" s="1" t="s">
        <v>61</v>
      </c>
      <c r="O21" s="1">
        <v>4.8128525218766427E-2</v>
      </c>
      <c r="P21">
        <v>7.0865716906249769</v>
      </c>
      <c r="Q21">
        <v>6.7745007848887671</v>
      </c>
      <c r="R21" s="1" t="s">
        <v>61</v>
      </c>
      <c r="S21">
        <f>2785.26/1000</f>
        <v>2.7852600000000001</v>
      </c>
      <c r="T21">
        <f>(8795.12/1000)-S21</f>
        <v>6.0098600000000006</v>
      </c>
      <c r="U21">
        <f>523.58/1000</f>
        <v>0.52358000000000005</v>
      </c>
      <c r="V21">
        <f>1630.5/1000</f>
        <v>1.6305000000000001</v>
      </c>
      <c r="W21">
        <f>(6777.25/1000)-V21</f>
        <v>5.1467500000000008</v>
      </c>
      <c r="X21">
        <f>2184.21/1000</f>
        <v>2.1842100000000002</v>
      </c>
      <c r="Y21">
        <f>1720.65/1000</f>
        <v>1.72065</v>
      </c>
      <c r="Z21">
        <f>(6556.67/1000)-Y21</f>
        <v>4.8360200000000004</v>
      </c>
      <c r="AA21">
        <f>2241.91/1000</f>
        <v>2.2419099999999998</v>
      </c>
      <c r="AB21" s="1">
        <f t="shared" si="2"/>
        <v>8.73772791023843</v>
      </c>
      <c r="AC21" s="1">
        <f t="shared" si="3"/>
        <v>15.337796713329277</v>
      </c>
      <c r="AD21" s="1">
        <v>2.5</v>
      </c>
      <c r="AE21" s="1">
        <v>2.5</v>
      </c>
      <c r="AF21" s="1">
        <v>10.5</v>
      </c>
      <c r="AG21" s="1">
        <f t="shared" si="4"/>
        <v>15.5</v>
      </c>
      <c r="AH21" s="1">
        <v>100</v>
      </c>
      <c r="AI21" s="1">
        <v>0</v>
      </c>
      <c r="AJ21" s="1">
        <v>45</v>
      </c>
      <c r="AK21" s="1">
        <v>5</v>
      </c>
      <c r="AL21" s="1">
        <v>5</v>
      </c>
      <c r="AM21" s="1">
        <f t="shared" si="5"/>
        <v>1.55</v>
      </c>
      <c r="AN21" s="1">
        <v>2.67</v>
      </c>
      <c r="AO21" s="1">
        <v>3.6</v>
      </c>
    </row>
    <row r="22" spans="1:42">
      <c r="A22" s="4">
        <v>42522</v>
      </c>
      <c r="B22" s="1">
        <f t="shared" si="0"/>
        <v>11.58187462356771</v>
      </c>
      <c r="C22" s="5">
        <f t="shared" si="1"/>
        <v>-0.38602268767958642</v>
      </c>
      <c r="D22" s="6">
        <v>0.4826388888888889</v>
      </c>
      <c r="E22" s="6">
        <v>0.55208333333333337</v>
      </c>
      <c r="F22" s="6">
        <v>0.58333333333333337</v>
      </c>
      <c r="H22">
        <v>7.0766877011246523</v>
      </c>
      <c r="I22">
        <v>3.6540183535145019</v>
      </c>
      <c r="J22" s="1" t="s">
        <v>61</v>
      </c>
      <c r="K22">
        <v>2.140902049422543</v>
      </c>
      <c r="L22">
        <v>5.8154728720722009</v>
      </c>
      <c r="M22">
        <v>6.8757897346247372</v>
      </c>
      <c r="N22" s="1" t="s">
        <v>61</v>
      </c>
      <c r="O22">
        <v>5.5471203804696501E-2</v>
      </c>
      <c r="P22">
        <v>7.090045141374544</v>
      </c>
      <c r="Q22">
        <v>3.0839362052339441</v>
      </c>
      <c r="R22" s="1" t="s">
        <v>61</v>
      </c>
      <c r="S22">
        <f>3475.23/1000</f>
        <v>3.4752299999999998</v>
      </c>
      <c r="T22">
        <f>(9451.16/1000)-S22</f>
        <v>5.97593</v>
      </c>
      <c r="U22">
        <f>933.62/1000</f>
        <v>0.93362000000000001</v>
      </c>
      <c r="V22">
        <f>1468.56/1000</f>
        <v>1.4685599999999999</v>
      </c>
      <c r="W22">
        <f>(6185.82/1000)-V22</f>
        <v>4.7172599999999996</v>
      </c>
      <c r="X22">
        <f>3486.94/1000</f>
        <v>3.4869400000000002</v>
      </c>
      <c r="Y22">
        <f>2588.1/1000</f>
        <v>2.5880999999999998</v>
      </c>
      <c r="Z22">
        <f>(8105.77/1000)-Y22</f>
        <v>5.5176699999999999</v>
      </c>
      <c r="AA22">
        <f>4387.88/1000</f>
        <v>4.38788</v>
      </c>
      <c r="AB22" s="1">
        <f t="shared" si="2"/>
        <v>8.73772791023843</v>
      </c>
      <c r="AC22" s="1">
        <f t="shared" si="3"/>
        <v>15.337796713329277</v>
      </c>
      <c r="AD22" s="1">
        <v>2.5</v>
      </c>
      <c r="AE22" s="1">
        <v>2.5</v>
      </c>
      <c r="AF22" s="1">
        <v>10.5</v>
      </c>
      <c r="AG22" s="1">
        <f t="shared" si="4"/>
        <v>15.5</v>
      </c>
      <c r="AH22" s="1">
        <v>100</v>
      </c>
      <c r="AI22" s="1">
        <v>0</v>
      </c>
      <c r="AJ22" s="1">
        <v>45</v>
      </c>
      <c r="AK22" s="1">
        <v>5</v>
      </c>
      <c r="AL22" s="1">
        <v>5</v>
      </c>
      <c r="AM22" s="1">
        <f t="shared" si="5"/>
        <v>1.55</v>
      </c>
      <c r="AN22" s="1">
        <v>2.67</v>
      </c>
      <c r="AO22" s="1">
        <v>3.6</v>
      </c>
    </row>
    <row r="23" spans="1:42">
      <c r="A23" s="4">
        <v>42530</v>
      </c>
      <c r="B23" s="1">
        <f t="shared" si="0"/>
        <v>6.3566346235677109</v>
      </c>
      <c r="C23" s="5">
        <f t="shared" si="1"/>
        <v>-0.33463723876971857</v>
      </c>
      <c r="D23" s="6">
        <v>0.44444444444444442</v>
      </c>
      <c r="E23" s="6">
        <v>0.51388888888888895</v>
      </c>
      <c r="F23" s="6">
        <v>0.54513888888888895</v>
      </c>
      <c r="I23">
        <v>6.4698878679999998</v>
      </c>
      <c r="J23" s="1" t="s">
        <v>61</v>
      </c>
      <c r="K23">
        <v>1.3012166839999999</v>
      </c>
      <c r="L23">
        <v>9.5475659109999995</v>
      </c>
      <c r="M23">
        <v>7.0229940610000003</v>
      </c>
      <c r="N23" s="1" t="s">
        <v>61</v>
      </c>
      <c r="O23">
        <v>7.0758420000000002E-2</v>
      </c>
      <c r="P23">
        <v>7.1843388600000004</v>
      </c>
      <c r="Q23">
        <v>5.2755117680000003</v>
      </c>
      <c r="R23" s="1" t="s">
        <v>61</v>
      </c>
      <c r="S23">
        <f>2300.2/1000</f>
        <v>2.3001999999999998</v>
      </c>
      <c r="T23">
        <f>(7026.5/1000)-S23</f>
        <v>4.7263000000000002</v>
      </c>
      <c r="U23">
        <f>294.15/1000</f>
        <v>0.29414999999999997</v>
      </c>
      <c r="V23">
        <f>3227.29/1000</f>
        <v>3.22729</v>
      </c>
      <c r="W23">
        <f>(7681.34/1000)-V23</f>
        <v>4.4540500000000005</v>
      </c>
      <c r="X23">
        <f>1955.65/1000</f>
        <v>1.9556500000000001</v>
      </c>
      <c r="Y23">
        <f>5351.61/1000</f>
        <v>5.35161</v>
      </c>
      <c r="Z23">
        <f>(11289.81/1000)-Y23</f>
        <v>5.9381999999999993</v>
      </c>
      <c r="AA23">
        <f>6429.08/1000</f>
        <v>6.4290799999999999</v>
      </c>
      <c r="AB23" s="1">
        <f t="shared" si="2"/>
        <v>8.73772791023843</v>
      </c>
      <c r="AC23" s="1">
        <f t="shared" si="3"/>
        <v>15.337796713329277</v>
      </c>
      <c r="AD23" s="1">
        <v>2.5</v>
      </c>
      <c r="AE23" s="1">
        <v>2.5</v>
      </c>
      <c r="AF23" s="1">
        <v>10.5</v>
      </c>
      <c r="AG23" s="1">
        <f t="shared" si="4"/>
        <v>15.5</v>
      </c>
      <c r="AH23" s="1">
        <v>100</v>
      </c>
      <c r="AI23" s="1">
        <v>0</v>
      </c>
      <c r="AJ23" s="1">
        <v>45</v>
      </c>
      <c r="AK23" s="1">
        <v>5</v>
      </c>
      <c r="AL23" s="1">
        <v>5</v>
      </c>
      <c r="AM23" s="1">
        <f t="shared" si="5"/>
        <v>1.55</v>
      </c>
      <c r="AN23" s="1">
        <v>2.67</v>
      </c>
      <c r="AO23" s="1">
        <v>3.6</v>
      </c>
    </row>
    <row r="24" spans="1:42">
      <c r="AF24" s="1"/>
    </row>
    <row r="25" spans="1:42">
      <c r="F25" s="9"/>
    </row>
    <row r="26" spans="1:42">
      <c r="F26" s="9"/>
    </row>
    <row r="27" spans="1:42">
      <c r="F27" s="10"/>
    </row>
    <row r="28" spans="1:42">
      <c r="H28" s="6"/>
      <c r="I28" s="1"/>
    </row>
    <row r="29" spans="1:42">
      <c r="H29" s="6"/>
      <c r="I29" s="1"/>
    </row>
    <row r="30" spans="1:42">
      <c r="H30" s="6"/>
      <c r="I30" s="1"/>
    </row>
  </sheetData>
  <mergeCells count="16">
    <mergeCell ref="AM12:AO12"/>
    <mergeCell ref="A1:C1"/>
    <mergeCell ref="G11:R11"/>
    <mergeCell ref="S11:AA11"/>
    <mergeCell ref="AC11:AO11"/>
    <mergeCell ref="B12:C12"/>
    <mergeCell ref="D12:F12"/>
    <mergeCell ref="G12:J12"/>
    <mergeCell ref="K12:N12"/>
    <mergeCell ref="O12:R12"/>
    <mergeCell ref="S12:U12"/>
    <mergeCell ref="V12:X12"/>
    <mergeCell ref="Y12:AA12"/>
    <mergeCell ref="AB12:AC12"/>
    <mergeCell ref="AD12:AG12"/>
    <mergeCell ref="AH12:AL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Cogert</dc:creator>
  <cp:lastModifiedBy>Kathryn Cogert</cp:lastModifiedBy>
  <dcterms:created xsi:type="dcterms:W3CDTF">2016-06-16T00:19:41Z</dcterms:created>
  <dcterms:modified xsi:type="dcterms:W3CDTF">2016-06-16T05:24:12Z</dcterms:modified>
</cp:coreProperties>
</file>