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showInkAnnotation="0" autoCompressPictures="0"/>
  <bookViews>
    <workbookView xWindow="160" yWindow="60" windowWidth="25000" windowHeight="17300" tabRatio="500" activeTab="2"/>
  </bookViews>
  <sheets>
    <sheet name="Calibration" sheetId="2" r:id="rId1"/>
    <sheet name="Sheet1" sheetId="1" r:id="rId2"/>
    <sheet name="Sheet1 (2)" sheetId="3" r:id="rId3"/>
  </sheets>
  <calcPr calcId="1103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7" i="3"/>
  <c r="B19"/>
  <c r="B20"/>
  <c r="I3"/>
  <c r="K3"/>
  <c r="Q3"/>
  <c r="R3"/>
  <c r="I7"/>
  <c r="I6"/>
  <c r="B25"/>
  <c r="I5"/>
  <c r="K5"/>
  <c r="Q5"/>
  <c r="I4"/>
  <c r="K4"/>
  <c r="Q4"/>
  <c r="R4"/>
  <c r="V3"/>
  <c r="U3"/>
  <c r="V4"/>
  <c r="U4"/>
  <c r="V5"/>
  <c r="U5"/>
  <c r="V6"/>
  <c r="U6"/>
  <c r="V7"/>
  <c r="U7"/>
  <c r="V8"/>
  <c r="U8"/>
  <c r="V9"/>
  <c r="U9"/>
  <c r="V10"/>
  <c r="U10"/>
  <c r="V11"/>
  <c r="U11"/>
  <c r="V12"/>
  <c r="U12"/>
  <c r="V13"/>
  <c r="U13"/>
  <c r="V14"/>
  <c r="U14"/>
  <c r="V15"/>
  <c r="U15"/>
  <c r="V2"/>
  <c r="U2"/>
  <c r="O3"/>
  <c r="O4"/>
  <c r="O5"/>
  <c r="O6"/>
  <c r="O7"/>
  <c r="O8"/>
  <c r="O9"/>
  <c r="O10"/>
  <c r="O11"/>
  <c r="O12"/>
  <c r="O13"/>
  <c r="O14"/>
  <c r="O15"/>
  <c r="O2"/>
  <c r="J9"/>
  <c r="L9"/>
  <c r="I9"/>
  <c r="K9"/>
  <c r="S9"/>
  <c r="J3"/>
  <c r="L3"/>
  <c r="S3"/>
  <c r="T3"/>
  <c r="J4"/>
  <c r="L4"/>
  <c r="S4"/>
  <c r="T4"/>
  <c r="J5"/>
  <c r="L5"/>
  <c r="S5"/>
  <c r="T5"/>
  <c r="J6"/>
  <c r="L6"/>
  <c r="K6"/>
  <c r="S6"/>
  <c r="T6"/>
  <c r="J7"/>
  <c r="L7"/>
  <c r="K7"/>
  <c r="S7"/>
  <c r="T7"/>
  <c r="J8"/>
  <c r="L8"/>
  <c r="I8"/>
  <c r="K8"/>
  <c r="S8"/>
  <c r="T8"/>
  <c r="T9"/>
  <c r="J10"/>
  <c r="L10"/>
  <c r="I10"/>
  <c r="K10"/>
  <c r="S10"/>
  <c r="T10"/>
  <c r="J11"/>
  <c r="L11"/>
  <c r="I11"/>
  <c r="K11"/>
  <c r="S11"/>
  <c r="T11"/>
  <c r="J12"/>
  <c r="L12"/>
  <c r="I12"/>
  <c r="K12"/>
  <c r="S12"/>
  <c r="T12"/>
  <c r="J13"/>
  <c r="L13"/>
  <c r="I13"/>
  <c r="K13"/>
  <c r="S13"/>
  <c r="T13"/>
  <c r="J14"/>
  <c r="L14"/>
  <c r="I14"/>
  <c r="K14"/>
  <c r="S14"/>
  <c r="T14"/>
  <c r="J15"/>
  <c r="L15"/>
  <c r="I15"/>
  <c r="K15"/>
  <c r="S15"/>
  <c r="T15"/>
  <c r="J2"/>
  <c r="L2"/>
  <c r="I2"/>
  <c r="K2"/>
  <c r="S2"/>
  <c r="T2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2"/>
  <c r="R2"/>
  <c r="N3"/>
  <c r="N4"/>
  <c r="N5"/>
  <c r="N6"/>
  <c r="N7"/>
  <c r="N8"/>
  <c r="N9"/>
  <c r="N10"/>
  <c r="N11"/>
  <c r="N12"/>
  <c r="N13"/>
  <c r="N14"/>
  <c r="N15"/>
  <c r="N2"/>
  <c r="M2"/>
  <c r="M3"/>
  <c r="M4"/>
  <c r="M5"/>
  <c r="M6"/>
  <c r="M7"/>
  <c r="M8"/>
  <c r="M9"/>
  <c r="M10"/>
  <c r="M11"/>
  <c r="M12"/>
  <c r="M13"/>
  <c r="M14"/>
  <c r="M15"/>
  <c r="C27"/>
  <c r="C26"/>
  <c r="B26"/>
  <c r="C25"/>
  <c r="B17"/>
</calcChain>
</file>

<file path=xl/sharedStrings.xml><?xml version="1.0" encoding="utf-8"?>
<sst xmlns="http://schemas.openxmlformats.org/spreadsheetml/2006/main" count="61" uniqueCount="55">
  <si>
    <t>Element</t>
  </si>
  <si>
    <t>P1</t>
  </si>
  <si>
    <t>P1error</t>
  </si>
  <si>
    <t>Ba133</t>
  </si>
  <si>
    <t>Na22</t>
  </si>
  <si>
    <t>Cs137</t>
  </si>
  <si>
    <t>Co60</t>
  </si>
  <si>
    <t>Slope</t>
  </si>
  <si>
    <t>Slope error</t>
  </si>
  <si>
    <t>Intercpt</t>
  </si>
  <si>
    <t>Intercept eror</t>
  </si>
  <si>
    <t>Angle</t>
  </si>
  <si>
    <t>Time</t>
  </si>
  <si>
    <t>P1Error</t>
  </si>
  <si>
    <t>P0</t>
  </si>
  <si>
    <t>P0Error</t>
  </si>
  <si>
    <t>P2</t>
  </si>
  <si>
    <t>P2Error</t>
  </si>
  <si>
    <t>Constants</t>
  </si>
  <si>
    <t>Values</t>
  </si>
  <si>
    <t>Scale Fact</t>
  </si>
  <si>
    <t>Value Error</t>
  </si>
  <si>
    <t>targ length</t>
  </si>
  <si>
    <t>detect dist</t>
  </si>
  <si>
    <t>Z</t>
  </si>
  <si>
    <t>Na</t>
  </si>
  <si>
    <t>m Al</t>
  </si>
  <si>
    <t>p Al</t>
  </si>
  <si>
    <t>detect rad</t>
  </si>
  <si>
    <t>Ntheta</t>
  </si>
  <si>
    <t>NthetaError</t>
  </si>
  <si>
    <t>CountRate</t>
  </si>
  <si>
    <t>CountRateEr</t>
  </si>
  <si>
    <t>solid angle</t>
  </si>
  <si>
    <t>Luminosity</t>
  </si>
  <si>
    <t>n</t>
  </si>
  <si>
    <t>Efficiency</t>
  </si>
  <si>
    <t>E'</t>
  </si>
  <si>
    <t>E' Error</t>
  </si>
  <si>
    <t>CrossSection</t>
  </si>
  <si>
    <t>CrossSecErr</t>
  </si>
  <si>
    <t>m</t>
  </si>
  <si>
    <t>b</t>
  </si>
  <si>
    <t xml:space="preserve"> </t>
  </si>
  <si>
    <t>CrossSecBarn</t>
  </si>
  <si>
    <t>CrossSecErrorBarn</t>
  </si>
  <si>
    <t>Etheory</t>
  </si>
  <si>
    <t>CrossSecTheory</t>
  </si>
  <si>
    <t>P</t>
  </si>
  <si>
    <t>Mean</t>
  </si>
  <si>
    <t>MeanError</t>
  </si>
  <si>
    <t>Width</t>
  </si>
  <si>
    <t>WidthError</t>
  </si>
  <si>
    <t>Peak</t>
  </si>
  <si>
    <t>PeakError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</si>
</sst>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4"/>
  <sheetViews>
    <sheetView workbookViewId="0">
      <selection activeCell="A11" sqref="A11:A14"/>
    </sheetView>
  </sheetViews>
  <sheetFormatPr baseColWidth="10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4209</v>
      </c>
      <c r="C2">
        <v>1.7</v>
      </c>
    </row>
    <row r="3" spans="1:3">
      <c r="A3" t="s">
        <v>3</v>
      </c>
      <c r="B3">
        <v>3608</v>
      </c>
      <c r="C3">
        <v>9.6999999999999993</v>
      </c>
    </row>
    <row r="4" spans="1:3">
      <c r="A4" t="s">
        <v>4</v>
      </c>
      <c r="B4">
        <v>14310</v>
      </c>
      <c r="C4">
        <v>5.3869999999999996</v>
      </c>
    </row>
    <row r="5" spans="1:3">
      <c r="A5" t="s">
        <v>4</v>
      </c>
      <c r="B5">
        <v>5956</v>
      </c>
      <c r="C5">
        <v>1.6</v>
      </c>
    </row>
    <row r="6" spans="1:3">
      <c r="A6" t="s">
        <v>5</v>
      </c>
      <c r="B6">
        <v>7644</v>
      </c>
      <c r="C6">
        <v>1.5</v>
      </c>
    </row>
    <row r="7" spans="1:3">
      <c r="A7" t="s">
        <v>6</v>
      </c>
      <c r="B7">
        <v>14880</v>
      </c>
      <c r="C7">
        <v>12.94</v>
      </c>
    </row>
    <row r="8" spans="1:3">
      <c r="A8" t="s">
        <v>6</v>
      </c>
      <c r="B8">
        <v>13220</v>
      </c>
      <c r="C8">
        <v>12.79</v>
      </c>
    </row>
    <row r="11" spans="1:3">
      <c r="A11" s="1" t="s">
        <v>7</v>
      </c>
      <c r="B11">
        <v>11540.4</v>
      </c>
    </row>
    <row r="12" spans="1:3">
      <c r="A12" s="1" t="s">
        <v>8</v>
      </c>
      <c r="B12">
        <v>1.5354000000000001</v>
      </c>
    </row>
    <row r="13" spans="1:3">
      <c r="A13" s="1" t="s">
        <v>9</v>
      </c>
      <c r="B13">
        <v>-61.6</v>
      </c>
    </row>
    <row r="14" spans="1:3">
      <c r="A14" s="1" t="s">
        <v>10</v>
      </c>
      <c r="B14">
        <v>0.89866000000000001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5"/>
  <sheetViews>
    <sheetView workbookViewId="0">
      <selection activeCell="E2" sqref="E2"/>
    </sheetView>
  </sheetViews>
  <sheetFormatPr baseColWidth="10" defaultRowHeight="15"/>
  <sheetData>
    <row r="1" spans="1:8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>
        <v>0</v>
      </c>
      <c r="B2">
        <v>60</v>
      </c>
    </row>
    <row r="3" spans="1:8">
      <c r="A3">
        <v>10</v>
      </c>
      <c r="B3">
        <v>200</v>
      </c>
      <c r="C3">
        <v>7377.83</v>
      </c>
      <c r="D3">
        <v>21.920500000000001</v>
      </c>
    </row>
    <row r="4" spans="1:8">
      <c r="A4">
        <v>20</v>
      </c>
      <c r="B4">
        <v>600</v>
      </c>
      <c r="C4">
        <v>6974.1</v>
      </c>
      <c r="D4">
        <v>13.1694</v>
      </c>
    </row>
    <row r="5" spans="1:8">
      <c r="A5">
        <v>30</v>
      </c>
      <c r="B5">
        <v>800</v>
      </c>
      <c r="C5">
        <v>6400.02</v>
      </c>
      <c r="D5">
        <v>55.360700000000001</v>
      </c>
    </row>
    <row r="6" spans="1:8">
      <c r="A6">
        <v>40</v>
      </c>
      <c r="B6">
        <v>1300</v>
      </c>
      <c r="C6">
        <v>4883.12</v>
      </c>
      <c r="D6">
        <v>48.532499999999999</v>
      </c>
    </row>
    <row r="7" spans="1:8">
      <c r="A7">
        <v>50</v>
      </c>
      <c r="B7">
        <v>1500</v>
      </c>
      <c r="C7">
        <v>4665.78</v>
      </c>
      <c r="D7">
        <v>95.438999999999993</v>
      </c>
    </row>
    <row r="8" spans="1:8">
      <c r="A8">
        <v>60</v>
      </c>
      <c r="B8">
        <v>1800</v>
      </c>
      <c r="C8">
        <v>4094.43</v>
      </c>
      <c r="D8">
        <v>25.9421</v>
      </c>
    </row>
    <row r="9" spans="1:8">
      <c r="A9">
        <v>70</v>
      </c>
      <c r="B9">
        <v>2100</v>
      </c>
      <c r="C9">
        <v>3624.6</v>
      </c>
      <c r="D9">
        <v>27.936399999999999</v>
      </c>
    </row>
    <row r="10" spans="1:8">
      <c r="A10">
        <v>80</v>
      </c>
      <c r="B10">
        <v>7200</v>
      </c>
      <c r="C10">
        <v>3220.21</v>
      </c>
      <c r="D10">
        <v>14.3484</v>
      </c>
    </row>
    <row r="11" spans="1:8">
      <c r="A11">
        <v>90</v>
      </c>
      <c r="B11">
        <v>10800</v>
      </c>
      <c r="C11">
        <v>3091.68</v>
      </c>
      <c r="D11">
        <v>22.6355</v>
      </c>
    </row>
    <row r="12" spans="1:8">
      <c r="A12">
        <v>-10</v>
      </c>
      <c r="B12">
        <v>200</v>
      </c>
      <c r="C12">
        <v>6442.61</v>
      </c>
      <c r="D12">
        <v>4.2390699999999999</v>
      </c>
    </row>
    <row r="13" spans="1:8">
      <c r="A13">
        <v>-20</v>
      </c>
      <c r="B13">
        <v>600</v>
      </c>
      <c r="C13">
        <v>6142.86</v>
      </c>
      <c r="D13">
        <v>22.539200000000001</v>
      </c>
    </row>
    <row r="14" spans="1:8">
      <c r="A14">
        <v>-30</v>
      </c>
      <c r="B14">
        <v>800</v>
      </c>
      <c r="C14">
        <v>6155.25</v>
      </c>
      <c r="D14">
        <v>54.803199999999997</v>
      </c>
    </row>
    <row r="15" spans="1:8">
      <c r="A15">
        <v>-40</v>
      </c>
      <c r="B15">
        <v>1300</v>
      </c>
      <c r="C15">
        <v>5590.22</v>
      </c>
      <c r="D15">
        <v>56.0807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30"/>
  <sheetViews>
    <sheetView tabSelected="1" workbookViewId="0">
      <selection activeCell="G6" sqref="G6"/>
    </sheetView>
  </sheetViews>
  <sheetFormatPr baseColWidth="10" defaultRowHeight="15"/>
  <cols>
    <col min="2" max="2" width="11.1640625" bestFit="1" customWidth="1"/>
    <col min="3" max="3" width="12.1640625" bestFit="1" customWidth="1"/>
    <col min="13" max="15" width="10.83203125" style="10"/>
    <col min="17" max="17" width="12.1640625" bestFit="1" customWidth="1"/>
    <col min="18" max="18" width="12.1640625" style="10" bestFit="1" customWidth="1"/>
    <col min="19" max="19" width="12.1640625" bestFit="1" customWidth="1"/>
    <col min="20" max="20" width="10.83203125" style="10"/>
    <col min="21" max="21" width="10.83203125" style="12"/>
  </cols>
  <sheetData>
    <row r="1" spans="1:22" s="1" customFormat="1">
      <c r="A1" s="1" t="s">
        <v>11</v>
      </c>
      <c r="B1" s="1" t="s">
        <v>12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29</v>
      </c>
      <c r="J1" s="1" t="s">
        <v>30</v>
      </c>
      <c r="K1" s="1" t="s">
        <v>31</v>
      </c>
      <c r="L1" s="1" t="s">
        <v>32</v>
      </c>
      <c r="M1" s="8" t="s">
        <v>37</v>
      </c>
      <c r="N1" s="8" t="s">
        <v>38</v>
      </c>
      <c r="O1" s="8" t="s">
        <v>46</v>
      </c>
      <c r="P1" s="1" t="s">
        <v>36</v>
      </c>
      <c r="Q1" s="1" t="s">
        <v>39</v>
      </c>
      <c r="R1" s="8" t="s">
        <v>44</v>
      </c>
      <c r="S1" s="1" t="s">
        <v>40</v>
      </c>
      <c r="T1" s="8" t="s">
        <v>45</v>
      </c>
      <c r="U1" s="11" t="s">
        <v>47</v>
      </c>
      <c r="V1" s="1" t="s">
        <v>48</v>
      </c>
    </row>
    <row r="2" spans="1:22">
      <c r="A2">
        <v>0</v>
      </c>
      <c r="B2">
        <v>60</v>
      </c>
      <c r="C2" s="2">
        <v>26907.599999999999</v>
      </c>
      <c r="D2" s="2">
        <v>45.741199999999999</v>
      </c>
      <c r="E2" s="2">
        <v>7683.02</v>
      </c>
      <c r="F2" s="2">
        <v>0.40699099999999999</v>
      </c>
      <c r="G2" s="2">
        <v>217.97399999999999</v>
      </c>
      <c r="H2" s="2">
        <v>0.33175700000000002</v>
      </c>
      <c r="I2" s="2">
        <f xml:space="preserve"> SQRT(2*3.14159)*G2*C2/40.96</f>
        <v>358929.75267733698</v>
      </c>
      <c r="J2" s="2">
        <f>SQRT(2*3.14159*POWER(1/40.96,2)*(POWER(C2*H2,2)+POWER(G2*D2,2)))</f>
        <v>818.97943668253686</v>
      </c>
      <c r="K2" s="2">
        <f>I2/B2</f>
        <v>5982.1625446222833</v>
      </c>
      <c r="L2" s="2">
        <f>J2/B2</f>
        <v>13.64965727804228</v>
      </c>
      <c r="M2" s="12">
        <f>(E2+61.6)/11540.4</f>
        <v>0.67108765727357811</v>
      </c>
      <c r="N2" s="12">
        <f>SQRT(POWER(F2/11540.4,2)+POWER((-61.6-E2)*1.5454/POWER(11540.4,2),2)+POWER(0.89865/11540.4,2))</f>
        <v>1.2403024496755212E-4</v>
      </c>
      <c r="O2" s="12">
        <f>0.671/(1+(0.000000000000107506/(9.109E-31*POWER(300000000,2)))*(1-COS(RADIANS(A2))))</f>
        <v>0.67100000000000004</v>
      </c>
      <c r="P2" s="4">
        <v>0.38429999999999997</v>
      </c>
      <c r="Q2" s="2">
        <f t="shared" ref="Q2:Q15" si="0">K2/(5982.1624*P2*7.8344E+23*0.00278468)</f>
        <v>1.1927477030300059E-21</v>
      </c>
      <c r="R2" s="9">
        <f>Q2*1E+24</f>
        <v>1192.7477030300058</v>
      </c>
      <c r="S2" s="2">
        <f t="shared" ref="S2:S15" si="1">SQRT(POWER(L2/(5982.16254*P2*7.8344E+23*0.00278468),2)+POWER(K2*13.6496/(POWER(5982.16254,2)*P2*7.8344E+23*0.00278468),2)+POWER(K2*7.8344E+22/(5982.16254*P2*POWER(7.8344E+23,2)*0.00278468),2)+POWER(K2*0.000030855/(5982.16254*P2*7.8344E+23*POWER(0.00278468,2)),2))</f>
        <v>1.2006641986364155E-22</v>
      </c>
      <c r="T2" s="9">
        <f>S2*1E+24</f>
        <v>120.06641986364154</v>
      </c>
      <c r="U2" s="12">
        <f t="shared" ref="U2:U15" si="2">0.5*POWER(1/137,2)*POWER(0.0000000000386,2)*POWER(V2,2)*(V2+1/V2-1+POWER(COS(RADIANS(A2)),2))*1E+24</f>
        <v>7.9384090788001488E-2</v>
      </c>
      <c r="V2" s="2">
        <f>1/(1+(0.000000000000107506/(9.109E-31*POWER(300000000,2)))*(1-COS(RADIANS(A2))))</f>
        <v>1</v>
      </c>
    </row>
    <row r="3" spans="1:22">
      <c r="A3">
        <v>10</v>
      </c>
      <c r="B3">
        <v>200</v>
      </c>
      <c r="C3" s="2">
        <v>94.608699999999999</v>
      </c>
      <c r="D3" s="2">
        <v>16.649699999999999</v>
      </c>
      <c r="E3" s="2">
        <v>7384.2</v>
      </c>
      <c r="F3" s="2">
        <v>29.849499999999999</v>
      </c>
      <c r="G3" s="2">
        <v>195.88800000000001</v>
      </c>
      <c r="H3" s="2">
        <v>36.712200000000003</v>
      </c>
      <c r="I3" s="3">
        <f t="shared" ref="I3:I15" si="3" xml:space="preserve"> SQRT(2*3.14159)*G3*C3/40.96</f>
        <v>1134.1453327589772</v>
      </c>
      <c r="J3" s="2">
        <f>SQRT(2*3.14159*POWER(1/40.96,2)*(POWER(C3*H3,2)+POWER(G3*D3,2)))</f>
        <v>291.57632810395484</v>
      </c>
      <c r="K3" s="2">
        <f t="shared" ref="K3:K15" si="4">I3/B3</f>
        <v>5.6707266637948859</v>
      </c>
      <c r="L3" s="2">
        <f t="shared" ref="L3:L15" si="5">J3/B3</f>
        <v>1.4578816405197741</v>
      </c>
      <c r="M3" s="12">
        <f t="shared" ref="M3:M15" si="6">(E3+61.6)/11540.4</f>
        <v>0.64519427402862994</v>
      </c>
      <c r="N3" s="12">
        <f t="shared" ref="N3:N15" si="7">SQRT(POWER(F3/11540.4,2)+POWER((-61.6-E3)*1.5454/POWER(11540.4,2),2)+POWER(0.89865/11540.4,2))</f>
        <v>2.5891360157888157E-3</v>
      </c>
      <c r="O3" s="12">
        <f t="shared" ref="O3:O15" si="8">0.671/(1+(0.000000000000107506/(9.109E-31*POWER(300000000,2)))*(1-COS(RADIANS(A3))))</f>
        <v>0.65789319321946138</v>
      </c>
      <c r="P3" s="4">
        <v>0.40589999999999998</v>
      </c>
      <c r="Q3" s="2">
        <f t="shared" si="0"/>
        <v>1.0704846075148787E-24</v>
      </c>
      <c r="R3" s="9">
        <f>Q3*1E+24</f>
        <v>1.0704846075148786</v>
      </c>
      <c r="S3" s="2">
        <f t="shared" si="1"/>
        <v>2.9554439238062503E-25</v>
      </c>
      <c r="T3" s="9">
        <f t="shared" ref="T3:T15" si="9">S3*1E+24</f>
        <v>0.29554439238062502</v>
      </c>
      <c r="U3" s="12">
        <f t="shared" si="2"/>
        <v>7.517740944578237E-2</v>
      </c>
      <c r="V3" s="2">
        <f t="shared" ref="V3:V15" si="10">1/(1+(0.000000000000107506/(9.109E-31*POWER(300000000,2)))*(1-COS(RADIANS(A3))))</f>
        <v>0.98046675591573962</v>
      </c>
    </row>
    <row r="4" spans="1:22">
      <c r="A4">
        <v>20</v>
      </c>
      <c r="B4">
        <v>600</v>
      </c>
      <c r="C4" s="2">
        <v>282.738</v>
      </c>
      <c r="D4" s="2">
        <v>74.260800000000003</v>
      </c>
      <c r="E4" s="2">
        <v>6963.38</v>
      </c>
      <c r="F4" s="2">
        <v>28.923200000000001</v>
      </c>
      <c r="G4" s="2">
        <v>237.184</v>
      </c>
      <c r="H4" s="2">
        <v>42.040399999999998</v>
      </c>
      <c r="I4" s="3">
        <f t="shared" si="3"/>
        <v>4103.9246031982575</v>
      </c>
      <c r="J4" s="2">
        <f t="shared" ref="J4:J15" si="11">SQRT(2*3.14159*POWER(1/40.96,2)*(POWER(C4*H4,2)+POWER(G4*D4,2)))</f>
        <v>1300.3760788032978</v>
      </c>
      <c r="K4" s="2">
        <f t="shared" si="4"/>
        <v>6.8398743386637628</v>
      </c>
      <c r="L4" s="2">
        <f t="shared" si="5"/>
        <v>2.1672934646721629</v>
      </c>
      <c r="M4" s="12">
        <f t="shared" si="6"/>
        <v>0.60872933347197677</v>
      </c>
      <c r="N4" s="12">
        <f t="shared" si="7"/>
        <v>2.5087903814642065E-3</v>
      </c>
      <c r="O4" s="12">
        <f t="shared" si="8"/>
        <v>0.62182355639796505</v>
      </c>
      <c r="P4" s="4">
        <v>0.43380000000000002</v>
      </c>
      <c r="Q4" s="2">
        <f t="shared" si="0"/>
        <v>1.208145774652378E-24</v>
      </c>
      <c r="R4" s="9">
        <f>Q4*1E+24</f>
        <v>1.208145774652378</v>
      </c>
      <c r="S4" s="2">
        <f t="shared" si="1"/>
        <v>4.0165939854135526E-25</v>
      </c>
      <c r="T4" s="9">
        <f t="shared" si="9"/>
        <v>0.40165939854135524</v>
      </c>
      <c r="U4" s="12">
        <f t="shared" si="2"/>
        <v>6.4384737830657068E-2</v>
      </c>
      <c r="V4" s="2">
        <f t="shared" si="10"/>
        <v>0.92671170849175111</v>
      </c>
    </row>
    <row r="5" spans="1:22">
      <c r="A5">
        <v>30</v>
      </c>
      <c r="B5">
        <v>800</v>
      </c>
      <c r="C5" s="2">
        <v>1034.1500000000001</v>
      </c>
      <c r="D5" s="2">
        <v>1149.4000000000001</v>
      </c>
      <c r="E5" s="2">
        <v>6497.06</v>
      </c>
      <c r="F5" s="2">
        <v>74.384100000000004</v>
      </c>
      <c r="G5" s="2">
        <v>319.85899999999998</v>
      </c>
      <c r="H5" s="2">
        <v>117.879</v>
      </c>
      <c r="I5" s="3">
        <f t="shared" si="3"/>
        <v>20242.861990075355</v>
      </c>
      <c r="J5" s="2">
        <f t="shared" si="11"/>
        <v>23703.394516886779</v>
      </c>
      <c r="K5" s="2">
        <f t="shared" si="4"/>
        <v>25.303577487594193</v>
      </c>
      <c r="L5" s="2">
        <f t="shared" si="5"/>
        <v>29.629243146108475</v>
      </c>
      <c r="M5" s="12">
        <f t="shared" si="6"/>
        <v>0.5683217219507124</v>
      </c>
      <c r="N5" s="12">
        <f t="shared" si="7"/>
        <v>6.4464587683093575E-3</v>
      </c>
      <c r="O5" s="12">
        <f t="shared" si="8"/>
        <v>0.57072967889430926</v>
      </c>
      <c r="P5" s="4">
        <v>0.44819999999999999</v>
      </c>
      <c r="Q5" s="2">
        <f t="shared" si="0"/>
        <v>4.3258438540817665E-24</v>
      </c>
      <c r="R5" s="9">
        <f t="shared" ref="R5:R15" si="12">Q5*1E+24</f>
        <v>4.3258438540817661</v>
      </c>
      <c r="S5" s="2">
        <f t="shared" si="1"/>
        <v>5.0840234827141762E-24</v>
      </c>
      <c r="T5" s="9">
        <f t="shared" si="9"/>
        <v>5.0840234827141764</v>
      </c>
      <c r="U5" s="12">
        <f t="shared" si="2"/>
        <v>5.1006364300052669E-2</v>
      </c>
      <c r="V5" s="2">
        <f t="shared" si="10"/>
        <v>0.85056584037900029</v>
      </c>
    </row>
    <row r="6" spans="1:22">
      <c r="A6">
        <v>40</v>
      </c>
      <c r="B6">
        <v>1300</v>
      </c>
      <c r="C6" s="2">
        <v>796.94600000000003</v>
      </c>
      <c r="D6" s="2">
        <v>340.02</v>
      </c>
      <c r="E6" s="2">
        <v>5070.46</v>
      </c>
      <c r="F6" s="2">
        <v>39.8628</v>
      </c>
      <c r="G6" s="2">
        <v>346.81900000000002</v>
      </c>
      <c r="H6" s="2">
        <v>70.671300000000002</v>
      </c>
      <c r="I6" s="3">
        <f xml:space="preserve"> SQRT(2*3.14159)*G6*C6/40.96</f>
        <v>16914.594068039365</v>
      </c>
      <c r="J6" s="2">
        <f t="shared" si="11"/>
        <v>7997.5024617275812</v>
      </c>
      <c r="K6" s="2">
        <f t="shared" si="4"/>
        <v>13.011226206184126</v>
      </c>
      <c r="L6" s="2">
        <f>J6/B6</f>
        <v>6.1519249705596781</v>
      </c>
      <c r="M6" s="12">
        <f t="shared" si="6"/>
        <v>0.44470382309105411</v>
      </c>
      <c r="N6" s="12">
        <f t="shared" si="7"/>
        <v>3.4555864880120766E-3</v>
      </c>
      <c r="O6" s="12">
        <f t="shared" si="8"/>
        <v>0.51346870699924607</v>
      </c>
      <c r="P6" s="4">
        <v>0.5544</v>
      </c>
      <c r="Q6" s="2">
        <f t="shared" si="0"/>
        <v>1.7982736050174836E-24</v>
      </c>
      <c r="R6" s="9">
        <f t="shared" si="12"/>
        <v>1.7982736050174837</v>
      </c>
      <c r="S6" s="2">
        <f t="shared" si="1"/>
        <v>8.6930040499682974E-25</v>
      </c>
      <c r="T6" s="9">
        <f t="shared" si="9"/>
        <v>0.8693004049968297</v>
      </c>
      <c r="U6" s="12">
        <f t="shared" si="2"/>
        <v>3.855616972340576E-2</v>
      </c>
      <c r="V6" s="2">
        <f t="shared" si="10"/>
        <v>0.76522907153389874</v>
      </c>
    </row>
    <row r="7" spans="1:22">
      <c r="A7">
        <v>50</v>
      </c>
      <c r="B7">
        <v>1500</v>
      </c>
      <c r="C7" s="2">
        <v>525.89800000000002</v>
      </c>
      <c r="D7" s="2">
        <v>145.036</v>
      </c>
      <c r="E7" s="2">
        <v>4553.45</v>
      </c>
      <c r="F7" s="2">
        <v>51.093200000000003</v>
      </c>
      <c r="G7" s="2">
        <v>211.125</v>
      </c>
      <c r="H7" s="2">
        <v>49.218000000000004</v>
      </c>
      <c r="I7" s="3">
        <f xml:space="preserve"> SQRT(2*3.14159)*G7*C7/40.96</f>
        <v>6794.7109214884622</v>
      </c>
      <c r="J7" s="2">
        <f t="shared" si="11"/>
        <v>2453.6788980251054</v>
      </c>
      <c r="K7" s="2">
        <f t="shared" si="4"/>
        <v>4.5298072809923084</v>
      </c>
      <c r="L7" s="2">
        <f t="shared" si="5"/>
        <v>1.6357859320167369</v>
      </c>
      <c r="M7" s="12">
        <f t="shared" si="6"/>
        <v>0.39990381615888532</v>
      </c>
      <c r="N7" s="12">
        <f t="shared" si="7"/>
        <v>4.4283421079887603E-3</v>
      </c>
      <c r="O7" s="12">
        <f t="shared" si="8"/>
        <v>0.45695018268506399</v>
      </c>
      <c r="P7" s="4">
        <v>0.60929999999999995</v>
      </c>
      <c r="Q7" s="2">
        <f t="shared" si="0"/>
        <v>5.6965158672061624E-25</v>
      </c>
      <c r="R7" s="9">
        <f t="shared" si="12"/>
        <v>0.56965158672061622</v>
      </c>
      <c r="S7" s="2">
        <f t="shared" si="1"/>
        <v>2.1354926240383177E-25</v>
      </c>
      <c r="T7" s="9">
        <f t="shared" si="9"/>
        <v>0.21354926240383176</v>
      </c>
      <c r="U7" s="12">
        <f t="shared" si="2"/>
        <v>2.8763760580229697E-2</v>
      </c>
      <c r="V7" s="2">
        <f t="shared" si="10"/>
        <v>0.68099878194495367</v>
      </c>
    </row>
    <row r="8" spans="1:22">
      <c r="A8">
        <v>60</v>
      </c>
      <c r="B8">
        <v>1800</v>
      </c>
      <c r="C8" s="2">
        <v>285.30399999999997</v>
      </c>
      <c r="D8" s="2">
        <v>159.732</v>
      </c>
      <c r="E8" s="2">
        <v>4038.02</v>
      </c>
      <c r="F8" s="2">
        <v>46.342100000000002</v>
      </c>
      <c r="G8" s="2">
        <v>145.56399999999999</v>
      </c>
      <c r="H8" s="2">
        <v>57.789200000000001</v>
      </c>
      <c r="I8" s="3">
        <f t="shared" si="3"/>
        <v>2541.508956638771</v>
      </c>
      <c r="J8" s="2">
        <f t="shared" si="11"/>
        <v>1744.3353668580341</v>
      </c>
      <c r="K8" s="2">
        <f t="shared" si="4"/>
        <v>1.4119494203548728</v>
      </c>
      <c r="L8" s="2">
        <f t="shared" si="5"/>
        <v>0.96907520381001899</v>
      </c>
      <c r="M8" s="12">
        <f t="shared" si="6"/>
        <v>0.35524071955911407</v>
      </c>
      <c r="N8" s="12">
        <f t="shared" si="7"/>
        <v>4.0166773590436019E-3</v>
      </c>
      <c r="O8" s="12">
        <f t="shared" si="8"/>
        <v>0.40527245200170919</v>
      </c>
      <c r="P8" s="4">
        <v>0.66239999999999999</v>
      </c>
      <c r="Q8" s="2">
        <f t="shared" si="0"/>
        <v>1.6332759973264725E-25</v>
      </c>
      <c r="R8" s="9">
        <f t="shared" si="12"/>
        <v>0.16332759973264724</v>
      </c>
      <c r="S8" s="2">
        <f t="shared" si="1"/>
        <v>1.1329667828448283E-25</v>
      </c>
      <c r="T8" s="9">
        <f t="shared" si="9"/>
        <v>0.11329667828448282</v>
      </c>
      <c r="U8" s="12">
        <f t="shared" si="2"/>
        <v>2.18590607833666E-2</v>
      </c>
      <c r="V8" s="2">
        <f t="shared" si="10"/>
        <v>0.60398278986841902</v>
      </c>
    </row>
    <row r="9" spans="1:22">
      <c r="A9">
        <v>70</v>
      </c>
      <c r="B9">
        <v>2100</v>
      </c>
      <c r="C9" s="2">
        <v>343.36700000000002</v>
      </c>
      <c r="D9" s="2">
        <v>116.922</v>
      </c>
      <c r="E9" s="2">
        <v>3661.3</v>
      </c>
      <c r="F9" s="2">
        <v>12.7935</v>
      </c>
      <c r="G9" s="2">
        <v>27.7974</v>
      </c>
      <c r="H9" s="2">
        <v>12.5046</v>
      </c>
      <c r="I9" s="3">
        <f t="shared" si="3"/>
        <v>584.1071647539269</v>
      </c>
      <c r="J9" s="2">
        <f>SQRT(2*3.14159*POWER(1/40.96,2)*(POWER(C9*H9,2)+POWER(G9*D9,2)))</f>
        <v>329.54946217048143</v>
      </c>
      <c r="K9" s="2">
        <f t="shared" si="4"/>
        <v>0.27814626893044136</v>
      </c>
      <c r="L9" s="2">
        <f t="shared" si="5"/>
        <v>0.15692831531927687</v>
      </c>
      <c r="M9" s="12">
        <f t="shared" si="6"/>
        <v>0.32259713701431497</v>
      </c>
      <c r="N9" s="12">
        <f t="shared" si="7"/>
        <v>1.1121546138082839E-3</v>
      </c>
      <c r="O9" s="12">
        <f t="shared" si="8"/>
        <v>0.36020200208327863</v>
      </c>
      <c r="P9" s="4">
        <v>0.69750000000000001</v>
      </c>
      <c r="Q9" s="2">
        <f t="shared" si="0"/>
        <v>3.0555527860326294E-26</v>
      </c>
      <c r="R9" s="9">
        <f t="shared" si="12"/>
        <v>3.0555527860326295E-2</v>
      </c>
      <c r="S9" s="2">
        <f t="shared" si="1"/>
        <v>1.7511337078840301E-26</v>
      </c>
      <c r="T9" s="9">
        <f t="shared" si="9"/>
        <v>1.7511337078840301E-2</v>
      </c>
      <c r="U9" s="12">
        <f t="shared" si="2"/>
        <v>1.7347295999573225E-2</v>
      </c>
      <c r="V9" s="2">
        <f t="shared" si="10"/>
        <v>0.53681371398402178</v>
      </c>
    </row>
    <row r="10" spans="1:22">
      <c r="A10">
        <v>80</v>
      </c>
      <c r="B10">
        <v>7200</v>
      </c>
      <c r="C10" s="2">
        <v>506.721</v>
      </c>
      <c r="D10" s="2">
        <v>418.44499999999999</v>
      </c>
      <c r="E10" s="2">
        <v>3205.79</v>
      </c>
      <c r="F10" s="2">
        <v>44.856999999999999</v>
      </c>
      <c r="G10" s="2">
        <v>79.166300000000007</v>
      </c>
      <c r="H10" s="2">
        <v>62.915599999999998</v>
      </c>
      <c r="I10" s="3">
        <f t="shared" si="3"/>
        <v>2454.9296637709926</v>
      </c>
      <c r="J10" s="2">
        <f t="shared" si="11"/>
        <v>2813.5676395888436</v>
      </c>
      <c r="K10" s="2">
        <f t="shared" si="4"/>
        <v>0.34096245330152675</v>
      </c>
      <c r="L10" s="2">
        <f t="shared" si="5"/>
        <v>0.39077328327622829</v>
      </c>
      <c r="M10" s="12">
        <f t="shared" si="6"/>
        <v>0.28312623479255483</v>
      </c>
      <c r="N10" s="12">
        <f t="shared" si="7"/>
        <v>3.8879184587797652E-3</v>
      </c>
      <c r="O10" s="12">
        <f t="shared" si="8"/>
        <v>0.32203280762368441</v>
      </c>
      <c r="P10" s="4">
        <v>0.73260000000000003</v>
      </c>
      <c r="Q10" s="2">
        <f t="shared" si="0"/>
        <v>3.5661565718836714E-26</v>
      </c>
      <c r="R10" s="9">
        <f t="shared" si="12"/>
        <v>3.5661565718836712E-2</v>
      </c>
      <c r="S10" s="2">
        <f t="shared" si="1"/>
        <v>4.1028591604269557E-26</v>
      </c>
      <c r="T10" s="9">
        <f t="shared" si="9"/>
        <v>4.1028591604269554E-2</v>
      </c>
      <c r="U10" s="12">
        <f t="shared" si="2"/>
        <v>1.4570392197332485E-2</v>
      </c>
      <c r="V10" s="2">
        <f t="shared" si="10"/>
        <v>0.4799296685896936</v>
      </c>
    </row>
    <row r="11" spans="1:22">
      <c r="A11">
        <v>90</v>
      </c>
      <c r="B11">
        <v>10800</v>
      </c>
      <c r="C11" s="2">
        <v>792.12199999999996</v>
      </c>
      <c r="D11" s="2">
        <v>541.94600000000003</v>
      </c>
      <c r="E11" s="2">
        <v>3100.48</v>
      </c>
      <c r="F11" s="2">
        <v>43.601900000000001</v>
      </c>
      <c r="G11" s="2">
        <v>81.465999999999994</v>
      </c>
      <c r="H11" s="2">
        <v>51.051699999999997</v>
      </c>
      <c r="I11" s="3">
        <f t="shared" si="3"/>
        <v>3949.1012714286776</v>
      </c>
      <c r="J11" s="2">
        <f t="shared" si="11"/>
        <v>3663.9370993803864</v>
      </c>
      <c r="K11" s="2">
        <f t="shared" si="4"/>
        <v>0.36565752513228494</v>
      </c>
      <c r="L11" s="2">
        <f t="shared" si="5"/>
        <v>0.33925343512781353</v>
      </c>
      <c r="M11" s="12">
        <f t="shared" si="6"/>
        <v>0.27400090118193476</v>
      </c>
      <c r="N11" s="12">
        <f t="shared" si="7"/>
        <v>3.779177099759409E-3</v>
      </c>
      <c r="O11" s="12">
        <f t="shared" si="8"/>
        <v>0.29030620042535898</v>
      </c>
      <c r="P11" s="4">
        <v>0.76590000000000003</v>
      </c>
      <c r="Q11" s="2">
        <f t="shared" si="0"/>
        <v>3.6581643241920477E-26</v>
      </c>
      <c r="R11" s="9">
        <f t="shared" si="12"/>
        <v>3.6581643241920474E-2</v>
      </c>
      <c r="S11" s="2">
        <f t="shared" si="1"/>
        <v>3.4139169071889297E-26</v>
      </c>
      <c r="T11" s="9">
        <f t="shared" si="9"/>
        <v>3.4139169071889297E-2</v>
      </c>
      <c r="U11" s="12">
        <f t="shared" si="2"/>
        <v>1.2957388325761274E-2</v>
      </c>
      <c r="V11" s="2">
        <f t="shared" si="10"/>
        <v>0.43264709452363481</v>
      </c>
    </row>
    <row r="12" spans="1:22">
      <c r="A12">
        <v>-10</v>
      </c>
      <c r="B12">
        <v>200</v>
      </c>
      <c r="C12" s="2">
        <v>490.74299999999999</v>
      </c>
      <c r="D12" s="2">
        <v>292.78199999999998</v>
      </c>
      <c r="E12" s="2">
        <v>6408.87</v>
      </c>
      <c r="F12" s="2">
        <v>0.14483699999999999</v>
      </c>
      <c r="G12" s="2">
        <v>0.609263</v>
      </c>
      <c r="H12" s="2">
        <v>7.7577499999999994E-2</v>
      </c>
      <c r="I12" s="3">
        <f t="shared" si="3"/>
        <v>18.297372134349907</v>
      </c>
      <c r="J12" s="2">
        <f t="shared" si="11"/>
        <v>11.162236819594124</v>
      </c>
      <c r="K12" s="2">
        <f t="shared" si="4"/>
        <v>9.1486860671749534E-2</v>
      </c>
      <c r="L12" s="2">
        <f t="shared" si="5"/>
        <v>5.5811184097970618E-2</v>
      </c>
      <c r="M12" s="12">
        <f t="shared" si="6"/>
        <v>0.56067987244809547</v>
      </c>
      <c r="N12" s="12">
        <f t="shared" si="7"/>
        <v>1.088968449931462E-4</v>
      </c>
      <c r="O12" s="12">
        <f t="shared" si="8"/>
        <v>0.65789319321946138</v>
      </c>
      <c r="P12" s="4">
        <v>0.46079999999999999</v>
      </c>
      <c r="Q12" s="2">
        <f t="shared" si="0"/>
        <v>1.521272514878924E-26</v>
      </c>
      <c r="R12" s="9">
        <f t="shared" si="12"/>
        <v>1.5212725148789239E-2</v>
      </c>
      <c r="S12" s="2">
        <f t="shared" si="1"/>
        <v>9.4058934805741822E-27</v>
      </c>
      <c r="T12" s="9">
        <f t="shared" si="9"/>
        <v>9.4058934805741814E-3</v>
      </c>
      <c r="U12" s="12">
        <f t="shared" si="2"/>
        <v>7.517740944578237E-2</v>
      </c>
      <c r="V12" s="2">
        <f t="shared" si="10"/>
        <v>0.98046675591573962</v>
      </c>
    </row>
    <row r="13" spans="1:22">
      <c r="A13">
        <v>-20</v>
      </c>
      <c r="B13">
        <v>600</v>
      </c>
      <c r="C13" s="2">
        <v>288.54300000000001</v>
      </c>
      <c r="D13" s="2">
        <v>58.347900000000003</v>
      </c>
      <c r="E13" s="2">
        <v>6142.86</v>
      </c>
      <c r="F13" s="2">
        <v>22.539000000000001</v>
      </c>
      <c r="G13" s="2">
        <v>195.02600000000001</v>
      </c>
      <c r="H13" s="2">
        <v>31.0823</v>
      </c>
      <c r="I13" s="3">
        <f t="shared" si="3"/>
        <v>3443.7598556292337</v>
      </c>
      <c r="J13" s="2">
        <f t="shared" si="11"/>
        <v>886.67016987704778</v>
      </c>
      <c r="K13" s="2">
        <f t="shared" si="4"/>
        <v>5.739599759382056</v>
      </c>
      <c r="L13" s="2">
        <f t="shared" si="5"/>
        <v>1.4777836164617464</v>
      </c>
      <c r="M13" s="12">
        <f t="shared" si="6"/>
        <v>0.53762954490312298</v>
      </c>
      <c r="N13" s="12">
        <f t="shared" si="7"/>
        <v>1.9559291138798785E-3</v>
      </c>
      <c r="O13" s="12">
        <f t="shared" si="8"/>
        <v>0.62182355639796505</v>
      </c>
      <c r="P13" s="4">
        <v>0.48780000000000001</v>
      </c>
      <c r="Q13" s="2">
        <f t="shared" si="0"/>
        <v>9.0157233494120838E-25</v>
      </c>
      <c r="R13" s="9">
        <f t="shared" si="12"/>
        <v>0.90157233494120836</v>
      </c>
      <c r="S13" s="2">
        <f t="shared" si="1"/>
        <v>2.4923146795634336E-25</v>
      </c>
      <c r="T13" s="9">
        <f t="shared" si="9"/>
        <v>0.24923146795634335</v>
      </c>
      <c r="U13" s="12">
        <f t="shared" si="2"/>
        <v>6.4384737830657068E-2</v>
      </c>
      <c r="V13" s="2">
        <f t="shared" si="10"/>
        <v>0.92671170849175111</v>
      </c>
    </row>
    <row r="14" spans="1:22">
      <c r="A14">
        <v>-30</v>
      </c>
      <c r="B14">
        <v>800</v>
      </c>
      <c r="C14" s="2">
        <v>206.93799999999999</v>
      </c>
      <c r="D14" s="2">
        <v>144.46299999999999</v>
      </c>
      <c r="E14" s="2">
        <v>6155.25</v>
      </c>
      <c r="F14" s="2">
        <v>54.803100000000001</v>
      </c>
      <c r="G14" s="2">
        <v>233.47</v>
      </c>
      <c r="H14" s="2">
        <v>110.55200000000001</v>
      </c>
      <c r="I14" s="3">
        <f t="shared" si="3"/>
        <v>2956.658282151835</v>
      </c>
      <c r="J14" s="2">
        <f t="shared" si="11"/>
        <v>2494.0583918090688</v>
      </c>
      <c r="K14" s="2">
        <f t="shared" si="4"/>
        <v>3.6958228526897936</v>
      </c>
      <c r="L14" s="2">
        <f t="shared" si="5"/>
        <v>3.117572989761336</v>
      </c>
      <c r="M14" s="12">
        <f t="shared" si="6"/>
        <v>0.53870316453502487</v>
      </c>
      <c r="N14" s="12">
        <f t="shared" si="7"/>
        <v>4.7499904299684922E-3</v>
      </c>
      <c r="O14" s="12">
        <f t="shared" si="8"/>
        <v>0.57072967889430926</v>
      </c>
      <c r="P14" s="4">
        <v>0.46079999999999999</v>
      </c>
      <c r="Q14" s="2">
        <f t="shared" si="0"/>
        <v>6.1455313739872847E-25</v>
      </c>
      <c r="R14" s="9">
        <f t="shared" si="12"/>
        <v>0.61455313739872841</v>
      </c>
      <c r="S14" s="2">
        <f t="shared" si="1"/>
        <v>5.2207619335558797E-25</v>
      </c>
      <c r="T14" s="9">
        <f t="shared" si="9"/>
        <v>0.52207619335558797</v>
      </c>
      <c r="U14" s="12">
        <f t="shared" si="2"/>
        <v>5.1006364300052669E-2</v>
      </c>
      <c r="V14" s="2">
        <f t="shared" si="10"/>
        <v>0.85056584037900029</v>
      </c>
    </row>
    <row r="15" spans="1:22">
      <c r="A15">
        <v>-40</v>
      </c>
      <c r="B15">
        <v>1300</v>
      </c>
      <c r="C15" s="2">
        <v>226.90899999999999</v>
      </c>
      <c r="D15" s="2">
        <v>124.755</v>
      </c>
      <c r="E15" s="2">
        <v>5659.99</v>
      </c>
      <c r="F15" s="2">
        <v>48.741</v>
      </c>
      <c r="G15" s="2">
        <v>210.74600000000001</v>
      </c>
      <c r="H15" s="2">
        <v>86.297499999999999</v>
      </c>
      <c r="I15" s="3">
        <f t="shared" si="3"/>
        <v>2926.4483603959006</v>
      </c>
      <c r="J15" s="2">
        <f t="shared" si="11"/>
        <v>2006.188194800844</v>
      </c>
      <c r="K15" s="2">
        <f t="shared" si="4"/>
        <v>2.2511141233814622</v>
      </c>
      <c r="L15" s="2">
        <f t="shared" si="5"/>
        <v>1.5432216883083416</v>
      </c>
      <c r="M15" s="12">
        <f t="shared" si="6"/>
        <v>0.49578784097604939</v>
      </c>
      <c r="N15" s="12">
        <f t="shared" si="7"/>
        <v>4.2247499509984066E-3</v>
      </c>
      <c r="O15" s="12">
        <f t="shared" si="8"/>
        <v>0.51346870699924607</v>
      </c>
      <c r="P15" s="4">
        <v>0.504</v>
      </c>
      <c r="Q15" s="2">
        <f t="shared" si="0"/>
        <v>3.4223761468680088E-25</v>
      </c>
      <c r="R15" s="9">
        <f t="shared" si="12"/>
        <v>0.34223761468680086</v>
      </c>
      <c r="S15" s="2">
        <f t="shared" si="1"/>
        <v>2.3713108923779522E-25</v>
      </c>
      <c r="T15" s="9">
        <f t="shared" si="9"/>
        <v>0.23713108923779522</v>
      </c>
      <c r="U15" s="12">
        <f t="shared" si="2"/>
        <v>3.855616972340576E-2</v>
      </c>
      <c r="V15" s="2">
        <f t="shared" si="10"/>
        <v>0.76522907153389874</v>
      </c>
    </row>
    <row r="16" spans="1:22">
      <c r="A16" s="1" t="s">
        <v>18</v>
      </c>
      <c r="B16" s="1" t="s">
        <v>19</v>
      </c>
      <c r="C16" s="1" t="s">
        <v>21</v>
      </c>
    </row>
    <row r="17" spans="1:14">
      <c r="A17" s="1" t="s">
        <v>20</v>
      </c>
      <c r="B17" s="2">
        <f>16384/400</f>
        <v>40.96</v>
      </c>
    </row>
    <row r="18" spans="1:14">
      <c r="A18" s="1" t="s">
        <v>27</v>
      </c>
      <c r="B18">
        <v>2.7</v>
      </c>
    </row>
    <row r="19" spans="1:14">
      <c r="A19" s="1" t="s">
        <v>25</v>
      </c>
      <c r="B19">
        <f>6.022E+23</f>
        <v>6.0220000000000003E+23</v>
      </c>
    </row>
    <row r="20" spans="1:14">
      <c r="A20" s="1" t="s">
        <v>26</v>
      </c>
      <c r="B20">
        <f>26.98</f>
        <v>26.98</v>
      </c>
    </row>
    <row r="21" spans="1:14">
      <c r="A21" s="1" t="s">
        <v>24</v>
      </c>
      <c r="B21">
        <v>13</v>
      </c>
      <c r="N21" s="10" t="s">
        <v>43</v>
      </c>
    </row>
    <row r="22" spans="1:14">
      <c r="A22" s="1" t="s">
        <v>22</v>
      </c>
      <c r="B22">
        <v>1</v>
      </c>
      <c r="C22">
        <v>0.1</v>
      </c>
    </row>
    <row r="23" spans="1:14">
      <c r="A23" s="1" t="s">
        <v>23</v>
      </c>
      <c r="B23">
        <v>36.1</v>
      </c>
      <c r="C23">
        <v>0.2</v>
      </c>
    </row>
    <row r="24" spans="1:14">
      <c r="A24" s="1" t="s">
        <v>28</v>
      </c>
      <c r="B24">
        <v>3.81</v>
      </c>
    </row>
    <row r="25" spans="1:14">
      <c r="A25" s="1" t="s">
        <v>33</v>
      </c>
      <c r="B25" s="5">
        <f>POWER(3.81,2)/(4*POWER(36.1,2))</f>
        <v>2.7846816706440249E-3</v>
      </c>
      <c r="C25" s="5">
        <f>POWER(3.81,2)/(2*POWER(36.1,3))*0.2</f>
        <v>3.0855198566692801E-5</v>
      </c>
    </row>
    <row r="26" spans="1:14">
      <c r="A26" s="1" t="s">
        <v>34</v>
      </c>
      <c r="B26" s="2">
        <f>K2</f>
        <v>5982.1625446222833</v>
      </c>
      <c r="C26" s="2">
        <f>L2</f>
        <v>13.64965727804228</v>
      </c>
    </row>
    <row r="27" spans="1:14">
      <c r="A27" s="1" t="s">
        <v>35</v>
      </c>
      <c r="B27" s="6">
        <f>B18*B19*B21*B22/B20</f>
        <v>7.8344032616753157E+23</v>
      </c>
      <c r="C27" s="6">
        <f>B18*B19*B21*C22/B20</f>
        <v>7.8344032616753178E+22</v>
      </c>
      <c r="D27" s="7">
        <v>7.8299999999999994E+23</v>
      </c>
      <c r="E27" s="7">
        <v>7.8300000000000001E+22</v>
      </c>
    </row>
    <row r="28" spans="1:14">
      <c r="A28" s="1"/>
    </row>
    <row r="29" spans="1:14">
      <c r="A29" s="1" t="s">
        <v>41</v>
      </c>
      <c r="B29">
        <v>11540.4</v>
      </c>
      <c r="C29" s="2">
        <v>1.5354000000000001</v>
      </c>
    </row>
    <row r="30" spans="1:14">
      <c r="A30" s="1" t="s">
        <v>42</v>
      </c>
      <c r="B30">
        <v>-61.6</v>
      </c>
      <c r="C30" s="2">
        <v>0.89865600000000001</v>
      </c>
    </row>
  </sheetData>
  <sheetCalcPr fullCalcOnLoad="1"/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Sheet1</vt:lpstr>
      <vt:lpstr>Sheet1 (2)</vt:lpstr>
      <vt:lpstr>Calibration</vt:lpstr>
      <vt:lpstr>Sheet1</vt:lpstr>
      <vt:lpstr>Sheet1 (2)</vt:lpstr>
    </vt:vector>
  </TitlesOfParts>
  <Company>Duke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Beutel</dc:creator>
  <cp:lastModifiedBy>Office 2008 Converter</cp:lastModifiedBy>
  <dcterms:created xsi:type="dcterms:W3CDTF">2010-11-30T21:47:27Z</dcterms:created>
  <dcterms:modified xsi:type="dcterms:W3CDTF">2010-12-05T22:50:15Z</dcterms:modified>
</cp:coreProperties>
</file>