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Objects="none" showInkAnnotation="0" autoCompressPictures="0"/>
  <bookViews>
    <workbookView xWindow="160" yWindow="60" windowWidth="25000" windowHeight="17300" tabRatio="500" activeTab="2"/>
  </bookViews>
  <sheets>
    <sheet name="Calibration" sheetId="2" r:id="rId1"/>
    <sheet name="Sheet1" sheetId="1" r:id="rId2"/>
    <sheet name="Sheet1 (2)" sheetId="3" r:id="rId3"/>
  </sheets>
  <calcPr calcId="1103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K2" i="3"/>
  <c r="L2"/>
  <c r="B26"/>
  <c r="V2"/>
  <c r="U2"/>
  <c r="S15"/>
  <c r="S14"/>
  <c r="S13"/>
  <c r="S12"/>
  <c r="S11"/>
  <c r="S10"/>
  <c r="S9"/>
  <c r="S8"/>
  <c r="S7"/>
  <c r="S6"/>
  <c r="S5"/>
  <c r="S4"/>
  <c r="S3"/>
  <c r="S2"/>
  <c r="Q15"/>
  <c r="Q14"/>
  <c r="Q13"/>
  <c r="Q12"/>
  <c r="Q11"/>
  <c r="Q10"/>
  <c r="Q9"/>
  <c r="Q8"/>
  <c r="Q7"/>
  <c r="Q6"/>
  <c r="Q5"/>
  <c r="Q4"/>
  <c r="Q3"/>
  <c r="Q2"/>
  <c r="R2"/>
  <c r="B27"/>
  <c r="I2"/>
  <c r="O2"/>
  <c r="J2"/>
  <c r="B25"/>
  <c r="R3"/>
  <c r="B19"/>
  <c r="B20"/>
  <c r="I3"/>
  <c r="K3"/>
  <c r="I7"/>
  <c r="I6"/>
  <c r="I5"/>
  <c r="K5"/>
  <c r="I4"/>
  <c r="K4"/>
  <c r="R4"/>
  <c r="V3"/>
  <c r="U3"/>
  <c r="V4"/>
  <c r="U4"/>
  <c r="V5"/>
  <c r="U5"/>
  <c r="V6"/>
  <c r="U6"/>
  <c r="V7"/>
  <c r="U7"/>
  <c r="V8"/>
  <c r="U8"/>
  <c r="V9"/>
  <c r="U9"/>
  <c r="V10"/>
  <c r="U10"/>
  <c r="V11"/>
  <c r="U11"/>
  <c r="V12"/>
  <c r="U12"/>
  <c r="V13"/>
  <c r="U13"/>
  <c r="V14"/>
  <c r="U14"/>
  <c r="V15"/>
  <c r="U15"/>
  <c r="O3"/>
  <c r="O4"/>
  <c r="O5"/>
  <c r="O6"/>
  <c r="O7"/>
  <c r="O8"/>
  <c r="O9"/>
  <c r="O10"/>
  <c r="O11"/>
  <c r="O12"/>
  <c r="O13"/>
  <c r="O14"/>
  <c r="O15"/>
  <c r="J9"/>
  <c r="L9"/>
  <c r="I9"/>
  <c r="K9"/>
  <c r="J3"/>
  <c r="L3"/>
  <c r="T3"/>
  <c r="J4"/>
  <c r="L4"/>
  <c r="T4"/>
  <c r="J5"/>
  <c r="L5"/>
  <c r="T5"/>
  <c r="J6"/>
  <c r="L6"/>
  <c r="K6"/>
  <c r="T6"/>
  <c r="J7"/>
  <c r="L7"/>
  <c r="K7"/>
  <c r="T7"/>
  <c r="J8"/>
  <c r="L8"/>
  <c r="I8"/>
  <c r="K8"/>
  <c r="T8"/>
  <c r="T9"/>
  <c r="J10"/>
  <c r="L10"/>
  <c r="I10"/>
  <c r="K10"/>
  <c r="T10"/>
  <c r="J11"/>
  <c r="L11"/>
  <c r="I11"/>
  <c r="K11"/>
  <c r="T11"/>
  <c r="J12"/>
  <c r="L12"/>
  <c r="I12"/>
  <c r="K12"/>
  <c r="T12"/>
  <c r="J13"/>
  <c r="L13"/>
  <c r="I13"/>
  <c r="K13"/>
  <c r="T13"/>
  <c r="J14"/>
  <c r="L14"/>
  <c r="I14"/>
  <c r="K14"/>
  <c r="T14"/>
  <c r="J15"/>
  <c r="L15"/>
  <c r="I15"/>
  <c r="K15"/>
  <c r="T15"/>
  <c r="T2"/>
  <c r="R5"/>
  <c r="R6"/>
  <c r="R7"/>
  <c r="R8"/>
  <c r="R9"/>
  <c r="R10"/>
  <c r="R11"/>
  <c r="R12"/>
  <c r="R13"/>
  <c r="R14"/>
  <c r="R15"/>
  <c r="N3"/>
  <c r="N4"/>
  <c r="N5"/>
  <c r="N6"/>
  <c r="N7"/>
  <c r="N8"/>
  <c r="N9"/>
  <c r="N10"/>
  <c r="N11"/>
  <c r="N12"/>
  <c r="N13"/>
  <c r="N14"/>
  <c r="N15"/>
  <c r="N2"/>
  <c r="M2"/>
  <c r="M3"/>
  <c r="M4"/>
  <c r="M5"/>
  <c r="M6"/>
  <c r="M7"/>
  <c r="M8"/>
  <c r="M9"/>
  <c r="M10"/>
  <c r="M11"/>
  <c r="M12"/>
  <c r="M13"/>
  <c r="M14"/>
  <c r="M15"/>
  <c r="C27"/>
  <c r="C26"/>
  <c r="C25"/>
  <c r="B17"/>
</calcChain>
</file>

<file path=xl/sharedStrings.xml><?xml version="1.0" encoding="utf-8"?>
<sst xmlns="http://schemas.openxmlformats.org/spreadsheetml/2006/main" count="64" uniqueCount="58">
  <si>
    <t>Element</t>
  </si>
  <si>
    <t>P1</t>
  </si>
  <si>
    <t>P1error</t>
  </si>
  <si>
    <t>Ba133</t>
  </si>
  <si>
    <t>Na22</t>
  </si>
  <si>
    <t>Cs137</t>
  </si>
  <si>
    <t>Co60</t>
  </si>
  <si>
    <t>Slope</t>
  </si>
  <si>
    <t>Slope error</t>
  </si>
  <si>
    <t>Intercpt</t>
  </si>
  <si>
    <t>Intercept eror</t>
  </si>
  <si>
    <t>Angle</t>
  </si>
  <si>
    <t>Time</t>
  </si>
  <si>
    <t>P1Error</t>
  </si>
  <si>
    <t>P0</t>
  </si>
  <si>
    <t>P0Error</t>
  </si>
  <si>
    <t>P2</t>
  </si>
  <si>
    <t>P2Error</t>
  </si>
  <si>
    <t>Constants</t>
  </si>
  <si>
    <t>Values</t>
  </si>
  <si>
    <t>Scale Fact</t>
  </si>
  <si>
    <t>Value Error</t>
  </si>
  <si>
    <t>targ length</t>
  </si>
  <si>
    <t>detect dist</t>
  </si>
  <si>
    <t>Z</t>
  </si>
  <si>
    <t>Na</t>
  </si>
  <si>
    <t>m Al</t>
  </si>
  <si>
    <t>p Al</t>
  </si>
  <si>
    <t>detect rad</t>
  </si>
  <si>
    <t>Ntheta</t>
  </si>
  <si>
    <t>NthetaError</t>
  </si>
  <si>
    <t>CountRate</t>
  </si>
  <si>
    <t>CountRateEr</t>
  </si>
  <si>
    <t>solid angle</t>
  </si>
  <si>
    <t>Luminosity</t>
  </si>
  <si>
    <t>n</t>
  </si>
  <si>
    <t>Efficiency</t>
  </si>
  <si>
    <t>E'</t>
  </si>
  <si>
    <t>E' Error</t>
  </si>
  <si>
    <t>CrossSection</t>
  </si>
  <si>
    <t>CrossSecErr</t>
  </si>
  <si>
    <t>m</t>
  </si>
  <si>
    <t>b</t>
  </si>
  <si>
    <t xml:space="preserve"> </t>
  </si>
  <si>
    <t>CrossSecBarn</t>
  </si>
  <si>
    <t>CrossSecErrorBarn</t>
  </si>
  <si>
    <t>Etheory</t>
  </si>
  <si>
    <t>CrossSecTheory</t>
  </si>
  <si>
    <t>P</t>
  </si>
  <si>
    <t>Mean</t>
  </si>
  <si>
    <t>MeanError</t>
  </si>
  <si>
    <t>Width</t>
  </si>
  <si>
    <t>WidthError</t>
  </si>
  <si>
    <t>Peak</t>
  </si>
  <si>
    <t>PeakError</t>
  </si>
  <si>
    <t>alternate for 10</t>
  </si>
  <si>
    <t>alternate for -30</t>
  </si>
  <si>
    <t>alternate for -40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</si>
</sst>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4"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2" fontId="0" fillId="0" borderId="0" xfId="0" applyNumberFormat="1"/>
    <xf numFmtId="2" fontId="2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11" fontId="0" fillId="0" borderId="0" xfId="0" applyNumberFormat="1"/>
    <xf numFmtId="0" fontId="1" fillId="2" borderId="0" xfId="0" applyFont="1" applyFill="1"/>
    <xf numFmtId="2" fontId="0" fillId="2" borderId="0" xfId="0" applyNumberFormat="1" applyFill="1"/>
    <xf numFmtId="0" fontId="0" fillId="2" borderId="0" xfId="0" applyFill="1"/>
    <xf numFmtId="164" fontId="1" fillId="2" borderId="0" xfId="0" applyNumberFormat="1" applyFon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14"/>
  <sheetViews>
    <sheetView workbookViewId="0">
      <selection activeCell="A11" sqref="A11:A14"/>
    </sheetView>
  </sheetViews>
  <sheetFormatPr baseColWidth="10"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4209</v>
      </c>
      <c r="C2">
        <v>1.7</v>
      </c>
    </row>
    <row r="3" spans="1:3">
      <c r="A3" t="s">
        <v>3</v>
      </c>
      <c r="B3">
        <v>3608</v>
      </c>
      <c r="C3">
        <v>9.6999999999999993</v>
      </c>
    </row>
    <row r="4" spans="1:3">
      <c r="A4" t="s">
        <v>4</v>
      </c>
      <c r="B4">
        <v>14310</v>
      </c>
      <c r="C4">
        <v>5.3869999999999996</v>
      </c>
    </row>
    <row r="5" spans="1:3">
      <c r="A5" t="s">
        <v>4</v>
      </c>
      <c r="B5">
        <v>5956</v>
      </c>
      <c r="C5">
        <v>1.6</v>
      </c>
    </row>
    <row r="6" spans="1:3">
      <c r="A6" t="s">
        <v>5</v>
      </c>
      <c r="B6">
        <v>7644</v>
      </c>
      <c r="C6">
        <v>1.5</v>
      </c>
    </row>
    <row r="7" spans="1:3">
      <c r="A7" t="s">
        <v>6</v>
      </c>
      <c r="B7">
        <v>14880</v>
      </c>
      <c r="C7">
        <v>12.94</v>
      </c>
    </row>
    <row r="8" spans="1:3">
      <c r="A8" t="s">
        <v>6</v>
      </c>
      <c r="B8">
        <v>13220</v>
      </c>
      <c r="C8">
        <v>12.79</v>
      </c>
    </row>
    <row r="11" spans="1:3">
      <c r="A11" s="1" t="s">
        <v>7</v>
      </c>
      <c r="B11">
        <v>11540.4</v>
      </c>
    </row>
    <row r="12" spans="1:3">
      <c r="A12" s="1" t="s">
        <v>8</v>
      </c>
      <c r="B12">
        <v>1.5354000000000001</v>
      </c>
    </row>
    <row r="13" spans="1:3">
      <c r="A13" s="1" t="s">
        <v>9</v>
      </c>
      <c r="B13">
        <v>-61.6</v>
      </c>
    </row>
    <row r="14" spans="1:3">
      <c r="A14" s="1" t="s">
        <v>10</v>
      </c>
      <c r="B14">
        <v>0.89866000000000001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15"/>
  <sheetViews>
    <sheetView workbookViewId="0">
      <selection activeCell="E2" sqref="E2"/>
    </sheetView>
  </sheetViews>
  <sheetFormatPr baseColWidth="10" defaultRowHeight="15"/>
  <sheetData>
    <row r="1" spans="1:8">
      <c r="A1" s="1" t="s">
        <v>11</v>
      </c>
      <c r="B1" s="1" t="s">
        <v>12</v>
      </c>
      <c r="C1" s="1" t="s">
        <v>1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8">
      <c r="A2">
        <v>0</v>
      </c>
      <c r="B2">
        <v>60</v>
      </c>
    </row>
    <row r="3" spans="1:8">
      <c r="A3">
        <v>10</v>
      </c>
      <c r="B3">
        <v>200</v>
      </c>
      <c r="C3">
        <v>7377.83</v>
      </c>
      <c r="D3">
        <v>21.920500000000001</v>
      </c>
    </row>
    <row r="4" spans="1:8">
      <c r="A4">
        <v>20</v>
      </c>
      <c r="B4">
        <v>600</v>
      </c>
      <c r="C4">
        <v>6974.1</v>
      </c>
      <c r="D4">
        <v>13.1694</v>
      </c>
    </row>
    <row r="5" spans="1:8">
      <c r="A5">
        <v>30</v>
      </c>
      <c r="B5">
        <v>800</v>
      </c>
      <c r="C5">
        <v>6400.02</v>
      </c>
      <c r="D5">
        <v>55.360700000000001</v>
      </c>
    </row>
    <row r="6" spans="1:8">
      <c r="A6">
        <v>40</v>
      </c>
      <c r="B6">
        <v>1300</v>
      </c>
      <c r="C6">
        <v>4883.12</v>
      </c>
      <c r="D6">
        <v>48.532499999999999</v>
      </c>
    </row>
    <row r="7" spans="1:8">
      <c r="A7">
        <v>50</v>
      </c>
      <c r="B7">
        <v>1500</v>
      </c>
      <c r="C7">
        <v>4665.78</v>
      </c>
      <c r="D7">
        <v>95.438999999999993</v>
      </c>
    </row>
    <row r="8" spans="1:8">
      <c r="A8">
        <v>60</v>
      </c>
      <c r="B8">
        <v>1800</v>
      </c>
      <c r="C8">
        <v>4094.43</v>
      </c>
      <c r="D8">
        <v>25.9421</v>
      </c>
    </row>
    <row r="9" spans="1:8">
      <c r="A9">
        <v>70</v>
      </c>
      <c r="B9">
        <v>2100</v>
      </c>
      <c r="C9">
        <v>3624.6</v>
      </c>
      <c r="D9">
        <v>27.936399999999999</v>
      </c>
    </row>
    <row r="10" spans="1:8">
      <c r="A10">
        <v>80</v>
      </c>
      <c r="B10">
        <v>7200</v>
      </c>
      <c r="C10">
        <v>3220.21</v>
      </c>
      <c r="D10">
        <v>14.3484</v>
      </c>
    </row>
    <row r="11" spans="1:8">
      <c r="A11">
        <v>90</v>
      </c>
      <c r="B11">
        <v>10800</v>
      </c>
      <c r="C11">
        <v>3091.68</v>
      </c>
      <c r="D11">
        <v>22.6355</v>
      </c>
    </row>
    <row r="12" spans="1:8">
      <c r="A12">
        <v>-10</v>
      </c>
      <c r="B12">
        <v>200</v>
      </c>
      <c r="C12">
        <v>6442.61</v>
      </c>
      <c r="D12">
        <v>4.2390699999999999</v>
      </c>
    </row>
    <row r="13" spans="1:8">
      <c r="A13">
        <v>-20</v>
      </c>
      <c r="B13">
        <v>600</v>
      </c>
      <c r="C13">
        <v>6142.86</v>
      </c>
      <c r="D13">
        <v>22.539200000000001</v>
      </c>
    </row>
    <row r="14" spans="1:8">
      <c r="A14">
        <v>-30</v>
      </c>
      <c r="B14">
        <v>800</v>
      </c>
      <c r="C14">
        <v>6155.25</v>
      </c>
      <c r="D14">
        <v>54.803199999999997</v>
      </c>
    </row>
    <row r="15" spans="1:8">
      <c r="A15">
        <v>-40</v>
      </c>
      <c r="B15">
        <v>1300</v>
      </c>
      <c r="C15">
        <v>5590.22</v>
      </c>
      <c r="D15">
        <v>56.0807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40"/>
  <sheetViews>
    <sheetView tabSelected="1" workbookViewId="0">
      <selection activeCell="K3" sqref="K3"/>
    </sheetView>
  </sheetViews>
  <sheetFormatPr baseColWidth="10" defaultRowHeight="15"/>
  <cols>
    <col min="2" max="2" width="11.1640625" bestFit="1" customWidth="1"/>
    <col min="3" max="3" width="12.1640625" bestFit="1" customWidth="1"/>
    <col min="13" max="15" width="10.83203125" style="10"/>
    <col min="17" max="17" width="12.1640625" bestFit="1" customWidth="1"/>
    <col min="18" max="18" width="12.1640625" style="10" bestFit="1" customWidth="1"/>
    <col min="19" max="19" width="12.1640625" bestFit="1" customWidth="1"/>
    <col min="20" max="20" width="10.83203125" style="10"/>
    <col min="21" max="21" width="10.83203125" style="12"/>
  </cols>
  <sheetData>
    <row r="1" spans="1:22" s="1" customFormat="1">
      <c r="A1" s="1" t="s">
        <v>11</v>
      </c>
      <c r="B1" s="1" t="s">
        <v>12</v>
      </c>
      <c r="C1" s="1" t="s">
        <v>53</v>
      </c>
      <c r="D1" s="1" t="s">
        <v>54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29</v>
      </c>
      <c r="J1" s="1" t="s">
        <v>30</v>
      </c>
      <c r="K1" s="1" t="s">
        <v>31</v>
      </c>
      <c r="L1" s="1" t="s">
        <v>32</v>
      </c>
      <c r="M1" s="8" t="s">
        <v>37</v>
      </c>
      <c r="N1" s="8" t="s">
        <v>38</v>
      </c>
      <c r="O1" s="8" t="s">
        <v>46</v>
      </c>
      <c r="P1" s="1" t="s">
        <v>36</v>
      </c>
      <c r="Q1" s="1" t="s">
        <v>39</v>
      </c>
      <c r="R1" s="8" t="s">
        <v>44</v>
      </c>
      <c r="S1" s="1" t="s">
        <v>40</v>
      </c>
      <c r="T1" s="8" t="s">
        <v>45</v>
      </c>
      <c r="U1" s="11" t="s">
        <v>47</v>
      </c>
      <c r="V1" s="1" t="s">
        <v>48</v>
      </c>
    </row>
    <row r="2" spans="1:22">
      <c r="A2">
        <v>0</v>
      </c>
      <c r="B2">
        <v>60</v>
      </c>
      <c r="C2" s="2">
        <v>26907.599999999999</v>
      </c>
      <c r="D2" s="2">
        <v>56.741199999999999</v>
      </c>
      <c r="E2" s="2">
        <v>7683.02</v>
      </c>
      <c r="F2" s="2">
        <v>0.40699099999999999</v>
      </c>
      <c r="G2" s="2">
        <v>217.97399999999999</v>
      </c>
      <c r="H2" s="2">
        <v>0.33175700000000002</v>
      </c>
      <c r="I2" s="2">
        <f xml:space="preserve"> SQRT(2*3.14159)*G2*C2/40.96</f>
        <v>358929.75267733698</v>
      </c>
      <c r="J2" s="2">
        <f>SQRT(2*3.14159*POWER(1/40.96,2)*(POWER(C2*H2,2)+POWER(G2*D2,2)))</f>
        <v>933.44421215607497</v>
      </c>
      <c r="K2" s="2">
        <f>I2/B2</f>
        <v>5982.1625446222833</v>
      </c>
      <c r="L2" s="2">
        <f>J2/B2</f>
        <v>15.557403535934583</v>
      </c>
      <c r="M2" s="12">
        <f>(E2+61.6)/11540.4</f>
        <v>0.67108765727357811</v>
      </c>
      <c r="N2" s="12">
        <f>SQRT(POWER(F2/11540.4,2)+POWER((-61.6-E2)*1.5454/POWER(11540.4,2),2)+POWER(0.89865/11540.4,2))</f>
        <v>1.2403024496755212E-4</v>
      </c>
      <c r="O2" s="12">
        <f>0.671/(1+(0.000000000000107506/(9.109E-31*POWER(300000000,2)))*(1-COS(RADIANS(A2))))</f>
        <v>0.67100000000000004</v>
      </c>
      <c r="P2" s="4">
        <v>0.38429999999999997</v>
      </c>
      <c r="Q2" s="2">
        <f>K2/(K2*P2*B27*B25)</f>
        <v>1.1927464620436676E-21</v>
      </c>
      <c r="R2" s="9">
        <f>Q2*1E+24</f>
        <v>1192.7464620436676</v>
      </c>
      <c r="S2" s="2">
        <f>SQRT(POWER(L2/(K2*P2*B27*B25),2)+POWER(K2*L2/(POWER(K2,2)*P2*B27*B25),2)+POWER(K2*C27/(K2*P2*POWER(B27,2)*B25),2)+POWER(K2*C25/(K2*P2*B27*POWER(B25,2)),2))</f>
        <v>1.2008475384143627E-22</v>
      </c>
      <c r="T2" s="9">
        <f>S2*1E+24</f>
        <v>120.08475384143627</v>
      </c>
      <c r="U2" s="12">
        <f>0.5*POWER(1/137,2)*POWER(0.0000000000386,2)*POWER(V2,2)*(V2+1/V2-1+POWER(COS(RADIANS(A2)),2))*1E+24</f>
        <v>7.9384090788001488E-2</v>
      </c>
      <c r="V2" s="2">
        <f>1/(1+(0.000000000000107506/(9.109E-31*POWER(300000000,2)))*(1-COS(RADIANS(A2))))</f>
        <v>1</v>
      </c>
    </row>
    <row r="3" spans="1:22">
      <c r="A3">
        <v>10</v>
      </c>
      <c r="B3">
        <v>200</v>
      </c>
      <c r="C3" s="2">
        <v>94.608699999999999</v>
      </c>
      <c r="D3" s="2">
        <v>16.649699999999999</v>
      </c>
      <c r="E3" s="2">
        <v>7384.2</v>
      </c>
      <c r="F3" s="2">
        <v>29.849499999999999</v>
      </c>
      <c r="G3" s="2">
        <v>195.88800000000001</v>
      </c>
      <c r="H3" s="2">
        <v>36.712200000000003</v>
      </c>
      <c r="I3" s="3">
        <f t="shared" ref="I3:I15" si="0" xml:space="preserve"> SQRT(2*3.14159)*G3*C3/40.96</f>
        <v>1134.1453327589772</v>
      </c>
      <c r="J3" s="2">
        <f>SQRT(2*3.14159*POWER(1/40.96,2)*(POWER(C3*H3,2)+POWER(G3*D3,2)))</f>
        <v>291.57632810395484</v>
      </c>
      <c r="K3" s="2">
        <f t="shared" ref="K3:K15" si="1">I3/B3</f>
        <v>5.6707266637948859</v>
      </c>
      <c r="L3" s="2">
        <f t="shared" ref="L3:L15" si="2">J3/B3</f>
        <v>1.4578816405197741</v>
      </c>
      <c r="M3" s="12">
        <f t="shared" ref="M3:M15" si="3">(E3+61.6)/11540.4</f>
        <v>0.64519427402862994</v>
      </c>
      <c r="N3" s="12">
        <f t="shared" ref="N3:N15" si="4">SQRT(POWER(F3/11540.4,2)+POWER((-61.6-E3)*1.5454/POWER(11540.4,2),2)+POWER(0.89865/11540.4,2))</f>
        <v>2.5891360157888157E-3</v>
      </c>
      <c r="O3" s="12">
        <f t="shared" ref="O3:O15" si="5">0.671/(1+(0.000000000000107506/(9.109E-31*POWER(300000000,2)))*(1-COS(RADIANS(A3))))</f>
        <v>0.65789319321946138</v>
      </c>
      <c r="P3" s="4">
        <v>0.40589999999999998</v>
      </c>
      <c r="Q3" s="2">
        <f>K3/(K2*P3*B27*B25)</f>
        <v>1.0704834937363573E-24</v>
      </c>
      <c r="R3" s="9">
        <f>Q3*1E+24</f>
        <v>1.0704834937363572</v>
      </c>
      <c r="S3" s="2">
        <f>SQRT(POWER(L3/(K2*P3*B27*B25),2)+POWER(K3*L2/(POWER(K2,2)*P3*B27*B25),2)+POWER(K3*C27/(K2*P3*POWER(B27,2)*B25),2)+POWER(K3*C25/(K2*P3*B27*POWER(B25,2)),2))</f>
        <v>2.9554711320656016E-25</v>
      </c>
      <c r="T3" s="9">
        <f t="shared" ref="T3:T15" si="6">S3*1E+24</f>
        <v>0.29554711320656019</v>
      </c>
      <c r="U3" s="12">
        <f t="shared" ref="U3:U15" si="7">0.5*POWER(1/137,2)*POWER(0.0000000000386,2)*POWER(V3,2)*(V3+1/V3-1+POWER(COS(RADIANS(A3)),2))*1E+24</f>
        <v>7.517740944578237E-2</v>
      </c>
      <c r="V3" s="2">
        <f t="shared" ref="V3:V15" si="8">1/(1+(0.000000000000107506/(9.109E-31*POWER(300000000,2)))*(1-COS(RADIANS(A3))))</f>
        <v>0.98046675591573962</v>
      </c>
    </row>
    <row r="4" spans="1:22">
      <c r="A4">
        <v>20</v>
      </c>
      <c r="B4">
        <v>600</v>
      </c>
      <c r="C4" s="2">
        <v>282.738</v>
      </c>
      <c r="D4" s="2">
        <v>74.260800000000003</v>
      </c>
      <c r="E4" s="2">
        <v>6963.38</v>
      </c>
      <c r="F4" s="2">
        <v>28.923200000000001</v>
      </c>
      <c r="G4" s="2">
        <v>237.184</v>
      </c>
      <c r="H4" s="2">
        <v>42.040399999999998</v>
      </c>
      <c r="I4" s="3">
        <f t="shared" si="0"/>
        <v>4103.9246031982575</v>
      </c>
      <c r="J4" s="2">
        <f t="shared" ref="J4:J15" si="9">SQRT(2*3.14159*POWER(1/40.96,2)*(POWER(C4*H4,2)+POWER(G4*D4,2)))</f>
        <v>1300.3760788032978</v>
      </c>
      <c r="K4" s="2">
        <f t="shared" si="1"/>
        <v>6.8398743386637628</v>
      </c>
      <c r="L4" s="2">
        <f t="shared" si="2"/>
        <v>2.1672934646721629</v>
      </c>
      <c r="M4" s="12">
        <f t="shared" si="3"/>
        <v>0.60872933347197677</v>
      </c>
      <c r="N4" s="12">
        <f t="shared" si="4"/>
        <v>2.5087903814642065E-3</v>
      </c>
      <c r="O4" s="12">
        <f t="shared" si="5"/>
        <v>0.62182355639796505</v>
      </c>
      <c r="P4" s="4">
        <v>0.43380000000000002</v>
      </c>
      <c r="Q4" s="2">
        <f>K4/(K2*P4*B27*B25)</f>
        <v>1.2081445176452194E-24</v>
      </c>
      <c r="R4" s="9">
        <f>Q4*1E+24</f>
        <v>1.2081445176452192</v>
      </c>
      <c r="S4" s="2">
        <f>SQRT(POWER(L4/(K2*P4*B27*B25),2)+POWER(K4*L2/(POWER(K2,2)*P4*B27*B25),2)+POWER(K4*C27/(K2*P4*POWER(B27,2)*B25),2)+POWER(K4*C25/(K2*P4*B27*POWER(B25,2)),2))</f>
        <v>4.0166182177158987E-25</v>
      </c>
      <c r="T4" s="9">
        <f t="shared" si="6"/>
        <v>0.40166182177158988</v>
      </c>
      <c r="U4" s="12">
        <f t="shared" si="7"/>
        <v>6.4384737830657068E-2</v>
      </c>
      <c r="V4" s="2">
        <f t="shared" si="8"/>
        <v>0.92671170849175111</v>
      </c>
    </row>
    <row r="5" spans="1:22">
      <c r="A5">
        <v>30</v>
      </c>
      <c r="B5">
        <v>800</v>
      </c>
      <c r="C5" s="2">
        <v>542.78499999999997</v>
      </c>
      <c r="D5" s="2">
        <v>20.5443</v>
      </c>
      <c r="E5" s="2">
        <v>6483.69</v>
      </c>
      <c r="F5" s="2">
        <v>10.114000000000001</v>
      </c>
      <c r="G5" s="2">
        <v>248.68299999999999</v>
      </c>
      <c r="H5" s="2">
        <v>11.1846</v>
      </c>
      <c r="I5" s="3">
        <f t="shared" si="0"/>
        <v>8260.4505931587355</v>
      </c>
      <c r="J5" s="2">
        <f t="shared" si="9"/>
        <v>485.57027782532532</v>
      </c>
      <c r="K5" s="2">
        <f t="shared" si="1"/>
        <v>10.325563241448419</v>
      </c>
      <c r="L5" s="2">
        <f t="shared" si="2"/>
        <v>0.60696284728165661</v>
      </c>
      <c r="M5" s="12">
        <f t="shared" si="3"/>
        <v>0.56716318325188042</v>
      </c>
      <c r="N5" s="12">
        <f t="shared" si="4"/>
        <v>8.8312405594640961E-4</v>
      </c>
      <c r="O5" s="12">
        <f t="shared" si="5"/>
        <v>0.57072967889430926</v>
      </c>
      <c r="P5" s="4">
        <v>0.44819999999999999</v>
      </c>
      <c r="Q5" s="2">
        <f>K5/(K2*P5*B27*B25)</f>
        <v>1.7652337040723204E-24</v>
      </c>
      <c r="R5" s="9">
        <f t="shared" ref="R5:R15" si="10">Q5*1E+24</f>
        <v>1.7652337040723203</v>
      </c>
      <c r="S5" s="2">
        <f>SQRT(POWER(L5/(K2*P5*B27*B25),2)+POWER(K5*L2/(POWER(K2,2)*P5*B27*B25),2)+POWER(K5*C27/(K2*P5*POWER(B27,2)*B25),2)+POWER(K5*C25/(K2*P5*B27*POWER(B25,2)),2))</f>
        <v>2.0574572533385148E-25</v>
      </c>
      <c r="T5" s="9">
        <f t="shared" si="6"/>
        <v>0.20574572533385146</v>
      </c>
      <c r="U5" s="12">
        <f t="shared" si="7"/>
        <v>5.1006364300052669E-2</v>
      </c>
      <c r="V5" s="2">
        <f t="shared" si="8"/>
        <v>0.85056584037900029</v>
      </c>
    </row>
    <row r="6" spans="1:22">
      <c r="A6">
        <v>40</v>
      </c>
      <c r="B6">
        <v>1300</v>
      </c>
      <c r="C6" s="2">
        <v>497.96100000000001</v>
      </c>
      <c r="D6" s="2">
        <v>48.900799999999997</v>
      </c>
      <c r="E6" s="2">
        <v>5113.43</v>
      </c>
      <c r="F6" s="2">
        <v>18.147300000000001</v>
      </c>
      <c r="G6" s="2">
        <v>276.863</v>
      </c>
      <c r="H6" s="2">
        <v>26.597100000000001</v>
      </c>
      <c r="I6" s="3">
        <f xml:space="preserve"> SQRT(2*3.14159)*G6*C6/40.96</f>
        <v>8437.0389426077727</v>
      </c>
      <c r="J6" s="2">
        <f t="shared" si="9"/>
        <v>1159.0510407707941</v>
      </c>
      <c r="K6" s="2">
        <f t="shared" si="1"/>
        <v>6.4900299558521333</v>
      </c>
      <c r="L6" s="2">
        <f>J6/B6</f>
        <v>0.89157772366984156</v>
      </c>
      <c r="M6" s="12">
        <f t="shared" si="3"/>
        <v>0.44842726421961115</v>
      </c>
      <c r="N6" s="12">
        <f t="shared" si="4"/>
        <v>1.5755734459772977E-3</v>
      </c>
      <c r="O6" s="12">
        <f t="shared" si="5"/>
        <v>0.51346870699924607</v>
      </c>
      <c r="P6" s="4">
        <v>0.5544</v>
      </c>
      <c r="Q6" s="2">
        <f>K6/(K2*P6*B27*B25)</f>
        <v>8.9698213201285871E-25</v>
      </c>
      <c r="R6" s="9">
        <f t="shared" si="10"/>
        <v>0.8969821320128587</v>
      </c>
      <c r="S6" s="2">
        <f>SQRT(POWER(L6/(K2*P6*B27*B25),2)+POWER(K6*L2/(POWER(K2,2)*P6*B27*B25),2)+POWER(K6*C27/(K2*P6*POWER(B27,2)*B25),2)+POWER(K6*C25/(K2*P6*B27*POWER(B25,2)),2))</f>
        <v>1.5275541194672299E-25</v>
      </c>
      <c r="T6" s="9">
        <f t="shared" si="6"/>
        <v>0.15275541194672299</v>
      </c>
      <c r="U6" s="12">
        <f t="shared" si="7"/>
        <v>3.8556169723405753E-2</v>
      </c>
      <c r="V6" s="2">
        <f t="shared" si="8"/>
        <v>0.76522907153389874</v>
      </c>
    </row>
    <row r="7" spans="1:22">
      <c r="A7">
        <v>50</v>
      </c>
      <c r="B7">
        <v>1500</v>
      </c>
      <c r="C7" s="2">
        <v>413.85</v>
      </c>
      <c r="D7" s="2">
        <v>37.5167</v>
      </c>
      <c r="E7" s="2">
        <v>4581.96</v>
      </c>
      <c r="F7" s="2">
        <v>15.858700000000001</v>
      </c>
      <c r="G7" s="2">
        <v>175.90199999999999</v>
      </c>
      <c r="H7" s="2">
        <v>19.2317</v>
      </c>
      <c r="I7" s="3">
        <f xml:space="preserve"> SQRT(2*3.14159)*G7*C7/40.96</f>
        <v>4454.9572381897351</v>
      </c>
      <c r="J7" s="2">
        <f t="shared" si="9"/>
        <v>632.72017937414341</v>
      </c>
      <c r="K7" s="2">
        <f t="shared" si="1"/>
        <v>2.9699714921264899</v>
      </c>
      <c r="L7" s="2">
        <f t="shared" si="2"/>
        <v>0.42181345291609562</v>
      </c>
      <c r="M7" s="12">
        <f t="shared" si="3"/>
        <v>0.40237426778967805</v>
      </c>
      <c r="N7" s="12">
        <f t="shared" si="4"/>
        <v>1.3774486180996625E-3</v>
      </c>
      <c r="O7" s="12">
        <f t="shared" si="5"/>
        <v>0.45695018268506399</v>
      </c>
      <c r="P7" s="4">
        <v>0.60929999999999995</v>
      </c>
      <c r="Q7" s="2">
        <f>K7/(K2*P7*B27*B25)</f>
        <v>3.7349209531080294E-25</v>
      </c>
      <c r="R7" s="9">
        <f t="shared" si="10"/>
        <v>0.37349209531080291</v>
      </c>
      <c r="S7" s="2">
        <f>SQRT(POWER(L7/(K2*P7*B27*B25),2)+POWER(K7*L2/(POWER(K2,2)*P7*B27*B25),2)+POWER(K7*C27/(K2*P7*POWER(B27,2)*B25),2)+POWER(K7*C25/(K2*P7*B27*POWER(B25,2)),2))</f>
        <v>6.5014395318060925E-26</v>
      </c>
      <c r="T7" s="9">
        <f t="shared" si="6"/>
        <v>6.5014395318060927E-2</v>
      </c>
      <c r="U7" s="12">
        <f t="shared" si="7"/>
        <v>2.8763760580229697E-2</v>
      </c>
      <c r="V7" s="2">
        <f t="shared" si="8"/>
        <v>0.68099878194495367</v>
      </c>
    </row>
    <row r="8" spans="1:22">
      <c r="A8">
        <v>60</v>
      </c>
      <c r="B8">
        <v>1800</v>
      </c>
      <c r="C8" s="2">
        <v>285.30399999999997</v>
      </c>
      <c r="D8" s="2">
        <v>159.732</v>
      </c>
      <c r="E8" s="2">
        <v>4038.02</v>
      </c>
      <c r="F8" s="2">
        <v>46.342100000000002</v>
      </c>
      <c r="G8" s="2">
        <v>145.56399999999999</v>
      </c>
      <c r="H8" s="2">
        <v>57.789200000000001</v>
      </c>
      <c r="I8" s="3">
        <f t="shared" si="0"/>
        <v>2541.508956638771</v>
      </c>
      <c r="J8" s="2">
        <f t="shared" si="9"/>
        <v>1744.3353668580341</v>
      </c>
      <c r="K8" s="2">
        <f t="shared" si="1"/>
        <v>1.4119494203548728</v>
      </c>
      <c r="L8" s="2">
        <f t="shared" si="2"/>
        <v>0.96907520381001899</v>
      </c>
      <c r="M8" s="12">
        <f t="shared" si="3"/>
        <v>0.35524071955911407</v>
      </c>
      <c r="N8" s="12">
        <f t="shared" si="4"/>
        <v>4.0166773590436019E-3</v>
      </c>
      <c r="O8" s="12">
        <f t="shared" si="5"/>
        <v>0.40527245200170919</v>
      </c>
      <c r="P8" s="4">
        <v>0.66239999999999999</v>
      </c>
      <c r="Q8" s="2">
        <f>K8/(K2*P8*B27*B25)</f>
        <v>1.6332742979954287E-25</v>
      </c>
      <c r="R8" s="9">
        <f t="shared" si="10"/>
        <v>0.16332742979954287</v>
      </c>
      <c r="S8" s="2">
        <f>SQRT(POWER(L8/(K2*P8*B27*B25),2)+POWER(K8*L2/(POWER(K2,2)*P8*B27*B25),2)+POWER(K8*C27/(K2*P8*POWER(B27,2)*B25),2)+POWER(K8*C25/(K2*P8*B27*POWER(B25,2)),2))</f>
        <v>1.1329674653133297E-25</v>
      </c>
      <c r="T8" s="9">
        <f t="shared" si="6"/>
        <v>0.11329674653133297</v>
      </c>
      <c r="U8" s="12">
        <f t="shared" si="7"/>
        <v>2.18590607833666E-2</v>
      </c>
      <c r="V8" s="2">
        <f t="shared" si="8"/>
        <v>0.60398278986841902</v>
      </c>
    </row>
    <row r="9" spans="1:22">
      <c r="A9">
        <v>70</v>
      </c>
      <c r="B9">
        <v>2100</v>
      </c>
      <c r="C9" s="2">
        <v>343.36700000000002</v>
      </c>
      <c r="D9" s="2">
        <v>116.922</v>
      </c>
      <c r="E9" s="2">
        <v>3661.3</v>
      </c>
      <c r="F9" s="2">
        <v>12.7935</v>
      </c>
      <c r="G9" s="2">
        <v>27.7974</v>
      </c>
      <c r="H9" s="2">
        <v>12.5046</v>
      </c>
      <c r="I9" s="3">
        <f t="shared" si="0"/>
        <v>584.1071647539269</v>
      </c>
      <c r="J9" s="2">
        <f>SQRT(2*3.14159*POWER(1/40.96,2)*(POWER(C9*H9,2)+POWER(G9*D9,2)))</f>
        <v>329.54946217048143</v>
      </c>
      <c r="K9" s="2">
        <f t="shared" si="1"/>
        <v>0.27814626893044136</v>
      </c>
      <c r="L9" s="2">
        <f t="shared" si="2"/>
        <v>0.15692831531927687</v>
      </c>
      <c r="M9" s="12">
        <f t="shared" si="3"/>
        <v>0.32259713701431497</v>
      </c>
      <c r="N9" s="12">
        <f t="shared" si="4"/>
        <v>1.1121546138082839E-3</v>
      </c>
      <c r="O9" s="12">
        <f t="shared" si="5"/>
        <v>0.36020200208327863</v>
      </c>
      <c r="P9" s="4">
        <v>0.69750000000000001</v>
      </c>
      <c r="Q9" s="2">
        <f>K9/(K2*P9*B27*B25)</f>
        <v>3.0555496069032519E-26</v>
      </c>
      <c r="R9" s="9">
        <f t="shared" si="10"/>
        <v>3.0555496069032517E-2</v>
      </c>
      <c r="S9" s="2">
        <f>SQRT(POWER(L9/(K2*P9*B27*B25),2)+POWER(K9*L2/(POWER(K2,2)*P9*B27*B25),2)+POWER(K9*C27/(K2*P9*POWER(B27,2)*B25),2)+POWER(K9*C25/(K2*P9*B27*POWER(B25,2)),2))</f>
        <v>1.7511360815465929E-26</v>
      </c>
      <c r="T9" s="9">
        <f t="shared" si="6"/>
        <v>1.7511360815465928E-2</v>
      </c>
      <c r="U9" s="12">
        <f t="shared" si="7"/>
        <v>1.7347295999573225E-2</v>
      </c>
      <c r="V9" s="2">
        <f t="shared" si="8"/>
        <v>0.53681371398402178</v>
      </c>
    </row>
    <row r="10" spans="1:22">
      <c r="A10">
        <v>80</v>
      </c>
      <c r="B10">
        <v>7200</v>
      </c>
      <c r="C10" s="2">
        <v>506.721</v>
      </c>
      <c r="D10" s="2">
        <v>418.44499999999999</v>
      </c>
      <c r="E10" s="2">
        <v>3205.79</v>
      </c>
      <c r="F10" s="2">
        <v>44.856999999999999</v>
      </c>
      <c r="G10" s="2">
        <v>79.166300000000007</v>
      </c>
      <c r="H10" s="2">
        <v>62.915599999999998</v>
      </c>
      <c r="I10" s="3">
        <f t="shared" si="0"/>
        <v>2454.9296637709926</v>
      </c>
      <c r="J10" s="2">
        <f t="shared" si="9"/>
        <v>2813.5676395888436</v>
      </c>
      <c r="K10" s="2">
        <f t="shared" si="1"/>
        <v>0.34096245330152675</v>
      </c>
      <c r="L10" s="2">
        <f t="shared" si="2"/>
        <v>0.39077328327622829</v>
      </c>
      <c r="M10" s="12">
        <f t="shared" si="3"/>
        <v>0.28312623479255483</v>
      </c>
      <c r="N10" s="12">
        <f t="shared" si="4"/>
        <v>3.8879184587797652E-3</v>
      </c>
      <c r="O10" s="12">
        <f t="shared" si="5"/>
        <v>0.32203280762368441</v>
      </c>
      <c r="P10" s="4">
        <v>0.73260000000000003</v>
      </c>
      <c r="Q10" s="2">
        <f>K10/(K2*P10*B27*B25)</f>
        <v>3.5661528615000132E-26</v>
      </c>
      <c r="R10" s="9">
        <f t="shared" si="10"/>
        <v>3.5661528615000132E-2</v>
      </c>
      <c r="S10" s="2">
        <f>SQRT(POWER(L10/(K2*P10*B27*B25),2)+POWER(K10*L2/(POWER(K2,2)*P10*B27*B25),2)+POWER(K10*C27/(K2*P10*POWER(B27,2)*B25),2)+POWER(K10*C25/(K2*P10*B27*POWER(B25,2)),2))</f>
        <v>4.1028574030437931E-26</v>
      </c>
      <c r="T10" s="9">
        <f t="shared" si="6"/>
        <v>4.1028574030437928E-2</v>
      </c>
      <c r="U10" s="12">
        <f t="shared" si="7"/>
        <v>1.4570392197332485E-2</v>
      </c>
      <c r="V10" s="2">
        <f t="shared" si="8"/>
        <v>0.4799296685896936</v>
      </c>
    </row>
    <row r="11" spans="1:22">
      <c r="A11">
        <v>90</v>
      </c>
      <c r="B11">
        <v>10800</v>
      </c>
      <c r="C11" s="2">
        <v>792.12199999999996</v>
      </c>
      <c r="D11" s="2">
        <v>541.94600000000003</v>
      </c>
      <c r="E11" s="2">
        <v>3100.48</v>
      </c>
      <c r="F11" s="2">
        <v>43.601900000000001</v>
      </c>
      <c r="G11" s="2">
        <v>81.465999999999994</v>
      </c>
      <c r="H11" s="2">
        <v>51.051699999999997</v>
      </c>
      <c r="I11" s="3">
        <f t="shared" si="0"/>
        <v>3949.1012714286776</v>
      </c>
      <c r="J11" s="2">
        <f t="shared" si="9"/>
        <v>3663.9370993803864</v>
      </c>
      <c r="K11" s="2">
        <f t="shared" si="1"/>
        <v>0.36565752513228494</v>
      </c>
      <c r="L11" s="2">
        <f t="shared" si="2"/>
        <v>0.33925343512781353</v>
      </c>
      <c r="M11" s="12">
        <f t="shared" si="3"/>
        <v>0.27400090118193476</v>
      </c>
      <c r="N11" s="12">
        <f t="shared" si="4"/>
        <v>3.779177099759409E-3</v>
      </c>
      <c r="O11" s="12">
        <f t="shared" si="5"/>
        <v>0.29030620042535898</v>
      </c>
      <c r="P11" s="4">
        <v>0.76590000000000003</v>
      </c>
      <c r="Q11" s="2">
        <f>K11/(K2*P11*B27*B25)</f>
        <v>3.6581605180795413E-26</v>
      </c>
      <c r="R11" s="9">
        <f t="shared" si="10"/>
        <v>3.658160518079541E-2</v>
      </c>
      <c r="S11" s="2">
        <f>SQRT(POWER(L11/(K2*P11*B27*B25),2)+POWER(K11*L2/(POWER(K2,2)*P11*B27*B25),2)+POWER(K11*C27/(K2*P11*POWER(B27,2)*B25),2)+POWER(K11*C25/(K2*P11*B27*POWER(B25,2)),2))</f>
        <v>3.413916489642537E-26</v>
      </c>
      <c r="T11" s="9">
        <f t="shared" si="6"/>
        <v>3.4139164896425371E-2</v>
      </c>
      <c r="U11" s="12">
        <f t="shared" si="7"/>
        <v>1.2957388325761274E-2</v>
      </c>
      <c r="V11" s="2">
        <f t="shared" si="8"/>
        <v>0.43264709452363481</v>
      </c>
    </row>
    <row r="12" spans="1:22">
      <c r="A12">
        <v>-10</v>
      </c>
      <c r="B12">
        <v>200</v>
      </c>
      <c r="C12" s="2">
        <v>490.74299999999999</v>
      </c>
      <c r="D12" s="2">
        <v>292.78199999999998</v>
      </c>
      <c r="E12" s="2">
        <v>6408.87</v>
      </c>
      <c r="F12" s="2">
        <v>0.14483699999999999</v>
      </c>
      <c r="G12" s="2">
        <v>0.609263</v>
      </c>
      <c r="H12" s="2">
        <v>7.7577499999999994E-2</v>
      </c>
      <c r="I12" s="3">
        <f t="shared" si="0"/>
        <v>18.297372134349907</v>
      </c>
      <c r="J12" s="2">
        <f t="shared" si="9"/>
        <v>11.162236819594124</v>
      </c>
      <c r="K12" s="2">
        <f t="shared" si="1"/>
        <v>9.1486860671749534E-2</v>
      </c>
      <c r="L12" s="2">
        <f t="shared" si="2"/>
        <v>5.5811184097970618E-2</v>
      </c>
      <c r="M12" s="12">
        <f t="shared" si="3"/>
        <v>0.56067987244809547</v>
      </c>
      <c r="N12" s="12">
        <f t="shared" si="4"/>
        <v>1.088968449931462E-4</v>
      </c>
      <c r="O12" s="12">
        <f t="shared" si="5"/>
        <v>0.65789319321946138</v>
      </c>
      <c r="P12" s="4">
        <v>0.46079999999999999</v>
      </c>
      <c r="Q12" s="2">
        <f>K12/(K2*P12*B27*B25)</f>
        <v>1.5212709320811516E-26</v>
      </c>
      <c r="R12" s="9">
        <f t="shared" si="10"/>
        <v>1.5212709320811516E-2</v>
      </c>
      <c r="S12" s="2">
        <f>SQRT(POWER(L12/(K2*P12*B27*B25),2)+POWER(K12*L2/(POWER(K2,2)*P12*B27*B25),2)+POWER(K12*C27/(K2*P12*POWER(B27,2)*B25),2)+POWER(K12*C25/(K2*P12*B27*POWER(B25,2)),2))</f>
        <v>9.4059030872556428E-27</v>
      </c>
      <c r="T12" s="9">
        <f t="shared" si="6"/>
        <v>9.4059030872556421E-3</v>
      </c>
      <c r="U12" s="12">
        <f t="shared" si="7"/>
        <v>7.517740944578237E-2</v>
      </c>
      <c r="V12" s="2">
        <f t="shared" si="8"/>
        <v>0.98046675591573962</v>
      </c>
    </row>
    <row r="13" spans="1:22">
      <c r="A13">
        <v>-20</v>
      </c>
      <c r="B13">
        <v>600</v>
      </c>
      <c r="C13" s="2">
        <v>326.32799999999997</v>
      </c>
      <c r="D13" s="2">
        <v>22.5303</v>
      </c>
      <c r="E13" s="2">
        <v>6132.27</v>
      </c>
      <c r="F13" s="2">
        <v>14.306699999999999</v>
      </c>
      <c r="G13" s="2">
        <v>231.851</v>
      </c>
      <c r="H13" s="2">
        <v>22.470099999999999</v>
      </c>
      <c r="I13" s="3">
        <f t="shared" si="0"/>
        <v>4630.1292600338747</v>
      </c>
      <c r="J13" s="2">
        <f t="shared" si="9"/>
        <v>550.95652358657924</v>
      </c>
      <c r="K13" s="2">
        <f t="shared" si="1"/>
        <v>7.7168821000564582</v>
      </c>
      <c r="L13" s="2">
        <f t="shared" si="2"/>
        <v>0.91826087264429868</v>
      </c>
      <c r="M13" s="12">
        <f t="shared" si="3"/>
        <v>0.5367118990676234</v>
      </c>
      <c r="N13" s="12">
        <f t="shared" si="4"/>
        <v>1.2442265230699476E-3</v>
      </c>
      <c r="O13" s="12">
        <f t="shared" si="5"/>
        <v>0.62182355639796505</v>
      </c>
      <c r="P13" s="4">
        <v>0.48780000000000001</v>
      </c>
      <c r="Q13" s="2">
        <f>K13/(K2*P13*B27*B25)</f>
        <v>1.2121612074669081E-24</v>
      </c>
      <c r="R13" s="9">
        <f t="shared" si="10"/>
        <v>1.2121612074669081</v>
      </c>
      <c r="S13" s="2">
        <f>SQRT(POWER(L13/(K2*P13*B27*B25),2)+POWER(K13*L2/(POWER(K2,2)*P13*B27*B25),2)+POWER(K13*C27/(K2*P13*POWER(B27,2)*B25),2)+POWER(K13*C25/(K2*P13*B27*POWER(B25,2)),2))</f>
        <v>1.8891466774800232E-25</v>
      </c>
      <c r="T13" s="9">
        <f t="shared" si="6"/>
        <v>0.18891466774800231</v>
      </c>
      <c r="U13" s="12">
        <f t="shared" si="7"/>
        <v>6.4384737830657068E-2</v>
      </c>
      <c r="V13" s="2">
        <f t="shared" si="8"/>
        <v>0.92671170849175111</v>
      </c>
    </row>
    <row r="14" spans="1:22">
      <c r="A14">
        <v>-30</v>
      </c>
      <c r="B14">
        <v>800</v>
      </c>
      <c r="C14" s="2">
        <v>206.93799999999999</v>
      </c>
      <c r="D14" s="2">
        <v>144.46299999999999</v>
      </c>
      <c r="E14" s="2">
        <v>6155.25</v>
      </c>
      <c r="F14" s="2">
        <v>54.803100000000001</v>
      </c>
      <c r="G14" s="2">
        <v>233.47</v>
      </c>
      <c r="H14" s="2">
        <v>110.55200000000001</v>
      </c>
      <c r="I14" s="3">
        <f t="shared" si="0"/>
        <v>2956.658282151835</v>
      </c>
      <c r="J14" s="2">
        <f t="shared" si="9"/>
        <v>2494.0583918090688</v>
      </c>
      <c r="K14" s="2">
        <f t="shared" si="1"/>
        <v>3.6958228526897936</v>
      </c>
      <c r="L14" s="2">
        <f t="shared" si="2"/>
        <v>3.117572989761336</v>
      </c>
      <c r="M14" s="12">
        <f t="shared" si="3"/>
        <v>0.53870316453502487</v>
      </c>
      <c r="N14" s="12">
        <f t="shared" si="4"/>
        <v>4.7499904299684922E-3</v>
      </c>
      <c r="O14" s="12">
        <f t="shared" si="5"/>
        <v>0.57072967889430926</v>
      </c>
      <c r="P14" s="4">
        <v>0.46079999999999999</v>
      </c>
      <c r="Q14" s="2">
        <f>K14/(K2*P14*B27*B25)</f>
        <v>6.1455249799104341E-25</v>
      </c>
      <c r="R14" s="9">
        <f t="shared" si="10"/>
        <v>0.61455249799104339</v>
      </c>
      <c r="S14" s="2">
        <f>SQRT(POWER(L14/(K2*P14*B27*B25),2)+POWER(K14*L2/(POWER(K2,2)*P14*B27*B25),2)+POWER(K14*C27/(K2*P14*POWER(B27,2)*B25),2)+POWER(K14*C25/(K2*P14*B27*POWER(B25,2)),2))</f>
        <v>5.2207622609595199E-25</v>
      </c>
      <c r="T14" s="9">
        <f t="shared" si="6"/>
        <v>0.52207622609595195</v>
      </c>
      <c r="U14" s="12">
        <f t="shared" si="7"/>
        <v>5.1006364300052669E-2</v>
      </c>
      <c r="V14" s="2">
        <f t="shared" si="8"/>
        <v>0.85056584037900029</v>
      </c>
    </row>
    <row r="15" spans="1:22">
      <c r="A15">
        <v>-40</v>
      </c>
      <c r="B15">
        <v>1300</v>
      </c>
      <c r="C15" s="2">
        <v>226.90899999999999</v>
      </c>
      <c r="D15" s="2">
        <v>124.755</v>
      </c>
      <c r="E15" s="2">
        <v>5659.99</v>
      </c>
      <c r="F15" s="2">
        <v>48.741</v>
      </c>
      <c r="G15" s="2">
        <v>210.74600000000001</v>
      </c>
      <c r="H15" s="2">
        <v>86.297499999999999</v>
      </c>
      <c r="I15" s="3">
        <f t="shared" si="0"/>
        <v>2926.4483603959006</v>
      </c>
      <c r="J15" s="2">
        <f t="shared" si="9"/>
        <v>2006.188194800844</v>
      </c>
      <c r="K15" s="2">
        <f t="shared" si="1"/>
        <v>2.2511141233814622</v>
      </c>
      <c r="L15" s="2">
        <f t="shared" si="2"/>
        <v>1.5432216883083416</v>
      </c>
      <c r="M15" s="12">
        <f t="shared" si="3"/>
        <v>0.49578784097604939</v>
      </c>
      <c r="N15" s="12">
        <f t="shared" si="4"/>
        <v>4.2247499509984066E-3</v>
      </c>
      <c r="O15" s="12">
        <f t="shared" si="5"/>
        <v>0.51346870699924607</v>
      </c>
      <c r="P15" s="4">
        <v>0.504</v>
      </c>
      <c r="Q15" s="2">
        <f>K15/(K2*P15*B27*B25)</f>
        <v>3.4223725860797291E-25</v>
      </c>
      <c r="R15" s="9">
        <f t="shared" si="10"/>
        <v>0.34223725860797288</v>
      </c>
      <c r="S15" s="2">
        <f>SQRT(POWER(L15/(K2*P15*B27*B25),2)+POWER(K15*L2/(POWER(K2,2)*P15*B27*B25),2)+POWER(K15*C27/(K2*P15*POWER(B27,2)*B25),2)+POWER(K15*C25/(K2*P15*B27*POWER(B25,2)),2))</f>
        <v>2.3713123295878307E-25</v>
      </c>
      <c r="T15" s="9">
        <f t="shared" si="6"/>
        <v>0.23713123295878308</v>
      </c>
      <c r="U15" s="12">
        <f t="shared" si="7"/>
        <v>3.8556169723405753E-2</v>
      </c>
      <c r="V15" s="2">
        <f t="shared" si="8"/>
        <v>0.76522907153389874</v>
      </c>
    </row>
    <row r="16" spans="1:22">
      <c r="A16" s="1" t="s">
        <v>18</v>
      </c>
      <c r="B16" s="1" t="s">
        <v>19</v>
      </c>
      <c r="C16" s="1" t="s">
        <v>21</v>
      </c>
    </row>
    <row r="17" spans="1:14">
      <c r="A17" s="1" t="s">
        <v>20</v>
      </c>
      <c r="B17" s="2">
        <f>16384/400</f>
        <v>40.96</v>
      </c>
    </row>
    <row r="18" spans="1:14">
      <c r="A18" s="1" t="s">
        <v>27</v>
      </c>
      <c r="B18">
        <v>2.7</v>
      </c>
    </row>
    <row r="19" spans="1:14">
      <c r="A19" s="1" t="s">
        <v>25</v>
      </c>
      <c r="B19">
        <f>6.022E+23</f>
        <v>6.0220000000000003E+23</v>
      </c>
    </row>
    <row r="20" spans="1:14">
      <c r="A20" s="1" t="s">
        <v>26</v>
      </c>
      <c r="B20">
        <f>26.98</f>
        <v>26.98</v>
      </c>
    </row>
    <row r="21" spans="1:14">
      <c r="A21" s="1" t="s">
        <v>24</v>
      </c>
      <c r="B21">
        <v>13</v>
      </c>
      <c r="N21" s="10" t="s">
        <v>43</v>
      </c>
    </row>
    <row r="22" spans="1:14">
      <c r="A22" s="1" t="s">
        <v>22</v>
      </c>
      <c r="B22">
        <v>1</v>
      </c>
      <c r="C22">
        <v>0.1</v>
      </c>
    </row>
    <row r="23" spans="1:14">
      <c r="A23" s="1" t="s">
        <v>23</v>
      </c>
      <c r="B23">
        <v>36.1</v>
      </c>
      <c r="C23">
        <v>0.2</v>
      </c>
    </row>
    <row r="24" spans="1:14">
      <c r="A24" s="1" t="s">
        <v>28</v>
      </c>
      <c r="B24">
        <v>3.81</v>
      </c>
    </row>
    <row r="25" spans="1:14">
      <c r="A25" s="1" t="s">
        <v>33</v>
      </c>
      <c r="B25" s="5">
        <f>POWER(3.81,2)/(4*POWER(36.1,2))</f>
        <v>2.7846816706440249E-3</v>
      </c>
      <c r="C25" s="5">
        <f>POWER(3.81,2)/(2*POWER(36.1,3))*0.2</f>
        <v>3.0855198566692801E-5</v>
      </c>
    </row>
    <row r="26" spans="1:14">
      <c r="A26" s="1" t="s">
        <v>34</v>
      </c>
      <c r="B26" s="2">
        <f>K2</f>
        <v>5982.1625446222833</v>
      </c>
      <c r="C26" s="2">
        <f>L2</f>
        <v>15.557403535934583</v>
      </c>
    </row>
    <row r="27" spans="1:14">
      <c r="A27" s="1" t="s">
        <v>35</v>
      </c>
      <c r="B27" s="6">
        <f>B18*B19*B21*B22/B20</f>
        <v>7.8344032616753157E+23</v>
      </c>
      <c r="C27" s="6">
        <f>B18*B19*B21*C22/B20</f>
        <v>7.8344032616753178E+22</v>
      </c>
      <c r="D27" s="7">
        <v>7.8299999999999994E+23</v>
      </c>
      <c r="E27" s="7">
        <v>7.8300000000000001E+22</v>
      </c>
    </row>
    <row r="28" spans="1:14">
      <c r="A28" s="1"/>
    </row>
    <row r="29" spans="1:14">
      <c r="A29" s="1" t="s">
        <v>41</v>
      </c>
      <c r="B29">
        <v>11540.4</v>
      </c>
      <c r="C29" s="2">
        <v>1.5354000000000001</v>
      </c>
    </row>
    <row r="30" spans="1:14">
      <c r="A30" s="1" t="s">
        <v>42</v>
      </c>
      <c r="B30">
        <v>-61.6</v>
      </c>
      <c r="C30" s="2">
        <v>0.89865600000000001</v>
      </c>
    </row>
    <row r="38" spans="1:8">
      <c r="A38" t="s">
        <v>55</v>
      </c>
      <c r="C38">
        <v>110.712</v>
      </c>
      <c r="D38">
        <v>10.232200000000001</v>
      </c>
      <c r="E38">
        <v>7375.32</v>
      </c>
      <c r="F38">
        <v>21.662800000000001</v>
      </c>
      <c r="G38">
        <v>229.49799999999999</v>
      </c>
      <c r="H38">
        <v>27.5611</v>
      </c>
    </row>
    <row r="39" spans="1:8">
      <c r="A39" t="s">
        <v>56</v>
      </c>
      <c r="C39">
        <v>403.267</v>
      </c>
      <c r="D39">
        <v>37.002800000000001</v>
      </c>
      <c r="E39">
        <v>6156.92</v>
      </c>
      <c r="F39">
        <v>16.875</v>
      </c>
      <c r="G39">
        <v>311.79199999999997</v>
      </c>
      <c r="H39">
        <v>26.801300000000001</v>
      </c>
    </row>
    <row r="40" spans="1:8">
      <c r="A40" t="s">
        <v>57</v>
      </c>
      <c r="C40">
        <v>464.40100000000001</v>
      </c>
      <c r="D40">
        <v>31.343800000000002</v>
      </c>
      <c r="E40">
        <v>5609.18</v>
      </c>
      <c r="F40">
        <v>18.006799999999998</v>
      </c>
      <c r="G40">
        <v>299.214</v>
      </c>
      <c r="H40">
        <v>22.308700000000002</v>
      </c>
    </row>
  </sheetData>
  <sheetCalcPr fullCalcOnLoad="1"/>
  <phoneticPr fontId="3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Calibration</vt:lpstr>
      <vt:lpstr>Sheet1</vt:lpstr>
      <vt:lpstr>Sheet1 (2)</vt:lpstr>
      <vt:lpstr>Calibration</vt:lpstr>
      <vt:lpstr>Sheet1</vt:lpstr>
      <vt:lpstr>Sheet1 (2)</vt:lpstr>
    </vt:vector>
  </TitlesOfParts>
  <Company>Duke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Beutel</dc:creator>
  <cp:lastModifiedBy>Office 2008 Converter</cp:lastModifiedBy>
  <dcterms:created xsi:type="dcterms:W3CDTF">2010-11-30T21:47:27Z</dcterms:created>
  <dcterms:modified xsi:type="dcterms:W3CDTF">2010-12-07T02:25:21Z</dcterms:modified>
</cp:coreProperties>
</file>