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" l="1"/>
  <c r="J2" i="3"/>
  <c r="L2" i="3"/>
  <c r="B19" i="3"/>
  <c r="B20" i="3"/>
  <c r="B27" i="3"/>
  <c r="B25" i="3"/>
  <c r="S2" i="3"/>
  <c r="T2" i="3"/>
  <c r="R2" i="3"/>
  <c r="K2" i="3"/>
  <c r="M2" i="3"/>
  <c r="C27" i="3"/>
  <c r="C25" i="3"/>
  <c r="U2" i="3"/>
  <c r="V2" i="3"/>
  <c r="K4" i="3"/>
  <c r="M4" i="3"/>
  <c r="J4" i="3"/>
  <c r="L4" i="3"/>
  <c r="R4" i="3"/>
  <c r="U4" i="3"/>
  <c r="K15" i="3"/>
  <c r="M15" i="3"/>
  <c r="J15" i="3"/>
  <c r="L15" i="3"/>
  <c r="R15" i="3"/>
  <c r="U15" i="3"/>
  <c r="K14" i="3"/>
  <c r="M14" i="3"/>
  <c r="J14" i="3"/>
  <c r="L14" i="3"/>
  <c r="R14" i="3"/>
  <c r="U14" i="3"/>
  <c r="K13" i="3"/>
  <c r="M13" i="3"/>
  <c r="J13" i="3"/>
  <c r="L13" i="3"/>
  <c r="R13" i="3"/>
  <c r="U13" i="3"/>
  <c r="K11" i="3"/>
  <c r="M11" i="3"/>
  <c r="J11" i="3"/>
  <c r="L11" i="3"/>
  <c r="R11" i="3"/>
  <c r="U11" i="3"/>
  <c r="K12" i="3"/>
  <c r="M12" i="3"/>
  <c r="J12" i="3"/>
  <c r="L12" i="3"/>
  <c r="R12" i="3"/>
  <c r="U12" i="3"/>
  <c r="K10" i="3"/>
  <c r="M10" i="3"/>
  <c r="J10" i="3"/>
  <c r="L10" i="3"/>
  <c r="R10" i="3"/>
  <c r="U10" i="3"/>
  <c r="K9" i="3"/>
  <c r="M9" i="3"/>
  <c r="J9" i="3"/>
  <c r="L9" i="3"/>
  <c r="R9" i="3"/>
  <c r="U9" i="3"/>
  <c r="K8" i="3"/>
  <c r="M8" i="3"/>
  <c r="J8" i="3"/>
  <c r="L8" i="3"/>
  <c r="R8" i="3"/>
  <c r="U8" i="3"/>
  <c r="K7" i="3"/>
  <c r="M7" i="3"/>
  <c r="J7" i="3"/>
  <c r="L7" i="3"/>
  <c r="R7" i="3"/>
  <c r="U7" i="3"/>
  <c r="K6" i="3"/>
  <c r="M6" i="3"/>
  <c r="J6" i="3"/>
  <c r="L6" i="3"/>
  <c r="R6" i="3"/>
  <c r="U6" i="3"/>
  <c r="K3" i="3"/>
  <c r="M3" i="3"/>
  <c r="J3" i="3"/>
  <c r="L3" i="3"/>
  <c r="R3" i="3"/>
  <c r="U3" i="3"/>
  <c r="K5" i="3"/>
  <c r="M5" i="3"/>
  <c r="J5" i="3"/>
  <c r="L5" i="3"/>
  <c r="R5" i="3"/>
  <c r="U5" i="3"/>
  <c r="S3" i="3"/>
  <c r="S15" i="3"/>
  <c r="S14" i="3"/>
  <c r="S13" i="3"/>
  <c r="S12" i="3"/>
  <c r="S11" i="3"/>
  <c r="S10" i="3"/>
  <c r="S9" i="3"/>
  <c r="S8" i="3"/>
  <c r="S7" i="3"/>
  <c r="S6" i="3"/>
  <c r="S5" i="3"/>
  <c r="S4" i="3"/>
  <c r="B26" i="3"/>
  <c r="X2" i="3"/>
  <c r="W2" i="3"/>
  <c r="P2" i="3"/>
  <c r="T3" i="3"/>
  <c r="T4" i="3"/>
  <c r="X3" i="3"/>
  <c r="W3" i="3"/>
  <c r="X4" i="3"/>
  <c r="W4" i="3"/>
  <c r="X5" i="3"/>
  <c r="W5" i="3"/>
  <c r="X6" i="3"/>
  <c r="W6" i="3"/>
  <c r="X7" i="3"/>
  <c r="W7" i="3"/>
  <c r="X8" i="3"/>
  <c r="W8" i="3"/>
  <c r="X9" i="3"/>
  <c r="W9" i="3"/>
  <c r="X10" i="3"/>
  <c r="W10" i="3"/>
  <c r="X11" i="3"/>
  <c r="W11" i="3"/>
  <c r="X12" i="3"/>
  <c r="W12" i="3"/>
  <c r="X13" i="3"/>
  <c r="W13" i="3"/>
  <c r="X14" i="3"/>
  <c r="W14" i="3"/>
  <c r="X15" i="3"/>
  <c r="W15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T5" i="3"/>
  <c r="T6" i="3"/>
  <c r="T7" i="3"/>
  <c r="T8" i="3"/>
  <c r="T9" i="3"/>
  <c r="T10" i="3"/>
  <c r="T11" i="3"/>
  <c r="T12" i="3"/>
  <c r="T13" i="3"/>
  <c r="T14" i="3"/>
  <c r="T1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C26" i="3"/>
</calcChain>
</file>

<file path=xl/sharedStrings.xml><?xml version="1.0" encoding="utf-8"?>
<sst xmlns="http://schemas.openxmlformats.org/spreadsheetml/2006/main" count="66" uniqueCount="60">
  <si>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</si>
  <si>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</si>
  <si>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</si>
  <si>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</si>
  <si>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</si>
  <si>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</si>
  <si>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</si>
  <si>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</si>
  <si>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</si>
  <si>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</si>
  <si>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</si>
  <si>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</si>
  <si>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</si>
  <si>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</si>
  <si>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</si>
  <si>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</si>
  <si>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</si>
  <si>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</si>
  <si>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</si>
  <si>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</si>
  <si>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</si>
  <si>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</si>
  <si>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</si>
  <si>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</si>
  <si>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</si>
  <si>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</si>
  <si>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</si>
  <si>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</si>
  <si>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</si>
  <si>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</si>
  <si>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</si>
  <si>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</si>
  <si>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</si>
  <si>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</si>
  <si>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</si>
  <si>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</si>
  <si>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</si>
  <si>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</si>
  <si>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</si>
  <si>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</si>
  <si>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</si>
  <si>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</si>
  <si>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</si>
  <si>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</si>
  <si>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</si>
  <si>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</si>
  <si>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</si>
  <si>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</si>
  <si>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</si>
  <si>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</si>
  <si>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</si>
  <si>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</si>
  <si>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</si>
  <si>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</si>
  <si>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</si>
  <si>
    <t>alternate for 10</t>
  </si>
  <si>
    <t>alternate for -30</t>
  </si>
  <si>
    <t>alternate for -40</t>
  </si>
  <si>
    <t>Efficiency Err</t>
  </si>
  <si>
    <t>Signal in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</si>
</sst>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1" sqref="A11:A14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" sqref="E2"/>
    </sheetView>
  </sheetViews>
  <sheetFormatPr baseColWidth="10" defaultRowHeight="15" x14ac:dyDescent="0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I15" sqref="I15"/>
    </sheetView>
  </sheetViews>
  <sheetFormatPr baseColWidth="10" defaultRowHeight="15" x14ac:dyDescent="0"/>
  <cols>
    <col min="2" max="2" width="11.1640625" bestFit="1" customWidth="1"/>
    <col min="3" max="3" width="12.1640625" bestFit="1" customWidth="1"/>
    <col min="14" max="16" width="10.83203125" style="9"/>
    <col min="19" max="19" width="12.1640625" bestFit="1" customWidth="1"/>
    <col min="20" max="20" width="12.1640625" style="9" bestFit="1" customWidth="1"/>
    <col min="21" max="21" width="12.1640625" bestFit="1" customWidth="1"/>
    <col min="22" max="22" width="10.83203125" style="9"/>
    <col min="23" max="23" width="10.83203125" style="11"/>
  </cols>
  <sheetData>
    <row r="1" spans="1:24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59</v>
      </c>
      <c r="J1" s="1" t="s">
        <v>29</v>
      </c>
      <c r="K1" s="1" t="s">
        <v>30</v>
      </c>
      <c r="L1" s="1" t="s">
        <v>31</v>
      </c>
      <c r="M1" s="1" t="s">
        <v>32</v>
      </c>
      <c r="N1" s="8" t="s">
        <v>37</v>
      </c>
      <c r="O1" s="8" t="s">
        <v>38</v>
      </c>
      <c r="P1" s="8" t="s">
        <v>46</v>
      </c>
      <c r="Q1" s="1" t="s">
        <v>36</v>
      </c>
      <c r="R1" s="1" t="s">
        <v>58</v>
      </c>
      <c r="S1" s="1" t="s">
        <v>39</v>
      </c>
      <c r="T1" s="8" t="s">
        <v>44</v>
      </c>
      <c r="U1" s="1" t="s">
        <v>40</v>
      </c>
      <c r="V1" s="8" t="s">
        <v>45</v>
      </c>
      <c r="W1" s="10" t="s">
        <v>47</v>
      </c>
      <c r="X1" s="1" t="s">
        <v>48</v>
      </c>
    </row>
    <row r="2" spans="1:24">
      <c r="A2">
        <v>0</v>
      </c>
      <c r="B2">
        <v>60</v>
      </c>
      <c r="C2" s="2">
        <v>26907.599999999999</v>
      </c>
      <c r="D2" s="2">
        <v>56.741199999999999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/>
      <c r="J2" s="2">
        <f xml:space="preserve"> SQRT(2*3.14159)*G2*C2/(B17*Q2)</f>
        <v>466991.61160205182</v>
      </c>
      <c r="K2" s="2">
        <f>SQRT(2*3.14159*POWER(1/40.96,2)*(POWER(C2*H2/Q2,2)+POWER(G2*D2/Q2,2)+POWER(C2*G2*R2/POWER(Q2,2),2)))</f>
        <v>46762.286461201053</v>
      </c>
      <c r="L2" s="2">
        <f>J2/B2</f>
        <v>7783.1935267008639</v>
      </c>
      <c r="M2" s="2">
        <f>K2/B2</f>
        <v>779.37144102001753</v>
      </c>
      <c r="N2" s="11">
        <f>(E2+61.6)/11540.4</f>
        <v>0.67108765727357811</v>
      </c>
      <c r="O2" s="11">
        <f>SQRT(POWER(F2/11540.4,2)+POWER((-61.6-E2)*1.5454/POWER(11540.4,2),2)+POWER(0.89865/11540.4,2))</f>
        <v>1.2403024496755212E-4</v>
      </c>
      <c r="P2" s="11">
        <f>0.671/(1+(0.000000000000107506/(9.109E-31*POWER(300000000,2)))*(1-COS(RADIANS(A2))))</f>
        <v>0.67100000000000004</v>
      </c>
      <c r="Q2" s="4">
        <v>0.38429999999999997</v>
      </c>
      <c r="R2" s="4">
        <f>Q2*0.05</f>
        <v>1.9214999999999999E-2</v>
      </c>
      <c r="S2" s="2">
        <f>L2/(L2*Q2*B27*B25)</f>
        <v>9.4915827816779713E-23</v>
      </c>
      <c r="T2" s="11">
        <f>S2*1E+24</f>
        <v>94.915827816779711</v>
      </c>
      <c r="U2" s="2">
        <f>SQRT(POWER(M2/(L2*Q2*B27*B25),2)+POWER(L2*M2/(POWER(L2,2)*Q2*B27*B25),2)+POWER(L2*C27/(L2*Q2*POWER(B27,2)*B25),2)+POWER(L2*C25/(L2*Q2*B27*POWER(B25,2)),2))</f>
        <v>1.6454934815612501E-23</v>
      </c>
      <c r="V2" s="11">
        <f>U2*1E+24</f>
        <v>16.4549348156125</v>
      </c>
      <c r="W2" s="11">
        <f>0.5*POWER(1/137,2)*POWER(0.0000000000386,2)*POWER(X2,2)*(X2+1/X2-1+POWER(COS(RADIANS(A2)),2))*1E+24</f>
        <v>7.9384090788001488E-2</v>
      </c>
      <c r="X2" s="2">
        <f>1/(1+(0.000000000000107506/(9.109E-31*POWER(300000000,2)))*(1-COS(RADIANS(A2))))</f>
        <v>1</v>
      </c>
    </row>
    <row r="3" spans="1:24">
      <c r="A3">
        <v>10</v>
      </c>
      <c r="B3">
        <v>200</v>
      </c>
      <c r="C3" s="2">
        <v>236.77</v>
      </c>
      <c r="D3" s="2">
        <v>13.3264</v>
      </c>
      <c r="E3" s="2">
        <v>7370.76</v>
      </c>
      <c r="F3" s="2">
        <v>19.547499999999999</v>
      </c>
      <c r="G3" s="2">
        <v>263.66699999999997</v>
      </c>
      <c r="H3" s="2">
        <v>15.9192</v>
      </c>
      <c r="I3" s="2">
        <v>1990</v>
      </c>
      <c r="J3" s="3">
        <f xml:space="preserve"> SQRT(2*3.14159)*G3*C3/B17</f>
        <v>1910.215035428439</v>
      </c>
      <c r="K3" s="2">
        <f>SQRT(2*3.14159*POWER(1/40.96,2)*(POWER(C3*H3,2)+POWER(G3*D3,2)))</f>
        <v>315.34605191871367</v>
      </c>
      <c r="L3" s="2">
        <f t="shared" ref="L3:L15" si="0">J3/B3</f>
        <v>9.5510751771421951</v>
      </c>
      <c r="M3" s="2">
        <f t="shared" ref="M3:M15" si="1">K3/B3</f>
        <v>1.5767302595935684</v>
      </c>
      <c r="N3" s="11">
        <f t="shared" ref="N3:N15" si="2">(E3+61.6)/11540.4</f>
        <v>0.64402966968216013</v>
      </c>
      <c r="O3" s="11">
        <f t="shared" ref="O3:O15" si="3">SQRT(POWER(F3/11540.4,2)+POWER((-61.6-E3)*1.5454/POWER(11540.4,2),2)+POWER(0.89865/11540.4,2))</f>
        <v>1.6978129586738197E-3</v>
      </c>
      <c r="P3" s="11">
        <f t="shared" ref="P3:P15" si="4">0.671/(1+(0.000000000000107506/(9.109E-31*POWER(300000000,2)))*(1-COS(RADIANS(A3))))</f>
        <v>0.65789319321946138</v>
      </c>
      <c r="Q3" s="4">
        <v>0.40589999999999998</v>
      </c>
      <c r="R3" s="4">
        <f t="shared" ref="R3:R15" si="5">Q3*0.05</f>
        <v>2.0295000000000001E-2</v>
      </c>
      <c r="S3" s="2">
        <f>L3/(L2*Q3*B27*B25)</f>
        <v>1.1027686396938746E-25</v>
      </c>
      <c r="T3" s="11">
        <f>S3*1E+24</f>
        <v>0.11027686396938746</v>
      </c>
      <c r="U3" s="2">
        <f>SQRT(POWER(M3/(L2*Q3*B27*B25),2)+POWER(L3*M2/(POWER(L2,2)*Q3*B27*B25),2)+POWER(L3*C27/(L2*Q3*POWER(B27,2)*B25),2)+POWER(L3*C25/(L2*Q3*B27*POWER(B25,2)),2)+POWER(L3*R3/(L2*POWER(Q3,2)*B27*B25),2))</f>
        <v>2.460449021491582E-26</v>
      </c>
      <c r="V3" s="11">
        <f t="shared" ref="V3:V15" si="6">U3*1E+24</f>
        <v>2.4604490214915817E-2</v>
      </c>
      <c r="W3" s="11">
        <f t="shared" ref="W3:W15" si="7">0.5*POWER(1/137,2)*POWER(0.0000000000386,2)*POWER(X3,2)*(X3+1/X3-1+POWER(COS(RADIANS(A3)),2))*1E+24</f>
        <v>7.517740944578237E-2</v>
      </c>
      <c r="X3" s="2">
        <f t="shared" ref="X3:X15" si="8">1/(1+(0.000000000000107506/(9.109E-31*POWER(300000000,2)))*(1-COS(RADIANS(A3))))</f>
        <v>0.98046675591573962</v>
      </c>
    </row>
    <row r="4" spans="1:24">
      <c r="A4">
        <v>20</v>
      </c>
      <c r="B4">
        <v>600</v>
      </c>
      <c r="C4" s="2">
        <v>706.72799999999995</v>
      </c>
      <c r="D4" s="2">
        <v>23.039000000000001</v>
      </c>
      <c r="E4" s="2">
        <v>6983.7</v>
      </c>
      <c r="F4" s="2">
        <v>10.9032</v>
      </c>
      <c r="G4" s="2">
        <v>253.02500000000001</v>
      </c>
      <c r="H4" s="2">
        <v>8.3545800000000003</v>
      </c>
      <c r="I4" s="2">
        <v>5383</v>
      </c>
      <c r="J4" s="3">
        <f xml:space="preserve"> SQRT(2*3.14159)*G4*C4/B17</f>
        <v>5471.6150913806878</v>
      </c>
      <c r="K4" s="2">
        <f t="shared" ref="K4:K15" si="9">SQRT(2*3.14159*POWER(1/40.96,2)*(POWER(C4*H4,2)+POWER(G4*D4,2)))</f>
        <v>507.76705531487812</v>
      </c>
      <c r="L4" s="2">
        <f t="shared" si="0"/>
        <v>9.1193584856344803</v>
      </c>
      <c r="M4" s="2">
        <f t="shared" si="1"/>
        <v>0.84627842552479682</v>
      </c>
      <c r="N4" s="11">
        <f t="shared" si="2"/>
        <v>0.61049010432913942</v>
      </c>
      <c r="O4" s="11">
        <f t="shared" si="3"/>
        <v>9.5150740426510033E-4</v>
      </c>
      <c r="P4" s="11">
        <f t="shared" si="4"/>
        <v>0.62182355639796505</v>
      </c>
      <c r="Q4" s="4">
        <v>0.43380000000000002</v>
      </c>
      <c r="R4" s="4">
        <f t="shared" si="5"/>
        <v>2.1690000000000001E-2</v>
      </c>
      <c r="S4" s="2">
        <f>L4/(L2*Q4*B27*B25)</f>
        <v>9.8520347671986592E-26</v>
      </c>
      <c r="T4" s="11">
        <f>S4*1E+24</f>
        <v>9.8520347671986586E-2</v>
      </c>
      <c r="U4" s="2">
        <f>SQRT(POWER(M4/(L2*Q4*B27*B25),2)+POWER(L4*M2/(POWER(L2,2)*Q4*B27*B25),2)+POWER(L4*C27/(L2*Q4*POWER(B27,2)*B25),2)+POWER(L4*C25/(L2*Q4*B27*POWER(B25,2)),2)+POWER(L4*R4/(L2*POWER(Q4,2)*B27*B25),2))</f>
        <v>1.7385341299552656E-26</v>
      </c>
      <c r="V4" s="11">
        <f t="shared" si="6"/>
        <v>1.7385341299552656E-2</v>
      </c>
      <c r="W4" s="11">
        <f t="shared" si="7"/>
        <v>6.4384737830657068E-2</v>
      </c>
      <c r="X4" s="2">
        <f t="shared" si="8"/>
        <v>0.92671170849175111</v>
      </c>
    </row>
    <row r="5" spans="1:24">
      <c r="A5">
        <v>30</v>
      </c>
      <c r="B5">
        <v>800</v>
      </c>
      <c r="C5" s="2">
        <v>946.33100000000002</v>
      </c>
      <c r="D5" s="2">
        <v>33.431600000000003</v>
      </c>
      <c r="E5" s="2">
        <v>6443.22</v>
      </c>
      <c r="F5" s="2">
        <v>9.9223099999999995</v>
      </c>
      <c r="G5" s="2">
        <v>224.70099999999999</v>
      </c>
      <c r="H5" s="2">
        <v>8.3428000000000004</v>
      </c>
      <c r="I5" s="2">
        <v>6008</v>
      </c>
      <c r="J5" s="3">
        <f xml:space="preserve"> SQRT(2*3.14159)*G5*C5/B17</f>
        <v>6506.5066696156164</v>
      </c>
      <c r="K5" s="2">
        <f t="shared" si="9"/>
        <v>666.9167363776935</v>
      </c>
      <c r="L5" s="2">
        <f>J5/B5</f>
        <v>8.1331333370195207</v>
      </c>
      <c r="M5" s="2">
        <f t="shared" si="1"/>
        <v>0.83364592047211683</v>
      </c>
      <c r="N5" s="11">
        <f t="shared" si="2"/>
        <v>0.56365637239610422</v>
      </c>
      <c r="O5" s="11">
        <f t="shared" si="3"/>
        <v>8.6660158045304321E-4</v>
      </c>
      <c r="P5" s="11">
        <f t="shared" si="4"/>
        <v>0.57072967889430926</v>
      </c>
      <c r="Q5" s="4">
        <v>0.44819999999999999</v>
      </c>
      <c r="R5" s="4">
        <f t="shared" si="5"/>
        <v>2.2409999999999999E-2</v>
      </c>
      <c r="S5" s="2">
        <f>L5/(L2*Q5*B27*B25)</f>
        <v>8.5042738219826426E-26</v>
      </c>
      <c r="T5" s="11">
        <f t="shared" ref="T5:T15" si="10">S5*1E+24</f>
        <v>8.5042738219826428E-2</v>
      </c>
      <c r="U5" s="2">
        <f>SQRT(POWER(M5/(L2*Q5*B27*B25),2)+POWER(L5*M2/(POWER(L2,2)*Q5*B27*B25),2)+POWER(L5*C27/(L2*Q5*POWER(B27,2)*B25),2)+POWER(L5*C25/(L2*Q5*B27*POWER(B25,2)),2)+POWER(L5*R5/(L2*POWER(Q5,2)*B27*B25),2))</f>
        <v>1.5456754410878626E-26</v>
      </c>
      <c r="V5" s="11">
        <f t="shared" si="6"/>
        <v>1.5456754410878626E-2</v>
      </c>
      <c r="W5" s="11">
        <f t="shared" si="7"/>
        <v>5.1006364300052669E-2</v>
      </c>
      <c r="X5" s="2">
        <f t="shared" si="8"/>
        <v>0.85056584037900029</v>
      </c>
    </row>
    <row r="6" spans="1:24">
      <c r="A6">
        <v>40</v>
      </c>
      <c r="B6">
        <v>1300</v>
      </c>
      <c r="C6" s="2">
        <v>926.58500000000004</v>
      </c>
      <c r="D6" s="2">
        <v>35.973199999999999</v>
      </c>
      <c r="E6" s="2">
        <v>5113.3999999999996</v>
      </c>
      <c r="F6" s="2">
        <v>14.175800000000001</v>
      </c>
      <c r="G6" s="2">
        <v>266.86700000000002</v>
      </c>
      <c r="H6" s="2">
        <v>11.532999999999999</v>
      </c>
      <c r="I6" s="2">
        <v>7466</v>
      </c>
      <c r="J6" s="3">
        <f xml:space="preserve"> SQRT(2*3.14159)*G6*C6/B17</f>
        <v>7566.2370917221124</v>
      </c>
      <c r="K6" s="2">
        <f t="shared" si="9"/>
        <v>879.10496572965008</v>
      </c>
      <c r="L6" s="2">
        <f t="shared" si="0"/>
        <v>5.8201823782477788</v>
      </c>
      <c r="M6" s="2">
        <f>K6/B6</f>
        <v>0.67623458902280775</v>
      </c>
      <c r="N6" s="11">
        <f t="shared" si="2"/>
        <v>0.44842466465633773</v>
      </c>
      <c r="O6" s="11">
        <f t="shared" si="3"/>
        <v>1.2322926807150111E-3</v>
      </c>
      <c r="P6" s="11">
        <f t="shared" si="4"/>
        <v>0.51346870699924607</v>
      </c>
      <c r="Q6" s="4">
        <v>0.5544</v>
      </c>
      <c r="R6" s="4">
        <f t="shared" si="5"/>
        <v>2.7720000000000002E-2</v>
      </c>
      <c r="S6" s="2">
        <f>L6/(L2*Q6*B27*B25)</f>
        <v>4.9199939327068512E-26</v>
      </c>
      <c r="T6" s="11">
        <f t="shared" si="10"/>
        <v>4.9199939327068509E-2</v>
      </c>
      <c r="U6" s="2">
        <f>SQRT(POWER(M6/(L2*Q6*B27*B25),2)+POWER(L6*M2/(POWER(L2,2)*Q6*B27*B25),2)+POWER(L6*C27/(L2*Q6*POWER(B27,2)*B25),2)+POWER(L6*C25/(L2*Q6*B27*POWER(B25,2)),2)+POWER(L6*R6/(L2*POWER(Q6,2)*B27*B25),2))</f>
        <v>9.3385906482735598E-27</v>
      </c>
      <c r="V6" s="11">
        <f t="shared" si="6"/>
        <v>9.3385906482735589E-3</v>
      </c>
      <c r="W6" s="11">
        <f t="shared" si="7"/>
        <v>3.8556169723405753E-2</v>
      </c>
      <c r="X6" s="2">
        <f t="shared" si="8"/>
        <v>0.76522907153389874</v>
      </c>
    </row>
    <row r="7" spans="1:24">
      <c r="A7">
        <v>50</v>
      </c>
      <c r="B7">
        <v>1500</v>
      </c>
      <c r="C7" s="2">
        <v>966.23199999999997</v>
      </c>
      <c r="D7" s="2">
        <v>42.233400000000003</v>
      </c>
      <c r="E7" s="2">
        <v>4565.8</v>
      </c>
      <c r="F7" s="2">
        <v>14.286099999999999</v>
      </c>
      <c r="G7" s="2">
        <v>227.678</v>
      </c>
      <c r="H7" s="2">
        <v>12.411099999999999</v>
      </c>
      <c r="I7" s="2">
        <v>6783</v>
      </c>
      <c r="J7" s="3">
        <f xml:space="preserve"> SQRT(2*3.14159)*G7*C7/B17</f>
        <v>6731.3518427645222</v>
      </c>
      <c r="K7" s="2">
        <f t="shared" si="9"/>
        <v>940.65945202885302</v>
      </c>
      <c r="L7" s="2">
        <f>J7/B7</f>
        <v>4.4875678951763485</v>
      </c>
      <c r="M7" s="2">
        <f t="shared" si="1"/>
        <v>0.62710630135256873</v>
      </c>
      <c r="N7" s="11">
        <f t="shared" si="2"/>
        <v>0.40097396970642274</v>
      </c>
      <c r="O7" s="11">
        <f t="shared" si="3"/>
        <v>1.24152912099627E-3</v>
      </c>
      <c r="P7" s="11">
        <f t="shared" si="4"/>
        <v>0.45695018268506399</v>
      </c>
      <c r="Q7" s="4">
        <v>0.60929999999999995</v>
      </c>
      <c r="R7" s="4">
        <f t="shared" si="5"/>
        <v>3.0464999999999999E-2</v>
      </c>
      <c r="S7" s="2">
        <f>L7/(L2*Q7*B27*B25)</f>
        <v>3.4516841583037877E-26</v>
      </c>
      <c r="T7" s="11">
        <f t="shared" si="10"/>
        <v>3.4516841583037874E-2</v>
      </c>
      <c r="U7" s="2">
        <f>SQRT(POWER(M7/(L2*Q7*B27*B25),2)+POWER(L7*M2/(POWER(L2,2)*Q7*B27*B25),2)+POWER(L7*C27/(L2*Q7*POWER(B27,2)*B25),2)+POWER(L7*C25/(L2*Q7*B27*POWER(B25,2)),2)+POWER(L7*R7/(L2*POWER(Q7,2)*B27*B25),2))</f>
        <v>7.0785570531895322E-27</v>
      </c>
      <c r="V7" s="11">
        <f t="shared" si="6"/>
        <v>7.0785570531895319E-3</v>
      </c>
      <c r="W7" s="11">
        <f t="shared" si="7"/>
        <v>2.8763760580229697E-2</v>
      </c>
      <c r="X7" s="2">
        <f t="shared" si="8"/>
        <v>0.68099878194495367</v>
      </c>
    </row>
    <row r="8" spans="1:24">
      <c r="A8">
        <v>60</v>
      </c>
      <c r="B8">
        <v>1800</v>
      </c>
      <c r="C8" s="2">
        <v>1047.57</v>
      </c>
      <c r="D8" s="2">
        <v>51.158900000000003</v>
      </c>
      <c r="E8" s="2">
        <v>4061.47</v>
      </c>
      <c r="F8" s="2">
        <v>16.087599999999998</v>
      </c>
      <c r="G8" s="2">
        <v>233.78399999999999</v>
      </c>
      <c r="H8" s="2">
        <v>13.675700000000001</v>
      </c>
      <c r="I8" s="2">
        <v>6447</v>
      </c>
      <c r="J8" s="3">
        <f xml:space="preserve"> SQRT(2*3.14159)*G8*C8/B17</f>
        <v>7493.7231595451349</v>
      </c>
      <c r="K8" s="2">
        <f t="shared" si="9"/>
        <v>1142.0838563081095</v>
      </c>
      <c r="L8" s="2">
        <f t="shared" si="0"/>
        <v>4.1631795330806307</v>
      </c>
      <c r="M8" s="2">
        <f t="shared" si="1"/>
        <v>0.63449103128228301</v>
      </c>
      <c r="N8" s="11">
        <f t="shared" si="2"/>
        <v>0.35727271151779832</v>
      </c>
      <c r="O8" s="11">
        <f t="shared" si="3"/>
        <v>1.3970171498388832E-3</v>
      </c>
      <c r="P8" s="11">
        <f t="shared" si="4"/>
        <v>0.40527245200170919</v>
      </c>
      <c r="Q8" s="4">
        <v>0.66239999999999999</v>
      </c>
      <c r="R8" s="4">
        <f t="shared" si="5"/>
        <v>3.3120000000000004E-2</v>
      </c>
      <c r="S8" s="2">
        <f>L8/(L2*Q8*B27*B25)</f>
        <v>2.9454795453138688E-26</v>
      </c>
      <c r="T8" s="11">
        <f t="shared" si="10"/>
        <v>2.9454795453138689E-2</v>
      </c>
      <c r="U8" s="2">
        <f>SQRT(POWER(M8/(L2*Q8*B27*B25),2)+POWER(L8*M2/(POWER(L2,2)*Q8*B27*B25),2)+POWER(L8*C27/(L2*Q8*POWER(B27,2)*B25),2)+POWER(L8*C25/(L2*Q8*B27*POWER(B25,2)),2)+POWER(L8*R8/(L2*POWER(Q8,2)*B27*B25),2))</f>
        <v>6.3005202249277359E-27</v>
      </c>
      <c r="V8" s="11">
        <f t="shared" si="6"/>
        <v>6.3005202249277357E-3</v>
      </c>
      <c r="W8" s="11">
        <f t="shared" si="7"/>
        <v>2.18590607833666E-2</v>
      </c>
      <c r="X8" s="2">
        <f t="shared" si="8"/>
        <v>0.60398278986841902</v>
      </c>
    </row>
    <row r="9" spans="1:24">
      <c r="A9">
        <v>70</v>
      </c>
      <c r="B9">
        <v>2100</v>
      </c>
      <c r="C9" s="2">
        <v>1121.75</v>
      </c>
      <c r="D9" s="2">
        <v>66.250200000000007</v>
      </c>
      <c r="E9" s="2">
        <v>3650.2</v>
      </c>
      <c r="F9" s="2">
        <v>18.062100000000001</v>
      </c>
      <c r="G9" s="2">
        <v>223.23599999999999</v>
      </c>
      <c r="H9" s="2">
        <v>14.741199999999999</v>
      </c>
      <c r="I9" s="2">
        <v>7596</v>
      </c>
      <c r="J9" s="3">
        <f xml:space="preserve"> SQRT(2*3.14159)*G9*C9/B17</f>
        <v>7662.3170371384449</v>
      </c>
      <c r="K9" s="2">
        <f>SQRT(2*3.14159*POWER(1/40.96,2)*(POWER(C9*H9,2)+POWER(G9*D9,2)))</f>
        <v>1357.6411072417354</v>
      </c>
      <c r="L9" s="2">
        <f t="shared" si="0"/>
        <v>3.6487223986373549</v>
      </c>
      <c r="M9" s="2">
        <f t="shared" si="1"/>
        <v>0.6464957653532073</v>
      </c>
      <c r="N9" s="11">
        <f t="shared" si="2"/>
        <v>0.32163529860316797</v>
      </c>
      <c r="O9" s="11">
        <f t="shared" si="3"/>
        <v>1.5676468023221558E-3</v>
      </c>
      <c r="P9" s="11">
        <f t="shared" si="4"/>
        <v>0.36020200208327863</v>
      </c>
      <c r="Q9" s="4">
        <v>0.69750000000000001</v>
      </c>
      <c r="R9" s="4">
        <f t="shared" si="5"/>
        <v>3.4875000000000003E-2</v>
      </c>
      <c r="S9" s="2">
        <f>L9/(L2*Q9*B27*B25)</f>
        <v>2.4515898006132092E-26</v>
      </c>
      <c r="T9" s="11">
        <f t="shared" si="10"/>
        <v>2.4515898006132093E-2</v>
      </c>
      <c r="U9" s="2">
        <f>SQRT(POWER(M9/(L2*Q9*B27*B25),2)+POWER(L9*M2/(POWER(L2,2)*Q9*B27*B25),2)+POWER(L9*C27/(L2*Q9*POWER(B27,2)*B25),2)+POWER(L9*C25/(L2*Q9*B27*POWER(B25,2)),2)+POWER(L9*R9/(L2*POWER(Q9,2)*B27*B25),2))</f>
        <v>5.692866681994198E-27</v>
      </c>
      <c r="V9" s="11">
        <f t="shared" si="6"/>
        <v>5.6928666819941976E-3</v>
      </c>
      <c r="W9" s="11">
        <f t="shared" si="7"/>
        <v>1.7347295999573225E-2</v>
      </c>
      <c r="X9" s="2">
        <f t="shared" si="8"/>
        <v>0.53681371398402178</v>
      </c>
    </row>
    <row r="10" spans="1:24">
      <c r="A10">
        <v>80</v>
      </c>
      <c r="B10">
        <v>7200</v>
      </c>
      <c r="C10" s="2">
        <v>3555.59</v>
      </c>
      <c r="D10" s="2">
        <v>197.267</v>
      </c>
      <c r="E10" s="2">
        <v>3190.15</v>
      </c>
      <c r="F10" s="2">
        <v>11.331</v>
      </c>
      <c r="G10" s="2">
        <v>173.51400000000001</v>
      </c>
      <c r="H10" s="2">
        <v>12.1424</v>
      </c>
      <c r="I10" s="2">
        <v>19333</v>
      </c>
      <c r="J10" s="3">
        <f xml:space="preserve"> SQRT(2*3.14159)*G10*C10/B17</f>
        <v>18877.566327660188</v>
      </c>
      <c r="K10" s="2">
        <f t="shared" si="9"/>
        <v>3371.6901474905908</v>
      </c>
      <c r="L10" s="2">
        <f t="shared" si="0"/>
        <v>2.6218842121750261</v>
      </c>
      <c r="M10" s="2">
        <f t="shared" si="1"/>
        <v>0.46829029826258206</v>
      </c>
      <c r="N10" s="11">
        <f t="shared" si="2"/>
        <v>0.28177099580603793</v>
      </c>
      <c r="O10" s="11">
        <f t="shared" si="3"/>
        <v>9.8566059400125375E-4</v>
      </c>
      <c r="P10" s="11">
        <f t="shared" si="4"/>
        <v>0.32203280762368441</v>
      </c>
      <c r="Q10" s="4">
        <v>0.73260000000000003</v>
      </c>
      <c r="R10" s="4">
        <f t="shared" si="5"/>
        <v>3.6630000000000003E-2</v>
      </c>
      <c r="S10" s="2">
        <f>L10/(L2*Q10*B27*B25)</f>
        <v>1.6772499562455111E-26</v>
      </c>
      <c r="T10" s="11">
        <f t="shared" si="10"/>
        <v>1.677249956245511E-2</v>
      </c>
      <c r="U10" s="2">
        <f>SQRT(POWER(M10/(L2*Q10*B27*B25),2)+POWER(L10*M2/(POWER(L2,2)*Q10*B27*B25),2)+POWER(L10*C27/(L2*Q10*POWER(B27,2)*B25),2)+POWER(L10*C25/(L2*Q10*B27*POWER(B25,2)),2)+POWER(L10*R10/(L2*POWER(Q10,2)*B27*B25),2))</f>
        <v>3.913019391400378E-27</v>
      </c>
      <c r="V10" s="11">
        <f t="shared" si="6"/>
        <v>3.9130193914003776E-3</v>
      </c>
      <c r="W10" s="11">
        <f t="shared" si="7"/>
        <v>1.4570392197332485E-2</v>
      </c>
      <c r="X10" s="2">
        <f t="shared" si="8"/>
        <v>0.4799296685896936</v>
      </c>
    </row>
    <row r="11" spans="1:24">
      <c r="A11">
        <v>90</v>
      </c>
      <c r="B11">
        <v>10800</v>
      </c>
      <c r="C11" s="2">
        <v>4879.1099999999997</v>
      </c>
      <c r="D11" s="2">
        <v>250.15199999999999</v>
      </c>
      <c r="E11" s="2">
        <v>3121.89</v>
      </c>
      <c r="F11" s="2">
        <v>9.9678900000000006</v>
      </c>
      <c r="G11" s="2">
        <v>162.02199999999999</v>
      </c>
      <c r="H11" s="2">
        <v>8.3791899999999995</v>
      </c>
      <c r="I11" s="2">
        <v>20734</v>
      </c>
      <c r="J11" s="3">
        <f xml:space="preserve"> SQRT(2*3.14159)*G11*C11/B17</f>
        <v>24188.804550639416</v>
      </c>
      <c r="K11" s="2">
        <f t="shared" si="9"/>
        <v>3523.0050607091171</v>
      </c>
      <c r="L11" s="2">
        <f t="shared" si="0"/>
        <v>2.2397041250592054</v>
      </c>
      <c r="M11" s="2">
        <f t="shared" si="1"/>
        <v>0.32620417228788123</v>
      </c>
      <c r="N11" s="11">
        <f t="shared" si="2"/>
        <v>0.27585612283802985</v>
      </c>
      <c r="O11" s="11">
        <f t="shared" si="3"/>
        <v>8.6802814005650303E-4</v>
      </c>
      <c r="P11" s="11">
        <f t="shared" si="4"/>
        <v>0.29030620042535898</v>
      </c>
      <c r="Q11" s="4">
        <v>0.76590000000000003</v>
      </c>
      <c r="R11" s="4">
        <f t="shared" si="5"/>
        <v>3.8295000000000003E-2</v>
      </c>
      <c r="S11" s="2">
        <f>L11/(L2*Q11*B27*B25)</f>
        <v>1.3704707646793601E-26</v>
      </c>
      <c r="T11" s="11">
        <f t="shared" si="10"/>
        <v>1.37047076467936E-2</v>
      </c>
      <c r="U11" s="2">
        <f>SQRT(POWER(M11/(L2*Q11*B27*B25),2)+POWER(L11*M2/(POWER(L2,2)*Q11*B27*B25),2)+POWER(L11*C27/(L2*Q11*POWER(B27,2)*B25),2)+POWER(L11*C25/(L2*Q11*B27*POWER(B25,2)),2)+POWER(L11*R11/(L2*POWER(Q11,2)*B27*B25),2))</f>
        <v>2.8662378652951461E-27</v>
      </c>
      <c r="V11" s="11">
        <f t="shared" si="6"/>
        <v>2.8662378652951461E-3</v>
      </c>
      <c r="W11" s="11">
        <f t="shared" si="7"/>
        <v>1.2957388325761274E-2</v>
      </c>
      <c r="X11" s="2">
        <f t="shared" si="8"/>
        <v>0.43264709452363481</v>
      </c>
    </row>
    <row r="12" spans="1:24">
      <c r="A12">
        <v>-10</v>
      </c>
      <c r="B12">
        <v>200</v>
      </c>
      <c r="C12" s="2">
        <v>268.78500000000003</v>
      </c>
      <c r="D12" s="2">
        <v>16.171099999999999</v>
      </c>
      <c r="E12" s="2">
        <v>6495.15</v>
      </c>
      <c r="F12" s="2">
        <v>18.936299999999999</v>
      </c>
      <c r="G12" s="2">
        <v>256.66300000000001</v>
      </c>
      <c r="H12" s="2">
        <v>14.0809</v>
      </c>
      <c r="I12" s="2">
        <v>2180</v>
      </c>
      <c r="J12" s="3">
        <f xml:space="preserve"> SQRT(2*3.14159)*G12*C12/B17</f>
        <v>2110.9021481650648</v>
      </c>
      <c r="K12" s="2">
        <f t="shared" si="9"/>
        <v>343.74529963574275</v>
      </c>
      <c r="L12" s="2">
        <f t="shared" si="0"/>
        <v>10.554510740825323</v>
      </c>
      <c r="M12" s="2">
        <f t="shared" si="1"/>
        <v>1.7187264981787138</v>
      </c>
      <c r="N12" s="11">
        <f t="shared" si="2"/>
        <v>0.56815621642230774</v>
      </c>
      <c r="O12" s="11">
        <f t="shared" si="3"/>
        <v>1.6444779731217909E-3</v>
      </c>
      <c r="P12" s="11">
        <f t="shared" si="4"/>
        <v>0.65789319321946138</v>
      </c>
      <c r="Q12" s="4">
        <v>0.46079999999999999</v>
      </c>
      <c r="R12" s="4">
        <f t="shared" si="5"/>
        <v>2.3040000000000001E-2</v>
      </c>
      <c r="S12" s="2">
        <f>L12/(L2*Q12*B27*B25)</f>
        <v>1.0734376676078054E-25</v>
      </c>
      <c r="T12" s="11">
        <f t="shared" si="10"/>
        <v>0.10734376676078054</v>
      </c>
      <c r="U12" s="2">
        <f>SQRT(POWER(M12/(L2*Q12*B27*B25),2)+POWER(L12*M2/(POWER(L2,2)*Q12*B27*B25),2)+POWER(L12*C27/(L2*Q12*POWER(B27,2)*B25),2)+POWER(L12*C25/(L2*Q12*B27*POWER(B25,2)),2)+POWER(L12*R12/(L2*POWER(Q12,2)*B27*B25),2))</f>
        <v>2.3772614603616846E-26</v>
      </c>
      <c r="V12" s="11">
        <f t="shared" si="6"/>
        <v>2.3772614603616845E-2</v>
      </c>
      <c r="W12" s="11">
        <f t="shared" si="7"/>
        <v>7.517740944578237E-2</v>
      </c>
      <c r="X12" s="2">
        <f t="shared" si="8"/>
        <v>0.98046675591573962</v>
      </c>
    </row>
    <row r="13" spans="1:24">
      <c r="A13">
        <v>-20</v>
      </c>
      <c r="B13">
        <v>600</v>
      </c>
      <c r="C13" s="2">
        <v>666.92899999999997</v>
      </c>
      <c r="D13" s="2">
        <v>26.0594</v>
      </c>
      <c r="E13" s="2">
        <v>6120.91</v>
      </c>
      <c r="F13" s="2">
        <v>12.676500000000001</v>
      </c>
      <c r="G13" s="2">
        <v>249.84100000000001</v>
      </c>
      <c r="H13" s="2">
        <v>10.218500000000001</v>
      </c>
      <c r="I13" s="2">
        <v>5130</v>
      </c>
      <c r="J13" s="3">
        <f xml:space="preserve"> SQRT(2*3.14159)*G13*C13/B17</f>
        <v>5098.508161576673</v>
      </c>
      <c r="K13" s="2">
        <f t="shared" si="9"/>
        <v>576.79132013326102</v>
      </c>
      <c r="L13" s="2">
        <f t="shared" si="0"/>
        <v>8.4975136026277891</v>
      </c>
      <c r="M13" s="2">
        <f t="shared" si="1"/>
        <v>0.96131886688876833</v>
      </c>
      <c r="N13" s="11">
        <f t="shared" si="2"/>
        <v>0.53572753110810722</v>
      </c>
      <c r="O13" s="11">
        <f t="shared" si="3"/>
        <v>1.1035365174744559E-3</v>
      </c>
      <c r="P13" s="11">
        <f t="shared" si="4"/>
        <v>0.62182355639796505</v>
      </c>
      <c r="Q13" s="4">
        <v>0.48780000000000001</v>
      </c>
      <c r="R13" s="4">
        <f t="shared" si="5"/>
        <v>2.4390000000000002E-2</v>
      </c>
      <c r="S13" s="2">
        <f>L13/(L2*Q13*B27*B25)</f>
        <v>8.1639675082086461E-26</v>
      </c>
      <c r="T13" s="11">
        <f t="shared" si="10"/>
        <v>8.1639675082086458E-2</v>
      </c>
      <c r="U13" s="2">
        <f>SQRT(POWER(M13/(L2*Q13*B27*B25),2)+POWER(L13*M2/(POWER(L2,2)*Q13*B27*B25),2)+POWER(L13*C27/(L2*Q13*POWER(B27,2)*B25),2)+POWER(L13*C25/(L2*Q13*B27*POWER(B25,2)),2)+POWER(L13*R13/(L2*POWER(Q13,2)*B27*B25),2))</f>
        <v>1.5344371520184826E-26</v>
      </c>
      <c r="V13" s="11">
        <f t="shared" si="6"/>
        <v>1.5344371520184827E-2</v>
      </c>
      <c r="W13" s="11">
        <f t="shared" si="7"/>
        <v>6.4384737830657068E-2</v>
      </c>
      <c r="X13" s="2">
        <f t="shared" si="8"/>
        <v>0.92671170849175111</v>
      </c>
    </row>
    <row r="14" spans="1:24">
      <c r="A14">
        <v>-30</v>
      </c>
      <c r="B14">
        <v>800</v>
      </c>
      <c r="C14" s="2">
        <v>709.43200000000002</v>
      </c>
      <c r="D14" s="2">
        <v>26.290700000000001</v>
      </c>
      <c r="E14" s="2">
        <v>6167.99</v>
      </c>
      <c r="F14" s="2">
        <v>14.3523</v>
      </c>
      <c r="G14" s="2">
        <v>284.26299999999998</v>
      </c>
      <c r="H14" s="2">
        <v>11.0581</v>
      </c>
      <c r="I14" s="2">
        <v>6031</v>
      </c>
      <c r="J14" s="3">
        <f xml:space="preserve"> SQRT(2*3.14159)*G14*C14/B17</f>
        <v>6170.6500346086623</v>
      </c>
      <c r="K14" s="2">
        <f t="shared" si="9"/>
        <v>663.06653941579521</v>
      </c>
      <c r="L14" s="2">
        <f t="shared" si="0"/>
        <v>7.7133125432608276</v>
      </c>
      <c r="M14" s="2">
        <f t="shared" si="1"/>
        <v>0.82883317426974401</v>
      </c>
      <c r="N14" s="11">
        <f t="shared" si="2"/>
        <v>0.53980711240511592</v>
      </c>
      <c r="O14" s="11">
        <f t="shared" si="3"/>
        <v>1.248187483494017E-3</v>
      </c>
      <c r="P14" s="11">
        <f t="shared" si="4"/>
        <v>0.57072967889430926</v>
      </c>
      <c r="Q14" s="4">
        <v>0.46079999999999999</v>
      </c>
      <c r="R14" s="4">
        <f t="shared" si="5"/>
        <v>2.3040000000000001E-2</v>
      </c>
      <c r="S14" s="2">
        <f>L14/(L2*Q14*B27*B25)</f>
        <v>7.8447598655060789E-26</v>
      </c>
      <c r="T14" s="11">
        <f t="shared" si="10"/>
        <v>7.8447598655060791E-2</v>
      </c>
      <c r="U14" s="2">
        <f>SQRT(POWER(M14/(L2*Q14*B27*B25),2)+POWER(L14*M2/(POWER(L2,2)*Q14*B27*B25),2)+POWER(L14*C27/(L2*Q14*POWER(B27,2)*B25),2)+POWER(L14*C25/(L2*Q14*B27*POWER(B25,2)),2))+POWER(L14*R14/(L2*POWER(Q14,2)*B27*B25),2)</f>
        <v>1.3939496969267884E-26</v>
      </c>
      <c r="V14" s="11">
        <f t="shared" si="6"/>
        <v>1.3939496969267884E-2</v>
      </c>
      <c r="W14" s="11">
        <f t="shared" si="7"/>
        <v>5.1006364300052669E-2</v>
      </c>
      <c r="X14" s="2">
        <f t="shared" si="8"/>
        <v>0.85056584037900029</v>
      </c>
    </row>
    <row r="15" spans="1:24">
      <c r="A15">
        <v>-40</v>
      </c>
      <c r="B15">
        <v>1300</v>
      </c>
      <c r="C15" s="2">
        <v>929.47</v>
      </c>
      <c r="D15" s="2">
        <v>31.882000000000001</v>
      </c>
      <c r="E15" s="2">
        <v>5609.79</v>
      </c>
      <c r="F15" s="2">
        <v>14.1785</v>
      </c>
      <c r="G15" s="2">
        <v>300.11099999999999</v>
      </c>
      <c r="H15" s="2">
        <v>11.292400000000001</v>
      </c>
      <c r="I15" s="2">
        <v>8520</v>
      </c>
      <c r="J15" s="3">
        <f xml:space="preserve"> SQRT(2*3.14159)*G15*C15/B17</f>
        <v>8535.2667382780091</v>
      </c>
      <c r="K15" s="2">
        <f t="shared" si="9"/>
        <v>869.15658300412088</v>
      </c>
      <c r="L15" s="2">
        <f t="shared" si="0"/>
        <v>6.5655897986753917</v>
      </c>
      <c r="M15" s="2">
        <f t="shared" si="1"/>
        <v>0.66858198692624682</v>
      </c>
      <c r="N15" s="11">
        <f t="shared" si="2"/>
        <v>0.49143790509861013</v>
      </c>
      <c r="O15" s="11">
        <f t="shared" si="3"/>
        <v>1.2328199505901207E-3</v>
      </c>
      <c r="P15" s="11">
        <f t="shared" si="4"/>
        <v>0.51346870699924607</v>
      </c>
      <c r="Q15" s="4">
        <v>0.504</v>
      </c>
      <c r="R15" s="4">
        <f t="shared" si="5"/>
        <v>2.52E-2</v>
      </c>
      <c r="S15" s="2">
        <f>L15/(L2*Q15*B27*B25)</f>
        <v>6.1051228058312059E-26</v>
      </c>
      <c r="T15" s="11">
        <f t="shared" si="10"/>
        <v>6.1051228058312056E-2</v>
      </c>
      <c r="U15" s="2">
        <f>SQRT(POWER(M15/(L2*Q15*B27*B25),2)+POWER(L15*M2/(POWER(L2,2)*Q15*B27*B25),2)+POWER(L15*C27/(L2*Q15*POWER(B27,2)*B25),2)+POWER(L15*C25/(L2*Q15*B27*POWER(B25,2)),2)+POWER(L15*R15/(L2*POWER(Q15,2)*B27*B25),2))</f>
        <v>1.1073256759218936E-26</v>
      </c>
      <c r="V15" s="11">
        <f t="shared" si="6"/>
        <v>1.1073256759218936E-2</v>
      </c>
      <c r="W15" s="11">
        <f t="shared" si="7"/>
        <v>3.8556169723405753E-2</v>
      </c>
      <c r="X15" s="2">
        <f t="shared" si="8"/>
        <v>0.76522907153389874</v>
      </c>
    </row>
    <row r="16" spans="1:24">
      <c r="A16" s="1" t="s">
        <v>18</v>
      </c>
      <c r="B16" s="1" t="s">
        <v>19</v>
      </c>
      <c r="C16" s="1" t="s">
        <v>21</v>
      </c>
    </row>
    <row r="17" spans="1:15">
      <c r="A17" s="1" t="s">
        <v>20</v>
      </c>
      <c r="B17" s="2">
        <f>16384/200</f>
        <v>81.92</v>
      </c>
    </row>
    <row r="18" spans="1:15">
      <c r="A18" s="1" t="s">
        <v>27</v>
      </c>
      <c r="B18">
        <v>2.7</v>
      </c>
    </row>
    <row r="19" spans="1:15">
      <c r="A19" s="1" t="s">
        <v>25</v>
      </c>
      <c r="B19">
        <f>6.022E+23</f>
        <v>6.0220000000000003E+23</v>
      </c>
    </row>
    <row r="20" spans="1:15">
      <c r="A20" s="1" t="s">
        <v>26</v>
      </c>
      <c r="B20">
        <f>26.98</f>
        <v>26.98</v>
      </c>
    </row>
    <row r="21" spans="1:15">
      <c r="A21" s="1" t="s">
        <v>24</v>
      </c>
      <c r="B21">
        <v>13</v>
      </c>
      <c r="O21" s="9" t="s">
        <v>43</v>
      </c>
    </row>
    <row r="22" spans="1:15">
      <c r="A22" s="1" t="s">
        <v>22</v>
      </c>
      <c r="B22">
        <v>1</v>
      </c>
      <c r="C22">
        <v>0.1</v>
      </c>
    </row>
    <row r="23" spans="1:15">
      <c r="A23" s="1" t="s">
        <v>23</v>
      </c>
      <c r="B23">
        <v>36.1</v>
      </c>
      <c r="C23">
        <v>0.2</v>
      </c>
    </row>
    <row r="24" spans="1:15">
      <c r="A24" s="1" t="s">
        <v>28</v>
      </c>
      <c r="B24">
        <v>3.81</v>
      </c>
    </row>
    <row r="25" spans="1:15">
      <c r="A25" s="1" t="s">
        <v>33</v>
      </c>
      <c r="B25" s="5">
        <f>POWER(3.81,2)*4*3.14159/(4*POWER(36.1,2))</f>
        <v>3.4993312358714244E-2</v>
      </c>
      <c r="C25" s="5">
        <f>POWER(3.81,2)/(2*POWER(36.1,3))*0.2</f>
        <v>3.0855198566692801E-5</v>
      </c>
    </row>
    <row r="26" spans="1:15">
      <c r="A26" s="1" t="s">
        <v>34</v>
      </c>
      <c r="B26" s="2">
        <f>L2</f>
        <v>7783.1935267008639</v>
      </c>
      <c r="C26" s="2">
        <f>M2</f>
        <v>779.37144102001753</v>
      </c>
    </row>
    <row r="27" spans="1:15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</row>
    <row r="28" spans="1:15">
      <c r="A28" s="1"/>
    </row>
    <row r="29" spans="1:15">
      <c r="A29" s="1" t="s">
        <v>41</v>
      </c>
      <c r="B29">
        <v>11540.4</v>
      </c>
      <c r="C29" s="2">
        <v>1.5354000000000001</v>
      </c>
    </row>
    <row r="30" spans="1:15">
      <c r="A30" s="1" t="s">
        <v>42</v>
      </c>
      <c r="B30">
        <v>-61.6</v>
      </c>
      <c r="C30" s="2">
        <v>0.89865600000000001</v>
      </c>
    </row>
    <row r="38" spans="1:8">
      <c r="A38" t="s">
        <v>55</v>
      </c>
      <c r="C38">
        <v>110.712</v>
      </c>
      <c r="D38">
        <v>10.232200000000001</v>
      </c>
      <c r="E38">
        <v>7375.32</v>
      </c>
      <c r="F38">
        <v>21.662800000000001</v>
      </c>
      <c r="G38">
        <v>229.49799999999999</v>
      </c>
      <c r="H38">
        <v>27.5611</v>
      </c>
    </row>
    <row r="39" spans="1:8">
      <c r="A39" t="s">
        <v>56</v>
      </c>
      <c r="C39">
        <v>403.267</v>
      </c>
      <c r="D39">
        <v>37.002800000000001</v>
      </c>
      <c r="E39">
        <v>6156.92</v>
      </c>
      <c r="F39">
        <v>16.875</v>
      </c>
      <c r="G39">
        <v>311.79199999999997</v>
      </c>
      <c r="H39">
        <v>26.801300000000001</v>
      </c>
    </row>
    <row r="40" spans="1:8">
      <c r="A40" t="s">
        <v>57</v>
      </c>
      <c r="C40">
        <v>464.40100000000001</v>
      </c>
      <c r="D40">
        <v>31.343800000000002</v>
      </c>
      <c r="E40">
        <v>5609.18</v>
      </c>
      <c r="F40">
        <v>18.006799999999998</v>
      </c>
      <c r="G40">
        <v>299.214</v>
      </c>
      <c r="H40">
        <v>22.308700000000002</v>
      </c>
    </row>
  </sheetData>
  <phoneticPr fontId="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Alex Beutel</cp:lastModifiedBy>
  <dcterms:created xsi:type="dcterms:W3CDTF">2010-11-30T21:47:27Z</dcterms:created>
  <dcterms:modified xsi:type="dcterms:W3CDTF">2010-12-08T04:06:26Z</dcterms:modified>
</cp:coreProperties>
</file>