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CÁLCULOS E PLANILHAS\"/>
    </mc:Choice>
  </mc:AlternateContent>
  <xr:revisionPtr revIDLastSave="0" documentId="13_ncr:1_{4ABB6967-3C85-4C17-BD82-ECEE76867BD5}" xr6:coauthVersionLast="47" xr6:coauthVersionMax="47" xr10:uidLastSave="{00000000-0000-0000-0000-000000000000}"/>
  <bookViews>
    <workbookView xWindow="-96" yWindow="-96" windowWidth="23232" windowHeight="12552" firstSheet="22" activeTab="25" xr2:uid="{00000000-000D-0000-FFFF-FFFF00000000}"/>
  </bookViews>
  <sheets>
    <sheet name="PRODUÇÃO 200 " sheetId="1" r:id="rId1"/>
    <sheet name="PRODUÇÃO LITRO " sheetId="38" r:id="rId2"/>
    <sheet name="abaixar brix" sheetId="12" r:id="rId3"/>
    <sheet name="BRIX CORRIGIDO" sheetId="30" r:id="rId4"/>
    <sheet name="PESO BRUTO" sheetId="34" r:id="rId5"/>
    <sheet name="MENU" sheetId="9" r:id="rId6"/>
    <sheet name="CORANTES" sheetId="36" r:id="rId7"/>
    <sheet name="DENSIDADE" sheetId="35" r:id="rId8"/>
    <sheet name="RATIO" sheetId="33" r:id="rId9"/>
    <sheet name="RATIO - BRIX " sheetId="31" r:id="rId10"/>
    <sheet name="RATIO - ACIDEZ" sheetId="32" r:id="rId11"/>
    <sheet name="Plan1" sheetId="26" r:id="rId12"/>
    <sheet name="ACIDEZ" sheetId="24" r:id="rId13"/>
    <sheet name="CÁLCULO DE SODA " sheetId="37" r:id="rId14"/>
    <sheet name="VITC" sheetId="25" r:id="rId15"/>
    <sheet name="SODA-ANTIGO" sheetId="22" r:id="rId16"/>
    <sheet name="SODA - DIVERSEY" sheetId="27" r:id="rId17"/>
    <sheet name="ACIDO - DIVERSEY" sheetId="28" r:id="rId18"/>
    <sheet name="ACIDO-ANTIGO" sheetId="23" r:id="rId19"/>
    <sheet name="VITAMINA C" sheetId="21" r:id="rId20"/>
    <sheet name="SABER PERDA DE BASE" sheetId="20" r:id="rId21"/>
    <sheet name="QNT DE AÇUCAR PUXAR" sheetId="18" r:id="rId22"/>
    <sheet name="AUMENTAR BRIX AÇÚCAR BATIDO " sheetId="14" r:id="rId23"/>
    <sheet name="previsao brix" sheetId="13" r:id="rId24"/>
    <sheet name="PREVISAO ACIDEZ" sheetId="11" r:id="rId25"/>
    <sheet name="TEMPO DE FINALIZAÇÃO (ok) " sheetId="3" r:id="rId26"/>
    <sheet name="AUMENTAR  ACIDEZ (ok)" sheetId="4" r:id="rId27"/>
    <sheet name="DIMINUIR ACIDEZ" sheetId="10" r:id="rId28"/>
    <sheet name="CORREÇÃO DE BRIX " sheetId="5" r:id="rId29"/>
    <sheet name="CONV - CRISTAL LIQ" sheetId="16" r:id="rId30"/>
    <sheet name="CORREÇÃO AÇÚCAR CRISTAL" sheetId="19" r:id="rId31"/>
    <sheet name="CONVERSAO LIQ - CRIS" sheetId="15" r:id="rId32"/>
    <sheet name="PESO LIQUIDO 200" sheetId="7" r:id="rId33"/>
    <sheet name="PESO LIQUIDO LITRO " sheetId="29" r:id="rId34"/>
    <sheet name="ZERAGEM DE EMBALAGEM" sheetId="8" r:id="rId35"/>
    <sheet name="DADOS" sheetId="2" r:id="rId36"/>
  </sheets>
  <definedNames>
    <definedName name="_xlnm._FilterDatabase" localSheetId="0" hidden="1">'PRODUÇÃO 200 '!$A$5:$M$5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H7" i="1"/>
  <c r="G7" i="1"/>
  <c r="F7" i="3"/>
  <c r="Q7" i="38"/>
  <c r="Q12" i="38" s="1"/>
  <c r="C17" i="26" l="1"/>
  <c r="G8" i="1" l="1"/>
  <c r="D16" i="20"/>
  <c r="D17" i="20" s="1"/>
  <c r="H7" i="38"/>
  <c r="G7" i="38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H22" i="38"/>
  <c r="G22" i="38"/>
  <c r="H21" i="38"/>
  <c r="G21" i="38"/>
  <c r="H20" i="38"/>
  <c r="G20" i="38"/>
  <c r="H19" i="38"/>
  <c r="G19" i="38"/>
  <c r="H18" i="38"/>
  <c r="G18" i="38"/>
  <c r="H17" i="38"/>
  <c r="G17" i="38"/>
  <c r="H16" i="38"/>
  <c r="G16" i="38"/>
  <c r="H15" i="38"/>
  <c r="G15" i="38"/>
  <c r="H14" i="38"/>
  <c r="I14" i="38" s="1"/>
  <c r="G14" i="38"/>
  <c r="J14" i="38" s="1"/>
  <c r="H13" i="38"/>
  <c r="G13" i="38"/>
  <c r="H12" i="38"/>
  <c r="G12" i="38"/>
  <c r="H11" i="38"/>
  <c r="G11" i="38"/>
  <c r="H10" i="38"/>
  <c r="G10" i="38"/>
  <c r="H9" i="38"/>
  <c r="G9" i="38"/>
  <c r="H8" i="38"/>
  <c r="G8" i="38"/>
  <c r="J7" i="1"/>
  <c r="H8" i="1"/>
  <c r="H9" i="1"/>
  <c r="D14" i="26"/>
  <c r="H22" i="1"/>
  <c r="H21" i="1"/>
  <c r="H20" i="1"/>
  <c r="H19" i="1"/>
  <c r="H18" i="1"/>
  <c r="H17" i="1"/>
  <c r="H16" i="1"/>
  <c r="H15" i="1"/>
  <c r="H14" i="1"/>
  <c r="H13" i="1"/>
  <c r="I13" i="1" s="1"/>
  <c r="H12" i="1"/>
  <c r="H11" i="1"/>
  <c r="H10" i="1"/>
  <c r="Q7" i="1"/>
  <c r="Q12" i="1" s="1"/>
  <c r="Q15" i="1" s="1"/>
  <c r="I18" i="38" l="1"/>
  <c r="K18" i="38" s="1"/>
  <c r="J18" i="38"/>
  <c r="I16" i="38"/>
  <c r="J16" i="38"/>
  <c r="I20" i="38"/>
  <c r="K20" i="38" s="1"/>
  <c r="J20" i="38"/>
  <c r="I22" i="38"/>
  <c r="J22" i="38"/>
  <c r="I15" i="38"/>
  <c r="J15" i="38"/>
  <c r="I17" i="38"/>
  <c r="J17" i="38"/>
  <c r="I19" i="38"/>
  <c r="J19" i="38"/>
  <c r="I21" i="38"/>
  <c r="J21" i="38"/>
  <c r="Q18" i="38"/>
  <c r="Q21" i="38" s="1"/>
  <c r="Q9" i="38"/>
  <c r="I8" i="38"/>
  <c r="J8" i="38"/>
  <c r="I12" i="38"/>
  <c r="J12" i="38"/>
  <c r="K12" i="38" s="1"/>
  <c r="I9" i="38"/>
  <c r="J9" i="38"/>
  <c r="I10" i="38"/>
  <c r="J10" i="38"/>
  <c r="K10" i="38" s="1"/>
  <c r="I11" i="38"/>
  <c r="J11" i="38"/>
  <c r="K11" i="38" s="1"/>
  <c r="I13" i="38"/>
  <c r="J13" i="38"/>
  <c r="K13" i="38" s="1"/>
  <c r="I7" i="38"/>
  <c r="J7" i="38"/>
  <c r="K7" i="38" s="1"/>
  <c r="I15" i="1"/>
  <c r="J15" i="1"/>
  <c r="I19" i="1"/>
  <c r="J19" i="1"/>
  <c r="K19" i="1" s="1"/>
  <c r="I16" i="1"/>
  <c r="J16" i="1"/>
  <c r="K16" i="1" s="1"/>
  <c r="I20" i="1"/>
  <c r="J20" i="1"/>
  <c r="K20" i="1" s="1"/>
  <c r="I17" i="1"/>
  <c r="J17" i="1"/>
  <c r="K17" i="1" s="1"/>
  <c r="I21" i="1"/>
  <c r="J21" i="1"/>
  <c r="K21" i="1" s="1"/>
  <c r="I14" i="1"/>
  <c r="J14" i="1"/>
  <c r="I18" i="1"/>
  <c r="J18" i="1"/>
  <c r="K18" i="1" s="1"/>
  <c r="I22" i="1"/>
  <c r="J22" i="1"/>
  <c r="K22" i="1" s="1"/>
  <c r="J13" i="1"/>
  <c r="K13" i="1" s="1"/>
  <c r="I7" i="1"/>
  <c r="I8" i="1"/>
  <c r="J8" i="1"/>
  <c r="K8" i="1" s="1"/>
  <c r="I9" i="1"/>
  <c r="J9" i="1"/>
  <c r="K9" i="1" s="1"/>
  <c r="I10" i="1"/>
  <c r="J10" i="1"/>
  <c r="K10" i="1" s="1"/>
  <c r="I11" i="1"/>
  <c r="J11" i="1"/>
  <c r="K11" i="1" s="1"/>
  <c r="I12" i="1"/>
  <c r="J12" i="1"/>
  <c r="K12" i="1" s="1"/>
  <c r="K17" i="38"/>
  <c r="K15" i="38"/>
  <c r="K14" i="38"/>
  <c r="K16" i="38"/>
  <c r="Q9" i="1"/>
  <c r="Q18" i="1"/>
  <c r="Q21" i="1" s="1"/>
  <c r="Q22" i="1" s="1"/>
  <c r="O5" i="1" s="1"/>
  <c r="Q15" i="38"/>
  <c r="K9" i="38"/>
  <c r="K8" i="38"/>
  <c r="K22" i="38"/>
  <c r="K19" i="38"/>
  <c r="K7" i="1"/>
  <c r="K15" i="1"/>
  <c r="K21" i="38" l="1"/>
  <c r="K14" i="1"/>
  <c r="Q22" i="38"/>
  <c r="O5" i="38" s="1"/>
  <c r="G24" i="38" s="1"/>
  <c r="G24" i="1"/>
  <c r="E21" i="12"/>
  <c r="J7" i="37"/>
  <c r="J7" i="36"/>
  <c r="M7" i="36" s="1"/>
  <c r="J7" i="35"/>
  <c r="J11" i="34"/>
  <c r="J6" i="34"/>
  <c r="D14" i="13"/>
  <c r="D11" i="5"/>
  <c r="D14" i="5" s="1"/>
  <c r="D11" i="19"/>
  <c r="J5" i="8"/>
  <c r="F24" i="38" l="1"/>
  <c r="D16" i="5"/>
  <c r="D19" i="5"/>
  <c r="D13" i="5"/>
  <c r="J7" i="33"/>
  <c r="J15" i="31"/>
  <c r="J14" i="31"/>
  <c r="J8" i="31"/>
  <c r="J8" i="32"/>
  <c r="J7" i="32" s="1"/>
  <c r="G10" i="30"/>
  <c r="J8" i="24"/>
  <c r="M11" i="3"/>
  <c r="L12" i="3" s="1"/>
  <c r="L11" i="3"/>
  <c r="H11" i="29"/>
  <c r="H10" i="29"/>
  <c r="H6" i="29"/>
  <c r="H5" i="29"/>
  <c r="J6" i="28"/>
  <c r="J6" i="27"/>
  <c r="D14" i="11"/>
  <c r="D10" i="10"/>
  <c r="G21" i="10" s="1"/>
  <c r="D12" i="4"/>
  <c r="D14" i="19"/>
  <c r="D16" i="19" l="1"/>
  <c r="D19" i="19"/>
  <c r="L13" i="3"/>
  <c r="M12" i="3"/>
  <c r="L14" i="3" s="1"/>
  <c r="B21" i="10"/>
  <c r="L6" i="26"/>
  <c r="K14" i="26" s="1"/>
  <c r="D6" i="26"/>
  <c r="L11" i="26"/>
  <c r="J14" i="26"/>
  <c r="C14" i="26"/>
  <c r="L7" i="3" l="1"/>
  <c r="J17" i="26"/>
  <c r="F10" i="14"/>
  <c r="B23" i="4" l="1"/>
  <c r="E11" i="12"/>
  <c r="E18" i="12" s="1"/>
  <c r="H9" i="15" l="1"/>
  <c r="J6" i="25" l="1"/>
  <c r="J6" i="22"/>
  <c r="J6" i="23"/>
  <c r="F12" i="14"/>
  <c r="F13" i="14" s="1"/>
  <c r="F15" i="14" s="1"/>
  <c r="D13" i="19"/>
  <c r="F18" i="14" l="1"/>
  <c r="D10" i="21"/>
  <c r="D7" i="18"/>
  <c r="G11" i="16"/>
  <c r="H19" i="10"/>
  <c r="H11" i="7"/>
  <c r="H10" i="7"/>
  <c r="H6" i="7"/>
  <c r="H5" i="7"/>
  <c r="B19" i="10" l="1"/>
  <c r="F24" i="1" l="1"/>
  <c r="E19" i="12"/>
  <c r="E24" i="12" l="1"/>
</calcChain>
</file>

<file path=xl/sharedStrings.xml><?xml version="1.0" encoding="utf-8"?>
<sst xmlns="http://schemas.openxmlformats.org/spreadsheetml/2006/main" count="456" uniqueCount="223">
  <si>
    <t>PESO DO TANQUE KG (BLENDER)</t>
  </si>
  <si>
    <t xml:space="preserve">Nº DO TANQUE </t>
  </si>
  <si>
    <t xml:space="preserve">HORA FINAL </t>
  </si>
  <si>
    <t xml:space="preserve">DENSIDADE DO PRODUTO </t>
  </si>
  <si>
    <t xml:space="preserve">DESVIO EM UNIDADES DE PRODUTO </t>
  </si>
  <si>
    <t xml:space="preserve">DESVIO EM LITROS DE PRODUTO </t>
  </si>
  <si>
    <t xml:space="preserve">PRODUÇÃO (UNIDADES/HORA) </t>
  </si>
  <si>
    <t>DADOS</t>
  </si>
  <si>
    <t>TANQUE</t>
  </si>
  <si>
    <t xml:space="preserve">TANQUE </t>
  </si>
  <si>
    <t>HORA INICIAL</t>
  </si>
  <si>
    <t xml:space="preserve">HORAS DE PRODUÇÃO POR TANQUE </t>
  </si>
  <si>
    <t>PRODUÇÃO  (TBA)</t>
  </si>
  <si>
    <t>Nº DA RECEITA</t>
  </si>
  <si>
    <t xml:space="preserve">QUANTIDADE PRODUZIDA </t>
  </si>
  <si>
    <t xml:space="preserve">CÁLCULO DE ESTIMATIVA DE VOLUME DO TANQUE X PRODUÇÃO </t>
  </si>
  <si>
    <t>O TANQUE IRÁ FINALIZAR ÁS:</t>
  </si>
  <si>
    <t xml:space="preserve">ESTIMATIVA DE FINALIZAÇÃO DE TANQUE </t>
  </si>
  <si>
    <t xml:space="preserve">KGs DE ÁCIDO CÍTRICO </t>
  </si>
  <si>
    <t xml:space="preserve">CONVERSÃO DE AÇÚCAR CRISTAL PARA AÇÚCAR LÍQUIDO </t>
  </si>
  <si>
    <t>AMOSTRA 1 (g)</t>
  </si>
  <si>
    <t>AMOSTRA 2 (g)</t>
  </si>
  <si>
    <t xml:space="preserve">QUANTIDADE ESPERADA A PRODUZIR (SEM PERDA) </t>
  </si>
  <si>
    <t xml:space="preserve">QUANTIDADE ESPERADA (SEM PERDA) </t>
  </si>
  <si>
    <t>MÉDIA DESVIO (UNIDADES)</t>
  </si>
  <si>
    <t>MÉDIA DESVIO (LITROS)</t>
  </si>
  <si>
    <t xml:space="preserve">CÁLCULO PARA ZERAR EMBALAGEM </t>
  </si>
  <si>
    <t>QUANTIDADE ESPERADA A PRODUZIR  (COM PERDA)</t>
  </si>
  <si>
    <t xml:space="preserve">RECEITA </t>
  </si>
  <si>
    <t>QUANTIDADE ESPERADA (COM PERDA)</t>
  </si>
  <si>
    <t>HORÁRIO ATUAL(hh:mm)</t>
  </si>
  <si>
    <t>ATENÇÃO: PREENCHER SOMENTE OS ESPAÇOS AMARELOS, CONSIDERANDO AS UNIDADES DE MEDIDA</t>
  </si>
  <si>
    <t>ATENÇÃO: PREENCHER SOMENTE OS ESPAÇOS AMARELOS, CONSIDERANDO AS UNIDADES DE MEDIDAS</t>
  </si>
  <si>
    <t>ATENÇÃO: PREENCHER SOMENTE OS ESPAÇOS AMARELOS, CONSIDERANDO AS UNIDADES DE MEDIDA!</t>
  </si>
  <si>
    <t xml:space="preserve">ATENÇÃO: PREENCHER SOMENTE OS ESPAÇOS AMARELOS, CONSIDERANDO AS UNIDADES DE MEDIDA </t>
  </si>
  <si>
    <t>ATENÇÃO: PREENCHER SOMENTE OS ESPAÇOS AMARELOS, CONSIDERANDO A UNIDADE DE MEDIDA</t>
  </si>
  <si>
    <t>CORREÇÃO DO BRIX                      (PARA DIMINUIR)</t>
  </si>
  <si>
    <t xml:space="preserve">CONVERSÃO DE AÇÚCAR LÍQUIDO PARA AÇÚCAR CRISTAL </t>
  </si>
  <si>
    <t>CORREÇÃO DO BRIX USANDO AÇÚCAR CRISTAL                             (PARA AUMENTAR)</t>
  </si>
  <si>
    <t>ADICIONAR DE AÇÚCAR BATIDO  (KG) :</t>
  </si>
  <si>
    <t>KG</t>
  </si>
  <si>
    <t>NECESSÁRIO DE PRODUTO PARA ZERAR EMBALAGEM:</t>
  </si>
  <si>
    <t xml:space="preserve">PESO LÍQUIDO 1 </t>
  </si>
  <si>
    <t>PESO LÍQUIDO 2</t>
  </si>
  <si>
    <t>COMPLETAR O TANQUE COM ÁGUA ATÉ</t>
  </si>
  <si>
    <t xml:space="preserve">KGs </t>
  </si>
  <si>
    <t xml:space="preserve">A T E N Ç Ã O </t>
  </si>
  <si>
    <t xml:space="preserve">AO AUMENTAR O VOLUME DO  TANQUE PARA </t>
  </si>
  <si>
    <t>KGS</t>
  </si>
  <si>
    <t xml:space="preserve">O BRIX SERÁ REDUZIDO PARA </t>
  </si>
  <si>
    <t>DEVE SER ADICIONADO</t>
  </si>
  <si>
    <t>PREVISÃO DA ACIDEZ DA FORMULAÇÃO</t>
  </si>
  <si>
    <t>A ACIDEZ FINAL SERÁ DE:</t>
  </si>
  <si>
    <t>%</t>
  </si>
  <si>
    <t>O BRIX FINAL SERÁ DE:</t>
  </si>
  <si>
    <t>CORREÇÃO DO BRIX USANDO AÇÚCAR BATIDO                    (PARA AUMENTAR)</t>
  </si>
  <si>
    <t>QUANTIDADE DE AÇÚCAR TOTAL A PUXAR (KG)</t>
  </si>
  <si>
    <t xml:space="preserve">PREVISÃO DE QUANTIDADE DE AÇUCAR A SER PUXADA </t>
  </si>
  <si>
    <t xml:space="preserve"> </t>
  </si>
  <si>
    <t>CORREÇÃO DE VITAMINA C NO TANQUE</t>
  </si>
  <si>
    <t xml:space="preserve">RESULTADO VIT. C DA AMOSTRA (ANALISADA) </t>
  </si>
  <si>
    <t>QUANTIDADE ESPERADA DE VITAMINA C NO TQ</t>
  </si>
  <si>
    <t xml:space="preserve">KG DE ÁCIDO ASCÓRBICO </t>
  </si>
  <si>
    <t xml:space="preserve">CÁLCULO DA ACIDEZ DO PRODUTO </t>
  </si>
  <si>
    <t xml:space="preserve">ACIDEZ DA AMOSTRA </t>
  </si>
  <si>
    <t>VOLUME GASTO DE IODO (ML)</t>
  </si>
  <si>
    <t>CÁLCULO DA VITAMINA C NO PRODUTO</t>
  </si>
  <si>
    <t>CONCENTRAÇÃO DE VITAMINA C NO PRODUTO:</t>
  </si>
  <si>
    <t xml:space="preserve">AO CORRIGIR A ACIDEZ, O BRIX AUMENTARÁ PARA </t>
  </si>
  <si>
    <t xml:space="preserve">AO ADICIONAR OS </t>
  </si>
  <si>
    <t xml:space="preserve">O PESO DO TANQUE IRÁ PARA </t>
  </si>
  <si>
    <t>ATENÇÃO!!! AO ADICIONAR A QUANTIDADE DE ÁGUA, A ACIDEZ ATUAL DIMINUIRÁ P/</t>
  </si>
  <si>
    <t>VOLUME TQ RECEITA</t>
  </si>
  <si>
    <t xml:space="preserve">VOLUME TQ ATUAL </t>
  </si>
  <si>
    <t xml:space="preserve">BRIX DO TQ </t>
  </si>
  <si>
    <t xml:space="preserve">ACIDEZ DO TQ </t>
  </si>
  <si>
    <t xml:space="preserve">ACIDEZ DA RECEITA </t>
  </si>
  <si>
    <t xml:space="preserve">BRIX MÍNIMO  DA RECEITA </t>
  </si>
  <si>
    <t xml:space="preserve">BRIX MÁXIMO DA RECEIA </t>
  </si>
  <si>
    <t xml:space="preserve">SE O VOLUME DO TQ ESTIVER MENOR DO QUE A RECEITA </t>
  </si>
  <si>
    <t>O QUE FAZER:</t>
  </si>
  <si>
    <t>COMO :</t>
  </si>
  <si>
    <t>VOLUME TQ +3%</t>
  </si>
  <si>
    <t xml:space="preserve">SE O VOLUME DO TQ ESTIVER MAIOR DO QUE A RECEITA </t>
  </si>
  <si>
    <t xml:space="preserve">EM    CONSTRUÇÃO </t>
  </si>
  <si>
    <t>CÁLCULO PARA CORREÇÃO DE ACIDEZ (AUMENTAR)</t>
  </si>
  <si>
    <t xml:space="preserve">O RENDIMENTO SERÁ </t>
  </si>
  <si>
    <t>CÁLCULO PARA CORREÇÃO DE ACIDEZ (DIMINUIR)</t>
  </si>
  <si>
    <t xml:space="preserve">VOLUME DA EMBALAGEM: </t>
  </si>
  <si>
    <t>200ML</t>
  </si>
  <si>
    <t>1L</t>
  </si>
  <si>
    <r>
      <t xml:space="preserve">VOLUME </t>
    </r>
    <r>
      <rPr>
        <b/>
        <sz val="18"/>
        <color theme="1"/>
        <rFont val="Arial"/>
        <family val="2"/>
      </rPr>
      <t>ATUAL</t>
    </r>
    <r>
      <rPr>
        <sz val="18"/>
        <color theme="1"/>
        <rFont val="Arial"/>
        <family val="2"/>
      </rPr>
      <t xml:space="preserve"> DO TANQUE </t>
    </r>
  </si>
  <si>
    <r>
      <t xml:space="preserve">VOLUME </t>
    </r>
    <r>
      <rPr>
        <b/>
        <sz val="18"/>
        <color theme="1"/>
        <rFont val="Arial"/>
        <family val="2"/>
      </rPr>
      <t>FINAL</t>
    </r>
    <r>
      <rPr>
        <sz val="18"/>
        <color theme="1"/>
        <rFont val="Arial"/>
        <family val="2"/>
      </rPr>
      <t xml:space="preserve"> DO TANQUE </t>
    </r>
  </si>
  <si>
    <r>
      <t xml:space="preserve">ACIDEZ </t>
    </r>
    <r>
      <rPr>
        <b/>
        <sz val="18"/>
        <color theme="1"/>
        <rFont val="Arial"/>
        <family val="2"/>
      </rPr>
      <t>ATUAL</t>
    </r>
    <r>
      <rPr>
        <sz val="18"/>
        <color theme="1"/>
        <rFont val="Arial"/>
        <family val="2"/>
      </rPr>
      <t>- (ANALISADA)</t>
    </r>
  </si>
  <si>
    <r>
      <t xml:space="preserve">ACIDEZ </t>
    </r>
    <r>
      <rPr>
        <b/>
        <sz val="18"/>
        <color theme="1"/>
        <rFont val="Arial"/>
        <family val="2"/>
      </rPr>
      <t>FINAL DESEJADA</t>
    </r>
    <r>
      <rPr>
        <sz val="18"/>
        <color theme="1"/>
        <rFont val="Arial"/>
        <family val="2"/>
      </rPr>
      <t xml:space="preserve"> (%)</t>
    </r>
  </si>
  <si>
    <t xml:space="preserve">BRIX ATUAL (ANALISADO) </t>
  </si>
  <si>
    <t>UN.</t>
  </si>
  <si>
    <t xml:space="preserve">QUANTIDADE DE ÁCIDO CÍTRICO DA RECEITA </t>
  </si>
  <si>
    <t xml:space="preserve">QUANTIDADE DE ÁCIDO ASCÓRBICO </t>
  </si>
  <si>
    <t xml:space="preserve">QUANTIDADE DE ÁCIDO FOSFÓRICO </t>
  </si>
  <si>
    <t xml:space="preserve">QUANTIDADE DE ÁCIDO MÁLICO </t>
  </si>
  <si>
    <t xml:space="preserve">QUANTIDADE DE NÃO ALCOÓLICO </t>
  </si>
  <si>
    <r>
      <t xml:space="preserve">ACIDEZ </t>
    </r>
    <r>
      <rPr>
        <b/>
        <sz val="18"/>
        <color theme="1"/>
        <rFont val="Arial"/>
        <family val="2"/>
      </rPr>
      <t>ATUAL</t>
    </r>
    <r>
      <rPr>
        <sz val="18"/>
        <color theme="1"/>
        <rFont val="Arial"/>
        <family val="2"/>
      </rPr>
      <t xml:space="preserve"> (ANALISADA) </t>
    </r>
  </si>
  <si>
    <r>
      <t xml:space="preserve">ACIDEZ </t>
    </r>
    <r>
      <rPr>
        <b/>
        <sz val="18"/>
        <color theme="1"/>
        <rFont val="Arial"/>
        <family val="2"/>
      </rPr>
      <t xml:space="preserve">FINAL DESEJADA </t>
    </r>
  </si>
  <si>
    <r>
      <t xml:space="preserve">BRIX </t>
    </r>
    <r>
      <rPr>
        <b/>
        <sz val="18"/>
        <color theme="1"/>
        <rFont val="Arial"/>
        <family val="2"/>
      </rPr>
      <t>ATUAL</t>
    </r>
    <r>
      <rPr>
        <sz val="18"/>
        <color theme="1"/>
        <rFont val="Arial"/>
        <family val="2"/>
      </rPr>
      <t xml:space="preserve">  (ANALISADO) </t>
    </r>
  </si>
  <si>
    <r>
      <t xml:space="preserve">ACIDEZ DA </t>
    </r>
    <r>
      <rPr>
        <b/>
        <sz val="18"/>
        <color theme="1"/>
        <rFont val="Arial"/>
        <family val="2"/>
      </rPr>
      <t>BASE PRINCIPAL</t>
    </r>
    <r>
      <rPr>
        <sz val="18"/>
        <color theme="1"/>
        <rFont val="Arial"/>
        <family val="2"/>
      </rPr>
      <t xml:space="preserve"> UTILIZADA </t>
    </r>
  </si>
  <si>
    <r>
      <t xml:space="preserve">QUANTIDADE DE </t>
    </r>
    <r>
      <rPr>
        <b/>
        <sz val="18"/>
        <color theme="1"/>
        <rFont val="Arial"/>
        <family val="2"/>
      </rPr>
      <t>BASE PRINCIPAL</t>
    </r>
    <r>
      <rPr>
        <sz val="18"/>
        <color theme="1"/>
        <rFont val="Arial"/>
        <family val="2"/>
      </rPr>
      <t xml:space="preserve"> UTILIZADA </t>
    </r>
  </si>
  <si>
    <r>
      <t xml:space="preserve">QUANTIDADE DE </t>
    </r>
    <r>
      <rPr>
        <b/>
        <sz val="18"/>
        <color theme="1"/>
        <rFont val="Arial"/>
        <family val="2"/>
      </rPr>
      <t>BASE SECUNDÁRIA</t>
    </r>
    <r>
      <rPr>
        <sz val="18"/>
        <color theme="1"/>
        <rFont val="Arial"/>
        <family val="2"/>
      </rPr>
      <t xml:space="preserve"> </t>
    </r>
  </si>
  <si>
    <r>
      <t xml:space="preserve">ACIDEZ DA </t>
    </r>
    <r>
      <rPr>
        <b/>
        <sz val="18"/>
        <color theme="1"/>
        <rFont val="Arial"/>
        <family val="2"/>
      </rPr>
      <t>BASE SECUNDÁRIA</t>
    </r>
    <r>
      <rPr>
        <sz val="18"/>
        <color theme="1"/>
        <rFont val="Arial"/>
        <family val="2"/>
      </rPr>
      <t xml:space="preserve"> </t>
    </r>
  </si>
  <si>
    <t>mg/200ML</t>
  </si>
  <si>
    <t>ACRESCENTAR NO TANQUE</t>
  </si>
  <si>
    <t xml:space="preserve">VOLUME DO TANQUE </t>
  </si>
  <si>
    <t>ml</t>
  </si>
  <si>
    <t xml:space="preserve">VOLUME GASTO DE HIDRÓXIDO DE SÓDIO </t>
  </si>
  <si>
    <t>CONCENTRAÇÃO DA SODA DA AMOSTRA</t>
  </si>
  <si>
    <r>
      <t xml:space="preserve">CIP - CÁLCULO DO ÁCIDO - </t>
    </r>
    <r>
      <rPr>
        <b/>
        <sz val="20"/>
        <color rgb="FFFF0000"/>
        <rFont val="Calibri"/>
        <family val="2"/>
        <scheme val="minor"/>
      </rPr>
      <t>MÉTODO ANTIGO</t>
    </r>
  </si>
  <si>
    <r>
      <t xml:space="preserve">CIP - CÁLCULO DA SODA - </t>
    </r>
    <r>
      <rPr>
        <b/>
        <sz val="20"/>
        <color rgb="FFFF0000"/>
        <rFont val="Calibri"/>
        <family val="2"/>
        <scheme val="minor"/>
      </rPr>
      <t>MÉTODO ANTIGO</t>
    </r>
  </si>
  <si>
    <r>
      <t xml:space="preserve">CIP - CÁLCULO DA SODA - </t>
    </r>
    <r>
      <rPr>
        <b/>
        <sz val="20"/>
        <color rgb="FFFF0000"/>
        <rFont val="Calibri"/>
        <family val="2"/>
        <scheme val="minor"/>
      </rPr>
      <t>MÉTODO DIVERSEY</t>
    </r>
  </si>
  <si>
    <t>GOTAS</t>
  </si>
  <si>
    <r>
      <t xml:space="preserve">CIP - CÁLCULO DO ÁCIDO - </t>
    </r>
    <r>
      <rPr>
        <b/>
        <sz val="20"/>
        <color rgb="FFFF0000"/>
        <rFont val="Calibri"/>
        <family val="2"/>
        <scheme val="minor"/>
      </rPr>
      <t>MÉTODO DIVERSEY</t>
    </r>
  </si>
  <si>
    <t>QUANTIDADE DE ÁCIDO HIDRÓXIDO DE SÓDIO GASTO</t>
  </si>
  <si>
    <t xml:space="preserve">CONCENTRAÇÃO DO ÁCIDO DA AMOSTRA </t>
  </si>
  <si>
    <t>QUANTIDADE DE ÁCIDO CLORÍDRICO GASTO</t>
  </si>
  <si>
    <t xml:space="preserve">VOLUME GASTO DE ÁCIDO CLORÍDRICO </t>
  </si>
  <si>
    <t xml:space="preserve">CONCENTRAÇÃO DA SODA DA AMOSTRA </t>
  </si>
  <si>
    <t>UN</t>
  </si>
  <si>
    <t xml:space="preserve">QUANTIDADE DE EMBALAGEM  DISPONÍVEL PARA UTILIZAR </t>
  </si>
  <si>
    <t xml:space="preserve">QUANTIDADE DE PRODUTO NOS TQS </t>
  </si>
  <si>
    <t xml:space="preserve">OBS: USAR OPÇÕES DE PREENCHIMENTO AUTOMÁTICO </t>
  </si>
  <si>
    <r>
      <t xml:space="preserve">TARA DA EMBALAGEM  </t>
    </r>
    <r>
      <rPr>
        <b/>
        <sz val="19"/>
        <color theme="1"/>
        <rFont val="Arial"/>
        <family val="2"/>
      </rPr>
      <t>S/ CANUDO</t>
    </r>
    <r>
      <rPr>
        <sz val="19"/>
        <color theme="1"/>
        <rFont val="Arial"/>
        <family val="2"/>
      </rPr>
      <t xml:space="preserve"> (g)</t>
    </r>
  </si>
  <si>
    <r>
      <t xml:space="preserve">TARA DA EMBALAGEM  </t>
    </r>
    <r>
      <rPr>
        <b/>
        <sz val="19"/>
        <color theme="1"/>
        <rFont val="Arial"/>
        <family val="2"/>
      </rPr>
      <t>C/ CANUDO</t>
    </r>
    <r>
      <rPr>
        <sz val="19"/>
        <color theme="1"/>
        <rFont val="Arial"/>
        <family val="2"/>
      </rPr>
      <t xml:space="preserve"> (g)</t>
    </r>
  </si>
  <si>
    <t>PESO LÍQUIDO - INSPEÇÃO DE EMBALAGEM 200 ML</t>
  </si>
  <si>
    <t xml:space="preserve">PESO LÍQUIDO - INSPEÇÃO DE EMBALAGEM LITRO </t>
  </si>
  <si>
    <r>
      <t xml:space="preserve">TARA DA EMBALAGEM  </t>
    </r>
    <r>
      <rPr>
        <b/>
        <sz val="19"/>
        <color theme="1"/>
        <rFont val="Arial"/>
        <family val="2"/>
      </rPr>
      <t>S/ TAMPA</t>
    </r>
    <r>
      <rPr>
        <sz val="19"/>
        <color theme="1"/>
        <rFont val="Arial"/>
        <family val="2"/>
      </rPr>
      <t>(g)</t>
    </r>
  </si>
  <si>
    <r>
      <t xml:space="preserve">TARA DA EMBALAGEM </t>
    </r>
    <r>
      <rPr>
        <b/>
        <sz val="19"/>
        <color theme="1"/>
        <rFont val="Arial"/>
        <family val="2"/>
      </rPr>
      <t xml:space="preserve"> C/ TAMPA</t>
    </r>
    <r>
      <rPr>
        <sz val="19"/>
        <color theme="1"/>
        <rFont val="Arial"/>
        <family val="2"/>
      </rPr>
      <t>(g)</t>
    </r>
  </si>
  <si>
    <t>VOLUME ATUAL DO TANQUE (kg)</t>
  </si>
  <si>
    <t xml:space="preserve">LINHA </t>
  </si>
  <si>
    <t>g</t>
  </si>
  <si>
    <t xml:space="preserve">RESULTADO DO PH NO EQUIPAMENTO </t>
  </si>
  <si>
    <t>VOLUME GASTO DE HIDRÓXIDO DE SÓDIO 0,3125</t>
  </si>
  <si>
    <t xml:space="preserve">QUANTIDADE AMOSTRA PESADA </t>
  </si>
  <si>
    <t>-</t>
  </si>
  <si>
    <t>BRIX DA AMOSTRA</t>
  </si>
  <si>
    <t xml:space="preserve">CÁLCULO DO BRIX CORRIGIDO DO PRODUTO </t>
  </si>
  <si>
    <t>MENU DE CÁLCULOS DE ROTINA PARA CONTROLE DE QUALIDADE DE BEBIDAS</t>
  </si>
  <si>
    <t>CÁLCULO DA ACIDEZ PELO RATIO</t>
  </si>
  <si>
    <t xml:space="preserve">BRIX CORRIGIDO </t>
  </si>
  <si>
    <t xml:space="preserve">RATIO DO PRODUTO </t>
  </si>
  <si>
    <t>BRIX DIRETO</t>
  </si>
  <si>
    <t>BRIX DIRETO DA AMOSTRA</t>
  </si>
  <si>
    <t>CÁLCULO DO BRIX PELO RATIO</t>
  </si>
  <si>
    <t xml:space="preserve">OU </t>
  </si>
  <si>
    <t>BRIX CORRIGIDO</t>
  </si>
  <si>
    <t>CÁLCULO DO RATIO</t>
  </si>
  <si>
    <t xml:space="preserve">BRIX ANALISADO </t>
  </si>
  <si>
    <t>ACIDEZ ANALISADA</t>
  </si>
  <si>
    <t>RATIO DA AMOSTRA</t>
  </si>
  <si>
    <t xml:space="preserve">QUANTIDADE DE AÇÚCAR CRISTAL DA RECEITA (KG)           </t>
  </si>
  <si>
    <t xml:space="preserve">ADICIONAR DE AÇÚCAR LÍQUIDO (KG)  </t>
  </si>
  <si>
    <t xml:space="preserve">QUANTIDADE DE AÇÚCAR LÍQUIDO DA RECEITA (KG)          </t>
  </si>
  <si>
    <t xml:space="preserve">ADICIONAR DE AÇÚCAR CRISTAL (KG)  </t>
  </si>
  <si>
    <t xml:space="preserve">BRIX ATUAL </t>
  </si>
  <si>
    <t xml:space="preserve">BRIX DESEJADO </t>
  </si>
  <si>
    <t xml:space="preserve">BRIX DO AÇUCAR CRISTAL BATIDO </t>
  </si>
  <si>
    <r>
      <t xml:space="preserve">VOLUME DO TANQUE </t>
    </r>
    <r>
      <rPr>
        <b/>
        <sz val="20"/>
        <color theme="1"/>
        <rFont val="Arial"/>
        <family val="2"/>
      </rPr>
      <t>NA RECEITA</t>
    </r>
  </si>
  <si>
    <r>
      <t xml:space="preserve">VOLUME DO TANQUE </t>
    </r>
    <r>
      <rPr>
        <b/>
        <sz val="20"/>
        <color theme="1"/>
        <rFont val="Arial"/>
        <family val="2"/>
      </rPr>
      <t>ATUAL</t>
    </r>
    <r>
      <rPr>
        <sz val="20"/>
        <color theme="1"/>
        <rFont val="Arial"/>
        <family val="2"/>
      </rPr>
      <t xml:space="preserve"> </t>
    </r>
  </si>
  <si>
    <t>AÇÃO PARA O BLENDER:</t>
  </si>
  <si>
    <t xml:space="preserve">CONSIDERANDO O VOLUME ATUAL E VOLUME FINAL : </t>
  </si>
  <si>
    <t xml:space="preserve">BRIX DESEJADO  </t>
  </si>
  <si>
    <t xml:space="preserve">ADICIONAR DE AÇÚCAR CRISTAL </t>
  </si>
  <si>
    <t xml:space="preserve">AÇÃO PARA O BLENDER </t>
  </si>
  <si>
    <r>
      <t xml:space="preserve">VOLUME DO </t>
    </r>
    <r>
      <rPr>
        <b/>
        <sz val="20"/>
        <color theme="1"/>
        <rFont val="Arial"/>
        <family val="2"/>
      </rPr>
      <t xml:space="preserve">TANQUE ATUAL </t>
    </r>
  </si>
  <si>
    <r>
      <t xml:space="preserve">VOLUME DO </t>
    </r>
    <r>
      <rPr>
        <b/>
        <sz val="20"/>
        <color theme="1"/>
        <rFont val="Arial"/>
        <family val="2"/>
      </rPr>
      <t>TANQUE FINAL</t>
    </r>
    <r>
      <rPr>
        <sz val="20"/>
        <color theme="1"/>
        <rFont val="Arial"/>
        <family val="2"/>
      </rPr>
      <t xml:space="preserve"> (RECEITA)</t>
    </r>
  </si>
  <si>
    <t>CORREÇÃO DO BRIX USANDO AÇÚCAR LÍQUIDO    (77º)                         (PARA AUMENTAR)</t>
  </si>
  <si>
    <t>ADICIONAR DE AÇÚCAR LÍQUIDO</t>
  </si>
  <si>
    <t xml:space="preserve"> BRIX DO AÇÚCAR QUE ESTÁ NA RECEITA</t>
  </si>
  <si>
    <t xml:space="preserve">QUANTIDADE DE AÇÚCAR DA RECEITA </t>
  </si>
  <si>
    <t xml:space="preserve">BRIX DO AÇÚCAR QUE SERÁ UTILIZADO </t>
  </si>
  <si>
    <t>PREVISÃO DO BRIX DA FORMULAÇÃO</t>
  </si>
  <si>
    <r>
      <t xml:space="preserve">BRIX DA </t>
    </r>
    <r>
      <rPr>
        <b/>
        <sz val="18"/>
        <color theme="1"/>
        <rFont val="Arial"/>
        <family val="2"/>
      </rPr>
      <t>BASE PRINCIPAL</t>
    </r>
    <r>
      <rPr>
        <sz val="18"/>
        <color theme="1"/>
        <rFont val="Arial"/>
        <family val="2"/>
      </rPr>
      <t xml:space="preserve"> UTILIZADA </t>
    </r>
  </si>
  <si>
    <r>
      <t xml:space="preserve">BRIX DA </t>
    </r>
    <r>
      <rPr>
        <b/>
        <sz val="18"/>
        <color theme="1"/>
        <rFont val="Arial"/>
        <family val="2"/>
      </rPr>
      <t>BASE SECUNDÁRIA</t>
    </r>
    <r>
      <rPr>
        <sz val="18"/>
        <color theme="1"/>
        <rFont val="Arial"/>
        <family val="2"/>
      </rPr>
      <t xml:space="preserve"> </t>
    </r>
  </si>
  <si>
    <t xml:space="preserve">BRIX DO AÇÚCAR A SER UTILIZADO </t>
  </si>
  <si>
    <t>QUANTIDADE DE AÇÚCAR NECESSÁRIA</t>
  </si>
  <si>
    <t>DENSIDADE DA AMOSTRA</t>
  </si>
  <si>
    <t>g/ml</t>
  </si>
  <si>
    <t>PESO BRUTO FINAL</t>
  </si>
  <si>
    <t>CÁLCULO DO PESO BRUTO - LINHA 200ML (SEM CANUDO)</t>
  </si>
  <si>
    <t>CÁLCULO DO PESO BRUTO - LINHA 1.000ML (SEM TAMPA)</t>
  </si>
  <si>
    <t>CÁLCULO DA DENSIDADE DO PRODUTO</t>
  </si>
  <si>
    <t>VOLUME DA PIPETA VOLUMÉTRICA UTILIZADA</t>
  </si>
  <si>
    <t>VALOR OBTIDO NA BALANÇA ANALÍTICA</t>
  </si>
  <si>
    <t xml:space="preserve">QUANTIDADE DE CORANTE NA RECEITA </t>
  </si>
  <si>
    <t>QUANTIDADE DE CORANTE A SER ADICIONADO</t>
  </si>
  <si>
    <t xml:space="preserve">PARA BALANÇA DO FRACIONAMENTO </t>
  </si>
  <si>
    <t>PARA BALANÇA SEMI ANALÍTICA</t>
  </si>
  <si>
    <t>CORREÇÃO DE CORANTES</t>
  </si>
  <si>
    <t>PREPARO DE SODA PARA ANÁLISE DE SELAGEM TRANSVERSAL</t>
  </si>
  <si>
    <t>QUANTIDADE FINAL DE SOLUÇÃO A SER PREPARADA</t>
  </si>
  <si>
    <t>CONCENTRAÇÃO DESEJADA (GERALMENTE 15%)</t>
  </si>
  <si>
    <t xml:space="preserve">QUANTIDADE DE SODA 50% A SER UTILIZADA </t>
  </si>
  <si>
    <t>L</t>
  </si>
  <si>
    <t xml:space="preserve">ADICIONAR ÁGUA ATÉ COMPLETAR O VOLUME FINAL A SER PREPARADO </t>
  </si>
  <si>
    <r>
      <t xml:space="preserve">ACIDEZ </t>
    </r>
    <r>
      <rPr>
        <b/>
        <sz val="18"/>
        <color theme="1"/>
        <rFont val="Arial"/>
        <family val="2"/>
      </rPr>
      <t>ATUAL</t>
    </r>
    <r>
      <rPr>
        <sz val="18"/>
        <color theme="1"/>
        <rFont val="Arial"/>
        <family val="2"/>
      </rPr>
      <t xml:space="preserve"> DO TANQUE </t>
    </r>
  </si>
  <si>
    <t>ACIDEZ DA BASE PERDIDA</t>
  </si>
  <si>
    <t>CÁLCULO DE PERDA DE BASE</t>
  </si>
  <si>
    <r>
      <t xml:space="preserve">VOLUME DO TANQUE </t>
    </r>
    <r>
      <rPr>
        <b/>
        <sz val="20"/>
        <color theme="1"/>
        <rFont val="Arial"/>
        <family val="2"/>
      </rPr>
      <t>NA RECEITA</t>
    </r>
    <r>
      <rPr>
        <sz val="20"/>
        <color theme="1"/>
        <rFont val="Arial"/>
        <family val="2"/>
      </rPr>
      <t xml:space="preserve"> </t>
    </r>
  </si>
  <si>
    <r>
      <t xml:space="preserve">VOLUME DO TANQUE </t>
    </r>
    <r>
      <rPr>
        <b/>
        <sz val="20"/>
        <color theme="1"/>
        <rFont val="Arial"/>
        <family val="2"/>
      </rPr>
      <t xml:space="preserve">ATUAL </t>
    </r>
  </si>
  <si>
    <r>
      <t xml:space="preserve">BRIX </t>
    </r>
    <r>
      <rPr>
        <b/>
        <sz val="20"/>
        <color theme="1"/>
        <rFont val="Arial"/>
        <family val="2"/>
      </rPr>
      <t>ATUAL</t>
    </r>
  </si>
  <si>
    <t>BRIX DESEJADO</t>
  </si>
  <si>
    <r>
      <t xml:space="preserve">ACIDEZ </t>
    </r>
    <r>
      <rPr>
        <b/>
        <sz val="20"/>
        <color theme="1"/>
        <rFont val="Arial"/>
        <family val="2"/>
      </rPr>
      <t>ATUAL DO TQ</t>
    </r>
  </si>
  <si>
    <t>CONSIDERANDO O VOLUME ATUAL E VOLUME DA RECEITA :</t>
  </si>
  <si>
    <t xml:space="preserve">ADICIONAR DE ÁGUA </t>
  </si>
  <si>
    <t>DENSIDADE DO PRODUTO:</t>
  </si>
  <si>
    <t>VOLUME REAL PRODUZIDO (KG)</t>
  </si>
  <si>
    <t>VOLUME TEÓRICO FORMULADO (KG)</t>
  </si>
  <si>
    <t xml:space="preserve">STATUS </t>
  </si>
  <si>
    <t>AÇÃO DO STATUS :</t>
  </si>
  <si>
    <r>
      <t xml:space="preserve">QUANTIDADE PRODUZIDA (REAL) </t>
    </r>
    <r>
      <rPr>
        <b/>
        <i/>
        <sz val="8"/>
        <color theme="1"/>
        <rFont val="Arial"/>
        <family val="2"/>
      </rPr>
      <t>INCLUINDO ENCHIMENTO DE LINHA -FIM DE ENVASE</t>
    </r>
  </si>
  <si>
    <r>
      <t>PARA CORREÇÃO DE PRODUTOS LIFENESS, UTILIZAR A QUANTIDADE DE MIX DA RECEITA PARA PREENCHER A INFORMAÇÃO DE "</t>
    </r>
    <r>
      <rPr>
        <b/>
        <sz val="18"/>
        <color theme="1"/>
        <rFont val="Calibri"/>
        <family val="2"/>
        <scheme val="minor"/>
      </rPr>
      <t>QUANTIDADE DE CORANTE NA RECEITA".</t>
    </r>
    <r>
      <rPr>
        <sz val="18"/>
        <color theme="1"/>
        <rFont val="Calibri"/>
        <family val="2"/>
        <scheme val="minor"/>
      </rPr>
      <t xml:space="preserve"> E, O RESULTADO ENCONTRADO NOS CAMPOS EM VERMELHO, DEVERÁ SER DIVIDIDO POR 100</t>
    </r>
  </si>
  <si>
    <t>DESVIO EM UNIDADES DE PRODUTO (COM PERDA)</t>
  </si>
  <si>
    <t xml:space="preserve">A QUANTIDADE DE BASE PERDIDA FOI DE </t>
  </si>
  <si>
    <t>VOLUME REAL FORMULADO  (KG)</t>
  </si>
  <si>
    <t>QUANTIDADE ESPERADA (COM PERDA DE 3%)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</si>
</sst>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R$&quot;\ * #,##0.00_-;\-&quot;R$&quot;\ * #,##0.00_-;_-&quot;R$&quot;\ * &quot;-&quot;??_-;_-@_-"/>
    <numFmt numFmtId="164" formatCode="0.0"/>
    <numFmt numFmtId="165" formatCode="h:mm;@"/>
    <numFmt numFmtId="166" formatCode="[h]:mm"/>
    <numFmt numFmtId="167" formatCode="0.000"/>
    <numFmt numFmtId="168" formatCode="0.0000"/>
    <numFmt numFmtId="169" formatCode="h:mm:ss;@"/>
    <numFmt numFmtId="170" formatCode="[$-F400]h:mm:ss\ AM/PM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8"/>
      <color theme="1"/>
      <name val="Arial"/>
      <family val="2"/>
    </font>
    <font>
      <b/>
      <sz val="20"/>
      <color theme="1"/>
      <name val="Arial"/>
      <family val="2"/>
    </font>
    <font>
      <sz val="18"/>
      <color theme="1"/>
      <name val="Arial"/>
      <family val="2"/>
    </font>
    <font>
      <sz val="20"/>
      <color theme="1"/>
      <name val="Arial"/>
      <family val="2"/>
    </font>
    <font>
      <sz val="18"/>
      <color theme="1"/>
      <name val="Calibri"/>
      <family val="2"/>
      <scheme val="minor"/>
    </font>
    <font>
      <b/>
      <sz val="22"/>
      <color theme="1"/>
      <name val="Arial"/>
      <family val="2"/>
    </font>
    <font>
      <b/>
      <sz val="26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i/>
      <sz val="8"/>
      <color theme="1"/>
      <name val="Arial"/>
      <family val="2"/>
    </font>
    <font>
      <sz val="8"/>
      <color theme="1"/>
      <name val="Arial"/>
      <family val="2"/>
    </font>
    <font>
      <b/>
      <sz val="18"/>
      <color rgb="FFFF0000"/>
      <name val="Arial"/>
      <family val="2"/>
    </font>
    <font>
      <b/>
      <u/>
      <sz val="12"/>
      <color rgb="FFFF0000"/>
      <name val="Arial"/>
      <family val="2"/>
    </font>
    <font>
      <u/>
      <sz val="12"/>
      <color rgb="FFFF0000"/>
      <name val="Arial"/>
      <family val="2"/>
    </font>
    <font>
      <b/>
      <sz val="16"/>
      <color rgb="FFFF0000"/>
      <name val="Arial"/>
      <family val="2"/>
    </font>
    <font>
      <sz val="16"/>
      <color rgb="FFFF0000"/>
      <name val="Arial"/>
      <family val="2"/>
    </font>
    <font>
      <b/>
      <sz val="24"/>
      <color theme="1"/>
      <name val="Arial"/>
      <family val="2"/>
    </font>
    <font>
      <b/>
      <sz val="36"/>
      <color theme="1"/>
      <name val="Arial"/>
      <family val="2"/>
    </font>
    <font>
      <b/>
      <sz val="13.5"/>
      <color rgb="FFFF0000"/>
      <name val="Arial"/>
      <family val="2"/>
    </font>
    <font>
      <sz val="13.5"/>
      <color rgb="FFFF0000"/>
      <name val="Arial"/>
      <family val="2"/>
    </font>
    <font>
      <b/>
      <sz val="18"/>
      <color theme="0"/>
      <name val="Arial"/>
      <family val="2"/>
    </font>
    <font>
      <b/>
      <sz val="20"/>
      <color theme="0"/>
      <name val="Arial"/>
      <family val="2"/>
    </font>
    <font>
      <sz val="19"/>
      <color theme="1"/>
      <name val="Arial"/>
      <family val="2"/>
    </font>
    <font>
      <b/>
      <sz val="19"/>
      <color theme="1"/>
      <name val="Arial"/>
      <family val="2"/>
    </font>
    <font>
      <b/>
      <sz val="24"/>
      <color theme="0"/>
      <name val="Arial"/>
      <family val="2"/>
    </font>
    <font>
      <b/>
      <sz val="24"/>
      <color theme="1"/>
      <name val="Calibri"/>
      <family val="2"/>
      <scheme val="minor"/>
    </font>
    <font>
      <b/>
      <sz val="14"/>
      <color rgb="FFFF0000"/>
      <name val="Arial"/>
      <family val="2"/>
    </font>
    <font>
      <b/>
      <sz val="12"/>
      <color rgb="FFFF0000"/>
      <name val="Arial"/>
      <family val="2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0"/>
      <name val="Arial"/>
      <family val="2"/>
    </font>
    <font>
      <sz val="3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4"/>
      <color theme="1"/>
      <name val="Arial"/>
      <family val="2"/>
    </font>
    <font>
      <b/>
      <sz val="20"/>
      <color rgb="FFFF0000"/>
      <name val="Calibri"/>
      <family val="2"/>
      <scheme val="minor"/>
    </font>
    <font>
      <i/>
      <sz val="10"/>
      <color theme="1"/>
      <name val="Arial"/>
      <family val="2"/>
    </font>
    <font>
      <sz val="20"/>
      <color theme="0"/>
      <name val="Arial"/>
      <family val="2"/>
    </font>
    <font>
      <sz val="24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i/>
      <sz val="8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36"/>
      <color rgb="FFFF00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79C9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CA945E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gray0625">
        <bgColor rgb="FFFFFF00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347">
    <xf numFmtId="0" fontId="0" fillId="0" borderId="0" xfId="0"/>
    <xf numFmtId="0" fontId="2" fillId="0" borderId="0" xfId="0" applyFont="1" applyAlignment="1" applyProtection="1">
      <alignment horizontal="center" vertical="center"/>
      <protection locked="0"/>
    </xf>
    <xf numFmtId="0" fontId="8" fillId="3" borderId="0" xfId="0" applyFont="1" applyFill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9" fillId="0" borderId="0" xfId="0" applyFont="1"/>
    <xf numFmtId="0" fontId="1" fillId="3" borderId="0" xfId="0" applyFont="1" applyFill="1" applyProtection="1">
      <protection locked="0"/>
    </xf>
    <xf numFmtId="0" fontId="1" fillId="0" borderId="0" xfId="0" applyFont="1" applyProtection="1">
      <protection locked="0"/>
    </xf>
    <xf numFmtId="0" fontId="7" fillId="0" borderId="1" xfId="0" applyFont="1" applyBorder="1"/>
    <xf numFmtId="0" fontId="8" fillId="3" borderId="0" xfId="0" applyFont="1" applyFill="1" applyProtection="1">
      <protection locked="0"/>
    </xf>
    <xf numFmtId="0" fontId="8" fillId="0" borderId="0" xfId="0" applyFont="1" applyProtection="1">
      <protection locked="0"/>
    </xf>
    <xf numFmtId="3" fontId="2" fillId="0" borderId="1" xfId="0" applyNumberFormat="1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" fillId="0" borderId="0" xfId="0" applyFont="1" applyAlignment="1" applyProtection="1">
      <alignment horizontal="center" vertical="center" wrapText="1"/>
      <protection locked="0"/>
    </xf>
    <xf numFmtId="0" fontId="14" fillId="0" borderId="10" xfId="0" applyFont="1" applyBorder="1" applyAlignment="1">
      <alignment vertical="center" wrapText="1"/>
    </xf>
    <xf numFmtId="0" fontId="15" fillId="0" borderId="0" xfId="0" applyFont="1" applyAlignment="1" applyProtection="1">
      <alignment horizontal="center" vertical="center" wrapText="1"/>
      <protection locked="0"/>
    </xf>
    <xf numFmtId="166" fontId="2" fillId="0" borderId="1" xfId="0" applyNumberFormat="1" applyFont="1" applyBorder="1" applyAlignment="1">
      <alignment horizontal="center" vertical="center"/>
    </xf>
    <xf numFmtId="3" fontId="2" fillId="5" borderId="1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165" fontId="2" fillId="5" borderId="1" xfId="0" applyNumberFormat="1" applyFont="1" applyFill="1" applyBorder="1" applyAlignment="1" applyProtection="1">
      <alignment horizontal="center" vertical="center"/>
      <protection locked="0"/>
    </xf>
    <xf numFmtId="20" fontId="2" fillId="5" borderId="1" xfId="0" applyNumberFormat="1" applyFont="1" applyFill="1" applyBorder="1" applyAlignment="1" applyProtection="1">
      <alignment horizontal="center" vertical="center"/>
      <protection locked="0"/>
    </xf>
    <xf numFmtId="0" fontId="8" fillId="11" borderId="14" xfId="0" applyFont="1" applyFill="1" applyBorder="1" applyAlignment="1">
      <alignment horizontal="center" vertical="center" wrapText="1"/>
    </xf>
    <xf numFmtId="0" fontId="2" fillId="3" borderId="0" xfId="0" applyFont="1" applyFill="1" applyAlignment="1" applyProtection="1">
      <alignment horizontal="center" vertical="center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0" fontId="15" fillId="3" borderId="0" xfId="0" applyFont="1" applyFill="1" applyAlignment="1" applyProtection="1">
      <alignment horizontal="center" vertical="center" wrapText="1"/>
      <protection locked="0"/>
    </xf>
    <xf numFmtId="0" fontId="8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13" fillId="3" borderId="0" xfId="0" applyFont="1" applyFill="1"/>
    <xf numFmtId="3" fontId="8" fillId="3" borderId="0" xfId="0" applyNumberFormat="1" applyFont="1" applyFill="1" applyProtection="1">
      <protection locked="0"/>
    </xf>
    <xf numFmtId="0" fontId="8" fillId="3" borderId="0" xfId="0" applyFont="1" applyFill="1"/>
    <xf numFmtId="0" fontId="8" fillId="7" borderId="14" xfId="0" applyFont="1" applyFill="1" applyBorder="1" applyAlignment="1">
      <alignment horizontal="center" vertical="center" wrapText="1"/>
    </xf>
    <xf numFmtId="164" fontId="26" fillId="12" borderId="14" xfId="0" applyNumberFormat="1" applyFont="1" applyFill="1" applyBorder="1" applyAlignment="1">
      <alignment horizontal="center" vertical="center" wrapText="1"/>
    </xf>
    <xf numFmtId="0" fontId="8" fillId="14" borderId="14" xfId="0" applyFont="1" applyFill="1" applyBorder="1" applyAlignment="1">
      <alignment horizontal="center" vertical="center" wrapText="1"/>
    </xf>
    <xf numFmtId="0" fontId="8" fillId="16" borderId="14" xfId="0" applyFont="1" applyFill="1" applyBorder="1" applyAlignment="1">
      <alignment horizontal="center" vertical="center" wrapText="1"/>
    </xf>
    <xf numFmtId="0" fontId="0" fillId="3" borderId="0" xfId="0" applyFill="1"/>
    <xf numFmtId="0" fontId="27" fillId="0" borderId="14" xfId="0" applyFont="1" applyBorder="1"/>
    <xf numFmtId="0" fontId="6" fillId="3" borderId="0" xfId="0" applyFont="1" applyFill="1" applyAlignment="1">
      <alignment vertical="center"/>
    </xf>
    <xf numFmtId="2" fontId="28" fillId="3" borderId="0" xfId="0" applyNumberFormat="1" applyFont="1" applyFill="1" applyAlignment="1">
      <alignment vertical="center"/>
    </xf>
    <xf numFmtId="0" fontId="27" fillId="5" borderId="14" xfId="0" applyFont="1" applyFill="1" applyBorder="1" applyAlignment="1" applyProtection="1">
      <alignment horizontal="center"/>
      <protection locked="0"/>
    </xf>
    <xf numFmtId="0" fontId="27" fillId="5" borderId="14" xfId="0" applyFont="1" applyFill="1" applyBorder="1" applyAlignment="1">
      <alignment horizontal="center"/>
    </xf>
    <xf numFmtId="0" fontId="6" fillId="3" borderId="1" xfId="0" applyFont="1" applyFill="1" applyBorder="1" applyAlignment="1">
      <alignment vertical="center"/>
    </xf>
    <xf numFmtId="0" fontId="13" fillId="3" borderId="0" xfId="0" applyFont="1" applyFill="1" applyProtection="1">
      <protection locked="0"/>
    </xf>
    <xf numFmtId="0" fontId="13" fillId="3" borderId="7" xfId="0" applyFont="1" applyFill="1" applyBorder="1" applyProtection="1">
      <protection locked="0"/>
    </xf>
    <xf numFmtId="0" fontId="13" fillId="3" borderId="4" xfId="0" applyFont="1" applyFill="1" applyBorder="1" applyProtection="1">
      <protection locked="0"/>
    </xf>
    <xf numFmtId="0" fontId="1" fillId="3" borderId="0" xfId="0" applyFont="1" applyFill="1"/>
    <xf numFmtId="0" fontId="1" fillId="0" borderId="0" xfId="0" applyFont="1"/>
    <xf numFmtId="0" fontId="13" fillId="3" borderId="7" xfId="0" applyFont="1" applyFill="1" applyBorder="1"/>
    <xf numFmtId="0" fontId="13" fillId="3" borderId="4" xfId="0" applyFont="1" applyFill="1" applyBorder="1"/>
    <xf numFmtId="0" fontId="4" fillId="3" borderId="24" xfId="0" applyFont="1" applyFill="1" applyBorder="1"/>
    <xf numFmtId="0" fontId="4" fillId="3" borderId="25" xfId="0" applyFont="1" applyFill="1" applyBorder="1"/>
    <xf numFmtId="0" fontId="8" fillId="18" borderId="14" xfId="0" applyFont="1" applyFill="1" applyBorder="1" applyAlignment="1">
      <alignment horizontal="center" vertical="center" wrapText="1"/>
    </xf>
    <xf numFmtId="0" fontId="33" fillId="3" borderId="0" xfId="0" applyFont="1" applyFill="1"/>
    <xf numFmtId="0" fontId="34" fillId="12" borderId="1" xfId="0" applyFont="1" applyFill="1" applyBorder="1"/>
    <xf numFmtId="2" fontId="34" fillId="12" borderId="1" xfId="0" applyNumberFormat="1" applyFont="1" applyFill="1" applyBorder="1"/>
    <xf numFmtId="164" fontId="4" fillId="3" borderId="25" xfId="0" applyNumberFormat="1" applyFont="1" applyFill="1" applyBorder="1" applyAlignment="1">
      <alignment horizontal="center"/>
    </xf>
    <xf numFmtId="2" fontId="4" fillId="3" borderId="26" xfId="0" applyNumberFormat="1" applyFont="1" applyFill="1" applyBorder="1" applyAlignment="1">
      <alignment horizontal="left"/>
    </xf>
    <xf numFmtId="2" fontId="1" fillId="3" borderId="0" xfId="0" applyNumberFormat="1" applyFont="1" applyFill="1"/>
    <xf numFmtId="2" fontId="1" fillId="0" borderId="0" xfId="0" applyNumberFormat="1" applyFont="1"/>
    <xf numFmtId="2" fontId="17" fillId="3" borderId="0" xfId="0" applyNumberFormat="1" applyFont="1" applyFill="1" applyAlignment="1">
      <alignment horizontal="center" vertical="center"/>
    </xf>
    <xf numFmtId="2" fontId="18" fillId="3" borderId="0" xfId="0" applyNumberFormat="1" applyFont="1" applyFill="1" applyAlignment="1">
      <alignment horizontal="center" vertical="center"/>
    </xf>
    <xf numFmtId="2" fontId="7" fillId="0" borderId="1" xfId="0" applyNumberFormat="1" applyFont="1" applyBorder="1"/>
    <xf numFmtId="2" fontId="13" fillId="3" borderId="0" xfId="0" applyNumberFormat="1" applyFont="1" applyFill="1"/>
    <xf numFmtId="2" fontId="13" fillId="3" borderId="4" xfId="0" applyNumberFormat="1" applyFont="1" applyFill="1" applyBorder="1"/>
    <xf numFmtId="2" fontId="7" fillId="5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/>
    <xf numFmtId="0" fontId="8" fillId="3" borderId="0" xfId="0" applyFont="1" applyFill="1" applyAlignment="1">
      <alignment horizontal="center"/>
    </xf>
    <xf numFmtId="0" fontId="27" fillId="3" borderId="0" xfId="0" applyFont="1" applyFill="1"/>
    <xf numFmtId="0" fontId="27" fillId="0" borderId="0" xfId="0" applyFont="1"/>
    <xf numFmtId="0" fontId="27" fillId="3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33" fillId="5" borderId="1" xfId="0" applyFont="1" applyFill="1" applyBorder="1" applyProtection="1">
      <protection locked="0"/>
    </xf>
    <xf numFmtId="0" fontId="26" fillId="12" borderId="0" xfId="0" applyFont="1" applyFill="1" applyAlignment="1">
      <alignment horizontal="center"/>
    </xf>
    <xf numFmtId="0" fontId="35" fillId="12" borderId="0" xfId="0" applyFont="1" applyFill="1" applyAlignment="1">
      <alignment wrapText="1"/>
    </xf>
    <xf numFmtId="0" fontId="36" fillId="3" borderId="0" xfId="0" applyFont="1" applyFill="1" applyAlignment="1">
      <alignment horizontal="center"/>
    </xf>
    <xf numFmtId="0" fontId="36" fillId="3" borderId="28" xfId="0" applyFont="1" applyFill="1" applyBorder="1" applyAlignment="1">
      <alignment horizontal="center"/>
    </xf>
    <xf numFmtId="0" fontId="36" fillId="3" borderId="30" xfId="0" applyFont="1" applyFill="1" applyBorder="1" applyAlignment="1">
      <alignment horizontal="center"/>
    </xf>
    <xf numFmtId="164" fontId="36" fillId="3" borderId="29" xfId="0" applyNumberFormat="1" applyFont="1" applyFill="1" applyBorder="1" applyAlignment="1">
      <alignment horizontal="center"/>
    </xf>
    <xf numFmtId="164" fontId="36" fillId="3" borderId="31" xfId="0" applyNumberFormat="1" applyFont="1" applyFill="1" applyBorder="1" applyAlignment="1">
      <alignment horizontal="center"/>
    </xf>
    <xf numFmtId="1" fontId="36" fillId="3" borderId="0" xfId="0" applyNumberFormat="1" applyFont="1" applyFill="1" applyAlignment="1">
      <alignment horizontal="center"/>
    </xf>
    <xf numFmtId="2" fontId="37" fillId="12" borderId="0" xfId="0" applyNumberFormat="1" applyFont="1" applyFill="1" applyAlignment="1">
      <alignment horizontal="center" vertical="center"/>
    </xf>
    <xf numFmtId="0" fontId="38" fillId="19" borderId="0" xfId="0" applyFont="1" applyFill="1"/>
    <xf numFmtId="0" fontId="38" fillId="19" borderId="0" xfId="0" applyFont="1" applyFill="1" applyAlignment="1">
      <alignment horizontal="center"/>
    </xf>
    <xf numFmtId="0" fontId="38" fillId="19" borderId="1" xfId="0" applyFont="1" applyFill="1" applyBorder="1"/>
    <xf numFmtId="0" fontId="38" fillId="19" borderId="24" xfId="0" applyFont="1" applyFill="1" applyBorder="1" applyAlignment="1">
      <alignment horizontal="center"/>
    </xf>
    <xf numFmtId="0" fontId="38" fillId="19" borderId="26" xfId="0" applyFont="1" applyFill="1" applyBorder="1" applyAlignment="1">
      <alignment horizontal="center"/>
    </xf>
    <xf numFmtId="0" fontId="4" fillId="19" borderId="0" xfId="0" applyFont="1" applyFill="1"/>
    <xf numFmtId="3" fontId="4" fillId="3" borderId="25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4" fontId="7" fillId="5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167" fontId="21" fillId="3" borderId="0" xfId="0" applyNumberFormat="1" applyFont="1" applyFill="1" applyAlignment="1">
      <alignment vertical="center"/>
    </xf>
    <xf numFmtId="2" fontId="5" fillId="0" borderId="21" xfId="0" applyNumberFormat="1" applyFont="1" applyBorder="1" applyAlignment="1">
      <alignment horizontal="center" vertical="center"/>
    </xf>
    <xf numFmtId="2" fontId="7" fillId="0" borderId="21" xfId="0" applyNumberFormat="1" applyFont="1" applyBorder="1"/>
    <xf numFmtId="2" fontId="7" fillId="3" borderId="0" xfId="0" applyNumberFormat="1" applyFont="1" applyFill="1"/>
    <xf numFmtId="2" fontId="7" fillId="3" borderId="0" xfId="0" applyNumberFormat="1" applyFont="1" applyFill="1" applyAlignment="1" applyProtection="1">
      <alignment horizontal="center" vertical="center"/>
      <protection locked="0"/>
    </xf>
    <xf numFmtId="2" fontId="5" fillId="3" borderId="0" xfId="0" applyNumberFormat="1" applyFont="1" applyFill="1" applyAlignment="1">
      <alignment horizontal="center" vertical="center"/>
    </xf>
    <xf numFmtId="2" fontId="7" fillId="5" borderId="21" xfId="0" applyNumberFormat="1" applyFont="1" applyFill="1" applyBorder="1" applyAlignment="1" applyProtection="1">
      <alignment horizontal="center" vertical="center"/>
      <protection locked="0"/>
    </xf>
    <xf numFmtId="0" fontId="33" fillId="3" borderId="0" xfId="0" applyFont="1" applyFill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5" borderId="1" xfId="0" applyFont="1" applyFill="1" applyBorder="1" applyAlignment="1" applyProtection="1">
      <alignment horizontal="center"/>
      <protection locked="0"/>
    </xf>
    <xf numFmtId="0" fontId="33" fillId="12" borderId="1" xfId="0" applyFont="1" applyFill="1" applyBorder="1" applyAlignment="1">
      <alignment horizontal="center" vertical="center"/>
    </xf>
    <xf numFmtId="2" fontId="33" fillId="5" borderId="1" xfId="0" applyNumberFormat="1" applyFont="1" applyFill="1" applyBorder="1" applyAlignment="1" applyProtection="1">
      <alignment horizontal="center" vertical="center"/>
      <protection locked="0"/>
    </xf>
    <xf numFmtId="0" fontId="34" fillId="12" borderId="1" xfId="0" applyFont="1" applyFill="1" applyBorder="1" applyAlignment="1">
      <alignment horizontal="center" vertical="center"/>
    </xf>
    <xf numFmtId="1" fontId="33" fillId="5" borderId="1" xfId="0" applyNumberFormat="1" applyFont="1" applyFill="1" applyBorder="1" applyAlignment="1" applyProtection="1">
      <alignment horizontal="center" vertical="center"/>
      <protection locked="0"/>
    </xf>
    <xf numFmtId="168" fontId="33" fillId="5" borderId="1" xfId="0" applyNumberFormat="1" applyFont="1" applyFill="1" applyBorder="1" applyAlignment="1" applyProtection="1">
      <alignment horizontal="center" vertical="center"/>
      <protection locked="0"/>
    </xf>
    <xf numFmtId="2" fontId="34" fillId="12" borderId="1" xfId="0" applyNumberFormat="1" applyFont="1" applyFill="1" applyBorder="1" applyAlignment="1">
      <alignment horizontal="center" vertical="center"/>
    </xf>
    <xf numFmtId="0" fontId="8" fillId="3" borderId="0" xfId="0" applyFont="1" applyFill="1" applyAlignment="1">
      <alignment vertical="center"/>
    </xf>
    <xf numFmtId="2" fontId="27" fillId="5" borderId="14" xfId="0" applyNumberFormat="1" applyFont="1" applyFill="1" applyBorder="1" applyAlignment="1" applyProtection="1">
      <alignment horizontal="center"/>
      <protection locked="0"/>
    </xf>
    <xf numFmtId="2" fontId="6" fillId="3" borderId="1" xfId="0" applyNumberFormat="1" applyFont="1" applyFill="1" applyBorder="1" applyAlignment="1">
      <alignment vertical="center"/>
    </xf>
    <xf numFmtId="2" fontId="27" fillId="3" borderId="0" xfId="0" applyNumberFormat="1" applyFont="1" applyFill="1"/>
    <xf numFmtId="1" fontId="41" fillId="3" borderId="0" xfId="0" applyNumberFormat="1" applyFont="1" applyFill="1" applyAlignment="1" applyProtection="1">
      <alignment horizontal="center" vertical="center"/>
      <protection locked="0"/>
    </xf>
    <xf numFmtId="167" fontId="41" fillId="3" borderId="0" xfId="0" applyNumberFormat="1" applyFont="1" applyFill="1" applyAlignment="1" applyProtection="1">
      <alignment horizontal="center" vertical="center"/>
      <protection locked="0"/>
    </xf>
    <xf numFmtId="169" fontId="41" fillId="3" borderId="0" xfId="0" applyNumberFormat="1" applyFont="1" applyFill="1" applyAlignment="1" applyProtection="1">
      <alignment horizontal="center" vertical="center"/>
      <protection locked="0"/>
    </xf>
    <xf numFmtId="0" fontId="41" fillId="3" borderId="0" xfId="0" applyFont="1" applyFill="1" applyAlignment="1" applyProtection="1">
      <alignment horizontal="center" vertical="center"/>
      <protection locked="0"/>
    </xf>
    <xf numFmtId="170" fontId="41" fillId="3" borderId="0" xfId="0" applyNumberFormat="1" applyFont="1" applyFill="1" applyAlignment="1" applyProtection="1">
      <alignment horizontal="center" vertical="center"/>
      <protection locked="0"/>
    </xf>
    <xf numFmtId="2" fontId="33" fillId="5" borderId="1" xfId="0" applyNumberFormat="1" applyFont="1" applyFill="1" applyBorder="1" applyProtection="1">
      <protection locked="0"/>
    </xf>
    <xf numFmtId="2" fontId="34" fillId="12" borderId="1" xfId="0" applyNumberFormat="1" applyFont="1" applyFill="1" applyBorder="1" applyProtection="1">
      <protection locked="0"/>
    </xf>
    <xf numFmtId="2" fontId="26" fillId="12" borderId="14" xfId="0" applyNumberFormat="1" applyFont="1" applyFill="1" applyBorder="1" applyAlignment="1">
      <alignment horizontal="center" vertical="center" wrapText="1"/>
    </xf>
    <xf numFmtId="0" fontId="42" fillId="3" borderId="0" xfId="0" applyFont="1" applyFill="1"/>
    <xf numFmtId="0" fontId="30" fillId="20" borderId="24" xfId="0" applyFont="1" applyFill="1" applyBorder="1" applyAlignment="1">
      <alignment horizontal="center"/>
    </xf>
    <xf numFmtId="0" fontId="30" fillId="20" borderId="26" xfId="0" applyFont="1" applyFill="1" applyBorder="1" applyAlignment="1">
      <alignment horizontal="center"/>
    </xf>
    <xf numFmtId="0" fontId="26" fillId="12" borderId="24" xfId="0" applyFont="1" applyFill="1" applyBorder="1"/>
    <xf numFmtId="0" fontId="26" fillId="12" borderId="26" xfId="0" applyFont="1" applyFill="1" applyBorder="1" applyAlignment="1">
      <alignment horizontal="center"/>
    </xf>
    <xf numFmtId="0" fontId="8" fillId="5" borderId="44" xfId="0" applyFont="1" applyFill="1" applyBorder="1" applyAlignment="1" applyProtection="1">
      <alignment horizontal="center" vertical="center" wrapText="1"/>
      <protection locked="0"/>
    </xf>
    <xf numFmtId="164" fontId="26" fillId="12" borderId="44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4" fontId="8" fillId="5" borderId="44" xfId="0" applyNumberFormat="1" applyFont="1" applyFill="1" applyBorder="1" applyAlignment="1" applyProtection="1">
      <alignment horizontal="center" vertical="center" wrapText="1"/>
      <protection locked="0"/>
    </xf>
    <xf numFmtId="3" fontId="8" fillId="5" borderId="44" xfId="0" applyNumberFormat="1" applyFont="1" applyFill="1" applyBorder="1" applyAlignment="1" applyProtection="1">
      <alignment horizontal="center" vertical="center" wrapText="1"/>
      <protection locked="0"/>
    </xf>
    <xf numFmtId="164" fontId="8" fillId="5" borderId="44" xfId="0" applyNumberFormat="1" applyFont="1" applyFill="1" applyBorder="1" applyAlignment="1" applyProtection="1">
      <alignment horizontal="center" vertical="center" wrapText="1"/>
      <protection locked="0"/>
    </xf>
    <xf numFmtId="0" fontId="44" fillId="3" borderId="1" xfId="0" applyFont="1" applyFill="1" applyBorder="1" applyAlignment="1">
      <alignment horizontal="center" vertical="center"/>
    </xf>
    <xf numFmtId="3" fontId="36" fillId="3" borderId="31" xfId="0" applyNumberFormat="1" applyFont="1" applyFill="1" applyBorder="1" applyAlignment="1">
      <alignment horizontal="center"/>
    </xf>
    <xf numFmtId="0" fontId="25" fillId="12" borderId="24" xfId="0" applyFont="1" applyFill="1" applyBorder="1" applyAlignment="1">
      <alignment wrapText="1"/>
    </xf>
    <xf numFmtId="0" fontId="45" fillId="3" borderId="1" xfId="0" applyFont="1" applyFill="1" applyBorder="1" applyAlignment="1">
      <alignment horizontal="center" vertical="center"/>
    </xf>
    <xf numFmtId="3" fontId="26" fillId="12" borderId="44" xfId="0" applyNumberFormat="1" applyFont="1" applyFill="1" applyBorder="1" applyAlignment="1">
      <alignment horizontal="center" vertical="center" wrapText="1"/>
    </xf>
    <xf numFmtId="0" fontId="43" fillId="3" borderId="30" xfId="0" applyFont="1" applyFill="1" applyBorder="1" applyAlignment="1">
      <alignment vertical="center"/>
    </xf>
    <xf numFmtId="0" fontId="43" fillId="3" borderId="40" xfId="0" applyFont="1" applyFill="1" applyBorder="1" applyAlignment="1">
      <alignment vertical="center"/>
    </xf>
    <xf numFmtId="0" fontId="34" fillId="3" borderId="21" xfId="0" applyFont="1" applyFill="1" applyBorder="1" applyAlignment="1">
      <alignment horizontal="center" vertical="center"/>
    </xf>
    <xf numFmtId="0" fontId="33" fillId="3" borderId="41" xfId="0" applyFont="1" applyFill="1" applyBorder="1" applyAlignment="1">
      <alignment horizontal="center" vertical="center"/>
    </xf>
    <xf numFmtId="1" fontId="34" fillId="12" borderId="41" xfId="0" applyNumberFormat="1" applyFont="1" applyFill="1" applyBorder="1" applyAlignment="1">
      <alignment horizontal="center"/>
    </xf>
    <xf numFmtId="167" fontId="34" fillId="12" borderId="21" xfId="0" applyNumberFormat="1" applyFont="1" applyFill="1" applyBorder="1" applyAlignment="1">
      <alignment horizontal="center"/>
    </xf>
    <xf numFmtId="1" fontId="34" fillId="12" borderId="1" xfId="0" applyNumberFormat="1" applyFont="1" applyFill="1" applyBorder="1" applyAlignment="1">
      <alignment horizontal="center"/>
    </xf>
    <xf numFmtId="0" fontId="6" fillId="11" borderId="14" xfId="0" applyFont="1" applyFill="1" applyBorder="1" applyAlignment="1">
      <alignment horizontal="center" vertical="center" wrapText="1"/>
    </xf>
    <xf numFmtId="0" fontId="26" fillId="12" borderId="0" xfId="0" applyFont="1" applyFill="1" applyAlignment="1">
      <alignment horizontal="center" wrapText="1"/>
    </xf>
    <xf numFmtId="0" fontId="25" fillId="12" borderId="0" xfId="0" applyFont="1" applyFill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3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49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2" fontId="2" fillId="3" borderId="25" xfId="0" applyNumberFormat="1" applyFont="1" applyFill="1" applyBorder="1" applyAlignment="1">
      <alignment vertical="center"/>
    </xf>
    <xf numFmtId="10" fontId="2" fillId="3" borderId="26" xfId="2" applyNumberFormat="1" applyFont="1" applyFill="1" applyBorder="1" applyAlignment="1" applyProtection="1">
      <alignment horizontal="center" vertical="center"/>
    </xf>
    <xf numFmtId="0" fontId="15" fillId="3" borderId="0" xfId="0" applyFont="1" applyFill="1" applyAlignment="1">
      <alignment horizontal="center" vertical="center" wrapText="1"/>
    </xf>
    <xf numFmtId="3" fontId="2" fillId="0" borderId="33" xfId="0" applyNumberFormat="1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3" fontId="2" fillId="0" borderId="37" xfId="0" applyNumberFormat="1" applyFont="1" applyBorder="1" applyAlignment="1">
      <alignment horizontal="center" vertical="center"/>
    </xf>
    <xf numFmtId="0" fontId="0" fillId="3" borderId="0" xfId="0" applyFill="1" applyAlignment="1">
      <alignment wrapText="1"/>
    </xf>
    <xf numFmtId="0" fontId="9" fillId="21" borderId="0" xfId="0" applyFont="1" applyFill="1" applyAlignment="1">
      <alignment wrapText="1"/>
    </xf>
    <xf numFmtId="2" fontId="7" fillId="0" borderId="0" xfId="0" applyNumberFormat="1" applyFont="1"/>
    <xf numFmtId="2" fontId="7" fillId="5" borderId="0" xfId="0" applyNumberFormat="1" applyFont="1" applyFill="1" applyAlignment="1" applyProtection="1">
      <alignment horizontal="center" vertical="center"/>
      <protection locked="0"/>
    </xf>
    <xf numFmtId="2" fontId="5" fillId="0" borderId="0" xfId="0" applyNumberFormat="1" applyFont="1" applyAlignment="1">
      <alignment horizontal="center" vertical="center"/>
    </xf>
    <xf numFmtId="167" fontId="34" fillId="12" borderId="1" xfId="0" applyNumberFormat="1" applyFont="1" applyFill="1" applyBorder="1"/>
    <xf numFmtId="0" fontId="6" fillId="0" borderId="1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9" fillId="9" borderId="0" xfId="0" applyFont="1" applyFill="1" applyAlignment="1" applyProtection="1">
      <alignment horizontal="center" vertical="center"/>
      <protection locked="0"/>
    </xf>
    <xf numFmtId="3" fontId="2" fillId="0" borderId="35" xfId="0" applyNumberFormat="1" applyFont="1" applyBorder="1" applyAlignment="1">
      <alignment horizontal="center" vertical="center"/>
    </xf>
    <xf numFmtId="3" fontId="2" fillId="0" borderId="37" xfId="0" applyNumberFormat="1" applyFont="1" applyBorder="1" applyAlignment="1">
      <alignment horizontal="center" vertical="center"/>
    </xf>
    <xf numFmtId="0" fontId="6" fillId="20" borderId="0" xfId="0" applyFont="1" applyFill="1" applyAlignment="1" applyProtection="1">
      <alignment horizontal="center" vertical="center"/>
      <protection locked="0"/>
    </xf>
    <xf numFmtId="0" fontId="10" fillId="3" borderId="24" xfId="0" applyFont="1" applyFill="1" applyBorder="1" applyAlignment="1">
      <alignment horizontal="center" vertical="center" wrapText="1"/>
    </xf>
    <xf numFmtId="0" fontId="10" fillId="3" borderId="25" xfId="0" applyFont="1" applyFill="1" applyBorder="1" applyAlignment="1">
      <alignment horizontal="center" vertical="center" wrapText="1"/>
    </xf>
    <xf numFmtId="0" fontId="10" fillId="3" borderId="26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44" fontId="3" fillId="2" borderId="9" xfId="1" applyFont="1" applyFill="1" applyBorder="1" applyAlignment="1">
      <alignment horizontal="center" vertical="center"/>
    </xf>
    <xf numFmtId="44" fontId="3" fillId="2" borderId="13" xfId="1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 wrapText="1"/>
    </xf>
    <xf numFmtId="0" fontId="3" fillId="2" borderId="43" xfId="0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4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46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3" fontId="2" fillId="0" borderId="33" xfId="0" applyNumberFormat="1" applyFont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 wrapText="1"/>
    </xf>
    <xf numFmtId="0" fontId="3" fillId="2" borderId="40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 wrapText="1"/>
    </xf>
    <xf numFmtId="0" fontId="3" fillId="2" borderId="47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 wrapText="1"/>
    </xf>
    <xf numFmtId="0" fontId="3" fillId="2" borderId="48" xfId="0" applyFont="1" applyFill="1" applyBorder="1" applyAlignment="1">
      <alignment horizontal="center" vertical="center" wrapText="1"/>
    </xf>
    <xf numFmtId="0" fontId="31" fillId="9" borderId="0" xfId="0" applyFont="1" applyFill="1" applyAlignment="1">
      <alignment horizontal="center" vertical="center"/>
    </xf>
    <xf numFmtId="0" fontId="25" fillId="10" borderId="23" xfId="0" applyFont="1" applyFill="1" applyBorder="1" applyAlignment="1">
      <alignment horizontal="center" vertical="center" wrapText="1"/>
    </xf>
    <xf numFmtId="0" fontId="25" fillId="10" borderId="0" xfId="0" applyFont="1" applyFill="1" applyAlignment="1">
      <alignment horizontal="center" vertical="center" wrapText="1"/>
    </xf>
    <xf numFmtId="0" fontId="33" fillId="3" borderId="1" xfId="0" applyFont="1" applyFill="1" applyBorder="1" applyAlignment="1">
      <alignment horizontal="center"/>
    </xf>
    <xf numFmtId="0" fontId="34" fillId="3" borderId="1" xfId="0" applyFont="1" applyFill="1" applyBorder="1" applyAlignment="1">
      <alignment horizontal="center"/>
    </xf>
    <xf numFmtId="0" fontId="33" fillId="3" borderId="9" xfId="0" applyFont="1" applyFill="1" applyBorder="1" applyAlignment="1">
      <alignment horizontal="center"/>
    </xf>
    <xf numFmtId="0" fontId="33" fillId="3" borderId="10" xfId="0" applyFont="1" applyFill="1" applyBorder="1" applyAlignment="1">
      <alignment horizontal="center"/>
    </xf>
    <xf numFmtId="0" fontId="33" fillId="3" borderId="13" xfId="0" applyFont="1" applyFill="1" applyBorder="1" applyAlignment="1">
      <alignment horizontal="center"/>
    </xf>
    <xf numFmtId="0" fontId="30" fillId="3" borderId="0" xfId="0" applyFont="1" applyFill="1" applyAlignment="1">
      <alignment horizontal="center"/>
    </xf>
    <xf numFmtId="0" fontId="43" fillId="3" borderId="28" xfId="0" applyFont="1" applyFill="1" applyBorder="1" applyAlignment="1">
      <alignment horizontal="center" vertical="center"/>
    </xf>
    <xf numFmtId="0" fontId="43" fillId="3" borderId="43" xfId="0" applyFont="1" applyFill="1" applyBorder="1" applyAlignment="1">
      <alignment horizontal="center" vertical="center"/>
    </xf>
    <xf numFmtId="0" fontId="43" fillId="3" borderId="29" xfId="0" applyFont="1" applyFill="1" applyBorder="1" applyAlignment="1">
      <alignment horizontal="center" vertical="center"/>
    </xf>
    <xf numFmtId="0" fontId="43" fillId="3" borderId="30" xfId="0" applyFont="1" applyFill="1" applyBorder="1" applyAlignment="1">
      <alignment horizontal="center" vertical="center"/>
    </xf>
    <xf numFmtId="0" fontId="43" fillId="3" borderId="40" xfId="0" applyFont="1" applyFill="1" applyBorder="1" applyAlignment="1">
      <alignment horizontal="center" vertical="center"/>
    </xf>
    <xf numFmtId="0" fontId="43" fillId="3" borderId="31" xfId="0" applyFont="1" applyFill="1" applyBorder="1" applyAlignment="1">
      <alignment horizontal="center" vertical="center"/>
    </xf>
    <xf numFmtId="0" fontId="51" fillId="3" borderId="0" xfId="0" applyFont="1" applyFill="1" applyAlignment="1">
      <alignment horizontal="center" vertical="center" textRotation="180"/>
    </xf>
    <xf numFmtId="0" fontId="9" fillId="21" borderId="0" xfId="0" applyFont="1" applyFill="1" applyAlignment="1">
      <alignment horizontal="center" wrapText="1"/>
    </xf>
    <xf numFmtId="0" fontId="47" fillId="3" borderId="28" xfId="0" applyFont="1" applyFill="1" applyBorder="1" applyAlignment="1">
      <alignment horizontal="center" vertical="center" wrapText="1"/>
    </xf>
    <xf numFmtId="0" fontId="47" fillId="3" borderId="29" xfId="0" applyFont="1" applyFill="1" applyBorder="1" applyAlignment="1">
      <alignment horizontal="center" vertical="center" wrapText="1"/>
    </xf>
    <xf numFmtId="0" fontId="47" fillId="3" borderId="38" xfId="0" applyFont="1" applyFill="1" applyBorder="1" applyAlignment="1">
      <alignment horizontal="center" vertical="center" wrapText="1"/>
    </xf>
    <xf numFmtId="0" fontId="47" fillId="3" borderId="42" xfId="0" applyFont="1" applyFill="1" applyBorder="1" applyAlignment="1">
      <alignment horizontal="center" vertical="center" wrapText="1"/>
    </xf>
    <xf numFmtId="0" fontId="47" fillId="3" borderId="30" xfId="0" applyFont="1" applyFill="1" applyBorder="1" applyAlignment="1">
      <alignment horizontal="center" vertical="center" wrapText="1"/>
    </xf>
    <xf numFmtId="0" fontId="47" fillId="3" borderId="31" xfId="0" applyFont="1" applyFill="1" applyBorder="1" applyAlignment="1">
      <alignment horizontal="center" vertical="center" wrapText="1"/>
    </xf>
    <xf numFmtId="0" fontId="46" fillId="3" borderId="28" xfId="0" applyFont="1" applyFill="1" applyBorder="1" applyAlignment="1">
      <alignment horizontal="center" vertical="center" wrapText="1"/>
    </xf>
    <xf numFmtId="0" fontId="46" fillId="3" borderId="29" xfId="0" applyFont="1" applyFill="1" applyBorder="1" applyAlignment="1">
      <alignment horizontal="center" vertical="center" wrapText="1"/>
    </xf>
    <xf numFmtId="0" fontId="46" fillId="3" borderId="38" xfId="0" applyFont="1" applyFill="1" applyBorder="1" applyAlignment="1">
      <alignment horizontal="center" vertical="center" wrapText="1"/>
    </xf>
    <xf numFmtId="0" fontId="46" fillId="3" borderId="42" xfId="0" applyFont="1" applyFill="1" applyBorder="1" applyAlignment="1">
      <alignment horizontal="center" vertical="center" wrapText="1"/>
    </xf>
    <xf numFmtId="0" fontId="46" fillId="3" borderId="30" xfId="0" applyFont="1" applyFill="1" applyBorder="1" applyAlignment="1">
      <alignment horizontal="center" vertical="center" wrapText="1"/>
    </xf>
    <xf numFmtId="0" fontId="46" fillId="3" borderId="31" xfId="0" applyFont="1" applyFill="1" applyBorder="1" applyAlignment="1">
      <alignment horizontal="center" vertical="center" wrapText="1"/>
    </xf>
    <xf numFmtId="0" fontId="53" fillId="22" borderId="24" xfId="0" applyFont="1" applyFill="1" applyBorder="1" applyAlignment="1">
      <alignment horizontal="center" vertical="center"/>
    </xf>
    <xf numFmtId="0" fontId="53" fillId="22" borderId="25" xfId="0" applyFont="1" applyFill="1" applyBorder="1" applyAlignment="1">
      <alignment horizontal="center" vertical="center"/>
    </xf>
    <xf numFmtId="0" fontId="53" fillId="22" borderId="26" xfId="0" applyFont="1" applyFill="1" applyBorder="1" applyAlignment="1">
      <alignment horizontal="center" vertical="center"/>
    </xf>
    <xf numFmtId="0" fontId="38" fillId="19" borderId="0" xfId="0" applyFont="1" applyFill="1" applyAlignment="1">
      <alignment horizontal="center"/>
    </xf>
    <xf numFmtId="0" fontId="38" fillId="19" borderId="1" xfId="0" applyFont="1" applyFill="1" applyBorder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38" fillId="19" borderId="25" xfId="0" applyFont="1" applyFill="1" applyBorder="1" applyAlignment="1">
      <alignment horizontal="center"/>
    </xf>
    <xf numFmtId="0" fontId="38" fillId="19" borderId="26" xfId="0" applyFont="1" applyFill="1" applyBorder="1" applyAlignment="1">
      <alignment horizontal="center"/>
    </xf>
    <xf numFmtId="0" fontId="4" fillId="12" borderId="24" xfId="0" applyFont="1" applyFill="1" applyBorder="1" applyAlignment="1">
      <alignment horizontal="center"/>
    </xf>
    <xf numFmtId="0" fontId="4" fillId="12" borderId="26" xfId="0" applyFont="1" applyFill="1" applyBorder="1" applyAlignment="1">
      <alignment horizontal="center"/>
    </xf>
    <xf numFmtId="0" fontId="48" fillId="3" borderId="4" xfId="0" applyFont="1" applyFill="1" applyBorder="1" applyAlignment="1">
      <alignment horizontal="center" vertical="center" wrapText="1"/>
    </xf>
    <xf numFmtId="0" fontId="48" fillId="3" borderId="0" xfId="0" applyFont="1" applyFill="1" applyAlignment="1">
      <alignment horizontal="center" vertical="center" wrapText="1"/>
    </xf>
    <xf numFmtId="0" fontId="11" fillId="3" borderId="14" xfId="0" applyFont="1" applyFill="1" applyBorder="1" applyAlignment="1">
      <alignment horizontal="center"/>
    </xf>
    <xf numFmtId="0" fontId="17" fillId="9" borderId="22" xfId="0" applyFont="1" applyFill="1" applyBorder="1" applyAlignment="1">
      <alignment horizontal="center" vertical="center"/>
    </xf>
    <xf numFmtId="0" fontId="18" fillId="9" borderId="22" xfId="0" applyFont="1" applyFill="1" applyBorder="1" applyAlignment="1">
      <alignment horizontal="center" vertical="center"/>
    </xf>
    <xf numFmtId="167" fontId="21" fillId="3" borderId="15" xfId="0" applyNumberFormat="1" applyFont="1" applyFill="1" applyBorder="1" applyAlignment="1">
      <alignment horizontal="center" vertical="center"/>
    </xf>
    <xf numFmtId="167" fontId="21" fillId="3" borderId="16" xfId="0" applyNumberFormat="1" applyFont="1" applyFill="1" applyBorder="1" applyAlignment="1">
      <alignment horizontal="center" vertical="center"/>
    </xf>
    <xf numFmtId="167" fontId="21" fillId="3" borderId="17" xfId="0" applyNumberFormat="1" applyFont="1" applyFill="1" applyBorder="1" applyAlignment="1">
      <alignment horizontal="center" vertical="center"/>
    </xf>
    <xf numFmtId="167" fontId="21" fillId="3" borderId="18" xfId="0" applyNumberFormat="1" applyFont="1" applyFill="1" applyBorder="1" applyAlignment="1">
      <alignment horizontal="center" vertical="center"/>
    </xf>
    <xf numFmtId="167" fontId="21" fillId="3" borderId="19" xfId="0" applyNumberFormat="1" applyFont="1" applyFill="1" applyBorder="1" applyAlignment="1">
      <alignment horizontal="center" vertical="center"/>
    </xf>
    <xf numFmtId="167" fontId="21" fillId="3" borderId="20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2" fontId="21" fillId="3" borderId="28" xfId="0" applyNumberFormat="1" applyFont="1" applyFill="1" applyBorder="1" applyAlignment="1">
      <alignment horizontal="center" vertical="center"/>
    </xf>
    <xf numFmtId="2" fontId="21" fillId="3" borderId="29" xfId="0" applyNumberFormat="1" applyFont="1" applyFill="1" applyBorder="1" applyAlignment="1">
      <alignment horizontal="center" vertical="center"/>
    </xf>
    <xf numFmtId="2" fontId="21" fillId="3" borderId="38" xfId="0" applyNumberFormat="1" applyFont="1" applyFill="1" applyBorder="1" applyAlignment="1">
      <alignment horizontal="center" vertical="center"/>
    </xf>
    <xf numFmtId="2" fontId="21" fillId="3" borderId="42" xfId="0" applyNumberFormat="1" applyFont="1" applyFill="1" applyBorder="1" applyAlignment="1">
      <alignment horizontal="center" vertical="center"/>
    </xf>
    <xf numFmtId="2" fontId="21" fillId="3" borderId="30" xfId="0" applyNumberFormat="1" applyFont="1" applyFill="1" applyBorder="1" applyAlignment="1">
      <alignment horizontal="center" vertical="center"/>
    </xf>
    <xf numFmtId="2" fontId="21" fillId="3" borderId="3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2" fontId="5" fillId="3" borderId="9" xfId="0" applyNumberFormat="1" applyFont="1" applyFill="1" applyBorder="1" applyAlignment="1">
      <alignment horizontal="center" vertical="center"/>
    </xf>
    <xf numFmtId="2" fontId="5" fillId="3" borderId="13" xfId="0" applyNumberFormat="1" applyFont="1" applyFill="1" applyBorder="1" applyAlignment="1">
      <alignment horizontal="center" vertical="center"/>
    </xf>
    <xf numFmtId="2" fontId="11" fillId="3" borderId="14" xfId="0" applyNumberFormat="1" applyFont="1" applyFill="1" applyBorder="1" applyAlignment="1">
      <alignment horizontal="center"/>
    </xf>
    <xf numFmtId="2" fontId="17" fillId="9" borderId="22" xfId="0" applyNumberFormat="1" applyFont="1" applyFill="1" applyBorder="1" applyAlignment="1">
      <alignment horizontal="center" vertical="center"/>
    </xf>
    <xf numFmtId="2" fontId="18" fillId="9" borderId="22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0" fontId="5" fillId="15" borderId="23" xfId="0" applyFont="1" applyFill="1" applyBorder="1" applyAlignment="1">
      <alignment horizontal="center" vertical="center" wrapText="1"/>
    </xf>
    <xf numFmtId="0" fontId="5" fillId="15" borderId="0" xfId="0" applyFont="1" applyFill="1" applyAlignment="1">
      <alignment horizontal="center" vertical="center" wrapText="1"/>
    </xf>
    <xf numFmtId="167" fontId="21" fillId="3" borderId="28" xfId="0" applyNumberFormat="1" applyFont="1" applyFill="1" applyBorder="1" applyAlignment="1">
      <alignment horizontal="center" vertical="center"/>
    </xf>
    <xf numFmtId="167" fontId="21" fillId="3" borderId="29" xfId="0" applyNumberFormat="1" applyFont="1" applyFill="1" applyBorder="1" applyAlignment="1">
      <alignment horizontal="center" vertical="center"/>
    </xf>
    <xf numFmtId="167" fontId="21" fillId="3" borderId="38" xfId="0" applyNumberFormat="1" applyFont="1" applyFill="1" applyBorder="1" applyAlignment="1">
      <alignment horizontal="center" vertical="center"/>
    </xf>
    <xf numFmtId="167" fontId="21" fillId="3" borderId="42" xfId="0" applyNumberFormat="1" applyFont="1" applyFill="1" applyBorder="1" applyAlignment="1">
      <alignment horizontal="center" vertical="center"/>
    </xf>
    <xf numFmtId="167" fontId="21" fillId="3" borderId="30" xfId="0" applyNumberFormat="1" applyFont="1" applyFill="1" applyBorder="1" applyAlignment="1">
      <alignment horizontal="center" vertical="center"/>
    </xf>
    <xf numFmtId="167" fontId="21" fillId="3" borderId="3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65" fontId="8" fillId="5" borderId="1" xfId="0" applyNumberFormat="1" applyFont="1" applyFill="1" applyBorder="1" applyAlignment="1" applyProtection="1">
      <alignment horizontal="center" vertical="center"/>
      <protection locked="0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3" fontId="8" fillId="5" borderId="2" xfId="0" applyNumberFormat="1" applyFont="1" applyFill="1" applyBorder="1" applyAlignment="1" applyProtection="1">
      <alignment horizontal="center" vertical="center"/>
      <protection locked="0"/>
    </xf>
    <xf numFmtId="3" fontId="8" fillId="5" borderId="1" xfId="0" applyNumberFormat="1" applyFont="1" applyFill="1" applyBorder="1" applyAlignment="1" applyProtection="1">
      <alignment horizontal="center" vertical="center"/>
      <protection locked="0"/>
    </xf>
    <xf numFmtId="165" fontId="8" fillId="3" borderId="1" xfId="0" applyNumberFormat="1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20" fontId="8" fillId="8" borderId="11" xfId="0" applyNumberFormat="1" applyFont="1" applyFill="1" applyBorder="1" applyAlignment="1">
      <alignment horizontal="center" vertical="center"/>
    </xf>
    <xf numFmtId="20" fontId="8" fillId="8" borderId="0" xfId="0" applyNumberFormat="1" applyFont="1" applyFill="1" applyAlignment="1">
      <alignment horizontal="center" vertical="center"/>
    </xf>
    <xf numFmtId="20" fontId="8" fillId="8" borderId="12" xfId="0" applyNumberFormat="1" applyFont="1" applyFill="1" applyBorder="1" applyAlignment="1">
      <alignment horizontal="center" vertical="center"/>
    </xf>
    <xf numFmtId="20" fontId="8" fillId="8" borderId="6" xfId="0" applyNumberFormat="1" applyFont="1" applyFill="1" applyBorder="1" applyAlignment="1">
      <alignment horizontal="center" vertical="center"/>
    </xf>
    <xf numFmtId="20" fontId="8" fillId="8" borderId="7" xfId="0" applyNumberFormat="1" applyFont="1" applyFill="1" applyBorder="1" applyAlignment="1">
      <alignment horizontal="center" vertical="center"/>
    </xf>
    <xf numFmtId="20" fontId="8" fillId="8" borderId="8" xfId="0" applyNumberFormat="1" applyFont="1" applyFill="1" applyBorder="1" applyAlignment="1">
      <alignment horizontal="center" vertical="center"/>
    </xf>
    <xf numFmtId="0" fontId="16" fillId="9" borderId="3" xfId="0" applyFont="1" applyFill="1" applyBorder="1" applyAlignment="1">
      <alignment horizontal="center" vertical="center"/>
    </xf>
    <xf numFmtId="0" fontId="16" fillId="9" borderId="4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29" fillId="12" borderId="1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/>
    </xf>
    <xf numFmtId="0" fontId="21" fillId="3" borderId="15" xfId="0" applyFont="1" applyFill="1" applyBorder="1" applyAlignment="1">
      <alignment horizontal="center" vertical="center"/>
    </xf>
    <xf numFmtId="0" fontId="21" fillId="3" borderId="16" xfId="0" applyFont="1" applyFill="1" applyBorder="1" applyAlignment="1">
      <alignment horizontal="center" vertical="center"/>
    </xf>
    <xf numFmtId="0" fontId="21" fillId="3" borderId="17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20" xfId="0" applyFont="1" applyFill="1" applyBorder="1" applyAlignment="1">
      <alignment horizontal="center" vertical="center"/>
    </xf>
    <xf numFmtId="2" fontId="4" fillId="3" borderId="25" xfId="0" applyNumberFormat="1" applyFont="1" applyFill="1" applyBorder="1" applyAlignment="1">
      <alignment horizontal="center"/>
    </xf>
    <xf numFmtId="2" fontId="4" fillId="3" borderId="26" xfId="0" applyNumberFormat="1" applyFont="1" applyFill="1" applyBorder="1" applyAlignment="1">
      <alignment horizontal="center"/>
    </xf>
    <xf numFmtId="3" fontId="5" fillId="3" borderId="32" xfId="0" applyNumberFormat="1" applyFont="1" applyFill="1" applyBorder="1" applyAlignment="1">
      <alignment horizontal="center" vertical="center"/>
    </xf>
    <xf numFmtId="3" fontId="5" fillId="3" borderId="33" xfId="0" applyNumberFormat="1" applyFont="1" applyFill="1" applyBorder="1" applyAlignment="1">
      <alignment horizontal="center" vertical="center"/>
    </xf>
    <xf numFmtId="3" fontId="5" fillId="3" borderId="34" xfId="0" applyNumberFormat="1" applyFont="1" applyFill="1" applyBorder="1" applyAlignment="1">
      <alignment horizontal="center" vertical="center"/>
    </xf>
    <xf numFmtId="3" fontId="5" fillId="3" borderId="35" xfId="0" applyNumberFormat="1" applyFont="1" applyFill="1" applyBorder="1" applyAlignment="1">
      <alignment horizontal="center" vertical="center"/>
    </xf>
    <xf numFmtId="3" fontId="5" fillId="3" borderId="36" xfId="0" applyNumberFormat="1" applyFont="1" applyFill="1" applyBorder="1" applyAlignment="1">
      <alignment horizontal="center" vertical="center"/>
    </xf>
    <xf numFmtId="3" fontId="5" fillId="3" borderId="37" xfId="0" applyNumberFormat="1" applyFont="1" applyFill="1" applyBorder="1" applyAlignment="1">
      <alignment horizontal="center" vertical="center"/>
    </xf>
    <xf numFmtId="0" fontId="25" fillId="13" borderId="23" xfId="0" applyFont="1" applyFill="1" applyBorder="1" applyAlignment="1">
      <alignment horizontal="center" vertical="center" wrapText="1"/>
    </xf>
    <xf numFmtId="0" fontId="25" fillId="13" borderId="0" xfId="0" applyFont="1" applyFill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8" fillId="7" borderId="14" xfId="0" applyFont="1" applyFill="1" applyBorder="1" applyAlignment="1">
      <alignment horizontal="center" vertical="center" wrapText="1"/>
    </xf>
    <xf numFmtId="3" fontId="8" fillId="5" borderId="14" xfId="0" applyNumberFormat="1" applyFont="1" applyFill="1" applyBorder="1" applyAlignment="1" applyProtection="1">
      <alignment horizontal="center" vertical="center" wrapText="1"/>
      <protection locked="0"/>
    </xf>
    <xf numFmtId="0" fontId="8" fillId="5" borderId="14" xfId="0" applyFont="1" applyFill="1" applyBorder="1" applyAlignment="1" applyProtection="1">
      <alignment horizontal="center" vertical="center" wrapText="1"/>
      <protection locked="0"/>
    </xf>
    <xf numFmtId="0" fontId="32" fillId="9" borderId="27" xfId="0" applyFont="1" applyFill="1" applyBorder="1" applyAlignment="1">
      <alignment horizontal="center" vertical="center"/>
    </xf>
    <xf numFmtId="0" fontId="25" fillId="17" borderId="14" xfId="0" applyFont="1" applyFill="1" applyBorder="1" applyAlignment="1">
      <alignment horizontal="center" vertical="center" wrapText="1"/>
    </xf>
    <xf numFmtId="0" fontId="8" fillId="18" borderId="14" xfId="0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/>
    </xf>
    <xf numFmtId="0" fontId="10" fillId="0" borderId="2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9" fillId="9" borderId="0" xfId="0" applyFont="1" applyFill="1" applyAlignment="1">
      <alignment horizontal="center"/>
    </xf>
    <xf numFmtId="0" fontId="20" fillId="9" borderId="0" xfId="0" applyFont="1" applyFill="1" applyAlignment="1">
      <alignment horizontal="center"/>
    </xf>
    <xf numFmtId="0" fontId="8" fillId="3" borderId="0" xfId="0" applyFont="1" applyFill="1" applyAlignment="1" applyProtection="1">
      <alignment horizontal="center"/>
      <protection locked="0"/>
    </xf>
    <xf numFmtId="3" fontId="8" fillId="5" borderId="39" xfId="0" applyNumberFormat="1" applyFont="1" applyFill="1" applyBorder="1" applyAlignment="1" applyProtection="1">
      <alignment horizontal="center" vertical="center"/>
      <protection locked="0"/>
    </xf>
    <xf numFmtId="3" fontId="8" fillId="5" borderId="14" xfId="0" applyNumberFormat="1" applyFont="1" applyFill="1" applyBorder="1" applyAlignment="1" applyProtection="1">
      <alignment horizontal="center" vertical="center"/>
      <protection locked="0"/>
    </xf>
    <xf numFmtId="3" fontId="8" fillId="5" borderId="44" xfId="0" applyNumberFormat="1" applyFont="1" applyFill="1" applyBorder="1" applyAlignment="1" applyProtection="1">
      <alignment horizontal="center" vertical="center"/>
      <protection locked="0"/>
    </xf>
    <xf numFmtId="0" fontId="8" fillId="3" borderId="1" xfId="0" applyFont="1" applyFill="1" applyBorder="1" applyAlignment="1" applyProtection="1">
      <alignment horizontal="center" vertical="center"/>
      <protection locked="0"/>
    </xf>
    <xf numFmtId="0" fontId="11" fillId="0" borderId="14" xfId="0" applyFont="1" applyBorder="1" applyAlignment="1">
      <alignment horizontal="center"/>
    </xf>
    <xf numFmtId="0" fontId="8" fillId="0" borderId="14" xfId="0" applyFont="1" applyBorder="1" applyAlignment="1">
      <alignment horizontal="center" vertical="center" wrapText="1"/>
    </xf>
    <xf numFmtId="0" fontId="11" fillId="8" borderId="14" xfId="0" applyFont="1" applyFill="1" applyBorder="1" applyAlignment="1">
      <alignment horizontal="center" vertical="center" wrapText="1"/>
    </xf>
    <xf numFmtId="3" fontId="22" fillId="8" borderId="14" xfId="0" applyNumberFormat="1" applyFont="1" applyFill="1" applyBorder="1" applyAlignment="1">
      <alignment horizontal="center" vertical="center"/>
    </xf>
    <xf numFmtId="0" fontId="22" fillId="8" borderId="14" xfId="0" applyFont="1" applyFill="1" applyBorder="1" applyAlignment="1">
      <alignment horizontal="center" vertical="center"/>
    </xf>
    <xf numFmtId="0" fontId="23" fillId="9" borderId="22" xfId="0" applyFont="1" applyFill="1" applyBorder="1" applyAlignment="1">
      <alignment horizontal="center"/>
    </xf>
    <xf numFmtId="0" fontId="24" fillId="9" borderId="22" xfId="0" applyFont="1" applyFill="1" applyBorder="1" applyAlignment="1">
      <alignment horizontal="center"/>
    </xf>
    <xf numFmtId="0" fontId="6" fillId="3" borderId="1" xfId="0" applyFont="1" applyFill="1" applyBorder="1" applyAlignment="1" applyProtection="1">
      <alignment horizontal="center" vertical="center"/>
      <protection locked="0"/>
    </xf>
    <xf numFmtId="0" fontId="40" fillId="3" borderId="1" xfId="0" applyFont="1" applyFill="1" applyBorder="1" applyAlignment="1" applyProtection="1">
      <alignment horizontal="center" wrapText="1"/>
      <protection locked="0"/>
    </xf>
  </cellXfs>
  <cellStyles count="3">
    <cellStyle name="Moeda" xfId="1" builtinId="4"/>
    <cellStyle name="Normal" xfId="0" builtinId="0"/>
    <cellStyle name="Porcentagem" xfId="2" builtinId="5"/>
  </cellStyles>
  <dxfs count="8">
    <dxf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66FF33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66FF33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33"/>
      <color rgb="FF00FF00"/>
      <color rgb="FF990000"/>
      <color rgb="FFFF0000"/>
      <color rgb="FFFFCA33"/>
      <color rgb="FF008000"/>
      <color rgb="FFCC0099"/>
      <color rgb="FF99FF33"/>
      <color rgb="FF66FF66"/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hyperlink" Target="#'previsao brix'!A1"/><Relationship Id="rId18" Type="http://schemas.openxmlformats.org/officeDocument/2006/relationships/hyperlink" Target="#'ACIDO-ANTIGO'!A1"/><Relationship Id="rId26" Type="http://schemas.openxmlformats.org/officeDocument/2006/relationships/hyperlink" Target="#'RATIO - BRIX '!A1"/><Relationship Id="rId3" Type="http://schemas.openxmlformats.org/officeDocument/2006/relationships/hyperlink" Target="#'PESO LIQUIDO 200'!A1"/><Relationship Id="rId21" Type="http://schemas.openxmlformats.org/officeDocument/2006/relationships/hyperlink" Target="#'BRIX CORRIGIDO'!A1"/><Relationship Id="rId7" Type="http://schemas.openxmlformats.org/officeDocument/2006/relationships/hyperlink" Target="#'CORRE&#199;&#195;O DE BRIX '!A1"/><Relationship Id="rId12" Type="http://schemas.openxmlformats.org/officeDocument/2006/relationships/hyperlink" Target="#'abaixar brix'!A1"/><Relationship Id="rId17" Type="http://schemas.openxmlformats.org/officeDocument/2006/relationships/hyperlink" Target="#'SODA-ANTIGO'!A1"/><Relationship Id="rId25" Type="http://schemas.openxmlformats.org/officeDocument/2006/relationships/hyperlink" Target="#'RATIO - ACIDEZ'!A1"/><Relationship Id="rId33" Type="http://schemas.openxmlformats.org/officeDocument/2006/relationships/hyperlink" Target="#'PRODU&#199;&#195;O LITRO '!A1"/><Relationship Id="rId2" Type="http://schemas.openxmlformats.org/officeDocument/2006/relationships/hyperlink" Target="#'TEMPO DE FINALIZA&#199;&#195;O (ok) '!A1"/><Relationship Id="rId16" Type="http://schemas.openxmlformats.org/officeDocument/2006/relationships/hyperlink" Target="#'VITAMINA C'!A1"/><Relationship Id="rId20" Type="http://schemas.openxmlformats.org/officeDocument/2006/relationships/hyperlink" Target="#VITC!A1"/><Relationship Id="rId29" Type="http://schemas.openxmlformats.org/officeDocument/2006/relationships/hyperlink" Target="#DENSIDADE!A1"/><Relationship Id="rId1" Type="http://schemas.openxmlformats.org/officeDocument/2006/relationships/hyperlink" Target="#'AUMENTAR  ACIDEZ (ok)'!A1"/><Relationship Id="rId6" Type="http://schemas.openxmlformats.org/officeDocument/2006/relationships/hyperlink" Target="#'CORRE&#199;&#195;O A&#199;&#218;CAR CRISTAL'!A1"/><Relationship Id="rId11" Type="http://schemas.openxmlformats.org/officeDocument/2006/relationships/hyperlink" Target="#'QNT DE A&#199;UCAR PUXAR'!A1"/><Relationship Id="rId24" Type="http://schemas.openxmlformats.org/officeDocument/2006/relationships/hyperlink" Target="#'ACIDO - DIVERSEY'!A1"/><Relationship Id="rId32" Type="http://schemas.openxmlformats.org/officeDocument/2006/relationships/hyperlink" Target="#'PRODU&#199;&#195;O 200 '!A1"/><Relationship Id="rId5" Type="http://schemas.openxmlformats.org/officeDocument/2006/relationships/hyperlink" Target="#'DIMINUIR ACIDEZ'!A1"/><Relationship Id="rId15" Type="http://schemas.openxmlformats.org/officeDocument/2006/relationships/hyperlink" Target="#'SABER PERDA DE BASE'!A1"/><Relationship Id="rId23" Type="http://schemas.openxmlformats.org/officeDocument/2006/relationships/hyperlink" Target="#'SODA - DIVERSEY'!A1"/><Relationship Id="rId28" Type="http://schemas.openxmlformats.org/officeDocument/2006/relationships/hyperlink" Target="#'PESO BRUTO'!A1"/><Relationship Id="rId10" Type="http://schemas.openxmlformats.org/officeDocument/2006/relationships/hyperlink" Target="#'CONVERSAO LIQ - CRIS'!A1"/><Relationship Id="rId19" Type="http://schemas.openxmlformats.org/officeDocument/2006/relationships/hyperlink" Target="#ACIDEZ!A1"/><Relationship Id="rId31" Type="http://schemas.openxmlformats.org/officeDocument/2006/relationships/hyperlink" Target="#'C&#193;LCULO DE SODA '!A1"/><Relationship Id="rId4" Type="http://schemas.openxmlformats.org/officeDocument/2006/relationships/hyperlink" Target="#'ZERAGEM DE EMBALAGEM'!A1"/><Relationship Id="rId9" Type="http://schemas.openxmlformats.org/officeDocument/2006/relationships/hyperlink" Target="#'AUMENTAR BRIX A&#199;&#218;CAR BATIDO '!A1"/><Relationship Id="rId14" Type="http://schemas.openxmlformats.org/officeDocument/2006/relationships/hyperlink" Target="#'PREVISAO ACIDEZ'!A1"/><Relationship Id="rId22" Type="http://schemas.openxmlformats.org/officeDocument/2006/relationships/hyperlink" Target="#'PESO LIQUIDO LITRO '!A1"/><Relationship Id="rId27" Type="http://schemas.openxmlformats.org/officeDocument/2006/relationships/hyperlink" Target="#RATIO!A1"/><Relationship Id="rId30" Type="http://schemas.openxmlformats.org/officeDocument/2006/relationships/hyperlink" Target="#CORANTES!A1"/><Relationship Id="rId8" Type="http://schemas.openxmlformats.org/officeDocument/2006/relationships/hyperlink" Target="#'CONV - CRISTAL LIQ'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834888</xdr:colOff>
      <xdr:row>0</xdr:row>
      <xdr:rowOff>132523</xdr:rowOff>
    </xdr:from>
    <xdr:to>
      <xdr:col>17</xdr:col>
      <xdr:colOff>894522</xdr:colOff>
      <xdr:row>4</xdr:row>
      <xdr:rowOff>39758</xdr:rowOff>
    </xdr:to>
    <xdr:sp macro="" textlink="">
      <xdr:nvSpPr>
        <xdr:cNvPr id="2" name="Elips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9FA348-7478-4252-8A7F-8069652F2AA8}"/>
            </a:ext>
          </a:extLst>
        </xdr:cNvPr>
        <xdr:cNvSpPr/>
      </xdr:nvSpPr>
      <xdr:spPr>
        <a:xfrm>
          <a:off x="11058940" y="132523"/>
          <a:ext cx="1133060" cy="72887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VOLTAR AO MENU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</xdr:colOff>
      <xdr:row>0</xdr:row>
      <xdr:rowOff>320040</xdr:rowOff>
    </xdr:from>
    <xdr:to>
      <xdr:col>16</xdr:col>
      <xdr:colOff>390861</xdr:colOff>
      <xdr:row>8</xdr:row>
      <xdr:rowOff>304800</xdr:rowOff>
    </xdr:to>
    <xdr:sp macro="" textlink="">
      <xdr:nvSpPr>
        <xdr:cNvPr id="2" name="Elips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76388-44C0-4C1D-86F8-1ED30EB7CE06}"/>
            </a:ext>
          </a:extLst>
        </xdr:cNvPr>
        <xdr:cNvSpPr/>
      </xdr:nvSpPr>
      <xdr:spPr>
        <a:xfrm>
          <a:off x="9204960" y="320040"/>
          <a:ext cx="2768301" cy="26060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1"/>
            <a:t>VOLTAR AO MENU</a:t>
          </a:r>
        </a:p>
      </xdr:txBody>
    </xdr:sp>
    <xdr:clientData/>
  </xdr:twoCellAnchor>
  <xdr:twoCellAnchor>
    <xdr:from>
      <xdr:col>12</xdr:col>
      <xdr:colOff>60960</xdr:colOff>
      <xdr:row>0</xdr:row>
      <xdr:rowOff>320040</xdr:rowOff>
    </xdr:from>
    <xdr:to>
      <xdr:col>16</xdr:col>
      <xdr:colOff>390861</xdr:colOff>
      <xdr:row>8</xdr:row>
      <xdr:rowOff>304800</xdr:rowOff>
    </xdr:to>
    <xdr:sp macro="" textlink="">
      <xdr:nvSpPr>
        <xdr:cNvPr id="3" name="Elips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30FA33-389B-4E14-832E-80E913D3CA74}"/>
            </a:ext>
          </a:extLst>
        </xdr:cNvPr>
        <xdr:cNvSpPr/>
      </xdr:nvSpPr>
      <xdr:spPr>
        <a:xfrm>
          <a:off x="9204960" y="320040"/>
          <a:ext cx="2768301" cy="26060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1"/>
            <a:t>VOLTAR AO MENU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</xdr:colOff>
      <xdr:row>0</xdr:row>
      <xdr:rowOff>320040</xdr:rowOff>
    </xdr:from>
    <xdr:to>
      <xdr:col>16</xdr:col>
      <xdr:colOff>390861</xdr:colOff>
      <xdr:row>8</xdr:row>
      <xdr:rowOff>304800</xdr:rowOff>
    </xdr:to>
    <xdr:sp macro="" textlink="">
      <xdr:nvSpPr>
        <xdr:cNvPr id="2" name="Elips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659331-A379-40A3-A7B4-17A6193CA654}"/>
            </a:ext>
          </a:extLst>
        </xdr:cNvPr>
        <xdr:cNvSpPr/>
      </xdr:nvSpPr>
      <xdr:spPr>
        <a:xfrm>
          <a:off x="9204960" y="320040"/>
          <a:ext cx="2768301" cy="26060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1"/>
            <a:t>VOLTAR AO MENU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</xdr:colOff>
      <xdr:row>0</xdr:row>
      <xdr:rowOff>320040</xdr:rowOff>
    </xdr:from>
    <xdr:to>
      <xdr:col>16</xdr:col>
      <xdr:colOff>390861</xdr:colOff>
      <xdr:row>8</xdr:row>
      <xdr:rowOff>304800</xdr:rowOff>
    </xdr:to>
    <xdr:sp macro="" textlink="">
      <xdr:nvSpPr>
        <xdr:cNvPr id="2" name="Elips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9014460" y="320040"/>
          <a:ext cx="2768301" cy="22783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1"/>
            <a:t>VOLTAR AO MENU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449580</xdr:colOff>
      <xdr:row>1</xdr:row>
      <xdr:rowOff>53340</xdr:rowOff>
    </xdr:from>
    <xdr:to>
      <xdr:col>16</xdr:col>
      <xdr:colOff>169881</xdr:colOff>
      <xdr:row>8</xdr:row>
      <xdr:rowOff>38100</xdr:rowOff>
    </xdr:to>
    <xdr:sp macro="" textlink="">
      <xdr:nvSpPr>
        <xdr:cNvPr id="2" name="Elips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D95EC6-651B-4E43-82CE-56B0F8F250AF}"/>
            </a:ext>
          </a:extLst>
        </xdr:cNvPr>
        <xdr:cNvSpPr/>
      </xdr:nvSpPr>
      <xdr:spPr>
        <a:xfrm>
          <a:off x="10949940" y="381000"/>
          <a:ext cx="2768301" cy="22936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1"/>
            <a:t>VOLTAR AO MENU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502920</xdr:colOff>
      <xdr:row>1</xdr:row>
      <xdr:rowOff>22860</xdr:rowOff>
    </xdr:from>
    <xdr:to>
      <xdr:col>15</xdr:col>
      <xdr:colOff>223221</xdr:colOff>
      <xdr:row>8</xdr:row>
      <xdr:rowOff>7620</xdr:rowOff>
    </xdr:to>
    <xdr:sp macro="" textlink="">
      <xdr:nvSpPr>
        <xdr:cNvPr id="2" name="Elips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8237220" y="350520"/>
          <a:ext cx="2768301" cy="22783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1"/>
            <a:t>VOLTAR AO MENU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0</xdr:row>
      <xdr:rowOff>251460</xdr:rowOff>
    </xdr:from>
    <xdr:to>
      <xdr:col>16</xdr:col>
      <xdr:colOff>345141</xdr:colOff>
      <xdr:row>7</xdr:row>
      <xdr:rowOff>236220</xdr:rowOff>
    </xdr:to>
    <xdr:sp macro="" textlink="">
      <xdr:nvSpPr>
        <xdr:cNvPr id="2" name="Elips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8770620" y="251460"/>
          <a:ext cx="2631141" cy="22783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1"/>
            <a:t>VOLTAR AO MENU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0</xdr:row>
      <xdr:rowOff>251460</xdr:rowOff>
    </xdr:from>
    <xdr:to>
      <xdr:col>16</xdr:col>
      <xdr:colOff>345141</xdr:colOff>
      <xdr:row>7</xdr:row>
      <xdr:rowOff>236220</xdr:rowOff>
    </xdr:to>
    <xdr:sp macro="" textlink="">
      <xdr:nvSpPr>
        <xdr:cNvPr id="2" name="Elips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70742-F2EB-4BCC-A85A-4CF36C236E12}"/>
            </a:ext>
          </a:extLst>
        </xdr:cNvPr>
        <xdr:cNvSpPr/>
      </xdr:nvSpPr>
      <xdr:spPr>
        <a:xfrm>
          <a:off x="8770620" y="251460"/>
          <a:ext cx="2631141" cy="22783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1"/>
            <a:t>VOLTAR AO MENU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0</xdr:row>
      <xdr:rowOff>251460</xdr:rowOff>
    </xdr:from>
    <xdr:to>
      <xdr:col>16</xdr:col>
      <xdr:colOff>345141</xdr:colOff>
      <xdr:row>7</xdr:row>
      <xdr:rowOff>236220</xdr:rowOff>
    </xdr:to>
    <xdr:sp macro="" textlink="">
      <xdr:nvSpPr>
        <xdr:cNvPr id="2" name="Elips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A357F-BAAD-47E3-9CBD-96CFEDC71DD0}"/>
            </a:ext>
          </a:extLst>
        </xdr:cNvPr>
        <xdr:cNvSpPr/>
      </xdr:nvSpPr>
      <xdr:spPr>
        <a:xfrm>
          <a:off x="8770620" y="251460"/>
          <a:ext cx="2631141" cy="22783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1"/>
            <a:t>VOLTAR AO MENU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251460</xdr:colOff>
      <xdr:row>1</xdr:row>
      <xdr:rowOff>114300</xdr:rowOff>
    </xdr:from>
    <xdr:to>
      <xdr:col>15</xdr:col>
      <xdr:colOff>581361</xdr:colOff>
      <xdr:row>8</xdr:row>
      <xdr:rowOff>99060</xdr:rowOff>
    </xdr:to>
    <xdr:sp macro="" textlink="">
      <xdr:nvSpPr>
        <xdr:cNvPr id="2" name="Elips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8260080" y="441960"/>
          <a:ext cx="2768301" cy="22783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1"/>
            <a:t>VOLTAR AO MENU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784860</xdr:colOff>
      <xdr:row>1</xdr:row>
      <xdr:rowOff>141194</xdr:rowOff>
    </xdr:from>
    <xdr:to>
      <xdr:col>11</xdr:col>
      <xdr:colOff>208878</xdr:colOff>
      <xdr:row>10</xdr:row>
      <xdr:rowOff>114300</xdr:rowOff>
    </xdr:to>
    <xdr:sp macro="" textlink="">
      <xdr:nvSpPr>
        <xdr:cNvPr id="2" name="Elips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1666220" y="560294"/>
          <a:ext cx="2502498" cy="225148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1"/>
            <a:t>VOLTAR AO MENU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152401</xdr:colOff>
      <xdr:row>0</xdr:row>
      <xdr:rowOff>106018</xdr:rowOff>
    </xdr:from>
    <xdr:to>
      <xdr:col>17</xdr:col>
      <xdr:colOff>212035</xdr:colOff>
      <xdr:row>4</xdr:row>
      <xdr:rowOff>13253</xdr:rowOff>
    </xdr:to>
    <xdr:sp macro="" textlink="">
      <xdr:nvSpPr>
        <xdr:cNvPr id="2" name="Elips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131F43-2A30-41A6-8375-3E55232B4B22}"/>
            </a:ext>
          </a:extLst>
        </xdr:cNvPr>
        <xdr:cNvSpPr/>
      </xdr:nvSpPr>
      <xdr:spPr>
        <a:xfrm>
          <a:off x="11071861" y="106018"/>
          <a:ext cx="1134054" cy="7225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VOLTAR AO MENU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107577</xdr:colOff>
      <xdr:row>1</xdr:row>
      <xdr:rowOff>26894</xdr:rowOff>
    </xdr:from>
    <xdr:to>
      <xdr:col>13</xdr:col>
      <xdr:colOff>376518</xdr:colOff>
      <xdr:row>12</xdr:row>
      <xdr:rowOff>60960</xdr:rowOff>
    </xdr:to>
    <xdr:sp macro="" textlink="">
      <xdr:nvSpPr>
        <xdr:cNvPr id="3" name="Elips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91F419-2B60-4977-88CB-85AB6C184A16}"/>
            </a:ext>
          </a:extLst>
        </xdr:cNvPr>
        <xdr:cNvSpPr/>
      </xdr:nvSpPr>
      <xdr:spPr>
        <a:xfrm>
          <a:off x="11347077" y="445994"/>
          <a:ext cx="2768301" cy="285346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1"/>
            <a:t>VOLTAR AO MENU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0</xdr:row>
      <xdr:rowOff>175260</xdr:rowOff>
    </xdr:from>
    <xdr:to>
      <xdr:col>9</xdr:col>
      <xdr:colOff>508299</xdr:colOff>
      <xdr:row>6</xdr:row>
      <xdr:rowOff>116990</xdr:rowOff>
    </xdr:to>
    <xdr:sp macro="" textlink="">
      <xdr:nvSpPr>
        <xdr:cNvPr id="2" name="Elips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1605260" y="175260"/>
          <a:ext cx="2779059" cy="243347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1"/>
            <a:t>VOLTAR AO MENU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94706</xdr:colOff>
      <xdr:row>2</xdr:row>
      <xdr:rowOff>238397</xdr:rowOff>
    </xdr:from>
    <xdr:to>
      <xdr:col>13</xdr:col>
      <xdr:colOff>424607</xdr:colOff>
      <xdr:row>10</xdr:row>
      <xdr:rowOff>52251</xdr:rowOff>
    </xdr:to>
    <xdr:sp macro="" textlink="">
      <xdr:nvSpPr>
        <xdr:cNvPr id="2" name="Elips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4126392" y="608511"/>
          <a:ext cx="2768301" cy="239376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1"/>
            <a:t>VOLTAR AO MENU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107577</xdr:colOff>
      <xdr:row>1</xdr:row>
      <xdr:rowOff>26894</xdr:rowOff>
    </xdr:from>
    <xdr:to>
      <xdr:col>13</xdr:col>
      <xdr:colOff>376518</xdr:colOff>
      <xdr:row>11</xdr:row>
      <xdr:rowOff>60960</xdr:rowOff>
    </xdr:to>
    <xdr:sp macro="" textlink="">
      <xdr:nvSpPr>
        <xdr:cNvPr id="3" name="Elips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F72757-A8EC-4217-A229-59AFA197AA5A}"/>
            </a:ext>
          </a:extLst>
        </xdr:cNvPr>
        <xdr:cNvSpPr/>
      </xdr:nvSpPr>
      <xdr:spPr>
        <a:xfrm>
          <a:off x="11347077" y="445994"/>
          <a:ext cx="2768301" cy="285346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1"/>
            <a:t>VOLTAR AO MENU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107577</xdr:colOff>
      <xdr:row>1</xdr:row>
      <xdr:rowOff>26894</xdr:rowOff>
    </xdr:from>
    <xdr:to>
      <xdr:col>13</xdr:col>
      <xdr:colOff>376518</xdr:colOff>
      <xdr:row>11</xdr:row>
      <xdr:rowOff>60960</xdr:rowOff>
    </xdr:to>
    <xdr:sp macro="" textlink="">
      <xdr:nvSpPr>
        <xdr:cNvPr id="2" name="Elips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1347077" y="445994"/>
          <a:ext cx="2768301" cy="285346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1"/>
            <a:t>VOLTAR AO MENU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286870</xdr:colOff>
      <xdr:row>1</xdr:row>
      <xdr:rowOff>268941</xdr:rowOff>
    </xdr:from>
    <xdr:to>
      <xdr:col>23</xdr:col>
      <xdr:colOff>555812</xdr:colOff>
      <xdr:row>9</xdr:row>
      <xdr:rowOff>17930</xdr:rowOff>
    </xdr:to>
    <xdr:sp macro="" textlink="">
      <xdr:nvSpPr>
        <xdr:cNvPr id="2" name="Elips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3644282" y="779929"/>
          <a:ext cx="2779059" cy="245633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1"/>
            <a:t>VOLTAR AO MENU</a:t>
          </a: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107577</xdr:colOff>
      <xdr:row>1</xdr:row>
      <xdr:rowOff>26894</xdr:rowOff>
    </xdr:from>
    <xdr:to>
      <xdr:col>13</xdr:col>
      <xdr:colOff>376518</xdr:colOff>
      <xdr:row>12</xdr:row>
      <xdr:rowOff>26894</xdr:rowOff>
    </xdr:to>
    <xdr:sp macro="" textlink="">
      <xdr:nvSpPr>
        <xdr:cNvPr id="2" name="Elips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9359153" y="448235"/>
          <a:ext cx="2779059" cy="245633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1"/>
            <a:t>VOLTAR AO MENU</a:t>
          </a: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107577</xdr:colOff>
      <xdr:row>1</xdr:row>
      <xdr:rowOff>26894</xdr:rowOff>
    </xdr:from>
    <xdr:to>
      <xdr:col>13</xdr:col>
      <xdr:colOff>376518</xdr:colOff>
      <xdr:row>10</xdr:row>
      <xdr:rowOff>26894</xdr:rowOff>
    </xdr:to>
    <xdr:sp macro="" textlink="">
      <xdr:nvSpPr>
        <xdr:cNvPr id="2" name="Elips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9350637" y="445994"/>
          <a:ext cx="2768301" cy="24536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1"/>
            <a:t>VOLTAR AO MENU</a:t>
          </a: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434340</xdr:colOff>
      <xdr:row>0</xdr:row>
      <xdr:rowOff>44823</xdr:rowOff>
    </xdr:from>
    <xdr:to>
      <xdr:col>10</xdr:col>
      <xdr:colOff>165399</xdr:colOff>
      <xdr:row>13</xdr:row>
      <xdr:rowOff>89647</xdr:rowOff>
    </xdr:to>
    <xdr:sp macro="" textlink="">
      <xdr:nvSpPr>
        <xdr:cNvPr id="3" name="Elips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E09076-0A77-4A54-B8E4-1837068000E4}"/>
            </a:ext>
          </a:extLst>
        </xdr:cNvPr>
        <xdr:cNvSpPr/>
      </xdr:nvSpPr>
      <xdr:spPr>
        <a:xfrm>
          <a:off x="14066520" y="44823"/>
          <a:ext cx="2779059" cy="279564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1"/>
            <a:t>VOLTAR AO MENU</a:t>
          </a: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556260</xdr:colOff>
      <xdr:row>4</xdr:row>
      <xdr:rowOff>144780</xdr:rowOff>
    </xdr:from>
    <xdr:to>
      <xdr:col>12</xdr:col>
      <xdr:colOff>287319</xdr:colOff>
      <xdr:row>12</xdr:row>
      <xdr:rowOff>116990</xdr:rowOff>
    </xdr:to>
    <xdr:sp macro="" textlink="">
      <xdr:nvSpPr>
        <xdr:cNvPr id="2" name="Elips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/>
      </xdr:nvSpPr>
      <xdr:spPr>
        <a:xfrm>
          <a:off x="10706100" y="876300"/>
          <a:ext cx="2779059" cy="245633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1"/>
            <a:t>VOLTAR AO MENU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392654</xdr:colOff>
      <xdr:row>3</xdr:row>
      <xdr:rowOff>7172</xdr:rowOff>
    </xdr:from>
    <xdr:to>
      <xdr:col>12</xdr:col>
      <xdr:colOff>123713</xdr:colOff>
      <xdr:row>17</xdr:row>
      <xdr:rowOff>44824</xdr:rowOff>
    </xdr:to>
    <xdr:sp macro="" textlink="">
      <xdr:nvSpPr>
        <xdr:cNvPr id="2" name="Elips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4081760" y="258184"/>
          <a:ext cx="2779059" cy="253880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1"/>
            <a:t>VOLTAR AO MENU</a:t>
          </a: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434340</xdr:colOff>
      <xdr:row>0</xdr:row>
      <xdr:rowOff>44823</xdr:rowOff>
    </xdr:from>
    <xdr:to>
      <xdr:col>10</xdr:col>
      <xdr:colOff>165399</xdr:colOff>
      <xdr:row>13</xdr:row>
      <xdr:rowOff>89647</xdr:rowOff>
    </xdr:to>
    <xdr:sp macro="" textlink="">
      <xdr:nvSpPr>
        <xdr:cNvPr id="2" name="Elips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/>
      </xdr:nvSpPr>
      <xdr:spPr>
        <a:xfrm>
          <a:off x="14069658" y="44823"/>
          <a:ext cx="2779059" cy="248322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1"/>
            <a:t>VOLTAR AO MENU</a:t>
          </a: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312420</xdr:colOff>
      <xdr:row>2</xdr:row>
      <xdr:rowOff>175260</xdr:rowOff>
    </xdr:from>
    <xdr:to>
      <xdr:col>13</xdr:col>
      <xdr:colOff>43479</xdr:colOff>
      <xdr:row>10</xdr:row>
      <xdr:rowOff>101750</xdr:rowOff>
    </xdr:to>
    <xdr:sp macro="" textlink="">
      <xdr:nvSpPr>
        <xdr:cNvPr id="2" name="Elips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/>
      </xdr:nvSpPr>
      <xdr:spPr>
        <a:xfrm>
          <a:off x="10927080" y="541020"/>
          <a:ext cx="2779059" cy="245633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1"/>
            <a:t>VOLTAR AO MENU</a:t>
          </a:r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17930</xdr:colOff>
      <xdr:row>3</xdr:row>
      <xdr:rowOff>161365</xdr:rowOff>
    </xdr:from>
    <xdr:to>
      <xdr:col>13</xdr:col>
      <xdr:colOff>286871</xdr:colOff>
      <xdr:row>12</xdr:row>
      <xdr:rowOff>71719</xdr:rowOff>
    </xdr:to>
    <xdr:sp macro="" textlink="">
      <xdr:nvSpPr>
        <xdr:cNvPr id="2" name="Elips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SpPr/>
      </xdr:nvSpPr>
      <xdr:spPr>
        <a:xfrm>
          <a:off x="10703859" y="833718"/>
          <a:ext cx="2779059" cy="245633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1"/>
            <a:t>VOLTAR AO MENU</a:t>
          </a:r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4</xdr:row>
      <xdr:rowOff>137160</xdr:rowOff>
    </xdr:from>
    <xdr:to>
      <xdr:col>12</xdr:col>
      <xdr:colOff>550881</xdr:colOff>
      <xdr:row>12</xdr:row>
      <xdr:rowOff>199914</xdr:rowOff>
    </xdr:to>
    <xdr:sp macro="" textlink="">
      <xdr:nvSpPr>
        <xdr:cNvPr id="2" name="Elips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C83C16-FA97-4E0C-8A60-820F6A14F34A}"/>
            </a:ext>
          </a:extLst>
        </xdr:cNvPr>
        <xdr:cNvSpPr/>
      </xdr:nvSpPr>
      <xdr:spPr>
        <a:xfrm>
          <a:off x="10370820" y="952500"/>
          <a:ext cx="2768301" cy="244781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1"/>
            <a:t>VOLTAR AO MENU</a:t>
          </a:r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376519</xdr:colOff>
      <xdr:row>2</xdr:row>
      <xdr:rowOff>116541</xdr:rowOff>
    </xdr:from>
    <xdr:to>
      <xdr:col>20</xdr:col>
      <xdr:colOff>484094</xdr:colOff>
      <xdr:row>5</xdr:row>
      <xdr:rowOff>107577</xdr:rowOff>
    </xdr:to>
    <xdr:sp macro="" textlink="">
      <xdr:nvSpPr>
        <xdr:cNvPr id="2" name="Elips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SpPr/>
      </xdr:nvSpPr>
      <xdr:spPr>
        <a:xfrm>
          <a:off x="11788590" y="851647"/>
          <a:ext cx="2617692" cy="234875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1"/>
            <a:t>VOLTAR AO MENU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</xdr:row>
      <xdr:rowOff>53340</xdr:rowOff>
    </xdr:from>
    <xdr:to>
      <xdr:col>14</xdr:col>
      <xdr:colOff>406101</xdr:colOff>
      <xdr:row>11</xdr:row>
      <xdr:rowOff>106680</xdr:rowOff>
    </xdr:to>
    <xdr:sp macro="" textlink="">
      <xdr:nvSpPr>
        <xdr:cNvPr id="2" name="Elips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628947-3F60-4892-A6DC-857E29EF10BD}"/>
            </a:ext>
          </a:extLst>
        </xdr:cNvPr>
        <xdr:cNvSpPr/>
      </xdr:nvSpPr>
      <xdr:spPr>
        <a:xfrm>
          <a:off x="8374380" y="236220"/>
          <a:ext cx="2768301" cy="26060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1"/>
            <a:t>VOLTAR AO MENU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</xdr:colOff>
      <xdr:row>0</xdr:row>
      <xdr:rowOff>320040</xdr:rowOff>
    </xdr:from>
    <xdr:to>
      <xdr:col>16</xdr:col>
      <xdr:colOff>390861</xdr:colOff>
      <xdr:row>6</xdr:row>
      <xdr:rowOff>304800</xdr:rowOff>
    </xdr:to>
    <xdr:sp macro="" textlink="">
      <xdr:nvSpPr>
        <xdr:cNvPr id="2" name="Elips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71437E-9692-438E-9819-8FAACB23C7E2}"/>
            </a:ext>
          </a:extLst>
        </xdr:cNvPr>
        <xdr:cNvSpPr/>
      </xdr:nvSpPr>
      <xdr:spPr>
        <a:xfrm>
          <a:off x="9204960" y="320040"/>
          <a:ext cx="2768301" cy="22783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1"/>
            <a:t>VOLTAR AO MENU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</xdr:colOff>
      <xdr:row>4</xdr:row>
      <xdr:rowOff>45721</xdr:rowOff>
    </xdr:from>
    <xdr:to>
      <xdr:col>6</xdr:col>
      <xdr:colOff>193963</xdr:colOff>
      <xdr:row>14</xdr:row>
      <xdr:rowOff>39517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274320" y="45721"/>
          <a:ext cx="2829098" cy="178796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solidFill>
                <a:schemeClr val="tx1"/>
              </a:solidFill>
            </a:rPr>
            <a:t>ACIDEZ</a:t>
          </a:r>
        </a:p>
      </xdr:txBody>
    </xdr:sp>
    <xdr:clientData/>
  </xdr:twoCellAnchor>
  <xdr:oneCellAnchor>
    <xdr:from>
      <xdr:col>3</xdr:col>
      <xdr:colOff>220980</xdr:colOff>
      <xdr:row>18</xdr:row>
      <xdr:rowOff>106680</xdr:rowOff>
    </xdr:from>
    <xdr:ext cx="184731" cy="264560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1440180" y="21183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11</xdr:col>
      <xdr:colOff>144780</xdr:colOff>
      <xdr:row>4</xdr:row>
      <xdr:rowOff>56856</xdr:rowOff>
    </xdr:from>
    <xdr:to>
      <xdr:col>14</xdr:col>
      <xdr:colOff>213360</xdr:colOff>
      <xdr:row>11</xdr:row>
      <xdr:rowOff>79716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6178435" y="56856"/>
          <a:ext cx="1855816" cy="1242060"/>
        </a:xfrm>
        <a:prstGeom prst="rect">
          <a:avLst/>
        </a:prstGeom>
        <a:solidFill>
          <a:srgbClr val="FFFF99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solidFill>
                <a:schemeClr val="tx1"/>
              </a:solidFill>
            </a:rPr>
            <a:t> FINALIZAÇÃO</a:t>
          </a:r>
        </a:p>
      </xdr:txBody>
    </xdr:sp>
    <xdr:clientData/>
  </xdr:twoCellAnchor>
  <xdr:twoCellAnchor>
    <xdr:from>
      <xdr:col>1</xdr:col>
      <xdr:colOff>182880</xdr:colOff>
      <xdr:row>6</xdr:row>
      <xdr:rowOff>129541</xdr:rowOff>
    </xdr:from>
    <xdr:to>
      <xdr:col>4</xdr:col>
      <xdr:colOff>0</xdr:colOff>
      <xdr:row>10</xdr:row>
      <xdr:rowOff>110837</xdr:rowOff>
    </xdr:to>
    <xdr:sp macro="" textlink="">
      <xdr:nvSpPr>
        <xdr:cNvPr id="5" name="Retângulo de cantos arredondados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335280" y="448196"/>
          <a:ext cx="1354975" cy="701732"/>
        </a:xfrm>
        <a:prstGeom prst="roundRect">
          <a:avLst/>
        </a:prstGeom>
        <a:solidFill>
          <a:srgbClr val="33CC33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/>
            <a:t>QUERO AUMENTAR A ACIDEZ DO TANQUE</a:t>
          </a:r>
        </a:p>
        <a:p>
          <a:pPr algn="ctr"/>
          <a:endParaRPr lang="pt-BR" sz="1050" b="1"/>
        </a:p>
      </xdr:txBody>
    </xdr:sp>
    <xdr:clientData/>
  </xdr:twoCellAnchor>
  <xdr:twoCellAnchor>
    <xdr:from>
      <xdr:col>6</xdr:col>
      <xdr:colOff>235528</xdr:colOff>
      <xdr:row>4</xdr:row>
      <xdr:rowOff>53341</xdr:rowOff>
    </xdr:from>
    <xdr:to>
      <xdr:col>11</xdr:col>
      <xdr:colOff>101208</xdr:colOff>
      <xdr:row>11</xdr:row>
      <xdr:rowOff>76200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3144983" y="53341"/>
          <a:ext cx="2989880" cy="1242059"/>
        </a:xfrm>
        <a:prstGeom prst="rect">
          <a:avLst/>
        </a:prstGeom>
        <a:solidFill>
          <a:srgbClr val="CC99FF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solidFill>
                <a:schemeClr val="tx1"/>
              </a:solidFill>
            </a:rPr>
            <a:t>VOLUME</a:t>
          </a:r>
          <a:r>
            <a:rPr lang="pt-BR" sz="2200" b="1" baseline="0">
              <a:solidFill>
                <a:schemeClr val="tx1"/>
              </a:solidFill>
            </a:rPr>
            <a:t> </a:t>
          </a:r>
          <a:r>
            <a:rPr lang="pt-BR" sz="2200" b="1">
              <a:solidFill>
                <a:schemeClr val="tx1"/>
              </a:solidFill>
            </a:rPr>
            <a:t>EMBALAGEM</a:t>
          </a:r>
        </a:p>
      </xdr:txBody>
    </xdr:sp>
    <xdr:clientData/>
  </xdr:twoCellAnchor>
  <xdr:twoCellAnchor>
    <xdr:from>
      <xdr:col>11</xdr:col>
      <xdr:colOff>198120</xdr:colOff>
      <xdr:row>6</xdr:row>
      <xdr:rowOff>91440</xdr:rowOff>
    </xdr:from>
    <xdr:to>
      <xdr:col>14</xdr:col>
      <xdr:colOff>144780</xdr:colOff>
      <xdr:row>10</xdr:row>
      <xdr:rowOff>99060</xdr:rowOff>
    </xdr:to>
    <xdr:sp macro="" textlink="">
      <xdr:nvSpPr>
        <xdr:cNvPr id="6" name="Retângulo de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6231775" y="410095"/>
          <a:ext cx="1733896" cy="728056"/>
        </a:xfrm>
        <a:prstGeom prst="round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>
              <a:solidFill>
                <a:schemeClr val="tx1"/>
              </a:solidFill>
            </a:rPr>
            <a:t>QUERO SABER QUANTO TEMPO FALTA PARA FINALIZAR O TANQUE</a:t>
          </a:r>
        </a:p>
        <a:p>
          <a:pPr algn="ctr"/>
          <a:endParaRPr lang="pt-BR" sz="1050" b="1">
            <a:solidFill>
              <a:schemeClr val="tx1"/>
            </a:solidFill>
          </a:endParaRPr>
        </a:p>
        <a:p>
          <a:pPr algn="ctr"/>
          <a:endParaRPr lang="pt-BR" sz="105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242002</xdr:colOff>
      <xdr:row>22</xdr:row>
      <xdr:rowOff>41654</xdr:rowOff>
    </xdr:from>
    <xdr:to>
      <xdr:col>18</xdr:col>
      <xdr:colOff>177910</xdr:colOff>
      <xdr:row>24</xdr:row>
      <xdr:rowOff>82495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3030922" y="3722114"/>
          <a:ext cx="7289208" cy="498041"/>
        </a:xfrm>
        <a:prstGeom prst="rect">
          <a:avLst/>
        </a:prstGeom>
        <a:solidFill>
          <a:srgbClr val="FF9393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864000" rtlCol="0" anchor="t"/>
        <a:lstStyle/>
        <a:p>
          <a:pPr algn="ctr"/>
          <a:r>
            <a:rPr lang="pt-BR" sz="2000" b="1">
              <a:solidFill>
                <a:schemeClr val="tx1"/>
              </a:solidFill>
            </a:rPr>
            <a:t> ZERAGEM DE EMBALAGEM  															</a:t>
          </a:r>
        </a:p>
      </xdr:txBody>
    </xdr:sp>
    <xdr:clientData/>
  </xdr:twoCellAnchor>
  <xdr:twoCellAnchor>
    <xdr:from>
      <xdr:col>6</xdr:col>
      <xdr:colOff>236220</xdr:colOff>
      <xdr:row>11</xdr:row>
      <xdr:rowOff>128546</xdr:rowOff>
    </xdr:from>
    <xdr:to>
      <xdr:col>18</xdr:col>
      <xdr:colOff>178904</xdr:colOff>
      <xdr:row>21</xdr:row>
      <xdr:rowOff>165652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3025140" y="1789706"/>
          <a:ext cx="7295984" cy="187352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bIns="0" rtlCol="0" anchor="t"/>
        <a:lstStyle/>
        <a:p>
          <a:pPr algn="ctr"/>
          <a:r>
            <a:rPr lang="pt-BR" sz="2200" b="1">
              <a:solidFill>
                <a:schemeClr val="tx1"/>
              </a:solidFill>
            </a:rPr>
            <a:t>     BRIX</a:t>
          </a:r>
        </a:p>
      </xdr:txBody>
    </xdr:sp>
    <xdr:clientData/>
  </xdr:twoCellAnchor>
  <xdr:twoCellAnchor>
    <xdr:from>
      <xdr:col>6</xdr:col>
      <xdr:colOff>288868</xdr:colOff>
      <xdr:row>6</xdr:row>
      <xdr:rowOff>99060</xdr:rowOff>
    </xdr:from>
    <xdr:to>
      <xdr:col>8</xdr:col>
      <xdr:colOff>464820</xdr:colOff>
      <xdr:row>10</xdr:row>
      <xdr:rowOff>137160</xdr:rowOff>
    </xdr:to>
    <xdr:sp macro="" textlink="">
      <xdr:nvSpPr>
        <xdr:cNvPr id="7" name="Retângulo de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3077788" y="1150620"/>
          <a:ext cx="1395152" cy="769620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/>
            <a:t>QUERO SABER O PESO LÍQUIDO</a:t>
          </a:r>
          <a:r>
            <a:rPr lang="pt-BR" sz="1000" b="1" baseline="0"/>
            <a:t> DAS EMBALAGENS 200ML</a:t>
          </a:r>
          <a:endParaRPr lang="pt-BR" sz="1000" b="1"/>
        </a:p>
        <a:p>
          <a:pPr algn="ctr"/>
          <a:endParaRPr lang="pt-BR" sz="1000" b="1"/>
        </a:p>
        <a:p>
          <a:pPr algn="ctr"/>
          <a:endParaRPr lang="pt-BR" sz="1000" b="1"/>
        </a:p>
      </xdr:txBody>
    </xdr:sp>
    <xdr:clientData/>
  </xdr:twoCellAnchor>
  <xdr:twoCellAnchor>
    <xdr:from>
      <xdr:col>11</xdr:col>
      <xdr:colOff>106016</xdr:colOff>
      <xdr:row>22</xdr:row>
      <xdr:rowOff>93880</xdr:rowOff>
    </xdr:from>
    <xdr:to>
      <xdr:col>18</xdr:col>
      <xdr:colOff>145774</xdr:colOff>
      <xdr:row>24</xdr:row>
      <xdr:rowOff>29486</xdr:rowOff>
    </xdr:to>
    <xdr:sp macro="" textlink="">
      <xdr:nvSpPr>
        <xdr:cNvPr id="11" name="Retângulo de cantos arredondados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6019136" y="3926740"/>
          <a:ext cx="4268858" cy="392806"/>
        </a:xfrm>
        <a:prstGeom prst="roundRect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rtlCol="0" anchor="ctr"/>
        <a:lstStyle/>
        <a:p>
          <a:pPr algn="ctr"/>
          <a:r>
            <a:rPr lang="pt-BR" sz="1050" b="1"/>
            <a:t>QUERO SABER QUANTO PRECISA FORMULAR PARA ZERAR EMBALAGEM</a:t>
          </a:r>
        </a:p>
        <a:p>
          <a:pPr algn="ctr"/>
          <a:endParaRPr lang="pt-BR" sz="1050" b="1"/>
        </a:p>
      </xdr:txBody>
    </xdr:sp>
    <xdr:clientData/>
  </xdr:twoCellAnchor>
  <xdr:twoCellAnchor>
    <xdr:from>
      <xdr:col>4</xdr:col>
      <xdr:colOff>66504</xdr:colOff>
      <xdr:row>6</xdr:row>
      <xdr:rowOff>114994</xdr:rowOff>
    </xdr:from>
    <xdr:to>
      <xdr:col>6</xdr:col>
      <xdr:colOff>90056</xdr:colOff>
      <xdr:row>10</xdr:row>
      <xdr:rowOff>117765</xdr:rowOff>
    </xdr:to>
    <xdr:sp macro="" textlink="">
      <xdr:nvSpPr>
        <xdr:cNvPr id="12" name="Retângulo de cantos arredondados 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1756759" y="433649"/>
          <a:ext cx="1242752" cy="723207"/>
        </a:xfrm>
        <a:prstGeom prst="roundRect">
          <a:avLst/>
        </a:prstGeom>
        <a:solidFill>
          <a:srgbClr val="33CC33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/>
            <a:t>QUERO</a:t>
          </a:r>
          <a:r>
            <a:rPr lang="pt-BR" sz="1050" b="1" baseline="0"/>
            <a:t> REDUZIR A ACIDEZ DO TANQUE </a:t>
          </a:r>
        </a:p>
        <a:p>
          <a:pPr algn="ctr"/>
          <a:endParaRPr lang="pt-BR" sz="1050" b="1"/>
        </a:p>
      </xdr:txBody>
    </xdr:sp>
    <xdr:clientData/>
  </xdr:twoCellAnchor>
  <xdr:twoCellAnchor>
    <xdr:from>
      <xdr:col>9</xdr:col>
      <xdr:colOff>358140</xdr:colOff>
      <xdr:row>13</xdr:row>
      <xdr:rowOff>60960</xdr:rowOff>
    </xdr:from>
    <xdr:to>
      <xdr:col>12</xdr:col>
      <xdr:colOff>312420</xdr:colOff>
      <xdr:row>16</xdr:row>
      <xdr:rowOff>53340</xdr:rowOff>
    </xdr:to>
    <xdr:sp macro="" textlink="">
      <xdr:nvSpPr>
        <xdr:cNvPr id="13" name="Retângulo de cantos arredondados 1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4975860" y="2087880"/>
          <a:ext cx="1859280" cy="723900"/>
        </a:xfrm>
        <a:prstGeom prst="roundRect">
          <a:avLst/>
        </a:prstGeom>
        <a:solidFill>
          <a:srgbClr val="0000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50" b="1">
              <a:solidFill>
                <a:schemeClr val="bg1"/>
              </a:solidFill>
              <a:latin typeface="+mn-lt"/>
              <a:ea typeface="+mn-ea"/>
              <a:cs typeface="+mn-cs"/>
            </a:rPr>
            <a:t>QUERO AUMENTAR O BRIX DO TANQUE COM AÇÚCAR CRISTAL </a:t>
          </a:r>
        </a:p>
        <a:p>
          <a:pPr marL="0" indent="0" algn="ctr"/>
          <a:endParaRPr lang="pt-BR" sz="105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372387</xdr:colOff>
      <xdr:row>13</xdr:row>
      <xdr:rowOff>69574</xdr:rowOff>
    </xdr:from>
    <xdr:to>
      <xdr:col>15</xdr:col>
      <xdr:colOff>364436</xdr:colOff>
      <xdr:row>16</xdr:row>
      <xdr:rowOff>72556</xdr:rowOff>
    </xdr:to>
    <xdr:sp macro="" textlink="">
      <xdr:nvSpPr>
        <xdr:cNvPr id="14" name="Retângulo de cantos arredondados 1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6895107" y="2096494"/>
          <a:ext cx="1782749" cy="734502"/>
        </a:xfrm>
        <a:prstGeom prst="roundRect">
          <a:avLst/>
        </a:prstGeom>
        <a:solidFill>
          <a:srgbClr val="0000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50" b="1">
              <a:solidFill>
                <a:schemeClr val="bg1"/>
              </a:solidFill>
              <a:latin typeface="+mn-lt"/>
              <a:ea typeface="+mn-ea"/>
              <a:cs typeface="+mn-cs"/>
            </a:rPr>
            <a:t>QUERO AUMENTAR O BRIX DO TANQUE COM AÇÚCAR LÍQUIDO </a:t>
          </a:r>
        </a:p>
        <a:p>
          <a:pPr marL="0" indent="0" algn="ctr"/>
          <a:endParaRPr lang="pt-BR" sz="1050" b="1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pt-BR" sz="105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416782</xdr:colOff>
      <xdr:row>13</xdr:row>
      <xdr:rowOff>85808</xdr:rowOff>
    </xdr:from>
    <xdr:to>
      <xdr:col>18</xdr:col>
      <xdr:colOff>119602</xdr:colOff>
      <xdr:row>16</xdr:row>
      <xdr:rowOff>61954</xdr:rowOff>
    </xdr:to>
    <xdr:sp macro="" textlink="">
      <xdr:nvSpPr>
        <xdr:cNvPr id="15" name="Retângulo de cantos arredondados 1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8730202" y="2112728"/>
          <a:ext cx="1531620" cy="707666"/>
        </a:xfrm>
        <a:prstGeom prst="roundRect">
          <a:avLst/>
        </a:prstGeom>
        <a:solidFill>
          <a:srgbClr val="0000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50" b="1">
              <a:solidFill>
                <a:schemeClr val="lt1"/>
              </a:solidFill>
              <a:latin typeface="+mn-lt"/>
              <a:ea typeface="+mn-ea"/>
              <a:cs typeface="+mn-cs"/>
            </a:rPr>
            <a:t>QUERO CONVERTER AÇÚCAR CRISTAL PARA LÍQUIDO </a:t>
          </a:r>
        </a:p>
        <a:p>
          <a:pPr marL="0" indent="0" algn="ctr"/>
          <a:endParaRPr lang="pt-BR" sz="1050" b="1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pt-BR" sz="105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297180</xdr:colOff>
      <xdr:row>13</xdr:row>
      <xdr:rowOff>53340</xdr:rowOff>
    </xdr:from>
    <xdr:to>
      <xdr:col>9</xdr:col>
      <xdr:colOff>300180</xdr:colOff>
      <xdr:row>16</xdr:row>
      <xdr:rowOff>45720</xdr:rowOff>
    </xdr:to>
    <xdr:sp macro="" textlink="">
      <xdr:nvSpPr>
        <xdr:cNvPr id="19" name="Retângulo de cantos arredondados 1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3086100" y="2080260"/>
          <a:ext cx="1831800" cy="723900"/>
        </a:xfrm>
        <a:prstGeom prst="roundRect">
          <a:avLst/>
        </a:prstGeom>
        <a:solidFill>
          <a:srgbClr val="0000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>
              <a:solidFill>
                <a:schemeClr val="bg1"/>
              </a:solidFill>
            </a:rPr>
            <a:t>QUERO AUMENTAR O BRIX DO TANQUE COM AÇÚCAR CRISTAL BATIDO</a:t>
          </a:r>
          <a:r>
            <a:rPr lang="pt-BR" sz="1050" b="1" baseline="0">
              <a:solidFill>
                <a:schemeClr val="bg1"/>
              </a:solidFill>
            </a:rPr>
            <a:t> </a:t>
          </a:r>
          <a:endParaRPr lang="pt-BR" sz="1050" b="1">
            <a:solidFill>
              <a:schemeClr val="bg1"/>
            </a:solidFill>
          </a:endParaRPr>
        </a:p>
        <a:p>
          <a:pPr algn="ctr"/>
          <a:endParaRPr lang="pt-BR" sz="1050" b="1" baseline="0">
            <a:solidFill>
              <a:schemeClr val="bg1"/>
            </a:solidFill>
          </a:endParaRPr>
        </a:p>
        <a:p>
          <a:pPr algn="ctr"/>
          <a:endParaRPr lang="pt-BR" sz="105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289559</xdr:colOff>
      <xdr:row>16</xdr:row>
      <xdr:rowOff>116289</xdr:rowOff>
    </xdr:from>
    <xdr:to>
      <xdr:col>9</xdr:col>
      <xdr:colOff>284920</xdr:colOff>
      <xdr:row>21</xdr:row>
      <xdr:rowOff>46051</xdr:rowOff>
    </xdr:to>
    <xdr:sp macro="" textlink="">
      <xdr:nvSpPr>
        <xdr:cNvPr id="21" name="Retângulo de cantos arredondados 2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3078479" y="2874729"/>
          <a:ext cx="1824161" cy="668902"/>
        </a:xfrm>
        <a:prstGeom prst="roundRect">
          <a:avLst/>
        </a:prstGeom>
        <a:solidFill>
          <a:srgbClr val="0000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/>
            <a:t>QUERO CONVERTER AÇÚCAR LÍQUIDO PARA CRISTAL </a:t>
          </a:r>
        </a:p>
        <a:p>
          <a:pPr algn="ctr"/>
          <a:endParaRPr lang="pt-BR" sz="1050" b="1" baseline="0"/>
        </a:p>
        <a:p>
          <a:pPr algn="ctr"/>
          <a:endParaRPr lang="pt-BR" sz="1050" b="1"/>
        </a:p>
      </xdr:txBody>
    </xdr:sp>
    <xdr:clientData/>
  </xdr:twoCellAnchor>
  <xdr:twoCellAnchor>
    <xdr:from>
      <xdr:col>9</xdr:col>
      <xdr:colOff>342900</xdr:colOff>
      <xdr:row>16</xdr:row>
      <xdr:rowOff>112312</xdr:rowOff>
    </xdr:from>
    <xdr:to>
      <xdr:col>12</xdr:col>
      <xdr:colOff>304800</xdr:colOff>
      <xdr:row>21</xdr:row>
      <xdr:rowOff>52677</xdr:rowOff>
    </xdr:to>
    <xdr:sp macro="" textlink="">
      <xdr:nvSpPr>
        <xdr:cNvPr id="22" name="Retângulo de cantos arredondados 2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4960620" y="2870752"/>
          <a:ext cx="1866900" cy="679505"/>
        </a:xfrm>
        <a:prstGeom prst="roundRect">
          <a:avLst/>
        </a:prstGeom>
        <a:solidFill>
          <a:srgbClr val="0000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50" b="1">
              <a:solidFill>
                <a:schemeClr val="bg1"/>
              </a:solidFill>
              <a:latin typeface="+mn-lt"/>
              <a:ea typeface="+mn-ea"/>
              <a:cs typeface="+mn-cs"/>
            </a:rPr>
            <a:t>QUERO SABER A QUANTIDADE DE AÇÚCAR BATIDO A SER PUXADA</a:t>
          </a:r>
        </a:p>
        <a:p>
          <a:pPr marL="0" indent="0" algn="ctr"/>
          <a:endParaRPr lang="pt-BR" sz="1050" b="1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pt-BR" sz="105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367085</xdr:colOff>
      <xdr:row>16</xdr:row>
      <xdr:rowOff>129540</xdr:rowOff>
    </xdr:from>
    <xdr:to>
      <xdr:col>15</xdr:col>
      <xdr:colOff>377687</xdr:colOff>
      <xdr:row>21</xdr:row>
      <xdr:rowOff>59303</xdr:rowOff>
    </xdr:to>
    <xdr:sp macro="" textlink="">
      <xdr:nvSpPr>
        <xdr:cNvPr id="23" name="Retângulo de cantos arredondados 2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6889805" y="2887980"/>
          <a:ext cx="1801302" cy="668903"/>
        </a:xfrm>
        <a:prstGeom prst="roundRect">
          <a:avLst/>
        </a:prstGeom>
        <a:solidFill>
          <a:srgbClr val="0000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pt-BR" sz="1050" b="1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pt-BR" sz="1050" b="1">
              <a:solidFill>
                <a:schemeClr val="bg1"/>
              </a:solidFill>
              <a:latin typeface="+mn-lt"/>
              <a:ea typeface="+mn-ea"/>
              <a:cs typeface="+mn-cs"/>
            </a:rPr>
            <a:t>QUERO DIMINUIR O BRIX DO TANQUE</a:t>
          </a:r>
        </a:p>
        <a:p>
          <a:pPr marL="0" indent="0" algn="ctr"/>
          <a:endParaRPr lang="pt-BR" sz="1050" b="1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pt-BR" sz="105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431026</xdr:colOff>
      <xdr:row>16</xdr:row>
      <xdr:rowOff>112644</xdr:rowOff>
    </xdr:from>
    <xdr:to>
      <xdr:col>18</xdr:col>
      <xdr:colOff>106016</xdr:colOff>
      <xdr:row>21</xdr:row>
      <xdr:rowOff>72555</xdr:rowOff>
    </xdr:to>
    <xdr:sp macro="" textlink="">
      <xdr:nvSpPr>
        <xdr:cNvPr id="32" name="Retângulo de cantos arredondados 31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8744446" y="2871084"/>
          <a:ext cx="1503790" cy="699051"/>
        </a:xfrm>
        <a:prstGeom prst="roundRect">
          <a:avLst/>
        </a:prstGeom>
        <a:solidFill>
          <a:srgbClr val="0000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50" b="1">
              <a:solidFill>
                <a:schemeClr val="lt1"/>
              </a:solidFill>
              <a:latin typeface="+mn-lt"/>
              <a:ea typeface="+mn-ea"/>
              <a:cs typeface="+mn-cs"/>
            </a:rPr>
            <a:t>PREVISÃO DO BRIX FINAL DA FORMULAÇÃO</a:t>
          </a:r>
        </a:p>
        <a:p>
          <a:pPr marL="0" indent="0" algn="ctr"/>
          <a:endParaRPr lang="pt-BR" sz="1050" b="1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pt-BR" sz="105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592974</xdr:colOff>
      <xdr:row>10</xdr:row>
      <xdr:rowOff>168332</xdr:rowOff>
    </xdr:from>
    <xdr:to>
      <xdr:col>5</xdr:col>
      <xdr:colOff>200891</xdr:colOff>
      <xdr:row>13</xdr:row>
      <xdr:rowOff>193963</xdr:rowOff>
    </xdr:to>
    <xdr:sp macro="" textlink="">
      <xdr:nvSpPr>
        <xdr:cNvPr id="33" name="Retângulo de cantos arredondados 32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1064029" y="1207423"/>
          <a:ext cx="1436717" cy="565958"/>
        </a:xfrm>
        <a:prstGeom prst="roundRect">
          <a:avLst/>
        </a:prstGeom>
        <a:solidFill>
          <a:srgbClr val="33CC33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/>
            <a:t>PREVISÃO DA ACIDEZ DA FORMULAÇÃO</a:t>
          </a:r>
        </a:p>
        <a:p>
          <a:pPr algn="ctr"/>
          <a:endParaRPr lang="pt-BR" sz="1050" b="1"/>
        </a:p>
      </xdr:txBody>
    </xdr:sp>
    <xdr:clientData/>
  </xdr:twoCellAnchor>
  <xdr:twoCellAnchor>
    <xdr:from>
      <xdr:col>17</xdr:col>
      <xdr:colOff>149629</xdr:colOff>
      <xdr:row>4</xdr:row>
      <xdr:rowOff>60267</xdr:rowOff>
    </xdr:from>
    <xdr:to>
      <xdr:col>21</xdr:col>
      <xdr:colOff>34637</xdr:colOff>
      <xdr:row>11</xdr:row>
      <xdr:rowOff>76200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9682249" y="60267"/>
          <a:ext cx="2224348" cy="1250373"/>
        </a:xfrm>
        <a:prstGeom prst="rect">
          <a:avLst/>
        </a:prstGeom>
        <a:solidFill>
          <a:schemeClr val="bg2">
            <a:lumMod val="75000"/>
            <a:alpha val="67059"/>
          </a:schemeClr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solidFill>
                <a:schemeClr val="tx1"/>
              </a:solidFill>
            </a:rPr>
            <a:t>PERDA DE BASE</a:t>
          </a:r>
        </a:p>
      </xdr:txBody>
    </xdr:sp>
    <xdr:clientData/>
  </xdr:twoCellAnchor>
  <xdr:twoCellAnchor>
    <xdr:from>
      <xdr:col>17</xdr:col>
      <xdr:colOff>225831</xdr:colOff>
      <xdr:row>6</xdr:row>
      <xdr:rowOff>101830</xdr:rowOff>
    </xdr:from>
    <xdr:to>
      <xdr:col>20</xdr:col>
      <xdr:colOff>484909</xdr:colOff>
      <xdr:row>10</xdr:row>
      <xdr:rowOff>48491</xdr:rowOff>
    </xdr:to>
    <xdr:sp macro="" textlink="">
      <xdr:nvSpPr>
        <xdr:cNvPr id="35" name="Retângulo de cantos arredondados 3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/>
      </xdr:nvSpPr>
      <xdr:spPr>
        <a:xfrm>
          <a:off x="9750831" y="420485"/>
          <a:ext cx="2087878" cy="667097"/>
        </a:xfrm>
        <a:prstGeom prst="roundRect">
          <a:avLst/>
        </a:prstGeom>
        <a:solidFill>
          <a:schemeClr val="accent3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/>
            <a:t>QUERO SABER</a:t>
          </a:r>
          <a:r>
            <a:rPr lang="pt-BR" sz="1050" b="1" baseline="0"/>
            <a:t> QUANTO PERDEU DE BASE NA HORA DE VIRAR</a:t>
          </a:r>
          <a:endParaRPr lang="pt-BR" sz="1050" b="1"/>
        </a:p>
        <a:p>
          <a:pPr algn="ctr"/>
          <a:endParaRPr lang="pt-BR" sz="1050" b="1"/>
        </a:p>
        <a:p>
          <a:pPr algn="ctr"/>
          <a:endParaRPr lang="pt-BR" sz="1050" b="1"/>
        </a:p>
        <a:p>
          <a:pPr algn="ctr"/>
          <a:endParaRPr lang="pt-BR" sz="1050" b="1"/>
        </a:p>
      </xdr:txBody>
    </xdr:sp>
    <xdr:clientData/>
  </xdr:twoCellAnchor>
  <xdr:twoCellAnchor>
    <xdr:from>
      <xdr:col>14</xdr:col>
      <xdr:colOff>257322</xdr:colOff>
      <xdr:row>4</xdr:row>
      <xdr:rowOff>63306</xdr:rowOff>
    </xdr:from>
    <xdr:to>
      <xdr:col>17</xdr:col>
      <xdr:colOff>99646</xdr:colOff>
      <xdr:row>11</xdr:row>
      <xdr:rowOff>82062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/>
      </xdr:nvSpPr>
      <xdr:spPr>
        <a:xfrm>
          <a:off x="8078213" y="63306"/>
          <a:ext cx="1671124" cy="1237956"/>
        </a:xfrm>
        <a:prstGeom prst="rect">
          <a:avLst/>
        </a:prstGeom>
        <a:solidFill>
          <a:srgbClr val="FFCA33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solidFill>
                <a:schemeClr val="tx1"/>
              </a:solidFill>
            </a:rPr>
            <a:t>VITAMINA</a:t>
          </a:r>
          <a:r>
            <a:rPr lang="pt-BR" sz="2200" b="1" baseline="0">
              <a:solidFill>
                <a:schemeClr val="tx1"/>
              </a:solidFill>
            </a:rPr>
            <a:t> C</a:t>
          </a:r>
          <a:endParaRPr lang="pt-BR" sz="22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302453</xdr:colOff>
      <xdr:row>6</xdr:row>
      <xdr:rowOff>103165</xdr:rowOff>
    </xdr:from>
    <xdr:to>
      <xdr:col>17</xdr:col>
      <xdr:colOff>64476</xdr:colOff>
      <xdr:row>10</xdr:row>
      <xdr:rowOff>41032</xdr:rowOff>
    </xdr:to>
    <xdr:sp macro="" textlink="">
      <xdr:nvSpPr>
        <xdr:cNvPr id="40" name="Retângulo de cantos arredondados 39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/>
      </xdr:nvSpPr>
      <xdr:spPr>
        <a:xfrm>
          <a:off x="8123344" y="421820"/>
          <a:ext cx="1590823" cy="658303"/>
        </a:xfrm>
        <a:prstGeom prst="roundRect">
          <a:avLst/>
        </a:prstGeom>
        <a:solidFill>
          <a:schemeClr val="accent4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>
              <a:solidFill>
                <a:schemeClr val="tx1"/>
              </a:solidFill>
            </a:rPr>
            <a:t>QUERO AUMENTAR A VITAMINA C NO TANQUE</a:t>
          </a:r>
        </a:p>
        <a:p>
          <a:pPr algn="ctr"/>
          <a:endParaRPr lang="pt-BR" sz="1050" b="1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73160</xdr:colOff>
      <xdr:row>4</xdr:row>
      <xdr:rowOff>62256</xdr:rowOff>
    </xdr:from>
    <xdr:to>
      <xdr:col>23</xdr:col>
      <xdr:colOff>384464</xdr:colOff>
      <xdr:row>14</xdr:row>
      <xdr:rowOff>160020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11945120" y="62256"/>
          <a:ext cx="1530504" cy="1911324"/>
        </a:xfrm>
        <a:prstGeom prst="rect">
          <a:avLst/>
        </a:prstGeom>
        <a:solidFill>
          <a:srgbClr val="FF99FF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solidFill>
                <a:schemeClr val="tx1"/>
              </a:solidFill>
            </a:rPr>
            <a:t>C.I.P.</a:t>
          </a:r>
          <a:br>
            <a:rPr lang="pt-BR" sz="2200" b="1">
              <a:solidFill>
                <a:schemeClr val="tx1"/>
              </a:solidFill>
            </a:rPr>
          </a:br>
          <a:r>
            <a:rPr lang="pt-BR" sz="1200" b="1" i="1" u="sng">
              <a:solidFill>
                <a:schemeClr val="tx1"/>
              </a:solidFill>
            </a:rPr>
            <a:t>MÉTODO</a:t>
          </a:r>
          <a:r>
            <a:rPr lang="pt-BR" sz="1200" b="1" i="1" u="sng" baseline="0">
              <a:solidFill>
                <a:schemeClr val="tx1"/>
              </a:solidFill>
            </a:rPr>
            <a:t> ANTIGO</a:t>
          </a:r>
          <a:r>
            <a:rPr lang="pt-BR" sz="2300" b="1">
              <a:solidFill>
                <a:schemeClr val="tx1"/>
              </a:solidFill>
            </a:rPr>
            <a:t>									    </a:t>
          </a:r>
        </a:p>
      </xdr:txBody>
    </xdr:sp>
    <xdr:clientData/>
  </xdr:twoCellAnchor>
  <xdr:twoCellAnchor>
    <xdr:from>
      <xdr:col>21</xdr:col>
      <xdr:colOff>108065</xdr:colOff>
      <xdr:row>10</xdr:row>
      <xdr:rowOff>163484</xdr:rowOff>
    </xdr:from>
    <xdr:to>
      <xdr:col>23</xdr:col>
      <xdr:colOff>302028</xdr:colOff>
      <xdr:row>14</xdr:row>
      <xdr:rowOff>9005</xdr:rowOff>
    </xdr:to>
    <xdr:sp macro="" textlink="">
      <xdr:nvSpPr>
        <xdr:cNvPr id="27" name="Retângulo de cantos arredondados 26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11980025" y="1215044"/>
          <a:ext cx="1413163" cy="607521"/>
        </a:xfrm>
        <a:prstGeom prst="roundRect">
          <a:avLst/>
        </a:prstGeom>
        <a:solidFill>
          <a:srgbClr val="FF00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/>
            <a:t>QUERO CALCULAR A SODA</a:t>
          </a:r>
        </a:p>
        <a:p>
          <a:pPr algn="ctr"/>
          <a:endParaRPr lang="pt-BR" sz="1050" b="1"/>
        </a:p>
      </xdr:txBody>
    </xdr:sp>
    <xdr:clientData/>
  </xdr:twoCellAnchor>
  <xdr:twoCellAnchor>
    <xdr:from>
      <xdr:col>21</xdr:col>
      <xdr:colOff>104602</xdr:colOff>
      <xdr:row>7</xdr:row>
      <xdr:rowOff>134391</xdr:rowOff>
    </xdr:from>
    <xdr:to>
      <xdr:col>23</xdr:col>
      <xdr:colOff>331124</xdr:colOff>
      <xdr:row>10</xdr:row>
      <xdr:rowOff>106680</xdr:rowOff>
    </xdr:to>
    <xdr:sp macro="" textlink="">
      <xdr:nvSpPr>
        <xdr:cNvPr id="36" name="Retângulo de cantos arredondados 35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>
          <a:off x="11976562" y="637311"/>
          <a:ext cx="1445722" cy="520929"/>
        </a:xfrm>
        <a:prstGeom prst="roundRect">
          <a:avLst/>
        </a:prstGeom>
        <a:solidFill>
          <a:srgbClr val="FF00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/>
            <a:t>QUERO CALCULAR O ÁCIDO </a:t>
          </a:r>
        </a:p>
        <a:p>
          <a:pPr algn="ctr"/>
          <a:endParaRPr lang="pt-BR" sz="1050" b="1"/>
        </a:p>
      </xdr:txBody>
    </xdr:sp>
    <xdr:clientData/>
  </xdr:twoCellAnchor>
  <xdr:twoCellAnchor>
    <xdr:from>
      <xdr:col>1</xdr:col>
      <xdr:colOff>129540</xdr:colOff>
      <xdr:row>14</xdr:row>
      <xdr:rowOff>86591</xdr:rowOff>
    </xdr:from>
    <xdr:to>
      <xdr:col>6</xdr:col>
      <xdr:colOff>190500</xdr:colOff>
      <xdr:row>24</xdr:row>
      <xdr:rowOff>76200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/>
      </xdr:nvSpPr>
      <xdr:spPr>
        <a:xfrm>
          <a:off x="129540" y="2479271"/>
          <a:ext cx="2849880" cy="1886989"/>
        </a:xfrm>
        <a:prstGeom prst="rect">
          <a:avLst/>
        </a:prstGeom>
        <a:solidFill>
          <a:srgbClr val="CCFFFF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solidFill>
                <a:schemeClr val="tx1"/>
              </a:solidFill>
            </a:rPr>
            <a:t>LIBERAÇÃO / MEIOS</a:t>
          </a:r>
        </a:p>
      </xdr:txBody>
    </xdr:sp>
    <xdr:clientData/>
  </xdr:twoCellAnchor>
  <xdr:twoCellAnchor>
    <xdr:from>
      <xdr:col>1</xdr:col>
      <xdr:colOff>176645</xdr:colOff>
      <xdr:row>15</xdr:row>
      <xdr:rowOff>145474</xdr:rowOff>
    </xdr:from>
    <xdr:to>
      <xdr:col>3</xdr:col>
      <xdr:colOff>457200</xdr:colOff>
      <xdr:row>20</xdr:row>
      <xdr:rowOff>76200</xdr:rowOff>
    </xdr:to>
    <xdr:sp macro="" textlink="">
      <xdr:nvSpPr>
        <xdr:cNvPr id="39" name="Retângulo de cantos arredondados 38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/>
      </xdr:nvSpPr>
      <xdr:spPr>
        <a:xfrm>
          <a:off x="176645" y="2294314"/>
          <a:ext cx="1240675" cy="669866"/>
        </a:xfrm>
        <a:prstGeom prst="roundRect">
          <a:avLst/>
        </a:prstGeom>
        <a:solidFill>
          <a:srgbClr val="00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>
              <a:solidFill>
                <a:schemeClr val="tx1"/>
              </a:solidFill>
            </a:rPr>
            <a:t>QUERO CALCULAR A ACIDEZ</a:t>
          </a:r>
        </a:p>
        <a:p>
          <a:pPr algn="ctr"/>
          <a:endParaRPr lang="pt-BR" sz="105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146165</xdr:colOff>
      <xdr:row>15</xdr:row>
      <xdr:rowOff>144780</xdr:rowOff>
    </xdr:from>
    <xdr:to>
      <xdr:col>6</xdr:col>
      <xdr:colOff>121920</xdr:colOff>
      <xdr:row>20</xdr:row>
      <xdr:rowOff>83820</xdr:rowOff>
    </xdr:to>
    <xdr:sp macro="" textlink="">
      <xdr:nvSpPr>
        <xdr:cNvPr id="43" name="Retângulo de cantos arredondados 42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1715885" y="2293620"/>
          <a:ext cx="1194955" cy="678180"/>
        </a:xfrm>
        <a:prstGeom prst="roundRect">
          <a:avLst/>
        </a:prstGeom>
        <a:solidFill>
          <a:srgbClr val="00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>
              <a:solidFill>
                <a:schemeClr val="tx1"/>
              </a:solidFill>
            </a:rPr>
            <a:t>QUERO CALCULAR A VITAMINA C</a:t>
          </a:r>
        </a:p>
        <a:p>
          <a:pPr algn="ctr"/>
          <a:endParaRPr lang="pt-BR" sz="1050" b="1">
            <a:solidFill>
              <a:schemeClr val="tx1"/>
            </a:solidFill>
          </a:endParaRPr>
        </a:p>
      </xdr:txBody>
    </xdr:sp>
    <xdr:clientData/>
  </xdr:twoCellAnchor>
  <xdr:oneCellAnchor>
    <xdr:from>
      <xdr:col>1</xdr:col>
      <xdr:colOff>96289</xdr:colOff>
      <xdr:row>12</xdr:row>
      <xdr:rowOff>146166</xdr:rowOff>
    </xdr:from>
    <xdr:ext cx="731675" cy="311496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C753EBC-1C08-0A54-0BAE-3AC27CC2B81D}"/>
            </a:ext>
          </a:extLst>
        </xdr:cNvPr>
        <xdr:cNvSpPr txBox="1"/>
      </xdr:nvSpPr>
      <xdr:spPr>
        <a:xfrm>
          <a:off x="248689" y="1545475"/>
          <a:ext cx="7316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700" b="1" i="1"/>
            <a:t>REVISADO EM </a:t>
          </a:r>
          <a:br>
            <a:rPr lang="pt-BR" sz="700" b="1" i="1"/>
          </a:br>
          <a:r>
            <a:rPr lang="pt-BR" sz="700" b="1" i="1"/>
            <a:t>27/10/23</a:t>
          </a:r>
        </a:p>
      </xdr:txBody>
    </xdr:sp>
    <xdr:clientData/>
  </xdr:oneCellAnchor>
  <xdr:oneCellAnchor>
    <xdr:from>
      <xdr:col>14</xdr:col>
      <xdr:colOff>198120</xdr:colOff>
      <xdr:row>10</xdr:row>
      <xdr:rowOff>86591</xdr:rowOff>
    </xdr:from>
    <xdr:ext cx="2088226" cy="320040"/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06D37F29-23B3-45E3-9133-340B3B958C11}"/>
            </a:ext>
          </a:extLst>
        </xdr:cNvPr>
        <xdr:cNvSpPr txBox="1"/>
      </xdr:nvSpPr>
      <xdr:spPr>
        <a:xfrm>
          <a:off x="8019011" y="1125682"/>
          <a:ext cx="2088226" cy="3200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700" b="1" i="1"/>
            <a:t>REVISADO EM  27/10/23</a:t>
          </a:r>
        </a:p>
      </xdr:txBody>
    </xdr:sp>
    <xdr:clientData/>
  </xdr:oneCellAnchor>
  <xdr:twoCellAnchor>
    <xdr:from>
      <xdr:col>2</xdr:col>
      <xdr:colOff>374765</xdr:colOff>
      <xdr:row>20</xdr:row>
      <xdr:rowOff>126077</xdr:rowOff>
    </xdr:from>
    <xdr:to>
      <xdr:col>5</xdr:col>
      <xdr:colOff>260465</xdr:colOff>
      <xdr:row>23</xdr:row>
      <xdr:rowOff>91440</xdr:rowOff>
    </xdr:to>
    <xdr:sp macro="" textlink="">
      <xdr:nvSpPr>
        <xdr:cNvPr id="9" name="Retângulo de cantos arredondados 42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9DD18D36-F18C-46D7-91AE-B9872AA981F2}"/>
            </a:ext>
          </a:extLst>
        </xdr:cNvPr>
        <xdr:cNvSpPr/>
      </xdr:nvSpPr>
      <xdr:spPr>
        <a:xfrm>
          <a:off x="694805" y="3014057"/>
          <a:ext cx="1744980" cy="514003"/>
        </a:xfrm>
        <a:prstGeom prst="roundRect">
          <a:avLst/>
        </a:prstGeom>
        <a:solidFill>
          <a:srgbClr val="00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>
              <a:solidFill>
                <a:schemeClr val="tx1"/>
              </a:solidFill>
            </a:rPr>
            <a:t>QUERO CALCULAR O BRIX CORRIGIDO</a:t>
          </a:r>
        </a:p>
        <a:p>
          <a:pPr algn="ctr"/>
          <a:endParaRPr lang="pt-BR" sz="1050" b="1">
            <a:solidFill>
              <a:schemeClr val="tx1"/>
            </a:solidFill>
          </a:endParaRPr>
        </a:p>
      </xdr:txBody>
    </xdr:sp>
    <xdr:clientData/>
  </xdr:twoCellAnchor>
  <xdr:oneCellAnchor>
    <xdr:from>
      <xdr:col>6</xdr:col>
      <xdr:colOff>205048</xdr:colOff>
      <xdr:row>10</xdr:row>
      <xdr:rowOff>76200</xdr:rowOff>
    </xdr:from>
    <xdr:ext cx="2026920" cy="201915"/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AD0E2DA7-35C0-487D-9AAD-F9DA13FE7C44}"/>
            </a:ext>
          </a:extLst>
        </xdr:cNvPr>
        <xdr:cNvSpPr txBox="1"/>
      </xdr:nvSpPr>
      <xdr:spPr>
        <a:xfrm>
          <a:off x="3114503" y="1115291"/>
          <a:ext cx="2026920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pt-BR" sz="700" b="1" i="1"/>
        </a:p>
      </xdr:txBody>
    </xdr:sp>
    <xdr:clientData/>
  </xdr:oneCellAnchor>
  <xdr:twoCellAnchor>
    <xdr:from>
      <xdr:col>8</xdr:col>
      <xdr:colOff>536650</xdr:colOff>
      <xdr:row>6</xdr:row>
      <xdr:rowOff>99060</xdr:rowOff>
    </xdr:from>
    <xdr:to>
      <xdr:col>11</xdr:col>
      <xdr:colOff>34637</xdr:colOff>
      <xdr:row>10</xdr:row>
      <xdr:rowOff>117231</xdr:rowOff>
    </xdr:to>
    <xdr:sp macro="" textlink="">
      <xdr:nvSpPr>
        <xdr:cNvPr id="18" name="Retângulo de cantos arredondados 6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EF69650-256F-4F96-971F-64A283AF8109}"/>
            </a:ext>
          </a:extLst>
        </xdr:cNvPr>
        <xdr:cNvSpPr/>
      </xdr:nvSpPr>
      <xdr:spPr>
        <a:xfrm>
          <a:off x="4665305" y="417715"/>
          <a:ext cx="1402987" cy="738607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/>
            <a:t>QUERO SABER O PESO LÍQUIDO</a:t>
          </a:r>
          <a:r>
            <a:rPr lang="pt-BR" sz="1050" b="1" baseline="0"/>
            <a:t> DAS EMBALAGENS 1L</a:t>
          </a:r>
          <a:endParaRPr lang="pt-BR" sz="1050" b="1"/>
        </a:p>
        <a:p>
          <a:pPr algn="ctr"/>
          <a:endParaRPr lang="pt-BR" sz="1050" b="1"/>
        </a:p>
        <a:p>
          <a:pPr algn="ctr"/>
          <a:endParaRPr lang="pt-BR" sz="1050" b="1"/>
        </a:p>
      </xdr:txBody>
    </xdr:sp>
    <xdr:clientData/>
  </xdr:twoCellAnchor>
  <xdr:oneCellAnchor>
    <xdr:from>
      <xdr:col>21</xdr:col>
      <xdr:colOff>78009</xdr:colOff>
      <xdr:row>14</xdr:row>
      <xdr:rowOff>195952</xdr:rowOff>
    </xdr:from>
    <xdr:ext cx="1529811" cy="1777628"/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0C4BBA2F-4B1C-420B-9A52-20F5CC47CCE2}"/>
            </a:ext>
          </a:extLst>
        </xdr:cNvPr>
        <xdr:cNvSpPr/>
      </xdr:nvSpPr>
      <xdr:spPr>
        <a:xfrm>
          <a:off x="11949969" y="2588632"/>
          <a:ext cx="1529811" cy="1777628"/>
        </a:xfrm>
        <a:prstGeom prst="rect">
          <a:avLst/>
        </a:prstGeom>
        <a:solidFill>
          <a:srgbClr val="FFCC99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108000" bIns="0" rtlCol="0" anchor="t">
          <a:noAutofit/>
        </a:bodyPr>
        <a:lstStyle/>
        <a:p>
          <a:pPr algn="ctr"/>
          <a:r>
            <a:rPr lang="pt-BR" sz="2200" b="1">
              <a:solidFill>
                <a:schemeClr val="tx1"/>
              </a:solidFill>
            </a:rPr>
            <a:t>    C.I.P.							</a:t>
          </a:r>
          <a:br>
            <a:rPr lang="pt-BR" sz="2200" b="1">
              <a:solidFill>
                <a:schemeClr val="tx1"/>
              </a:solidFill>
            </a:rPr>
          </a:br>
          <a:r>
            <a:rPr lang="pt-BR" sz="1200" b="1" i="1" u="sng">
              <a:solidFill>
                <a:schemeClr val="tx1"/>
              </a:solidFill>
            </a:rPr>
            <a:t>MÉTODO</a:t>
          </a:r>
          <a:r>
            <a:rPr lang="pt-BR" sz="1200" b="1" i="1" u="sng" baseline="0">
              <a:solidFill>
                <a:schemeClr val="tx1"/>
              </a:solidFill>
            </a:rPr>
            <a:t> DIVERSEY</a:t>
          </a:r>
          <a:r>
            <a:rPr lang="pt-BR" sz="2300" b="1">
              <a:solidFill>
                <a:schemeClr val="tx1"/>
              </a:solidFill>
            </a:rPr>
            <a:t>									    </a:t>
          </a:r>
        </a:p>
      </xdr:txBody>
    </xdr:sp>
    <xdr:clientData/>
  </xdr:oneCellAnchor>
  <xdr:oneCellAnchor>
    <xdr:from>
      <xdr:col>21</xdr:col>
      <xdr:colOff>150745</xdr:colOff>
      <xdr:row>15</xdr:row>
      <xdr:rowOff>160020</xdr:rowOff>
    </xdr:from>
    <xdr:ext cx="1327535" cy="487680"/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id="{73520DC4-F952-4D66-A016-F9E136BC5A2E}"/>
            </a:ext>
          </a:extLst>
        </xdr:cNvPr>
        <xdr:cNvSpPr/>
      </xdr:nvSpPr>
      <xdr:spPr>
        <a:xfrm>
          <a:off x="12022705" y="2308860"/>
          <a:ext cx="1327535" cy="487680"/>
        </a:xfrm>
        <a:prstGeom prst="rect">
          <a:avLst/>
        </a:prstGeom>
        <a:solidFill>
          <a:srgbClr val="FFCC99"/>
        </a:solidFill>
        <a:ln w="28575">
          <a:solidFill>
            <a:srgbClr val="FFCC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36000" rIns="0" bIns="36000" rtlCol="0" anchor="t">
          <a:noAutofit/>
        </a:bodyPr>
        <a:lstStyle/>
        <a:p>
          <a:pPr algn="ctr"/>
          <a:r>
            <a:rPr lang="pt-BR" sz="1200" b="1" i="1" u="sng">
              <a:solidFill>
                <a:schemeClr val="tx1"/>
              </a:solidFill>
            </a:rPr>
            <a:t>MÉTODO </a:t>
          </a:r>
          <a:r>
            <a:rPr lang="pt-BR" sz="1200" b="1" i="1" u="sng" baseline="0">
              <a:solidFill>
                <a:schemeClr val="tx1"/>
              </a:solidFill>
            </a:rPr>
            <a:t>DIVERSEY</a:t>
          </a:r>
          <a:r>
            <a:rPr lang="pt-BR" sz="2300" b="1">
              <a:solidFill>
                <a:schemeClr val="tx1"/>
              </a:solidFill>
            </a:rPr>
            <a:t>									    </a:t>
          </a:r>
        </a:p>
      </xdr:txBody>
    </xdr:sp>
    <xdr:clientData/>
  </xdr:oneCellAnchor>
  <xdr:twoCellAnchor>
    <xdr:from>
      <xdr:col>21</xdr:col>
      <xdr:colOff>133695</xdr:colOff>
      <xdr:row>21</xdr:row>
      <xdr:rowOff>4850</xdr:rowOff>
    </xdr:from>
    <xdr:to>
      <xdr:col>23</xdr:col>
      <xdr:colOff>327658</xdr:colOff>
      <xdr:row>23</xdr:row>
      <xdr:rowOff>155864</xdr:rowOff>
    </xdr:to>
    <xdr:sp macro="" textlink="">
      <xdr:nvSpPr>
        <xdr:cNvPr id="42" name="Retângulo de cantos arredondados 26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7CD36BB6-E42C-4515-A0FF-3B31A0313497}"/>
            </a:ext>
          </a:extLst>
        </xdr:cNvPr>
        <xdr:cNvSpPr/>
      </xdr:nvSpPr>
      <xdr:spPr>
        <a:xfrm>
          <a:off x="12005655" y="3075710"/>
          <a:ext cx="1413163" cy="516774"/>
        </a:xfrm>
        <a:prstGeom prst="roundRect">
          <a:avLst/>
        </a:prstGeom>
        <a:solidFill>
          <a:srgbClr val="FF66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/>
            <a:t>QUERO CALCULAR A SODA</a:t>
          </a:r>
        </a:p>
        <a:p>
          <a:pPr algn="ctr"/>
          <a:endParaRPr lang="pt-BR" sz="1050" b="1"/>
        </a:p>
      </xdr:txBody>
    </xdr:sp>
    <xdr:clientData/>
  </xdr:twoCellAnchor>
  <xdr:twoCellAnchor>
    <xdr:from>
      <xdr:col>21</xdr:col>
      <xdr:colOff>132312</xdr:colOff>
      <xdr:row>17</xdr:row>
      <xdr:rowOff>24248</xdr:rowOff>
    </xdr:from>
    <xdr:to>
      <xdr:col>23</xdr:col>
      <xdr:colOff>335280</xdr:colOff>
      <xdr:row>20</xdr:row>
      <xdr:rowOff>141316</xdr:rowOff>
    </xdr:to>
    <xdr:sp macro="" textlink="">
      <xdr:nvSpPr>
        <xdr:cNvPr id="44" name="Retângulo de cantos arredondados 35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671DB5FB-6868-4EA8-AC95-6AF028E5269D}"/>
            </a:ext>
          </a:extLst>
        </xdr:cNvPr>
        <xdr:cNvSpPr/>
      </xdr:nvSpPr>
      <xdr:spPr>
        <a:xfrm>
          <a:off x="12004272" y="2538848"/>
          <a:ext cx="1422168" cy="490448"/>
        </a:xfrm>
        <a:prstGeom prst="roundRect">
          <a:avLst/>
        </a:prstGeom>
        <a:solidFill>
          <a:srgbClr val="FF66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/>
            <a:t>QUERO CALCULAR O ÁCIDO </a:t>
          </a:r>
        </a:p>
        <a:p>
          <a:pPr algn="ctr"/>
          <a:endParaRPr lang="pt-BR" sz="1050" b="1"/>
        </a:p>
      </xdr:txBody>
    </xdr:sp>
    <xdr:clientData/>
  </xdr:twoCellAnchor>
  <xdr:oneCellAnchor>
    <xdr:from>
      <xdr:col>18</xdr:col>
      <xdr:colOff>220979</xdr:colOff>
      <xdr:row>11</xdr:row>
      <xdr:rowOff>134992</xdr:rowOff>
    </xdr:from>
    <xdr:ext cx="1531621" cy="2425328"/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id="{4D0AE9FD-FC7E-4AF9-AD25-AF93134379BE}"/>
            </a:ext>
          </a:extLst>
        </xdr:cNvPr>
        <xdr:cNvSpPr/>
      </xdr:nvSpPr>
      <xdr:spPr>
        <a:xfrm>
          <a:off x="10363199" y="1948552"/>
          <a:ext cx="1531621" cy="2425328"/>
        </a:xfrm>
        <a:prstGeom prst="rect">
          <a:avLst/>
        </a:prstGeom>
        <a:solidFill>
          <a:srgbClr val="969696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36000" bIns="324000" rtlCol="0" anchor="t">
          <a:noAutofit/>
        </a:bodyPr>
        <a:lstStyle/>
        <a:p>
          <a:pPr algn="ctr"/>
          <a:r>
            <a:rPr lang="pt-BR" sz="2300" b="1">
              <a:solidFill>
                <a:schemeClr val="tx1"/>
              </a:solidFill>
            </a:rPr>
            <a:t> </a:t>
          </a:r>
          <a:r>
            <a:rPr lang="pt-BR" sz="2300" b="1" baseline="0">
              <a:solidFill>
                <a:schemeClr val="tx1"/>
              </a:solidFill>
            </a:rPr>
            <a:t> </a:t>
          </a:r>
          <a:r>
            <a:rPr lang="pt-BR" sz="2300" b="1">
              <a:solidFill>
                <a:schemeClr val="tx1"/>
              </a:solidFill>
            </a:rPr>
            <a:t>RATIO							    </a:t>
          </a:r>
        </a:p>
      </xdr:txBody>
    </xdr:sp>
    <xdr:clientData/>
  </xdr:oneCellAnchor>
  <xdr:oneCellAnchor>
    <xdr:from>
      <xdr:col>21</xdr:col>
      <xdr:colOff>25631</xdr:colOff>
      <xdr:row>23</xdr:row>
      <xdr:rowOff>157942</xdr:rowOff>
    </xdr:from>
    <xdr:ext cx="2088226" cy="320040"/>
    <xdr:sp macro="" textlink="">
      <xdr:nvSpPr>
        <xdr:cNvPr id="48" name="CaixaDeTexto 47">
          <a:extLst>
            <a:ext uri="{FF2B5EF4-FFF2-40B4-BE49-F238E27FC236}">
              <a16:creationId xmlns:a16="http://schemas.microsoft.com/office/drawing/2014/main" id="{4D450DAF-EAD8-4115-A50B-D1ECD144B27B}"/>
            </a:ext>
          </a:extLst>
        </xdr:cNvPr>
        <xdr:cNvSpPr txBox="1"/>
      </xdr:nvSpPr>
      <xdr:spPr>
        <a:xfrm>
          <a:off x="11897591" y="4173682"/>
          <a:ext cx="2088226" cy="3200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700" b="1" i="1"/>
            <a:t>REVISADO EM  27/10/23</a:t>
          </a:r>
        </a:p>
      </xdr:txBody>
    </xdr:sp>
    <xdr:clientData/>
  </xdr:oneCellAnchor>
  <xdr:oneCellAnchor>
    <xdr:from>
      <xdr:col>6</xdr:col>
      <xdr:colOff>200891</xdr:colOff>
      <xdr:row>23</xdr:row>
      <xdr:rowOff>89362</xdr:rowOff>
    </xdr:from>
    <xdr:ext cx="2088226" cy="32004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0C238741-CF9B-4EEF-AD24-057337744F38}"/>
            </a:ext>
          </a:extLst>
        </xdr:cNvPr>
        <xdr:cNvSpPr txBox="1"/>
      </xdr:nvSpPr>
      <xdr:spPr>
        <a:xfrm>
          <a:off x="2989811" y="4105102"/>
          <a:ext cx="2088226" cy="3200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700" b="1" i="1"/>
            <a:t>REVISADO EM  27/10/23</a:t>
          </a:r>
        </a:p>
      </xdr:txBody>
    </xdr:sp>
    <xdr:clientData/>
  </xdr:oneCellAnchor>
  <xdr:oneCellAnchor>
    <xdr:from>
      <xdr:col>6</xdr:col>
      <xdr:colOff>200891</xdr:colOff>
      <xdr:row>10</xdr:row>
      <xdr:rowOff>89362</xdr:rowOff>
    </xdr:from>
    <xdr:ext cx="2088226" cy="320040"/>
    <xdr:sp macro="" textlink="">
      <xdr:nvSpPr>
        <xdr:cNvPr id="51" name="CaixaDeTexto 50">
          <a:extLst>
            <a:ext uri="{FF2B5EF4-FFF2-40B4-BE49-F238E27FC236}">
              <a16:creationId xmlns:a16="http://schemas.microsoft.com/office/drawing/2014/main" id="{70D66749-4048-4BE3-9BFD-06EF64C26216}"/>
            </a:ext>
          </a:extLst>
        </xdr:cNvPr>
        <xdr:cNvSpPr txBox="1"/>
      </xdr:nvSpPr>
      <xdr:spPr>
        <a:xfrm>
          <a:off x="2989811" y="1872442"/>
          <a:ext cx="2088226" cy="3200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700" b="1" i="1"/>
            <a:t>REVISADO EM  27/10/23</a:t>
          </a:r>
        </a:p>
      </xdr:txBody>
    </xdr:sp>
    <xdr:clientData/>
  </xdr:oneCellAnchor>
  <xdr:oneCellAnchor>
    <xdr:from>
      <xdr:col>11</xdr:col>
      <xdr:colOff>101831</xdr:colOff>
      <xdr:row>10</xdr:row>
      <xdr:rowOff>89362</xdr:rowOff>
    </xdr:from>
    <xdr:ext cx="2088226" cy="320040"/>
    <xdr:sp macro="" textlink="">
      <xdr:nvSpPr>
        <xdr:cNvPr id="52" name="CaixaDeTexto 51">
          <a:extLst>
            <a:ext uri="{FF2B5EF4-FFF2-40B4-BE49-F238E27FC236}">
              <a16:creationId xmlns:a16="http://schemas.microsoft.com/office/drawing/2014/main" id="{4DC2A6C0-88CD-451E-8715-CD90D059AD09}"/>
            </a:ext>
          </a:extLst>
        </xdr:cNvPr>
        <xdr:cNvSpPr txBox="1"/>
      </xdr:nvSpPr>
      <xdr:spPr>
        <a:xfrm>
          <a:off x="6014951" y="1872442"/>
          <a:ext cx="2088226" cy="3200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700" b="1" i="1"/>
            <a:t>REVISADO EM  27/10/23</a:t>
          </a:r>
        </a:p>
      </xdr:txBody>
    </xdr:sp>
    <xdr:clientData/>
  </xdr:oneCellAnchor>
  <xdr:oneCellAnchor>
    <xdr:from>
      <xdr:col>1</xdr:col>
      <xdr:colOff>86591</xdr:colOff>
      <xdr:row>23</xdr:row>
      <xdr:rowOff>165562</xdr:rowOff>
    </xdr:from>
    <xdr:ext cx="2088226" cy="223058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id="{01D43825-C2C7-4F03-812D-BC041B6C567A}"/>
            </a:ext>
          </a:extLst>
        </xdr:cNvPr>
        <xdr:cNvSpPr txBox="1"/>
      </xdr:nvSpPr>
      <xdr:spPr>
        <a:xfrm>
          <a:off x="86591" y="4181302"/>
          <a:ext cx="2088226" cy="2230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700" b="1" i="1"/>
            <a:t>REVISADO EM  27/10/23</a:t>
          </a:r>
        </a:p>
      </xdr:txBody>
    </xdr:sp>
    <xdr:clientData/>
  </xdr:oneCellAnchor>
  <xdr:twoCellAnchor>
    <xdr:from>
      <xdr:col>18</xdr:col>
      <xdr:colOff>275705</xdr:colOff>
      <xdr:row>13</xdr:row>
      <xdr:rowOff>102525</xdr:rowOff>
    </xdr:from>
    <xdr:to>
      <xdr:col>20</xdr:col>
      <xdr:colOff>469668</xdr:colOff>
      <xdr:row>15</xdr:row>
      <xdr:rowOff>91441</xdr:rowOff>
    </xdr:to>
    <xdr:sp macro="" textlink="">
      <xdr:nvSpPr>
        <xdr:cNvPr id="54" name="Retângulo de cantos arredondados 26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33AF5F2-6CB6-418C-A954-74E82EE9D06B}"/>
            </a:ext>
          </a:extLst>
        </xdr:cNvPr>
        <xdr:cNvSpPr/>
      </xdr:nvSpPr>
      <xdr:spPr>
        <a:xfrm>
          <a:off x="10417925" y="2441865"/>
          <a:ext cx="1413163" cy="537556"/>
        </a:xfrm>
        <a:prstGeom prst="round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/>
            <a:t>QUERO SABER ACIDEZ</a:t>
          </a:r>
          <a:r>
            <a:rPr lang="pt-BR" sz="1050" b="1" baseline="0"/>
            <a:t> PELO RATIO</a:t>
          </a:r>
          <a:endParaRPr lang="pt-BR" sz="1050" b="1"/>
        </a:p>
        <a:p>
          <a:pPr algn="ctr"/>
          <a:endParaRPr lang="pt-BR" sz="1050" b="1"/>
        </a:p>
      </xdr:txBody>
    </xdr:sp>
    <xdr:clientData/>
  </xdr:twoCellAnchor>
  <xdr:twoCellAnchor>
    <xdr:from>
      <xdr:col>18</xdr:col>
      <xdr:colOff>275705</xdr:colOff>
      <xdr:row>16</xdr:row>
      <xdr:rowOff>18705</xdr:rowOff>
    </xdr:from>
    <xdr:to>
      <xdr:col>20</xdr:col>
      <xdr:colOff>469668</xdr:colOff>
      <xdr:row>18</xdr:row>
      <xdr:rowOff>160021</xdr:rowOff>
    </xdr:to>
    <xdr:sp macro="" textlink="">
      <xdr:nvSpPr>
        <xdr:cNvPr id="55" name="Retângulo de cantos arredondados 26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5B86E25E-D461-4F9B-A5CE-4186EFAF6064}"/>
            </a:ext>
          </a:extLst>
        </xdr:cNvPr>
        <xdr:cNvSpPr/>
      </xdr:nvSpPr>
      <xdr:spPr>
        <a:xfrm>
          <a:off x="10417925" y="3089565"/>
          <a:ext cx="1413163" cy="507076"/>
        </a:xfrm>
        <a:prstGeom prst="round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/>
            <a:t>QUERO SABER BRIX</a:t>
          </a:r>
          <a:r>
            <a:rPr lang="pt-BR" sz="1050" b="1" baseline="0"/>
            <a:t> </a:t>
          </a:r>
        </a:p>
        <a:p>
          <a:pPr algn="ctr"/>
          <a:r>
            <a:rPr lang="pt-BR" sz="1050" b="1" baseline="0"/>
            <a:t>PELO RATIO</a:t>
          </a:r>
          <a:endParaRPr lang="pt-BR" sz="1050" b="1"/>
        </a:p>
        <a:p>
          <a:pPr algn="ctr"/>
          <a:endParaRPr lang="pt-BR" sz="1050" b="1"/>
        </a:p>
      </xdr:txBody>
    </xdr:sp>
    <xdr:clientData/>
  </xdr:twoCellAnchor>
  <xdr:twoCellAnchor>
    <xdr:from>
      <xdr:col>18</xdr:col>
      <xdr:colOff>275705</xdr:colOff>
      <xdr:row>20</xdr:row>
      <xdr:rowOff>79665</xdr:rowOff>
    </xdr:from>
    <xdr:to>
      <xdr:col>20</xdr:col>
      <xdr:colOff>469668</xdr:colOff>
      <xdr:row>23</xdr:row>
      <xdr:rowOff>53341</xdr:rowOff>
    </xdr:to>
    <xdr:sp macro="" textlink="">
      <xdr:nvSpPr>
        <xdr:cNvPr id="56" name="Retângulo de cantos arredondados 26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2C8E180D-C863-49C8-8B51-59062143309A}"/>
            </a:ext>
          </a:extLst>
        </xdr:cNvPr>
        <xdr:cNvSpPr/>
      </xdr:nvSpPr>
      <xdr:spPr>
        <a:xfrm>
          <a:off x="10417925" y="3706785"/>
          <a:ext cx="1413163" cy="522316"/>
        </a:xfrm>
        <a:prstGeom prst="round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/>
            <a:t>QUERO CALCULAR O RATIO</a:t>
          </a:r>
        </a:p>
        <a:p>
          <a:pPr algn="ctr"/>
          <a:endParaRPr lang="pt-BR" sz="1050" b="1"/>
        </a:p>
      </xdr:txBody>
    </xdr:sp>
    <xdr:clientData/>
  </xdr:twoCellAnchor>
  <xdr:oneCellAnchor>
    <xdr:from>
      <xdr:col>18</xdr:col>
      <xdr:colOff>185651</xdr:colOff>
      <xdr:row>23</xdr:row>
      <xdr:rowOff>165562</xdr:rowOff>
    </xdr:from>
    <xdr:ext cx="2088226" cy="32004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id="{824168DB-6133-47BE-BACB-3342C33D92C2}"/>
            </a:ext>
          </a:extLst>
        </xdr:cNvPr>
        <xdr:cNvSpPr txBox="1"/>
      </xdr:nvSpPr>
      <xdr:spPr>
        <a:xfrm>
          <a:off x="10327871" y="4181302"/>
          <a:ext cx="2088226" cy="3200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700" b="1" i="1"/>
            <a:t>REVISADO EM  27/10/23</a:t>
          </a:r>
        </a:p>
      </xdr:txBody>
    </xdr:sp>
    <xdr:clientData/>
  </xdr:oneCellAnchor>
  <xdr:oneCellAnchor>
    <xdr:from>
      <xdr:col>6</xdr:col>
      <xdr:colOff>193271</xdr:colOff>
      <xdr:row>20</xdr:row>
      <xdr:rowOff>180802</xdr:rowOff>
    </xdr:from>
    <xdr:ext cx="2088226" cy="32004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5FF74602-8EA9-42DE-97F4-E244089C19F7}"/>
            </a:ext>
          </a:extLst>
        </xdr:cNvPr>
        <xdr:cNvSpPr txBox="1"/>
      </xdr:nvSpPr>
      <xdr:spPr>
        <a:xfrm>
          <a:off x="2982191" y="3495502"/>
          <a:ext cx="2088226" cy="3200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700" b="1" i="1"/>
            <a:t>REVISADO EM  27/10/23</a:t>
          </a:r>
        </a:p>
      </xdr:txBody>
    </xdr:sp>
    <xdr:clientData/>
  </xdr:oneCellAnchor>
  <xdr:twoCellAnchor>
    <xdr:from>
      <xdr:col>1</xdr:col>
      <xdr:colOff>134120</xdr:colOff>
      <xdr:row>24</xdr:row>
      <xdr:rowOff>129540</xdr:rowOff>
    </xdr:from>
    <xdr:to>
      <xdr:col>6</xdr:col>
      <xdr:colOff>198120</xdr:colOff>
      <xdr:row>26</xdr:row>
      <xdr:rowOff>144780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C274CD4F-AAB6-4FB0-B13E-C06EBFE72668}"/>
            </a:ext>
          </a:extLst>
        </xdr:cNvPr>
        <xdr:cNvSpPr/>
      </xdr:nvSpPr>
      <xdr:spPr>
        <a:xfrm>
          <a:off x="134120" y="4267200"/>
          <a:ext cx="2852920" cy="487680"/>
        </a:xfrm>
        <a:prstGeom prst="rect">
          <a:avLst/>
        </a:prstGeom>
        <a:solidFill>
          <a:srgbClr val="F0F0F0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Ins="900000" rtlCol="0" anchor="t"/>
        <a:lstStyle/>
        <a:p>
          <a:pPr algn="ctr"/>
          <a:r>
            <a:rPr lang="pt-BR" sz="2200" b="1">
              <a:solidFill>
                <a:schemeClr val="tx1"/>
              </a:solidFill>
            </a:rPr>
            <a:t>PESO BRUTO</a:t>
          </a:r>
          <a:r>
            <a:rPr lang="pt-BR" sz="2300" b="1">
              <a:solidFill>
                <a:schemeClr val="tx1"/>
              </a:solidFill>
            </a:rPr>
            <a:t>								    </a:t>
          </a:r>
        </a:p>
      </xdr:txBody>
    </xdr:sp>
    <xdr:clientData/>
  </xdr:twoCellAnchor>
  <xdr:twoCellAnchor>
    <xdr:from>
      <xdr:col>6</xdr:col>
      <xdr:colOff>248420</xdr:colOff>
      <xdr:row>24</xdr:row>
      <xdr:rowOff>137160</xdr:rowOff>
    </xdr:from>
    <xdr:to>
      <xdr:col>11</xdr:col>
      <xdr:colOff>91440</xdr:colOff>
      <xdr:row>26</xdr:row>
      <xdr:rowOff>152400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id="{A253498B-D1C9-4D61-A161-126E32DEDC9E}"/>
            </a:ext>
          </a:extLst>
        </xdr:cNvPr>
        <xdr:cNvSpPr/>
      </xdr:nvSpPr>
      <xdr:spPr>
        <a:xfrm>
          <a:off x="3037340" y="4274820"/>
          <a:ext cx="2967220" cy="487680"/>
        </a:xfrm>
        <a:prstGeom prst="rect">
          <a:avLst/>
        </a:prstGeom>
        <a:gradFill flip="none" rotWithShape="1">
          <a:gsLst>
            <a:gs pos="0">
              <a:srgbClr val="FF99FF">
                <a:shade val="30000"/>
                <a:satMod val="115000"/>
              </a:srgbClr>
            </a:gs>
            <a:gs pos="50000">
              <a:srgbClr val="FF99FF">
                <a:shade val="67500"/>
                <a:satMod val="115000"/>
              </a:srgbClr>
            </a:gs>
            <a:gs pos="100000">
              <a:srgbClr val="FF99FF">
                <a:shade val="100000"/>
                <a:satMod val="115000"/>
              </a:srgbClr>
            </a:gs>
          </a:gsLst>
          <a:lin ang="5400000" scaled="1"/>
          <a:tileRect/>
        </a:gra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72000" rIns="1440000" rtlCol="0" anchor="t"/>
        <a:lstStyle/>
        <a:p>
          <a:pPr algn="ctr"/>
          <a:r>
            <a:rPr lang="pt-BR" sz="2200" b="1">
              <a:solidFill>
                <a:schemeClr val="tx1"/>
              </a:solidFill>
            </a:rPr>
            <a:t>DENSIDADE</a:t>
          </a:r>
          <a:endParaRPr lang="pt-BR" sz="2300" b="1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144780</xdr:colOff>
      <xdr:row>24</xdr:row>
      <xdr:rowOff>129540</xdr:rowOff>
    </xdr:from>
    <xdr:to>
      <xdr:col>18</xdr:col>
      <xdr:colOff>160020</xdr:colOff>
      <xdr:row>26</xdr:row>
      <xdr:rowOff>160020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id="{06869344-C59E-4BD9-91EA-293ED15958C9}"/>
            </a:ext>
          </a:extLst>
        </xdr:cNvPr>
        <xdr:cNvSpPr/>
      </xdr:nvSpPr>
      <xdr:spPr>
        <a:xfrm>
          <a:off x="6057900" y="4267200"/>
          <a:ext cx="4244340" cy="502920"/>
        </a:xfrm>
        <a:prstGeom prst="rect">
          <a:avLst/>
        </a:prstGeom>
        <a:solidFill>
          <a:srgbClr val="99FF33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72000" rIns="1800000" rtlCol="0" anchor="t"/>
        <a:lstStyle/>
        <a:p>
          <a:pPr algn="ctr"/>
          <a:r>
            <a:rPr lang="pt-BR" sz="1800" b="1">
              <a:solidFill>
                <a:schemeClr val="tx1"/>
              </a:solidFill>
            </a:rPr>
            <a:t>CORREÇÃO DE CORANTE</a:t>
          </a:r>
        </a:p>
      </xdr:txBody>
    </xdr:sp>
    <xdr:clientData/>
  </xdr:twoCellAnchor>
  <xdr:twoCellAnchor>
    <xdr:from>
      <xdr:col>4</xdr:col>
      <xdr:colOff>228600</xdr:colOff>
      <xdr:row>24</xdr:row>
      <xdr:rowOff>182880</xdr:rowOff>
    </xdr:from>
    <xdr:to>
      <xdr:col>6</xdr:col>
      <xdr:colOff>121920</xdr:colOff>
      <xdr:row>26</xdr:row>
      <xdr:rowOff>91440</xdr:rowOff>
    </xdr:to>
    <xdr:sp macro="" textlink="">
      <xdr:nvSpPr>
        <xdr:cNvPr id="70" name="Retângulo: Cantos Arredondados 69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4899B9F-8FAB-1D8D-25FF-738CA39F670A}"/>
            </a:ext>
          </a:extLst>
        </xdr:cNvPr>
        <xdr:cNvSpPr/>
      </xdr:nvSpPr>
      <xdr:spPr>
        <a:xfrm>
          <a:off x="1798320" y="4320540"/>
          <a:ext cx="1112520" cy="381000"/>
        </a:xfrm>
        <a:prstGeom prst="roundRect">
          <a:avLst/>
        </a:prstGeom>
        <a:solidFill>
          <a:schemeClr val="bg1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 b="1">
              <a:solidFill>
                <a:schemeClr val="tx1"/>
              </a:solidFill>
            </a:rPr>
            <a:t>CALCULAR</a:t>
          </a:r>
        </a:p>
      </xdr:txBody>
    </xdr:sp>
    <xdr:clientData/>
  </xdr:twoCellAnchor>
  <xdr:twoCellAnchor>
    <xdr:from>
      <xdr:col>8</xdr:col>
      <xdr:colOff>579120</xdr:colOff>
      <xdr:row>24</xdr:row>
      <xdr:rowOff>182880</xdr:rowOff>
    </xdr:from>
    <xdr:to>
      <xdr:col>10</xdr:col>
      <xdr:colOff>861060</xdr:colOff>
      <xdr:row>26</xdr:row>
      <xdr:rowOff>106680</xdr:rowOff>
    </xdr:to>
    <xdr:sp macro="" textlink="">
      <xdr:nvSpPr>
        <xdr:cNvPr id="71" name="Retângulo: Cantos Arredondados 70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177593C2-47C8-E39E-C498-57E34ADE37F7}"/>
            </a:ext>
          </a:extLst>
        </xdr:cNvPr>
        <xdr:cNvSpPr/>
      </xdr:nvSpPr>
      <xdr:spPr>
        <a:xfrm>
          <a:off x="4587240" y="4320540"/>
          <a:ext cx="1318260" cy="396240"/>
        </a:xfrm>
        <a:prstGeom prst="roundRect">
          <a:avLst/>
        </a:prstGeom>
        <a:solidFill>
          <a:srgbClr val="CC0099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CALCULAR</a:t>
          </a:r>
        </a:p>
      </xdr:txBody>
    </xdr:sp>
    <xdr:clientData/>
  </xdr:twoCellAnchor>
  <xdr:twoCellAnchor>
    <xdr:from>
      <xdr:col>15</xdr:col>
      <xdr:colOff>312420</xdr:colOff>
      <xdr:row>24</xdr:row>
      <xdr:rowOff>182880</xdr:rowOff>
    </xdr:from>
    <xdr:to>
      <xdr:col>17</xdr:col>
      <xdr:colOff>541020</xdr:colOff>
      <xdr:row>26</xdr:row>
      <xdr:rowOff>99060</xdr:rowOff>
    </xdr:to>
    <xdr:sp macro="" textlink="">
      <xdr:nvSpPr>
        <xdr:cNvPr id="72" name="Retângulo: Cantos Arredondados 71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A3AF3AA8-421E-2EED-3CBB-67663BFFEC9B}"/>
            </a:ext>
          </a:extLst>
        </xdr:cNvPr>
        <xdr:cNvSpPr/>
      </xdr:nvSpPr>
      <xdr:spPr>
        <a:xfrm>
          <a:off x="8625840" y="4320540"/>
          <a:ext cx="1447800" cy="388620"/>
        </a:xfrm>
        <a:prstGeom prst="roundRect">
          <a:avLst/>
        </a:prstGeom>
        <a:solidFill>
          <a:srgbClr val="008000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CALCULAR</a:t>
          </a:r>
        </a:p>
      </xdr:txBody>
    </xdr:sp>
    <xdr:clientData/>
  </xdr:twoCellAnchor>
  <xdr:oneCellAnchor>
    <xdr:from>
      <xdr:col>1</xdr:col>
      <xdr:colOff>71351</xdr:colOff>
      <xdr:row>25</xdr:row>
      <xdr:rowOff>157942</xdr:rowOff>
    </xdr:from>
    <xdr:ext cx="2088226" cy="320040"/>
    <xdr:sp macro="" textlink="">
      <xdr:nvSpPr>
        <xdr:cNvPr id="74" name="CaixaDeTexto 73">
          <a:extLst>
            <a:ext uri="{FF2B5EF4-FFF2-40B4-BE49-F238E27FC236}">
              <a16:creationId xmlns:a16="http://schemas.microsoft.com/office/drawing/2014/main" id="{66140195-6DE0-406F-890A-5204FD7B4845}"/>
            </a:ext>
          </a:extLst>
        </xdr:cNvPr>
        <xdr:cNvSpPr txBox="1"/>
      </xdr:nvSpPr>
      <xdr:spPr>
        <a:xfrm>
          <a:off x="71351" y="4585162"/>
          <a:ext cx="2088226" cy="3200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700" b="1" i="1"/>
            <a:t>REVISADO EM  27/10/23</a:t>
          </a:r>
        </a:p>
      </xdr:txBody>
    </xdr:sp>
    <xdr:clientData/>
  </xdr:oneCellAnchor>
  <xdr:oneCellAnchor>
    <xdr:from>
      <xdr:col>6</xdr:col>
      <xdr:colOff>193271</xdr:colOff>
      <xdr:row>25</xdr:row>
      <xdr:rowOff>165562</xdr:rowOff>
    </xdr:from>
    <xdr:ext cx="2088226" cy="320040"/>
    <xdr:sp macro="" textlink="">
      <xdr:nvSpPr>
        <xdr:cNvPr id="75" name="CaixaDeTexto 74">
          <a:extLst>
            <a:ext uri="{FF2B5EF4-FFF2-40B4-BE49-F238E27FC236}">
              <a16:creationId xmlns:a16="http://schemas.microsoft.com/office/drawing/2014/main" id="{E9858987-F293-4E1C-A9E8-BE2274327D15}"/>
            </a:ext>
          </a:extLst>
        </xdr:cNvPr>
        <xdr:cNvSpPr txBox="1"/>
      </xdr:nvSpPr>
      <xdr:spPr>
        <a:xfrm>
          <a:off x="2982191" y="4592782"/>
          <a:ext cx="2088226" cy="3200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700" b="1" i="1"/>
            <a:t>REVISADO EM  27/10/23</a:t>
          </a:r>
        </a:p>
      </xdr:txBody>
    </xdr:sp>
    <xdr:clientData/>
  </xdr:oneCellAnchor>
  <xdr:oneCellAnchor>
    <xdr:from>
      <xdr:col>11</xdr:col>
      <xdr:colOff>94211</xdr:colOff>
      <xdr:row>25</xdr:row>
      <xdr:rowOff>173182</xdr:rowOff>
    </xdr:from>
    <xdr:ext cx="2088226" cy="320040"/>
    <xdr:sp macro="" textlink="">
      <xdr:nvSpPr>
        <xdr:cNvPr id="76" name="CaixaDeTexto 75">
          <a:extLst>
            <a:ext uri="{FF2B5EF4-FFF2-40B4-BE49-F238E27FC236}">
              <a16:creationId xmlns:a16="http://schemas.microsoft.com/office/drawing/2014/main" id="{18740D05-BAE2-4E6F-B968-935EE1751EA5}"/>
            </a:ext>
          </a:extLst>
        </xdr:cNvPr>
        <xdr:cNvSpPr txBox="1"/>
      </xdr:nvSpPr>
      <xdr:spPr>
        <a:xfrm>
          <a:off x="6007331" y="4600402"/>
          <a:ext cx="2088226" cy="3200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700" b="1" i="1"/>
            <a:t>REVISADO EM  27/10/23</a:t>
          </a:r>
        </a:p>
      </xdr:txBody>
    </xdr:sp>
    <xdr:clientData/>
  </xdr:oneCellAnchor>
  <xdr:twoCellAnchor>
    <xdr:from>
      <xdr:col>18</xdr:col>
      <xdr:colOff>220980</xdr:colOff>
      <xdr:row>24</xdr:row>
      <xdr:rowOff>137160</xdr:rowOff>
    </xdr:from>
    <xdr:to>
      <xdr:col>24</xdr:col>
      <xdr:colOff>0</xdr:colOff>
      <xdr:row>26</xdr:row>
      <xdr:rowOff>167640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id="{A2D5F2BE-6264-470A-9F99-31A601D481CD}"/>
            </a:ext>
          </a:extLst>
        </xdr:cNvPr>
        <xdr:cNvSpPr/>
      </xdr:nvSpPr>
      <xdr:spPr>
        <a:xfrm>
          <a:off x="10363200" y="4274820"/>
          <a:ext cx="3124200" cy="50292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2052000" bIns="0" rtlCol="0" anchor="t"/>
        <a:lstStyle/>
        <a:p>
          <a:pPr algn="ctr"/>
          <a:r>
            <a:rPr lang="pt-BR" sz="1600" b="1">
              <a:solidFill>
                <a:schemeClr val="tx1"/>
              </a:solidFill>
            </a:rPr>
            <a:t>PREPARO</a:t>
          </a:r>
          <a:br>
            <a:rPr lang="pt-BR" sz="1600" b="1">
              <a:solidFill>
                <a:schemeClr val="tx1"/>
              </a:solidFill>
            </a:rPr>
          </a:br>
          <a:r>
            <a:rPr lang="pt-BR" sz="1600" b="1">
              <a:solidFill>
                <a:schemeClr val="tx1"/>
              </a:solidFill>
            </a:rPr>
            <a:t>DE SODA</a:t>
          </a:r>
        </a:p>
      </xdr:txBody>
    </xdr:sp>
    <xdr:clientData/>
  </xdr:twoCellAnchor>
  <xdr:twoCellAnchor>
    <xdr:from>
      <xdr:col>20</xdr:col>
      <xdr:colOff>190500</xdr:colOff>
      <xdr:row>24</xdr:row>
      <xdr:rowOff>190500</xdr:rowOff>
    </xdr:from>
    <xdr:to>
      <xdr:col>22</xdr:col>
      <xdr:colOff>335280</xdr:colOff>
      <xdr:row>26</xdr:row>
      <xdr:rowOff>106680</xdr:rowOff>
    </xdr:to>
    <xdr:sp macro="" textlink="">
      <xdr:nvSpPr>
        <xdr:cNvPr id="78" name="Retângulo: Cantos Arredondados 77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D218CB87-16AF-473D-9B0F-5309843A11F4}"/>
            </a:ext>
          </a:extLst>
        </xdr:cNvPr>
        <xdr:cNvSpPr/>
      </xdr:nvSpPr>
      <xdr:spPr>
        <a:xfrm>
          <a:off x="11551920" y="4328160"/>
          <a:ext cx="1264920" cy="388620"/>
        </a:xfrm>
        <a:prstGeom prst="roundRect">
          <a:avLst/>
        </a:prstGeom>
        <a:solidFill>
          <a:schemeClr val="accent2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CALCULAR</a:t>
          </a:r>
        </a:p>
      </xdr:txBody>
    </xdr:sp>
    <xdr:clientData/>
  </xdr:twoCellAnchor>
  <xdr:oneCellAnchor>
    <xdr:from>
      <xdr:col>22</xdr:col>
      <xdr:colOff>498071</xdr:colOff>
      <xdr:row>24</xdr:row>
      <xdr:rowOff>180802</xdr:rowOff>
    </xdr:from>
    <xdr:ext cx="721129" cy="482138"/>
    <xdr:sp macro="" textlink="">
      <xdr:nvSpPr>
        <xdr:cNvPr id="47" name="CaixaDeTexto 46">
          <a:extLst>
            <a:ext uri="{FF2B5EF4-FFF2-40B4-BE49-F238E27FC236}">
              <a16:creationId xmlns:a16="http://schemas.microsoft.com/office/drawing/2014/main" id="{916C3A6C-0CF8-4277-B268-DA21D9EF9762}"/>
            </a:ext>
          </a:extLst>
        </xdr:cNvPr>
        <xdr:cNvSpPr txBox="1"/>
      </xdr:nvSpPr>
      <xdr:spPr>
        <a:xfrm>
          <a:off x="12979631" y="4318462"/>
          <a:ext cx="721129" cy="4821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700" b="1" i="1"/>
            <a:t>REVISADO</a:t>
          </a:r>
          <a:br>
            <a:rPr lang="pt-BR" sz="700" b="1" i="1"/>
          </a:br>
          <a:r>
            <a:rPr lang="pt-BR" sz="700" b="1" i="1"/>
            <a:t>        EM  </a:t>
          </a:r>
          <a:br>
            <a:rPr lang="pt-BR" sz="700" b="1" i="1"/>
          </a:br>
          <a:r>
            <a:rPr lang="pt-BR" sz="700" b="1" i="1"/>
            <a:t>27/10/23</a:t>
          </a:r>
        </a:p>
      </xdr:txBody>
    </xdr:sp>
    <xdr:clientData/>
  </xdr:oneCellAnchor>
  <xdr:oneCellAnchor>
    <xdr:from>
      <xdr:col>17</xdr:col>
      <xdr:colOff>101831</xdr:colOff>
      <xdr:row>10</xdr:row>
      <xdr:rowOff>66502</xdr:rowOff>
    </xdr:from>
    <xdr:ext cx="2088226" cy="320040"/>
    <xdr:sp macro="" textlink="">
      <xdr:nvSpPr>
        <xdr:cNvPr id="79" name="CaixaDeTexto 78">
          <a:extLst>
            <a:ext uri="{FF2B5EF4-FFF2-40B4-BE49-F238E27FC236}">
              <a16:creationId xmlns:a16="http://schemas.microsoft.com/office/drawing/2014/main" id="{31FE74EA-53C5-4DA7-A196-95F9272432E0}"/>
            </a:ext>
          </a:extLst>
        </xdr:cNvPr>
        <xdr:cNvSpPr txBox="1"/>
      </xdr:nvSpPr>
      <xdr:spPr>
        <a:xfrm>
          <a:off x="9634451" y="1544782"/>
          <a:ext cx="2088226" cy="3200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700" b="1" i="1"/>
            <a:t>REVISADO EM  27/10/23</a:t>
          </a:r>
        </a:p>
      </xdr:txBody>
    </xdr:sp>
    <xdr:clientData/>
  </xdr:oneCellAnchor>
  <xdr:twoCellAnchor>
    <xdr:from>
      <xdr:col>24</xdr:col>
      <xdr:colOff>30480</xdr:colOff>
      <xdr:row>0</xdr:row>
      <xdr:rowOff>1</xdr:rowOff>
    </xdr:from>
    <xdr:to>
      <xdr:col>25</xdr:col>
      <xdr:colOff>144780</xdr:colOff>
      <xdr:row>14</xdr:row>
      <xdr:rowOff>137160</xdr:rowOff>
    </xdr:to>
    <xdr:sp macro="" textlink="">
      <xdr:nvSpPr>
        <xdr:cNvPr id="80" name="Retângulo: Cantos Arredondados 79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C3E14DC2-822D-0F19-BCEC-0CAE0183AC7D}"/>
            </a:ext>
          </a:extLst>
        </xdr:cNvPr>
        <xdr:cNvSpPr/>
      </xdr:nvSpPr>
      <xdr:spPr>
        <a:xfrm>
          <a:off x="13517880" y="1"/>
          <a:ext cx="723900" cy="2377439"/>
        </a:xfrm>
        <a:prstGeom prst="roundRect">
          <a:avLst/>
        </a:prstGeom>
        <a:solidFill>
          <a:srgbClr val="99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wordArtVert" rtlCol="0" anchor="t"/>
        <a:lstStyle/>
        <a:p>
          <a:pPr algn="l"/>
          <a:r>
            <a:rPr lang="pt-BR" sz="1300" b="1"/>
            <a:t>CÁLCULOS PRODUÇÃO </a:t>
          </a:r>
        </a:p>
      </xdr:txBody>
    </xdr:sp>
    <xdr:clientData/>
  </xdr:twoCellAnchor>
  <xdr:oneCellAnchor>
    <xdr:from>
      <xdr:col>24</xdr:col>
      <xdr:colOff>2771</xdr:colOff>
      <xdr:row>24</xdr:row>
      <xdr:rowOff>226522</xdr:rowOff>
    </xdr:from>
    <xdr:ext cx="721129" cy="299258"/>
    <xdr:sp macro="" textlink="">
      <xdr:nvSpPr>
        <xdr:cNvPr id="82" name="CaixaDeTexto 81">
          <a:extLst>
            <a:ext uri="{FF2B5EF4-FFF2-40B4-BE49-F238E27FC236}">
              <a16:creationId xmlns:a16="http://schemas.microsoft.com/office/drawing/2014/main" id="{9B828097-370F-4C85-8E2E-FEACBEC6CE23}"/>
            </a:ext>
          </a:extLst>
        </xdr:cNvPr>
        <xdr:cNvSpPr txBox="1"/>
      </xdr:nvSpPr>
      <xdr:spPr>
        <a:xfrm>
          <a:off x="13490171" y="4364182"/>
          <a:ext cx="721129" cy="2992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pt-BR" sz="650" b="1" i="1">
            <a:solidFill>
              <a:schemeClr val="bg1"/>
            </a:solidFill>
          </a:endParaRPr>
        </a:p>
      </xdr:txBody>
    </xdr:sp>
    <xdr:clientData/>
  </xdr:oneCellAnchor>
  <xdr:oneCellAnchor>
    <xdr:from>
      <xdr:col>24</xdr:col>
      <xdr:colOff>33251</xdr:colOff>
      <xdr:row>23</xdr:row>
      <xdr:rowOff>5542</xdr:rowOff>
    </xdr:from>
    <xdr:ext cx="721129" cy="482138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48A7968-F02A-49DC-B4D2-C24445D5F4ED}"/>
            </a:ext>
          </a:extLst>
        </xdr:cNvPr>
        <xdr:cNvSpPr txBox="1"/>
      </xdr:nvSpPr>
      <xdr:spPr>
        <a:xfrm>
          <a:off x="13520651" y="3868882"/>
          <a:ext cx="721129" cy="4821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700" b="1" i="1">
              <a:solidFill>
                <a:schemeClr val="bg1"/>
              </a:solidFill>
            </a:rPr>
            <a:t>REVISADO</a:t>
          </a:r>
          <a:br>
            <a:rPr lang="pt-BR" sz="700" b="1" i="1">
              <a:solidFill>
                <a:schemeClr val="bg1"/>
              </a:solidFill>
            </a:rPr>
          </a:br>
          <a:r>
            <a:rPr lang="pt-BR" sz="700" b="1" i="1">
              <a:solidFill>
                <a:schemeClr val="bg1"/>
              </a:solidFill>
            </a:rPr>
            <a:t>        EM  </a:t>
          </a:r>
          <a:br>
            <a:rPr lang="pt-BR" sz="700" b="1" i="1">
              <a:solidFill>
                <a:schemeClr val="bg1"/>
              </a:solidFill>
            </a:rPr>
          </a:br>
          <a:r>
            <a:rPr lang="pt-BR" sz="700" b="1" i="1">
              <a:solidFill>
                <a:schemeClr val="bg1"/>
              </a:solidFill>
            </a:rPr>
            <a:t>28/10/23</a:t>
          </a:r>
        </a:p>
      </xdr:txBody>
    </xdr:sp>
    <xdr:clientData/>
  </xdr:oneCellAnchor>
  <xdr:twoCellAnchor>
    <xdr:from>
      <xdr:col>24</xdr:col>
      <xdr:colOff>38100</xdr:colOff>
      <xdr:row>14</xdr:row>
      <xdr:rowOff>182881</xdr:rowOff>
    </xdr:from>
    <xdr:to>
      <xdr:col>25</xdr:col>
      <xdr:colOff>152400</xdr:colOff>
      <xdr:row>27</xdr:row>
      <xdr:rowOff>7620</xdr:rowOff>
    </xdr:to>
    <xdr:sp macro="" textlink="">
      <xdr:nvSpPr>
        <xdr:cNvPr id="10" name="Retângulo: Cantos Arredondados 9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CEEB9191-E8A4-489B-A0CB-D4B1F217BAD8}"/>
            </a:ext>
          </a:extLst>
        </xdr:cNvPr>
        <xdr:cNvSpPr/>
      </xdr:nvSpPr>
      <xdr:spPr>
        <a:xfrm>
          <a:off x="13525500" y="2423161"/>
          <a:ext cx="723900" cy="2377439"/>
        </a:xfrm>
        <a:prstGeom prst="roundRect">
          <a:avLst/>
        </a:prstGeom>
        <a:solidFill>
          <a:srgbClr val="99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wordArtVert" rtlCol="0" anchor="t"/>
        <a:lstStyle/>
        <a:p>
          <a:pPr algn="l"/>
          <a:r>
            <a:rPr lang="pt-BR" sz="1300" b="1"/>
            <a:t>CÁLCULOS PRODUÇÃO </a:t>
          </a:r>
        </a:p>
      </xdr:txBody>
    </xdr:sp>
    <xdr:clientData/>
  </xdr:twoCellAnchor>
  <xdr:oneCellAnchor>
    <xdr:from>
      <xdr:col>24</xdr:col>
      <xdr:colOff>114300</xdr:colOff>
      <xdr:row>12</xdr:row>
      <xdr:rowOff>160020</xdr:rowOff>
    </xdr:from>
    <xdr:ext cx="610936" cy="264560"/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67830C2E-8C89-7D2E-A046-85639C96A5EC}"/>
            </a:ext>
          </a:extLst>
        </xdr:cNvPr>
        <xdr:cNvSpPr txBox="1"/>
      </xdr:nvSpPr>
      <xdr:spPr>
        <a:xfrm>
          <a:off x="13601700" y="2004060"/>
          <a:ext cx="6109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chemeClr val="bg1"/>
              </a:solidFill>
            </a:rPr>
            <a:t>200 ML</a:t>
          </a:r>
        </a:p>
      </xdr:txBody>
    </xdr:sp>
    <xdr:clientData/>
  </xdr:oneCellAnchor>
  <xdr:oneCellAnchor>
    <xdr:from>
      <xdr:col>24</xdr:col>
      <xdr:colOff>114300</xdr:colOff>
      <xdr:row>25</xdr:row>
      <xdr:rowOff>15240</xdr:rowOff>
    </xdr:from>
    <xdr:ext cx="629981" cy="264560"/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80B15F0A-03AD-4349-A56C-D2015DDC4078}"/>
            </a:ext>
          </a:extLst>
        </xdr:cNvPr>
        <xdr:cNvSpPr txBox="1"/>
      </xdr:nvSpPr>
      <xdr:spPr>
        <a:xfrm>
          <a:off x="13601700" y="4442460"/>
          <a:ext cx="6299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chemeClr val="bg1"/>
              </a:solidFill>
            </a:rPr>
            <a:t>1 LITRO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449580</xdr:colOff>
      <xdr:row>1</xdr:row>
      <xdr:rowOff>53340</xdr:rowOff>
    </xdr:from>
    <xdr:to>
      <xdr:col>19</xdr:col>
      <xdr:colOff>169881</xdr:colOff>
      <xdr:row>8</xdr:row>
      <xdr:rowOff>38100</xdr:rowOff>
    </xdr:to>
    <xdr:sp macro="" textlink="">
      <xdr:nvSpPr>
        <xdr:cNvPr id="2" name="Elips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B4E926-6CA1-4655-9734-9A9B56F83D21}"/>
            </a:ext>
          </a:extLst>
        </xdr:cNvPr>
        <xdr:cNvSpPr/>
      </xdr:nvSpPr>
      <xdr:spPr>
        <a:xfrm>
          <a:off x="10949940" y="381000"/>
          <a:ext cx="2768301" cy="22783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1"/>
            <a:t>VOLTAR AO MENU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</xdr:colOff>
      <xdr:row>0</xdr:row>
      <xdr:rowOff>320040</xdr:rowOff>
    </xdr:from>
    <xdr:to>
      <xdr:col>16</xdr:col>
      <xdr:colOff>390861</xdr:colOff>
      <xdr:row>7</xdr:row>
      <xdr:rowOff>304800</xdr:rowOff>
    </xdr:to>
    <xdr:sp macro="" textlink="">
      <xdr:nvSpPr>
        <xdr:cNvPr id="2" name="Elips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B50AB1-D449-4473-9265-9D4963EDE142}"/>
            </a:ext>
          </a:extLst>
        </xdr:cNvPr>
        <xdr:cNvSpPr/>
      </xdr:nvSpPr>
      <xdr:spPr>
        <a:xfrm>
          <a:off x="9204960" y="320040"/>
          <a:ext cx="2768301" cy="17068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1"/>
            <a:t>VOLTAR AO MENU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</xdr:colOff>
      <xdr:row>0</xdr:row>
      <xdr:rowOff>320040</xdr:rowOff>
    </xdr:from>
    <xdr:to>
      <xdr:col>16</xdr:col>
      <xdr:colOff>390861</xdr:colOff>
      <xdr:row>7</xdr:row>
      <xdr:rowOff>304800</xdr:rowOff>
    </xdr:to>
    <xdr:sp macro="" textlink="">
      <xdr:nvSpPr>
        <xdr:cNvPr id="2" name="Elips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94031-911F-4743-8D3B-6CF001CF9D22}"/>
            </a:ext>
          </a:extLst>
        </xdr:cNvPr>
        <xdr:cNvSpPr/>
      </xdr:nvSpPr>
      <xdr:spPr>
        <a:xfrm>
          <a:off x="9204960" y="320040"/>
          <a:ext cx="2768301" cy="26060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1"/>
            <a:t>VOLTAR AO MENU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Y94"/>
  <sheetViews>
    <sheetView zoomScaleNormal="100" workbookViewId="0">
      <pane ySplit="5" topLeftCell="A6" activePane="bottomLeft" state="frozen"/>
      <selection pane="bottomLeft" activeCell="A7" sqref="A7:A13"/>
    </sheetView>
  </sheetViews>
  <sheetFormatPr defaultColWidth="15.6640625" defaultRowHeight="15" x14ac:dyDescent="0.3"/>
  <cols>
    <col min="1" max="1" width="13.5546875" style="1" customWidth="1"/>
    <col min="2" max="2" width="10.21875" style="1" hidden="1" customWidth="1"/>
    <col min="3" max="3" width="10" style="1" customWidth="1"/>
    <col min="4" max="4" width="10.33203125" style="1" hidden="1" customWidth="1"/>
    <col min="5" max="5" width="12.5546875" style="1" hidden="1" customWidth="1"/>
    <col min="6" max="6" width="13.44140625" style="1" customWidth="1"/>
    <col min="7" max="7" width="20.109375" style="1" customWidth="1"/>
    <col min="8" max="8" width="14.44140625" style="1" customWidth="1"/>
    <col min="9" max="9" width="16.44140625" style="1" customWidth="1"/>
    <col min="10" max="10" width="14.88671875" style="1" customWidth="1"/>
    <col min="11" max="11" width="14.33203125" style="1" customWidth="1"/>
    <col min="12" max="12" width="15" style="1" hidden="1" customWidth="1"/>
    <col min="13" max="13" width="19.88671875" style="1" hidden="1" customWidth="1"/>
    <col min="14" max="14" width="2.109375" style="21" customWidth="1"/>
    <col min="15" max="15" width="17.44140625" style="21" customWidth="1"/>
    <col min="16" max="16" width="12.21875" style="21" customWidth="1"/>
    <col min="17" max="25" width="15.6640625" style="21"/>
    <col min="26" max="16384" width="15.6640625" style="1"/>
  </cols>
  <sheetData>
    <row r="1" spans="1:25" ht="21" x14ac:dyDescent="0.3">
      <c r="A1" s="165" t="s">
        <v>34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</row>
    <row r="2" spans="1:25" ht="15" customHeight="1" x14ac:dyDescent="0.3">
      <c r="A2" s="163" t="s">
        <v>15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</row>
    <row r="3" spans="1:25" ht="10.199999999999999" customHeight="1" x14ac:dyDescent="0.3">
      <c r="A3" s="163"/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</row>
    <row r="4" spans="1:25" ht="18" customHeight="1" thickBot="1" x14ac:dyDescent="0.35">
      <c r="A4" s="200" t="s">
        <v>136</v>
      </c>
      <c r="B4" s="201"/>
      <c r="C4" s="201"/>
      <c r="D4" s="201"/>
      <c r="E4" s="202"/>
      <c r="F4" s="149" t="s">
        <v>89</v>
      </c>
      <c r="G4" s="176" t="s">
        <v>212</v>
      </c>
      <c r="H4" s="177"/>
      <c r="I4" s="178"/>
      <c r="J4" s="17">
        <v>1.0069999999999999</v>
      </c>
      <c r="K4" s="179"/>
      <c r="L4" s="180"/>
      <c r="M4" s="17"/>
      <c r="O4" s="168" t="s">
        <v>215</v>
      </c>
      <c r="P4" s="168"/>
      <c r="Q4" s="168"/>
    </row>
    <row r="5" spans="1:25" s="12" customFormat="1" ht="51" customHeight="1" thickBot="1" x14ac:dyDescent="0.35">
      <c r="A5" s="148" t="s">
        <v>0</v>
      </c>
      <c r="B5" s="148" t="s">
        <v>1</v>
      </c>
      <c r="C5" s="148" t="s">
        <v>13</v>
      </c>
      <c r="D5" s="148" t="s">
        <v>10</v>
      </c>
      <c r="E5" s="148" t="s">
        <v>2</v>
      </c>
      <c r="F5" s="148" t="s">
        <v>12</v>
      </c>
      <c r="G5" s="148" t="s">
        <v>217</v>
      </c>
      <c r="H5" s="148" t="s">
        <v>22</v>
      </c>
      <c r="I5" s="148" t="s">
        <v>27</v>
      </c>
      <c r="J5" s="148" t="s">
        <v>4</v>
      </c>
      <c r="K5" s="148" t="s">
        <v>5</v>
      </c>
      <c r="L5" s="11" t="s">
        <v>11</v>
      </c>
      <c r="M5" s="11" t="s">
        <v>6</v>
      </c>
      <c r="N5" s="22"/>
      <c r="O5" s="169" t="str">
        <f>IF(Q22&gt;0, "PRODUZIU A MAIS", "PRODUZIU A MENOS")</f>
        <v>PRODUZIU A MAIS</v>
      </c>
      <c r="P5" s="170"/>
      <c r="Q5" s="171"/>
      <c r="R5" s="22"/>
      <c r="S5" s="22"/>
      <c r="T5" s="22"/>
      <c r="U5" s="22"/>
      <c r="V5" s="22"/>
      <c r="W5" s="22"/>
      <c r="X5" s="22"/>
      <c r="Y5" s="22"/>
    </row>
    <row r="6" spans="1:25" s="14" customFormat="1" ht="10.199999999999999" hidden="1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23"/>
      <c r="O6" s="153"/>
      <c r="P6" s="153"/>
      <c r="Q6" s="153"/>
      <c r="R6" s="23"/>
      <c r="S6" s="23"/>
      <c r="T6" s="23"/>
      <c r="U6" s="23"/>
      <c r="V6" s="23"/>
      <c r="W6" s="23"/>
      <c r="X6" s="23"/>
      <c r="Y6" s="23"/>
    </row>
    <row r="7" spans="1:25" x14ac:dyDescent="0.3">
      <c r="A7" s="16">
        <v>17253</v>
      </c>
      <c r="B7" s="17">
        <v>610</v>
      </c>
      <c r="C7" s="149">
        <v>1</v>
      </c>
      <c r="D7" s="18">
        <v>0.6020833333333333</v>
      </c>
      <c r="E7" s="18">
        <v>0.79166666666666663</v>
      </c>
      <c r="F7" s="16">
        <v>83905</v>
      </c>
      <c r="G7" s="10">
        <f>IF(F7-F6&gt;0,(F7-F6),0)</f>
        <v>83905</v>
      </c>
      <c r="H7" s="10">
        <f>IF(F4="200ML",(A7/J4)/0.2,A7/J4)</f>
        <v>85665.342601787488</v>
      </c>
      <c r="I7" s="10">
        <f>H7-(H7*0.03)</f>
        <v>83095.382323733866</v>
      </c>
      <c r="J7" s="10">
        <f>(G7/J4)-H7</f>
        <v>-2343.5948361469636</v>
      </c>
      <c r="K7" s="10">
        <f>IF(F4="200ML",J7*0.2,J7)</f>
        <v>-468.71896722939277</v>
      </c>
      <c r="L7" s="15"/>
      <c r="M7" s="10"/>
      <c r="O7" s="195" t="s">
        <v>214</v>
      </c>
      <c r="P7" s="196"/>
      <c r="Q7" s="190">
        <f>SUM(A7:A21)</f>
        <v>100332</v>
      </c>
    </row>
    <row r="8" spans="1:25" x14ac:dyDescent="0.3">
      <c r="A8" s="16">
        <v>17510</v>
      </c>
      <c r="B8" s="17">
        <v>620</v>
      </c>
      <c r="C8" s="149">
        <v>2</v>
      </c>
      <c r="D8" s="18"/>
      <c r="E8" s="18"/>
      <c r="F8" s="16">
        <v>174884</v>
      </c>
      <c r="G8" s="10">
        <f>IF(F8-F7&gt;0,(F8-F7),0)</f>
        <v>90979</v>
      </c>
      <c r="H8" s="10">
        <f>IF(F4="200ML",(A8/J4)/0.2,A8/J4)</f>
        <v>86941.41012909633</v>
      </c>
      <c r="I8" s="10">
        <f t="shared" ref="I8:I22" si="0">H8-(H8*0.03)</f>
        <v>84333.167825223441</v>
      </c>
      <c r="J8" s="10">
        <f>(G8/J4)-H8</f>
        <v>3405.1638530288037</v>
      </c>
      <c r="K8" s="10">
        <f>IF(F4="200ML",J8*0.2,J8)</f>
        <v>681.03277060576079</v>
      </c>
      <c r="L8" s="15"/>
      <c r="M8" s="10"/>
      <c r="O8" s="197"/>
      <c r="P8" s="198"/>
      <c r="Q8" s="199"/>
    </row>
    <row r="9" spans="1:25" x14ac:dyDescent="0.3">
      <c r="A9" s="16">
        <v>10355</v>
      </c>
      <c r="B9" s="17">
        <v>610</v>
      </c>
      <c r="C9" s="149">
        <v>3</v>
      </c>
      <c r="D9" s="18"/>
      <c r="E9" s="18"/>
      <c r="F9" s="16">
        <v>230839</v>
      </c>
      <c r="G9" s="10">
        <f t="shared" ref="G9:G22" si="1">IF(F9-F8&gt;0,(F9-F8),0)</f>
        <v>55955</v>
      </c>
      <c r="H9" s="10">
        <f>IF(F4="200ML",(A9/J4)/0.2,A9/J4)</f>
        <v>51415.094339622643</v>
      </c>
      <c r="I9" s="10">
        <f t="shared" si="0"/>
        <v>49872.641509433961</v>
      </c>
      <c r="J9" s="10">
        <f>(G9/J4)-H9</f>
        <v>4150.9433962264229</v>
      </c>
      <c r="K9" s="10">
        <f>IF(F4="200ML",J9*0.2,J9)</f>
        <v>830.18867924528467</v>
      </c>
      <c r="L9" s="15"/>
      <c r="M9" s="10"/>
      <c r="O9" s="197" t="s">
        <v>213</v>
      </c>
      <c r="P9" s="198"/>
      <c r="Q9" s="166">
        <f>IF(F4="200ML",SUM(G7:G21)*0.2*J4,SUM(G7:G21))</f>
        <v>104014.84259999999</v>
      </c>
    </row>
    <row r="10" spans="1:25" ht="15.6" thickBot="1" x14ac:dyDescent="0.35">
      <c r="A10" s="16">
        <v>17255</v>
      </c>
      <c r="B10" s="17"/>
      <c r="C10" s="149">
        <v>4</v>
      </c>
      <c r="D10" s="18"/>
      <c r="E10" s="18"/>
      <c r="F10" s="16">
        <v>320311</v>
      </c>
      <c r="G10" s="10">
        <f t="shared" si="1"/>
        <v>89472</v>
      </c>
      <c r="H10" s="10">
        <f>IF(F4="200ML",(A10/J4)/0.2,A10/J4)</f>
        <v>85675.273088381335</v>
      </c>
      <c r="I10" s="10">
        <f t="shared" si="0"/>
        <v>83105.014895729895</v>
      </c>
      <c r="J10" s="10">
        <f>(G10/J4)-H10</f>
        <v>3174.7765640516445</v>
      </c>
      <c r="K10" s="10">
        <f>IF(F4="200ML",J10*0.2,J10)</f>
        <v>634.95531281032891</v>
      </c>
      <c r="L10" s="15"/>
      <c r="M10" s="10"/>
      <c r="O10" s="203"/>
      <c r="P10" s="204"/>
      <c r="Q10" s="181"/>
    </row>
    <row r="11" spans="1:25" ht="15.6" customHeight="1" thickBot="1" x14ac:dyDescent="0.35">
      <c r="A11" s="16">
        <v>17259</v>
      </c>
      <c r="B11" s="17"/>
      <c r="C11" s="149">
        <v>5</v>
      </c>
      <c r="D11" s="18"/>
      <c r="E11" s="18"/>
      <c r="F11" s="16">
        <v>407460</v>
      </c>
      <c r="G11" s="10">
        <f t="shared" si="1"/>
        <v>87149</v>
      </c>
      <c r="H11" s="10">
        <f>IF(F4="200ML",(A11/J4)/0.2,A11/J4)</f>
        <v>85695.134061569013</v>
      </c>
      <c r="I11" s="10">
        <f t="shared" si="0"/>
        <v>83124.28003972194</v>
      </c>
      <c r="J11" s="10">
        <f>(G11/J4)-H11</f>
        <v>848.06355511421862</v>
      </c>
      <c r="K11" s="10">
        <f>IF(F4="200ML",J11*0.2,J11)</f>
        <v>169.61271102284374</v>
      </c>
      <c r="L11" s="15"/>
      <c r="M11" s="10"/>
      <c r="O11" s="155"/>
      <c r="P11" s="155"/>
      <c r="Q11" s="155"/>
    </row>
    <row r="12" spans="1:25" ht="15" customHeight="1" x14ac:dyDescent="0.3">
      <c r="A12" s="16">
        <v>10350</v>
      </c>
      <c r="B12" s="17"/>
      <c r="C12" s="149">
        <v>6</v>
      </c>
      <c r="D12" s="18"/>
      <c r="E12" s="19"/>
      <c r="F12" s="16">
        <v>461865</v>
      </c>
      <c r="G12" s="10">
        <f t="shared" si="1"/>
        <v>54405</v>
      </c>
      <c r="H12" s="10">
        <f>IF(F4="200ML",(A12/J4)/0.2,A12/J4)</f>
        <v>51390.268123138034</v>
      </c>
      <c r="I12" s="10">
        <f t="shared" si="0"/>
        <v>49848.560079443894</v>
      </c>
      <c r="J12" s="10">
        <f>(G12/J4)-H12</f>
        <v>2636.5441906653505</v>
      </c>
      <c r="K12" s="10">
        <f>IF(F4="200ML",J12*0.2,J12)</f>
        <v>527.30883813307014</v>
      </c>
      <c r="L12" s="15"/>
      <c r="M12" s="10"/>
      <c r="O12" s="182" t="s">
        <v>23</v>
      </c>
      <c r="P12" s="183"/>
      <c r="Q12" s="190">
        <f>IF(F4="200ML",(Q7/0.2/J4),Q7/J4)</f>
        <v>498172.79046673293</v>
      </c>
    </row>
    <row r="13" spans="1:25" ht="15" customHeight="1" x14ac:dyDescent="0.3">
      <c r="A13" s="16">
        <v>10350</v>
      </c>
      <c r="B13" s="17"/>
      <c r="C13" s="149">
        <v>7</v>
      </c>
      <c r="D13" s="18"/>
      <c r="E13" s="18"/>
      <c r="F13" s="16">
        <v>516459</v>
      </c>
      <c r="G13" s="10">
        <f>IF(F13-F12&gt;0,(F13-F12),0)</f>
        <v>54594</v>
      </c>
      <c r="H13" s="10">
        <f>IF(F4="200ML",(A13/J4)/0.2,A13/J4)</f>
        <v>51390.268123138034</v>
      </c>
      <c r="I13" s="10">
        <f t="shared" si="0"/>
        <v>49848.560079443894</v>
      </c>
      <c r="J13" s="10">
        <f>(G13/J4)-H13</f>
        <v>2824.2303872889825</v>
      </c>
      <c r="K13" s="10">
        <f>IF(F4="200ML",J13*0.2,J13)</f>
        <v>564.84607745779647</v>
      </c>
      <c r="L13" s="15"/>
      <c r="M13" s="10"/>
      <c r="O13" s="184"/>
      <c r="P13" s="185"/>
      <c r="Q13" s="166"/>
    </row>
    <row r="14" spans="1:25" ht="15.6" customHeight="1" x14ac:dyDescent="0.3">
      <c r="A14" s="16">
        <v>0</v>
      </c>
      <c r="B14" s="17"/>
      <c r="C14" s="149">
        <v>8</v>
      </c>
      <c r="D14" s="18"/>
      <c r="E14" s="18"/>
      <c r="F14" s="16">
        <v>0</v>
      </c>
      <c r="G14" s="10">
        <f t="shared" si="1"/>
        <v>0</v>
      </c>
      <c r="H14" s="10">
        <f>IF(F4="200ML",(A14/J4)/0.2,A14/J4)</f>
        <v>0</v>
      </c>
      <c r="I14" s="10">
        <f t="shared" si="0"/>
        <v>0</v>
      </c>
      <c r="J14" s="10">
        <f>(G14/J4)-H14</f>
        <v>0</v>
      </c>
      <c r="K14" s="10">
        <f>IF(F4="200ML",J14*0.2,J14)</f>
        <v>0</v>
      </c>
      <c r="L14" s="15"/>
      <c r="M14" s="10"/>
      <c r="O14" s="186"/>
      <c r="P14" s="187"/>
      <c r="Q14" s="166"/>
    </row>
    <row r="15" spans="1:25" ht="15" customHeight="1" x14ac:dyDescent="0.3">
      <c r="A15" s="16">
        <v>0</v>
      </c>
      <c r="B15" s="17"/>
      <c r="C15" s="149">
        <v>9</v>
      </c>
      <c r="D15" s="18"/>
      <c r="E15" s="18"/>
      <c r="F15" s="16">
        <v>0</v>
      </c>
      <c r="G15" s="10">
        <f t="shared" si="1"/>
        <v>0</v>
      </c>
      <c r="H15" s="10">
        <f>IF(F4="200ML",(A15/J4)/0.2,A15/J4)</f>
        <v>0</v>
      </c>
      <c r="I15" s="10">
        <f t="shared" si="0"/>
        <v>0</v>
      </c>
      <c r="J15" s="10">
        <f>(G15/J4)-H15</f>
        <v>0</v>
      </c>
      <c r="K15" s="10">
        <f>IF(F4="200ML",J15*0.2,J15)</f>
        <v>0</v>
      </c>
      <c r="L15" s="15"/>
      <c r="M15" s="10"/>
      <c r="O15" s="188" t="s">
        <v>29</v>
      </c>
      <c r="P15" s="189"/>
      <c r="Q15" s="166">
        <f>Q12-(Q12*0.03)</f>
        <v>483227.60675273096</v>
      </c>
    </row>
    <row r="16" spans="1:25" ht="15" customHeight="1" x14ac:dyDescent="0.3">
      <c r="A16" s="16">
        <v>0</v>
      </c>
      <c r="B16" s="17"/>
      <c r="C16" s="149">
        <v>10</v>
      </c>
      <c r="D16" s="18"/>
      <c r="E16" s="18"/>
      <c r="F16" s="16">
        <v>0</v>
      </c>
      <c r="G16" s="10">
        <f t="shared" si="1"/>
        <v>0</v>
      </c>
      <c r="H16" s="10">
        <f>IF(F4="200ML",(A16/J4)/0.2,A16/J4)</f>
        <v>0</v>
      </c>
      <c r="I16" s="10">
        <f t="shared" si="0"/>
        <v>0</v>
      </c>
      <c r="J16" s="10">
        <f>(G16/J4-H16)</f>
        <v>0</v>
      </c>
      <c r="K16" s="10">
        <f>IF(F4="200ML",J16*0.2,J16)</f>
        <v>0</v>
      </c>
      <c r="L16" s="15"/>
      <c r="M16" s="10"/>
      <c r="O16" s="184"/>
      <c r="P16" s="185"/>
      <c r="Q16" s="166"/>
    </row>
    <row r="17" spans="1:17" ht="15.6" customHeight="1" x14ac:dyDescent="0.3">
      <c r="A17" s="16">
        <v>0</v>
      </c>
      <c r="B17" s="17"/>
      <c r="C17" s="149">
        <v>11</v>
      </c>
      <c r="D17" s="18"/>
      <c r="E17" s="18"/>
      <c r="F17" s="16">
        <v>0</v>
      </c>
      <c r="G17" s="10">
        <f t="shared" si="1"/>
        <v>0</v>
      </c>
      <c r="H17" s="10">
        <f>IF(F4="200ML",(A17/J4)/0.2,A17/J4)</f>
        <v>0</v>
      </c>
      <c r="I17" s="10">
        <f t="shared" si="0"/>
        <v>0</v>
      </c>
      <c r="J17" s="10">
        <f>(G17/J4)-H17</f>
        <v>0</v>
      </c>
      <c r="K17" s="10">
        <f>IF(F4="200ML",J17*0.2,J17)</f>
        <v>0</v>
      </c>
      <c r="L17" s="15"/>
      <c r="M17" s="10"/>
      <c r="O17" s="184"/>
      <c r="P17" s="185"/>
      <c r="Q17" s="166"/>
    </row>
    <row r="18" spans="1:17" ht="15.6" customHeight="1" x14ac:dyDescent="0.3">
      <c r="A18" s="16">
        <v>0</v>
      </c>
      <c r="B18" s="17"/>
      <c r="C18" s="149">
        <v>12</v>
      </c>
      <c r="D18" s="18"/>
      <c r="E18" s="18"/>
      <c r="F18" s="16">
        <v>0</v>
      </c>
      <c r="G18" s="10">
        <f t="shared" si="1"/>
        <v>0</v>
      </c>
      <c r="H18" s="10">
        <f>IF(F4="200ML",(A18/J4)/0.2,A18/J4)</f>
        <v>0</v>
      </c>
      <c r="I18" s="10">
        <f t="shared" si="0"/>
        <v>0</v>
      </c>
      <c r="J18" s="10">
        <f>(G18/J4)-H18</f>
        <v>0</v>
      </c>
      <c r="K18" s="10">
        <f>IF(F4="200ML",J18*0.2,J18)</f>
        <v>0</v>
      </c>
      <c r="L18" s="15"/>
      <c r="M18" s="10"/>
      <c r="O18" s="188" t="s">
        <v>14</v>
      </c>
      <c r="P18" s="189"/>
      <c r="Q18" s="166">
        <f>SUM(G7:G21)</f>
        <v>516459</v>
      </c>
    </row>
    <row r="19" spans="1:17" ht="15.6" thickBot="1" x14ac:dyDescent="0.35">
      <c r="A19" s="16">
        <v>0</v>
      </c>
      <c r="B19" s="17"/>
      <c r="C19" s="149">
        <v>13</v>
      </c>
      <c r="D19" s="18"/>
      <c r="E19" s="18"/>
      <c r="F19" s="16">
        <v>0</v>
      </c>
      <c r="G19" s="10">
        <f t="shared" si="1"/>
        <v>0</v>
      </c>
      <c r="H19" s="10">
        <f>IF(F4="200ML",(A19/J4)/0.2,A19/J4)</f>
        <v>0</v>
      </c>
      <c r="I19" s="10">
        <f t="shared" si="0"/>
        <v>0</v>
      </c>
      <c r="J19" s="10">
        <f>(G19/J4-H19)</f>
        <v>0</v>
      </c>
      <c r="K19" s="10">
        <f>IF(F4="200ML",J19*0.2,J19)</f>
        <v>0</v>
      </c>
      <c r="L19" s="147"/>
      <c r="M19" s="146"/>
      <c r="O19" s="191"/>
      <c r="P19" s="192"/>
      <c r="Q19" s="167"/>
    </row>
    <row r="20" spans="1:17" ht="15.6" thickBot="1" x14ac:dyDescent="0.35">
      <c r="A20" s="16">
        <v>0</v>
      </c>
      <c r="B20" s="17"/>
      <c r="C20" s="149">
        <v>14</v>
      </c>
      <c r="D20" s="18"/>
      <c r="E20" s="18"/>
      <c r="F20" s="16">
        <v>0</v>
      </c>
      <c r="G20" s="10">
        <f t="shared" si="1"/>
        <v>0</v>
      </c>
      <c r="H20" s="10">
        <f>IF(F4="200ML",(A20/J4)/0.2,A20/J4)</f>
        <v>0</v>
      </c>
      <c r="I20" s="10">
        <f t="shared" si="0"/>
        <v>0</v>
      </c>
      <c r="J20" s="10">
        <f>(G20/J4-H20)</f>
        <v>0</v>
      </c>
      <c r="K20" s="10">
        <f>IF(F4="200ML",J20*0.2,J20)</f>
        <v>0</v>
      </c>
      <c r="L20" s="147"/>
      <c r="M20" s="146"/>
      <c r="O20" s="155"/>
      <c r="P20" s="155"/>
      <c r="Q20" s="155"/>
    </row>
    <row r="21" spans="1:17" ht="15.6" x14ac:dyDescent="0.3">
      <c r="A21" s="16">
        <v>0</v>
      </c>
      <c r="B21" s="17"/>
      <c r="C21" s="149">
        <v>15</v>
      </c>
      <c r="D21" s="18"/>
      <c r="E21" s="18"/>
      <c r="F21" s="16">
        <v>0</v>
      </c>
      <c r="G21" s="10">
        <f t="shared" si="1"/>
        <v>0</v>
      </c>
      <c r="H21" s="10">
        <f>IF(F4="200ML",(A21/J4)/0.2,A21/J4)</f>
        <v>0</v>
      </c>
      <c r="I21" s="10">
        <f t="shared" si="0"/>
        <v>0</v>
      </c>
      <c r="J21" s="10">
        <f>(G21/J4-H21)</f>
        <v>0</v>
      </c>
      <c r="K21" s="10">
        <f>IF(F4="200ML",J21*0.2,J21)</f>
        <v>0</v>
      </c>
      <c r="L21" s="147"/>
      <c r="M21" s="146"/>
      <c r="O21" s="193" t="s">
        <v>24</v>
      </c>
      <c r="P21" s="194"/>
      <c r="Q21" s="154">
        <f>Q18-Q12</f>
        <v>18286.209533267072</v>
      </c>
    </row>
    <row r="22" spans="1:17" s="21" customFormat="1" ht="16.2" thickBot="1" x14ac:dyDescent="0.35">
      <c r="A22" s="16">
        <v>0</v>
      </c>
      <c r="B22" s="17"/>
      <c r="C22" s="149">
        <v>16</v>
      </c>
      <c r="D22" s="18"/>
      <c r="E22" s="18"/>
      <c r="F22" s="16">
        <v>0</v>
      </c>
      <c r="G22" s="10">
        <f t="shared" si="1"/>
        <v>0</v>
      </c>
      <c r="H22" s="10">
        <f>IF(F4="200ML",(A22/J4)/0.2,A22/J4)</f>
        <v>0</v>
      </c>
      <c r="I22" s="10">
        <f t="shared" si="0"/>
        <v>0</v>
      </c>
      <c r="J22" s="10">
        <f>(G22/J4-H22)</f>
        <v>0</v>
      </c>
      <c r="K22" s="10">
        <f>IF(F9="200ML",J22*0.2,J22)</f>
        <v>0</v>
      </c>
      <c r="O22" s="174" t="s">
        <v>25</v>
      </c>
      <c r="P22" s="175"/>
      <c r="Q22" s="156">
        <f>IF(F4="200ML", Q21*0.2,Q21)</f>
        <v>3657.2419066534148</v>
      </c>
    </row>
    <row r="23" spans="1:17" ht="15.6" thickBot="1" x14ac:dyDescent="0.35">
      <c r="D23" s="21"/>
      <c r="H23" s="21"/>
      <c r="I23" s="21"/>
      <c r="J23" s="21"/>
      <c r="K23" s="21"/>
      <c r="L23" s="21"/>
    </row>
    <row r="24" spans="1:17" ht="16.2" thickBot="1" x14ac:dyDescent="0.35">
      <c r="A24" s="172" t="s">
        <v>216</v>
      </c>
      <c r="B24" s="173"/>
      <c r="C24" s="173"/>
      <c r="D24" s="150"/>
      <c r="E24" s="150"/>
      <c r="F24" s="151" t="str">
        <f>IF(O5="PRODUZIU A MAIS", "REDUZIR","AUMENTAR")</f>
        <v>REDUZIR</v>
      </c>
      <c r="G24" s="152">
        <f>IF(O5="PRODUZIU A MAIS",(((Q9/Q7)*100)-100)/100,(((Q9/Q7)*100)-100)/100*(-1))</f>
        <v>3.6706560220069379E-2</v>
      </c>
      <c r="H24" s="21"/>
      <c r="I24" s="21"/>
      <c r="J24" s="21"/>
      <c r="K24" s="21"/>
      <c r="L24" s="21"/>
    </row>
    <row r="25" spans="1:17" x14ac:dyDescent="0.3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6" spans="1:17" x14ac:dyDescent="0.3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</row>
    <row r="27" spans="1:17" x14ac:dyDescent="0.3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</row>
    <row r="28" spans="1:17" x14ac:dyDescent="0.3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</row>
    <row r="29" spans="1:17" x14ac:dyDescent="0.3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</row>
    <row r="30" spans="1:17" x14ac:dyDescent="0.3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</row>
    <row r="31" spans="1:17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</row>
    <row r="32" spans="1:17" x14ac:dyDescent="0.3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</row>
    <row r="33" spans="1:12" x14ac:dyDescent="0.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</row>
    <row r="34" spans="1:12" x14ac:dyDescent="0.3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</row>
    <row r="35" spans="1:12" x14ac:dyDescent="0.3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</row>
    <row r="36" spans="1:12" x14ac:dyDescent="0.3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</row>
    <row r="37" spans="1:12" x14ac:dyDescent="0.3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</row>
    <row r="38" spans="1:12" x14ac:dyDescent="0.3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</row>
    <row r="39" spans="1:12" x14ac:dyDescent="0.3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</row>
    <row r="40" spans="1:12" x14ac:dyDescent="0.3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</row>
    <row r="41" spans="1:12" x14ac:dyDescent="0.3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</row>
    <row r="42" spans="1:12" x14ac:dyDescent="0.3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</row>
    <row r="43" spans="1:12" x14ac:dyDescent="0.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</row>
    <row r="44" spans="1:12" x14ac:dyDescent="0.3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</row>
    <row r="45" spans="1:12" x14ac:dyDescent="0.3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</row>
    <row r="46" spans="1:12" x14ac:dyDescent="0.3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</row>
    <row r="47" spans="1:12" x14ac:dyDescent="0.3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</row>
    <row r="48" spans="1:12" x14ac:dyDescent="0.3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</row>
    <row r="49" spans="1:12" x14ac:dyDescent="0.3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</row>
    <row r="50" spans="1:12" x14ac:dyDescent="0.3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</row>
    <row r="51" spans="1:12" x14ac:dyDescent="0.3">
      <c r="A51" s="21"/>
      <c r="B51" s="21"/>
      <c r="C51" s="21"/>
      <c r="D51" s="21"/>
      <c r="E51" s="21"/>
      <c r="F51" s="21"/>
      <c r="G51" s="21"/>
      <c r="H51" s="21"/>
    </row>
    <row r="52" spans="1:12" x14ac:dyDescent="0.3">
      <c r="A52" s="21"/>
      <c r="B52" s="21"/>
      <c r="C52" s="21"/>
      <c r="D52" s="21"/>
      <c r="E52" s="21"/>
      <c r="F52" s="21"/>
      <c r="G52" s="21"/>
      <c r="H52" s="21"/>
    </row>
    <row r="53" spans="1:12" x14ac:dyDescent="0.3">
      <c r="A53" s="21"/>
      <c r="B53" s="21"/>
      <c r="C53" s="21"/>
      <c r="D53" s="21"/>
      <c r="E53" s="21"/>
      <c r="F53" s="21"/>
      <c r="G53" s="21"/>
      <c r="H53" s="21"/>
    </row>
    <row r="54" spans="1:12" x14ac:dyDescent="0.3">
      <c r="A54" s="21"/>
      <c r="B54" s="21"/>
      <c r="C54" s="21"/>
      <c r="D54" s="21"/>
      <c r="E54" s="21"/>
      <c r="F54" s="21"/>
      <c r="G54" s="21"/>
      <c r="H54" s="21"/>
    </row>
    <row r="55" spans="1:12" x14ac:dyDescent="0.3">
      <c r="A55" s="21"/>
      <c r="B55" s="21"/>
      <c r="C55" s="21"/>
      <c r="D55" s="21"/>
      <c r="E55" s="21"/>
      <c r="F55" s="21"/>
      <c r="G55" s="21"/>
      <c r="H55" s="21"/>
    </row>
    <row r="56" spans="1:12" x14ac:dyDescent="0.3">
      <c r="A56" s="21"/>
      <c r="B56" s="21"/>
      <c r="C56" s="21"/>
      <c r="D56" s="21"/>
      <c r="E56" s="21"/>
      <c r="F56" s="21"/>
      <c r="G56" s="21"/>
      <c r="H56" s="21"/>
    </row>
    <row r="57" spans="1:12" x14ac:dyDescent="0.3">
      <c r="A57" s="21"/>
      <c r="B57" s="21"/>
      <c r="C57" s="21"/>
      <c r="D57" s="21"/>
      <c r="E57" s="21"/>
      <c r="F57" s="21"/>
      <c r="G57" s="21"/>
      <c r="H57" s="21"/>
    </row>
    <row r="58" spans="1:12" x14ac:dyDescent="0.3">
      <c r="A58" s="21"/>
      <c r="B58" s="21"/>
      <c r="C58" s="21"/>
      <c r="D58" s="21"/>
      <c r="E58" s="21"/>
      <c r="F58" s="21"/>
      <c r="G58" s="21"/>
      <c r="H58" s="21"/>
    </row>
    <row r="59" spans="1:12" x14ac:dyDescent="0.3">
      <c r="A59" s="21"/>
      <c r="B59" s="21"/>
      <c r="C59" s="21"/>
      <c r="D59" s="21"/>
      <c r="E59" s="21"/>
      <c r="F59" s="21"/>
      <c r="G59" s="21"/>
      <c r="H59" s="21"/>
    </row>
    <row r="60" spans="1:12" x14ac:dyDescent="0.3">
      <c r="A60" s="21"/>
      <c r="B60" s="21"/>
      <c r="C60" s="21"/>
      <c r="D60" s="21"/>
      <c r="E60" s="21"/>
      <c r="F60" s="21"/>
      <c r="G60" s="21"/>
      <c r="H60" s="21"/>
    </row>
    <row r="61" spans="1:12" x14ac:dyDescent="0.3">
      <c r="A61" s="21"/>
      <c r="B61" s="21"/>
      <c r="C61" s="21"/>
      <c r="D61" s="21"/>
      <c r="E61" s="21"/>
      <c r="F61" s="21"/>
      <c r="G61" s="21"/>
      <c r="H61" s="21"/>
    </row>
    <row r="62" spans="1:12" x14ac:dyDescent="0.3">
      <c r="A62" s="21"/>
      <c r="B62" s="21"/>
      <c r="C62" s="21"/>
      <c r="D62" s="21"/>
      <c r="E62" s="21"/>
      <c r="F62" s="21"/>
      <c r="G62" s="21"/>
      <c r="H62" s="21"/>
    </row>
    <row r="63" spans="1:12" x14ac:dyDescent="0.3">
      <c r="A63" s="21"/>
      <c r="B63" s="21"/>
      <c r="C63" s="21"/>
      <c r="D63" s="21"/>
      <c r="E63" s="21"/>
      <c r="F63" s="21"/>
      <c r="G63" s="21"/>
      <c r="H63" s="21"/>
    </row>
    <row r="64" spans="1:12" x14ac:dyDescent="0.3">
      <c r="A64" s="21"/>
      <c r="B64" s="21"/>
      <c r="C64" s="21"/>
      <c r="D64" s="21"/>
      <c r="E64" s="21"/>
      <c r="F64" s="21"/>
      <c r="G64" s="21"/>
      <c r="H64" s="21"/>
    </row>
    <row r="65" spans="1:8" x14ac:dyDescent="0.3">
      <c r="A65" s="21"/>
      <c r="B65" s="21"/>
      <c r="C65" s="21"/>
      <c r="D65" s="21"/>
      <c r="E65" s="21"/>
      <c r="F65" s="21"/>
      <c r="G65" s="21"/>
      <c r="H65" s="21"/>
    </row>
    <row r="66" spans="1:8" x14ac:dyDescent="0.3">
      <c r="A66" s="21"/>
      <c r="B66" s="21"/>
      <c r="C66" s="21"/>
      <c r="D66" s="21"/>
      <c r="E66" s="21"/>
      <c r="F66" s="21"/>
      <c r="G66" s="21"/>
      <c r="H66" s="21"/>
    </row>
    <row r="67" spans="1:8" x14ac:dyDescent="0.3">
      <c r="A67" s="21"/>
      <c r="B67" s="21"/>
      <c r="C67" s="21"/>
      <c r="D67" s="21"/>
      <c r="E67" s="21"/>
      <c r="F67" s="21"/>
      <c r="G67" s="21"/>
      <c r="H67" s="21"/>
    </row>
    <row r="68" spans="1:8" x14ac:dyDescent="0.3">
      <c r="A68" s="21"/>
      <c r="B68" s="21"/>
      <c r="C68" s="21"/>
      <c r="D68" s="21"/>
      <c r="E68" s="21"/>
      <c r="F68" s="21"/>
      <c r="G68" s="21"/>
      <c r="H68" s="21"/>
    </row>
    <row r="69" spans="1:8" x14ac:dyDescent="0.3">
      <c r="A69" s="21"/>
      <c r="B69" s="21"/>
      <c r="C69" s="21"/>
      <c r="D69" s="21"/>
      <c r="E69" s="21"/>
      <c r="F69" s="21"/>
      <c r="G69" s="21"/>
      <c r="H69" s="21"/>
    </row>
    <row r="70" spans="1:8" x14ac:dyDescent="0.3">
      <c r="A70" s="21"/>
      <c r="B70" s="21"/>
      <c r="C70" s="21"/>
      <c r="D70" s="21"/>
      <c r="E70" s="21"/>
      <c r="F70" s="21"/>
      <c r="G70" s="21"/>
      <c r="H70" s="21"/>
    </row>
    <row r="71" spans="1:8" x14ac:dyDescent="0.3">
      <c r="A71" s="21"/>
      <c r="B71" s="21"/>
      <c r="C71" s="21"/>
      <c r="D71" s="21"/>
      <c r="E71" s="21"/>
      <c r="F71" s="21"/>
      <c r="G71" s="21"/>
      <c r="H71" s="21"/>
    </row>
    <row r="72" spans="1:8" x14ac:dyDescent="0.3">
      <c r="A72" s="21"/>
      <c r="B72" s="21"/>
      <c r="C72" s="21"/>
      <c r="D72" s="21"/>
      <c r="E72" s="21"/>
      <c r="F72" s="21"/>
      <c r="G72" s="21"/>
      <c r="H72" s="21"/>
    </row>
    <row r="73" spans="1:8" x14ac:dyDescent="0.3">
      <c r="A73" s="21"/>
      <c r="B73" s="21"/>
      <c r="C73" s="21"/>
      <c r="D73" s="21"/>
      <c r="E73" s="21"/>
      <c r="F73" s="21"/>
      <c r="G73" s="21"/>
      <c r="H73" s="21"/>
    </row>
    <row r="74" spans="1:8" x14ac:dyDescent="0.3">
      <c r="A74" s="21"/>
      <c r="B74" s="21"/>
      <c r="C74" s="21"/>
      <c r="D74" s="21"/>
      <c r="E74" s="21"/>
      <c r="F74" s="21"/>
      <c r="G74" s="21"/>
      <c r="H74" s="21"/>
    </row>
    <row r="75" spans="1:8" x14ac:dyDescent="0.3">
      <c r="A75" s="21"/>
      <c r="B75" s="21"/>
      <c r="C75" s="21"/>
      <c r="D75" s="21"/>
      <c r="E75" s="21"/>
      <c r="F75" s="21"/>
      <c r="G75" s="21"/>
      <c r="H75" s="21"/>
    </row>
    <row r="76" spans="1:8" x14ac:dyDescent="0.3">
      <c r="A76" s="21"/>
      <c r="B76" s="21"/>
      <c r="C76" s="21"/>
      <c r="D76" s="21"/>
      <c r="E76" s="21"/>
      <c r="F76" s="21"/>
      <c r="G76" s="21"/>
      <c r="H76" s="21"/>
    </row>
    <row r="77" spans="1:8" x14ac:dyDescent="0.3">
      <c r="A77" s="21"/>
      <c r="B77" s="21"/>
      <c r="C77" s="21"/>
      <c r="D77" s="21"/>
      <c r="E77" s="21"/>
      <c r="F77" s="21"/>
      <c r="G77" s="21"/>
      <c r="H77" s="21"/>
    </row>
    <row r="78" spans="1:8" x14ac:dyDescent="0.3">
      <c r="A78" s="21"/>
      <c r="B78" s="21"/>
      <c r="C78" s="21"/>
      <c r="D78" s="21"/>
      <c r="E78" s="21"/>
      <c r="F78" s="21"/>
      <c r="G78" s="21"/>
      <c r="H78" s="21"/>
    </row>
    <row r="79" spans="1:8" x14ac:dyDescent="0.3">
      <c r="A79" s="21"/>
      <c r="B79" s="21"/>
      <c r="C79" s="21"/>
      <c r="D79" s="21"/>
      <c r="E79" s="21"/>
      <c r="F79" s="21"/>
      <c r="G79" s="21"/>
      <c r="H79" s="21"/>
    </row>
    <row r="80" spans="1:8" x14ac:dyDescent="0.3">
      <c r="A80" s="21"/>
      <c r="B80" s="21"/>
      <c r="C80" s="21"/>
      <c r="D80" s="21"/>
      <c r="E80" s="21"/>
      <c r="F80" s="21"/>
      <c r="G80" s="21"/>
      <c r="H80" s="21"/>
    </row>
    <row r="81" spans="1:8" x14ac:dyDescent="0.3">
      <c r="A81" s="21"/>
      <c r="B81" s="21"/>
      <c r="C81" s="21"/>
      <c r="D81" s="21"/>
      <c r="E81" s="21"/>
      <c r="F81" s="21"/>
      <c r="G81" s="21"/>
      <c r="H81" s="21"/>
    </row>
    <row r="82" spans="1:8" x14ac:dyDescent="0.3">
      <c r="A82" s="21"/>
      <c r="B82" s="21"/>
      <c r="C82" s="21"/>
      <c r="D82" s="21"/>
      <c r="E82" s="21"/>
      <c r="F82" s="21"/>
      <c r="G82" s="21"/>
      <c r="H82" s="21"/>
    </row>
    <row r="83" spans="1:8" x14ac:dyDescent="0.3">
      <c r="A83" s="21"/>
      <c r="B83" s="21"/>
      <c r="C83" s="21"/>
      <c r="D83" s="21"/>
      <c r="E83" s="21"/>
      <c r="F83" s="21"/>
      <c r="G83" s="21"/>
      <c r="H83" s="21"/>
    </row>
    <row r="84" spans="1:8" x14ac:dyDescent="0.3">
      <c r="A84" s="21"/>
      <c r="B84" s="21"/>
      <c r="C84" s="21"/>
      <c r="D84" s="21"/>
      <c r="E84" s="21"/>
      <c r="F84" s="21"/>
      <c r="G84" s="21"/>
      <c r="H84" s="21"/>
    </row>
    <row r="85" spans="1:8" x14ac:dyDescent="0.3">
      <c r="A85" s="21"/>
      <c r="B85" s="21"/>
      <c r="C85" s="21"/>
      <c r="D85" s="21"/>
      <c r="E85" s="21"/>
      <c r="F85" s="21"/>
      <c r="G85" s="21"/>
      <c r="H85" s="21"/>
    </row>
    <row r="86" spans="1:8" x14ac:dyDescent="0.3">
      <c r="A86" s="21"/>
      <c r="B86" s="21"/>
      <c r="C86" s="21"/>
      <c r="D86" s="21"/>
      <c r="E86" s="21"/>
      <c r="F86" s="21"/>
      <c r="G86" s="21"/>
      <c r="H86" s="21"/>
    </row>
    <row r="87" spans="1:8" x14ac:dyDescent="0.3">
      <c r="A87" s="21"/>
      <c r="B87" s="21"/>
      <c r="C87" s="21"/>
      <c r="D87" s="21"/>
      <c r="E87" s="21"/>
      <c r="F87" s="21"/>
      <c r="G87" s="21"/>
      <c r="H87" s="21"/>
    </row>
    <row r="88" spans="1:8" x14ac:dyDescent="0.3">
      <c r="A88" s="21"/>
      <c r="B88" s="21"/>
      <c r="C88" s="21"/>
      <c r="D88" s="21"/>
      <c r="E88" s="21"/>
      <c r="F88" s="21"/>
      <c r="G88" s="21"/>
      <c r="H88" s="21"/>
    </row>
    <row r="89" spans="1:8" x14ac:dyDescent="0.3">
      <c r="A89" s="21"/>
      <c r="B89" s="21"/>
      <c r="C89" s="21"/>
      <c r="D89" s="21"/>
      <c r="E89" s="21"/>
      <c r="F89" s="21"/>
      <c r="G89" s="21"/>
      <c r="H89" s="21"/>
    </row>
    <row r="90" spans="1:8" x14ac:dyDescent="0.3">
      <c r="A90" s="21"/>
      <c r="B90" s="21"/>
      <c r="C90" s="21"/>
      <c r="D90" s="21"/>
      <c r="E90" s="21"/>
      <c r="F90" s="21"/>
      <c r="G90" s="21"/>
      <c r="H90" s="21"/>
    </row>
    <row r="91" spans="1:8" x14ac:dyDescent="0.3">
      <c r="A91" s="21"/>
      <c r="B91" s="21"/>
      <c r="C91" s="21"/>
      <c r="D91" s="21"/>
      <c r="E91" s="21"/>
      <c r="F91" s="21"/>
      <c r="G91" s="21"/>
      <c r="H91" s="21"/>
    </row>
    <row r="92" spans="1:8" x14ac:dyDescent="0.3">
      <c r="A92" s="21"/>
      <c r="B92" s="21"/>
      <c r="C92" s="21"/>
      <c r="D92" s="21"/>
      <c r="E92" s="21"/>
      <c r="F92" s="21"/>
      <c r="G92" s="21"/>
      <c r="H92" s="21"/>
    </row>
    <row r="93" spans="1:8" x14ac:dyDescent="0.3">
      <c r="A93" s="21"/>
      <c r="B93" s="21"/>
      <c r="C93" s="21"/>
      <c r="D93" s="21"/>
      <c r="E93" s="21"/>
      <c r="F93" s="21"/>
      <c r="G93" s="21"/>
      <c r="H93" s="21"/>
    </row>
    <row r="94" spans="1:8" x14ac:dyDescent="0.3">
      <c r="A94" s="21"/>
      <c r="B94" s="21"/>
      <c r="C94" s="21"/>
      <c r="D94" s="21"/>
      <c r="E94" s="21"/>
      <c r="F94" s="21"/>
      <c r="G94" s="21"/>
      <c r="H94" s="21"/>
    </row>
  </sheetData>
  <sheetProtection selectLockedCells="1"/>
  <mergeCells count="20">
    <mergeCell ref="A24:C24"/>
    <mergeCell ref="O22:P22"/>
    <mergeCell ref="G4:I4"/>
    <mergeCell ref="K4:L4"/>
    <mergeCell ref="Q9:Q10"/>
    <mergeCell ref="O12:P14"/>
    <mergeCell ref="O15:P17"/>
    <mergeCell ref="Q12:Q14"/>
    <mergeCell ref="Q15:Q17"/>
    <mergeCell ref="O18:P19"/>
    <mergeCell ref="O21:P21"/>
    <mergeCell ref="O7:P8"/>
    <mergeCell ref="Q7:Q8"/>
    <mergeCell ref="A4:E4"/>
    <mergeCell ref="O9:P10"/>
    <mergeCell ref="A2:Q3"/>
    <mergeCell ref="A1:Q1"/>
    <mergeCell ref="Q18:Q19"/>
    <mergeCell ref="O4:Q4"/>
    <mergeCell ref="O5:Q5"/>
  </mergeCells>
  <conditionalFormatting sqref="J7:J22">
    <cfRule type="cellIs" dxfId="7" priority="3" operator="between">
      <formula>-0.1</formula>
      <formula>-9999999999999990000</formula>
    </cfRule>
    <cfRule type="cellIs" dxfId="6" priority="4" operator="between">
      <formula>0.1</formula>
      <formula>9.99999999999999E+36</formula>
    </cfRule>
  </conditionalFormatting>
  <conditionalFormatting sqref="Q21:Q22">
    <cfRule type="cellIs" dxfId="5" priority="1" operator="lessThan">
      <formula>0</formula>
    </cfRule>
    <cfRule type="cellIs" dxfId="4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DADOS!$B$3:$B$10</xm:f>
          </x14:formula1>
          <xm:sqref>B7:B22</xm:sqref>
        </x14:dataValidation>
        <x14:dataValidation type="list" allowBlank="1" showInputMessage="1" showErrorMessage="1" xr:uid="{00000000-0002-0000-0000-000001000000}">
          <x14:formula1>
            <xm:f>DADOS!$B$6:$B$15</xm:f>
          </x14:formula1>
          <xm:sqref>C7:C22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87C8-36C6-4570-8D39-2E3DAC33C0A7}">
  <dimension ref="D3:K15"/>
  <sheetViews>
    <sheetView workbookViewId="0"/>
  </sheetViews>
  <sheetFormatPr defaultRowHeight="25.8" x14ac:dyDescent="0.5"/>
  <cols>
    <col min="1" max="3" width="8.88671875" style="51"/>
    <col min="4" max="4" width="27.88671875" style="51" bestFit="1" customWidth="1"/>
    <col min="5" max="8" width="8.88671875" style="51"/>
    <col min="9" max="9" width="11.6640625" style="51" customWidth="1"/>
    <col min="10" max="10" width="13.77734375" style="51" bestFit="1" customWidth="1"/>
    <col min="11" max="16384" width="8.88671875" style="51"/>
  </cols>
  <sheetData>
    <row r="3" spans="4:11" x14ac:dyDescent="0.5">
      <c r="D3" s="209" t="s">
        <v>150</v>
      </c>
      <c r="E3" s="209"/>
      <c r="F3" s="209"/>
      <c r="G3" s="209"/>
      <c r="H3" s="209"/>
      <c r="I3" s="209"/>
      <c r="J3" s="209"/>
      <c r="K3" s="209"/>
    </row>
    <row r="4" spans="4:11" ht="20.399999999999999" customHeight="1" x14ac:dyDescent="0.5"/>
    <row r="5" spans="4:11" x14ac:dyDescent="0.5">
      <c r="D5" s="208" t="s">
        <v>146</v>
      </c>
      <c r="E5" s="208"/>
      <c r="F5" s="208"/>
      <c r="G5" s="208"/>
      <c r="H5" s="208"/>
      <c r="I5" s="208"/>
      <c r="J5" s="70">
        <v>61.49</v>
      </c>
      <c r="K5" s="99" t="s">
        <v>53</v>
      </c>
    </row>
    <row r="6" spans="4:11" x14ac:dyDescent="0.5">
      <c r="D6" s="208" t="s">
        <v>147</v>
      </c>
      <c r="E6" s="208"/>
      <c r="F6" s="208"/>
      <c r="G6" s="208"/>
      <c r="H6" s="208"/>
      <c r="I6" s="208"/>
      <c r="J6" s="70">
        <v>13.17</v>
      </c>
      <c r="K6" s="99" t="s">
        <v>141</v>
      </c>
    </row>
    <row r="7" spans="4:11" x14ac:dyDescent="0.5">
      <c r="D7" s="210" t="s">
        <v>64</v>
      </c>
      <c r="E7" s="211"/>
      <c r="F7" s="211"/>
      <c r="G7" s="211"/>
      <c r="H7" s="211"/>
      <c r="I7" s="212"/>
      <c r="J7" s="116">
        <v>4.67</v>
      </c>
      <c r="K7" s="99" t="s">
        <v>53</v>
      </c>
    </row>
    <row r="8" spans="4:11" x14ac:dyDescent="0.5">
      <c r="D8" s="208" t="s">
        <v>148</v>
      </c>
      <c r="E8" s="208"/>
      <c r="F8" s="208"/>
      <c r="G8" s="208"/>
      <c r="H8" s="208"/>
      <c r="I8" s="208"/>
      <c r="J8" s="53">
        <f>((J7*0.02)-J5)*(-1)</f>
        <v>61.396599999999999</v>
      </c>
      <c r="K8" s="99" t="s">
        <v>53</v>
      </c>
    </row>
    <row r="9" spans="4:11" ht="7.2" customHeight="1" x14ac:dyDescent="0.5"/>
    <row r="10" spans="4:11" x14ac:dyDescent="0.5">
      <c r="F10" s="51" t="s">
        <v>151</v>
      </c>
    </row>
    <row r="11" spans="4:11" ht="7.8" customHeight="1" x14ac:dyDescent="0.5"/>
    <row r="12" spans="4:11" x14ac:dyDescent="0.5">
      <c r="D12" s="208" t="s">
        <v>147</v>
      </c>
      <c r="E12" s="208"/>
      <c r="F12" s="208"/>
      <c r="G12" s="208"/>
      <c r="H12" s="208"/>
      <c r="I12" s="208"/>
      <c r="J12" s="70">
        <v>11.69</v>
      </c>
      <c r="K12" s="99" t="s">
        <v>53</v>
      </c>
    </row>
    <row r="13" spans="4:11" x14ac:dyDescent="0.5">
      <c r="D13" s="208" t="s">
        <v>64</v>
      </c>
      <c r="E13" s="208"/>
      <c r="F13" s="208"/>
      <c r="G13" s="208"/>
      <c r="H13" s="208"/>
      <c r="I13" s="208"/>
      <c r="J13" s="70">
        <v>2.58</v>
      </c>
      <c r="K13" s="99" t="s">
        <v>141</v>
      </c>
    </row>
    <row r="14" spans="4:11" x14ac:dyDescent="0.5">
      <c r="D14" s="210" t="s">
        <v>152</v>
      </c>
      <c r="E14" s="211"/>
      <c r="F14" s="211"/>
      <c r="G14" s="211"/>
      <c r="H14" s="211"/>
      <c r="I14" s="212"/>
      <c r="J14" s="117">
        <f>J13*J12</f>
        <v>30.1602</v>
      </c>
      <c r="K14" s="99" t="s">
        <v>53</v>
      </c>
    </row>
    <row r="15" spans="4:11" x14ac:dyDescent="0.5">
      <c r="D15" s="208" t="s">
        <v>148</v>
      </c>
      <c r="E15" s="208"/>
      <c r="F15" s="208"/>
      <c r="G15" s="208"/>
      <c r="H15" s="208"/>
      <c r="I15" s="208"/>
      <c r="J15" s="53">
        <f>(J13*J12)-(J13*0.2)</f>
        <v>29.644199999999998</v>
      </c>
      <c r="K15" s="99" t="s">
        <v>53</v>
      </c>
    </row>
  </sheetData>
  <sheetProtection algorithmName="SHA-512" hashValue="6xbCUYUMddr5jhnGyWeTmWEBHt5pkgAjK1Aa2qqZ7TCnk3D+pNcJpIr2T/Tp5Q0+Qn8F91ql67GgeE/AgbdEyA==" saltValue="z1mkxS9+lPQsrMP4KhNQFw==" spinCount="100000" sheet="1" objects="1" scenarios="1"/>
  <mergeCells count="9">
    <mergeCell ref="D13:I13"/>
    <mergeCell ref="D14:I14"/>
    <mergeCell ref="D15:I15"/>
    <mergeCell ref="D3:K3"/>
    <mergeCell ref="D5:I5"/>
    <mergeCell ref="D6:I6"/>
    <mergeCell ref="D7:I7"/>
    <mergeCell ref="D8:I8"/>
    <mergeCell ref="D12:I12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31B37-CA6F-400A-8B11-5467A0FF7C43}">
  <dimension ref="D3:K8"/>
  <sheetViews>
    <sheetView workbookViewId="0"/>
  </sheetViews>
  <sheetFormatPr defaultRowHeight="25.8" x14ac:dyDescent="0.5"/>
  <cols>
    <col min="1" max="3" width="8.88671875" style="51"/>
    <col min="4" max="4" width="27.88671875" style="51" bestFit="1" customWidth="1"/>
    <col min="5" max="8" width="8.88671875" style="51"/>
    <col min="9" max="9" width="11.6640625" style="51" customWidth="1"/>
    <col min="10" max="10" width="13.77734375" style="51" bestFit="1" customWidth="1"/>
    <col min="11" max="16384" width="8.88671875" style="51"/>
  </cols>
  <sheetData>
    <row r="3" spans="4:11" x14ac:dyDescent="0.5">
      <c r="D3" s="209" t="s">
        <v>145</v>
      </c>
      <c r="E3" s="209"/>
      <c r="F3" s="209"/>
      <c r="G3" s="209"/>
      <c r="H3" s="209"/>
      <c r="I3" s="209"/>
      <c r="J3" s="209"/>
      <c r="K3" s="209"/>
    </row>
    <row r="5" spans="4:11" x14ac:dyDescent="0.5">
      <c r="D5" s="208" t="s">
        <v>146</v>
      </c>
      <c r="E5" s="208"/>
      <c r="F5" s="208"/>
      <c r="G5" s="208"/>
      <c r="H5" s="208"/>
      <c r="I5" s="208"/>
      <c r="J5" s="70">
        <v>66</v>
      </c>
      <c r="K5" s="99" t="s">
        <v>53</v>
      </c>
    </row>
    <row r="6" spans="4:11" x14ac:dyDescent="0.5">
      <c r="D6" s="208" t="s">
        <v>147</v>
      </c>
      <c r="E6" s="208"/>
      <c r="F6" s="208"/>
      <c r="G6" s="208"/>
      <c r="H6" s="208"/>
      <c r="I6" s="208"/>
      <c r="J6" s="70">
        <v>15.82</v>
      </c>
      <c r="K6" s="99" t="s">
        <v>141</v>
      </c>
    </row>
    <row r="7" spans="4:11" x14ac:dyDescent="0.5">
      <c r="D7" s="210" t="s">
        <v>149</v>
      </c>
      <c r="E7" s="211"/>
      <c r="F7" s="211"/>
      <c r="G7" s="211"/>
      <c r="H7" s="211"/>
      <c r="I7" s="212"/>
      <c r="J7" s="117">
        <f>((J8*0.02)-J5)*(-1)</f>
        <v>65.916561314791409</v>
      </c>
      <c r="K7" s="99" t="s">
        <v>53</v>
      </c>
    </row>
    <row r="8" spans="4:11" x14ac:dyDescent="0.5">
      <c r="D8" s="208" t="s">
        <v>64</v>
      </c>
      <c r="E8" s="208"/>
      <c r="F8" s="208"/>
      <c r="G8" s="208"/>
      <c r="H8" s="208"/>
      <c r="I8" s="208"/>
      <c r="J8" s="53">
        <f>J5/J6</f>
        <v>4.1719342604298353</v>
      </c>
      <c r="K8" s="99" t="s">
        <v>53</v>
      </c>
    </row>
  </sheetData>
  <sheetProtection algorithmName="SHA-512" hashValue="cIz891z1ROhwAXs5YdSp1juBNnBii4gROO+SbxfYI75u23FMojTtcGUP/acgO90vtIAVsKEOgY4XhBGqKQxuOg==" saltValue="4KATnzeNsvvQjxF3JcysQQ==" spinCount="100000" sheet="1" objects="1" scenarios="1"/>
  <mergeCells count="5">
    <mergeCell ref="D3:K3"/>
    <mergeCell ref="D5:I5"/>
    <mergeCell ref="D6:I6"/>
    <mergeCell ref="D7:I7"/>
    <mergeCell ref="D8:I8"/>
  </mergeCell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2:L21"/>
  <sheetViews>
    <sheetView workbookViewId="0">
      <selection activeCell="D19" sqref="D19"/>
    </sheetView>
  </sheetViews>
  <sheetFormatPr defaultRowHeight="17.399999999999999" x14ac:dyDescent="0.3"/>
  <cols>
    <col min="1" max="1" width="8.88671875" style="80"/>
    <col min="2" max="2" width="10" style="80" customWidth="1"/>
    <col min="3" max="3" width="35.109375" style="80" bestFit="1" customWidth="1"/>
    <col min="4" max="4" width="58.6640625" style="80" customWidth="1"/>
    <col min="5" max="5" width="2.6640625" style="80" customWidth="1"/>
    <col min="6" max="6" width="2.33203125" style="80" customWidth="1"/>
    <col min="7" max="7" width="8.88671875" style="80" hidden="1" customWidth="1"/>
    <col min="8" max="9" width="8.88671875" style="80"/>
    <col min="10" max="10" width="23.6640625" style="80" bestFit="1" customWidth="1"/>
    <col min="11" max="11" width="42.21875" style="80" bestFit="1" customWidth="1"/>
    <col min="12" max="12" width="8.44140625" style="80" bestFit="1" customWidth="1"/>
    <col min="13" max="16384" width="8.88671875" style="80"/>
  </cols>
  <sheetData>
    <row r="2" spans="1:12" x14ac:dyDescent="0.3">
      <c r="C2" s="239" t="s">
        <v>79</v>
      </c>
      <c r="D2" s="239"/>
      <c r="E2" s="239"/>
      <c r="J2" s="237" t="s">
        <v>83</v>
      </c>
      <c r="K2" s="237"/>
      <c r="L2" s="237"/>
    </row>
    <row r="3" spans="1:12" x14ac:dyDescent="0.3">
      <c r="C3" s="82" t="s">
        <v>72</v>
      </c>
      <c r="D3" s="238">
        <v>12000</v>
      </c>
      <c r="E3" s="238"/>
      <c r="J3" s="80" t="s">
        <v>72</v>
      </c>
      <c r="L3" s="80">
        <v>12000</v>
      </c>
    </row>
    <row r="4" spans="1:12" x14ac:dyDescent="0.3">
      <c r="C4" s="82" t="s">
        <v>73</v>
      </c>
      <c r="D4" s="238">
        <v>11500</v>
      </c>
      <c r="E4" s="238"/>
      <c r="J4" s="80" t="s">
        <v>73</v>
      </c>
      <c r="L4" s="80">
        <v>12510</v>
      </c>
    </row>
    <row r="5" spans="1:12" x14ac:dyDescent="0.3">
      <c r="C5" s="82" t="s">
        <v>74</v>
      </c>
      <c r="D5" s="238">
        <v>10.6</v>
      </c>
      <c r="E5" s="238"/>
      <c r="J5" s="80" t="s">
        <v>74</v>
      </c>
      <c r="L5" s="80">
        <v>15</v>
      </c>
    </row>
    <row r="6" spans="1:12" hidden="1" x14ac:dyDescent="0.3">
      <c r="C6" s="82"/>
      <c r="D6" s="238">
        <f>D5*D4/D3</f>
        <v>10.158333333333333</v>
      </c>
      <c r="E6" s="238"/>
      <c r="L6" s="80">
        <f>L5*L4/L11</f>
        <v>15.182038834951456</v>
      </c>
    </row>
    <row r="7" spans="1:12" x14ac:dyDescent="0.3">
      <c r="C7" s="82" t="s">
        <v>77</v>
      </c>
      <c r="D7" s="238">
        <v>10.3</v>
      </c>
      <c r="E7" s="238"/>
      <c r="J7" s="80" t="s">
        <v>77</v>
      </c>
      <c r="L7" s="80">
        <v>10.3</v>
      </c>
    </row>
    <row r="8" spans="1:12" x14ac:dyDescent="0.3">
      <c r="C8" s="82" t="s">
        <v>78</v>
      </c>
      <c r="D8" s="238">
        <v>10.5</v>
      </c>
      <c r="E8" s="238"/>
      <c r="J8" s="80" t="s">
        <v>78</v>
      </c>
      <c r="L8" s="80">
        <v>10.5</v>
      </c>
    </row>
    <row r="9" spans="1:12" x14ac:dyDescent="0.3">
      <c r="C9" s="82" t="s">
        <v>75</v>
      </c>
      <c r="D9" s="238"/>
      <c r="E9" s="238"/>
      <c r="J9" s="80" t="s">
        <v>75</v>
      </c>
    </row>
    <row r="10" spans="1:12" x14ac:dyDescent="0.3">
      <c r="C10" s="82" t="s">
        <v>76</v>
      </c>
      <c r="D10" s="238"/>
      <c r="E10" s="238"/>
      <c r="J10" s="80" t="s">
        <v>76</v>
      </c>
    </row>
    <row r="11" spans="1:12" x14ac:dyDescent="0.3">
      <c r="J11" s="80" t="s">
        <v>82</v>
      </c>
      <c r="L11" s="80">
        <f>L3*0.03+L3</f>
        <v>12360</v>
      </c>
    </row>
    <row r="13" spans="1:12" ht="18" thickBot="1" x14ac:dyDescent="0.35">
      <c r="A13" s="85"/>
      <c r="B13" s="85"/>
    </row>
    <row r="14" spans="1:12" s="81" customFormat="1" ht="18" thickBot="1" x14ac:dyDescent="0.35">
      <c r="A14" s="242" t="s">
        <v>80</v>
      </c>
      <c r="B14" s="243"/>
      <c r="C14" s="83" t="str">
        <f>IF(D4&lt;D3,"PUXAR","PUXAR")</f>
        <v>PUXAR</v>
      </c>
      <c r="D14" s="84" t="str">
        <f>IF(D6&gt;D7,"AGUA ATÉ DAR O PESO ","ACUCAR E JOGAR PARA O PESO COM ÁGUA")</f>
        <v>ACUCAR E JOGAR PARA O PESO COM ÁGUA</v>
      </c>
      <c r="H14" s="237" t="s">
        <v>80</v>
      </c>
      <c r="I14" s="237"/>
      <c r="J14" s="81" t="str">
        <f>IF(L4&lt;L3,"PUXAR","PUXAR")</f>
        <v>PUXAR</v>
      </c>
      <c r="K14" s="81" t="str">
        <f>IF(L6&gt;L7,"AGUA ATÉ + 3% DO VOLUME DO TQ NA RECEITA  ","ACUCAR E JOGAR PARA O PESO COM ÁGUA")</f>
        <v xml:space="preserve">AGUA ATÉ + 3% DO VOLUME DO TQ NA RECEITA  </v>
      </c>
    </row>
    <row r="15" spans="1:12" x14ac:dyDescent="0.3">
      <c r="A15" s="85"/>
      <c r="B15" s="85"/>
    </row>
    <row r="16" spans="1:12" ht="18" thickBot="1" x14ac:dyDescent="0.35">
      <c r="A16" s="85"/>
      <c r="B16" s="85"/>
    </row>
    <row r="17" spans="1:11" ht="18" thickBot="1" x14ac:dyDescent="0.35">
      <c r="A17" s="242" t="s">
        <v>81</v>
      </c>
      <c r="B17" s="243"/>
      <c r="C17" s="240" t="str">
        <f>IF(D14="ACUCAR E JOGAR PARA O PESO COM ÁGUA", "USAR FÓRMULA AUMENTO DE BRIX","USAR FÓRMULA PARA DIMINUIR O BRIX ")</f>
        <v>USAR FÓRMULA AUMENTO DE BRIX</v>
      </c>
      <c r="D17" s="241"/>
      <c r="H17" s="237" t="s">
        <v>81</v>
      </c>
      <c r="I17" s="237"/>
      <c r="J17" s="237" t="str">
        <f>IF(K14="ACUCAR E JOGAR PARA O PESO COM ÁGUA", "USAR FÓRMULA AUMENTO DE BRIX","USAR FÓRMULA PARA DIMINUIR O BRIX ")</f>
        <v xml:space="preserve">USAR FÓRMULA PARA DIMINUIR O BRIX </v>
      </c>
      <c r="K17" s="237"/>
    </row>
    <row r="18" spans="1:11" x14ac:dyDescent="0.3">
      <c r="A18" s="85"/>
      <c r="B18" s="85"/>
    </row>
    <row r="20" spans="1:11" ht="18" thickBot="1" x14ac:dyDescent="0.35"/>
    <row r="21" spans="1:11" ht="45.6" thickBot="1" x14ac:dyDescent="0.35">
      <c r="D21" s="234" t="s">
        <v>84</v>
      </c>
      <c r="E21" s="235"/>
      <c r="F21" s="235"/>
      <c r="G21" s="235"/>
      <c r="H21" s="236"/>
    </row>
  </sheetData>
  <mergeCells count="17">
    <mergeCell ref="A14:B14"/>
    <mergeCell ref="A17:B17"/>
    <mergeCell ref="D8:E8"/>
    <mergeCell ref="D7:E7"/>
    <mergeCell ref="D6:E6"/>
    <mergeCell ref="D21:H21"/>
    <mergeCell ref="J2:L2"/>
    <mergeCell ref="H14:I14"/>
    <mergeCell ref="H17:I17"/>
    <mergeCell ref="J17:K17"/>
    <mergeCell ref="D10:E10"/>
    <mergeCell ref="D9:E9"/>
    <mergeCell ref="D3:E3"/>
    <mergeCell ref="C2:E2"/>
    <mergeCell ref="C17:D17"/>
    <mergeCell ref="D5:E5"/>
    <mergeCell ref="D4:E4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D3:K8"/>
  <sheetViews>
    <sheetView workbookViewId="0">
      <selection activeCell="J5" sqref="J5"/>
    </sheetView>
  </sheetViews>
  <sheetFormatPr defaultRowHeight="25.8" x14ac:dyDescent="0.5"/>
  <cols>
    <col min="1" max="3" width="8.88671875" style="51"/>
    <col min="4" max="4" width="27.88671875" style="51" bestFit="1" customWidth="1"/>
    <col min="5" max="8" width="8.88671875" style="51"/>
    <col min="9" max="9" width="11.6640625" style="51" customWidth="1"/>
    <col min="10" max="10" width="13.77734375" style="51" bestFit="1" customWidth="1"/>
    <col min="11" max="16384" width="8.88671875" style="51"/>
  </cols>
  <sheetData>
    <row r="3" spans="4:11" x14ac:dyDescent="0.5">
      <c r="D3" s="209" t="s">
        <v>63</v>
      </c>
      <c r="E3" s="209"/>
      <c r="F3" s="209"/>
      <c r="G3" s="209"/>
      <c r="H3" s="209"/>
      <c r="I3" s="209"/>
      <c r="J3" s="209"/>
      <c r="K3" s="209"/>
    </row>
    <row r="5" spans="4:11" x14ac:dyDescent="0.5">
      <c r="D5" s="208" t="s">
        <v>139</v>
      </c>
      <c r="E5" s="208"/>
      <c r="F5" s="208"/>
      <c r="G5" s="208"/>
      <c r="H5" s="208"/>
      <c r="I5" s="208"/>
      <c r="J5" s="70">
        <v>1.4</v>
      </c>
      <c r="K5" s="99" t="s">
        <v>112</v>
      </c>
    </row>
    <row r="6" spans="4:11" x14ac:dyDescent="0.5">
      <c r="D6" s="208" t="s">
        <v>140</v>
      </c>
      <c r="E6" s="208"/>
      <c r="F6" s="208"/>
      <c r="G6" s="208"/>
      <c r="H6" s="208"/>
      <c r="I6" s="208"/>
      <c r="J6" s="70">
        <v>10.119999999999999</v>
      </c>
      <c r="K6" s="99" t="s">
        <v>137</v>
      </c>
    </row>
    <row r="7" spans="4:11" x14ac:dyDescent="0.5">
      <c r="D7" s="210" t="s">
        <v>138</v>
      </c>
      <c r="E7" s="211"/>
      <c r="F7" s="211"/>
      <c r="G7" s="211"/>
      <c r="H7" s="211"/>
      <c r="I7" s="212"/>
      <c r="J7" s="70">
        <v>8.1999999999999993</v>
      </c>
      <c r="K7" s="99" t="s">
        <v>141</v>
      </c>
    </row>
    <row r="8" spans="4:11" x14ac:dyDescent="0.5">
      <c r="D8" s="208" t="s">
        <v>64</v>
      </c>
      <c r="E8" s="208"/>
      <c r="F8" s="208"/>
      <c r="G8" s="208"/>
      <c r="H8" s="208"/>
      <c r="I8" s="208"/>
      <c r="J8" s="53">
        <f>(((J5*8.2/J7)*10)/J6)*0.2</f>
        <v>0.27667984189723321</v>
      </c>
      <c r="K8" s="99" t="s">
        <v>53</v>
      </c>
    </row>
  </sheetData>
  <sheetProtection algorithmName="SHA-512" hashValue="ZtU6IUn6pGsjwEcUfsagrqF0xAXJAI8tXk9asJPaIyTVzh6tIs+wiYnKbbovWR1SjmjqcvmE4orryXIGXJ5KUw==" saltValue="H3EgMvmsfg48v4kIaMO1uQ==" spinCount="100000" sheet="1" objects="1" scenarios="1" selectLockedCells="1"/>
  <mergeCells count="5">
    <mergeCell ref="D5:I5"/>
    <mergeCell ref="D6:I6"/>
    <mergeCell ref="D8:I8"/>
    <mergeCell ref="D7:I7"/>
    <mergeCell ref="D3:K3"/>
  </mergeCells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B9182-3EFA-4C5B-84B7-8A1A314D1D09}">
  <dimension ref="D3:K10"/>
  <sheetViews>
    <sheetView workbookViewId="0">
      <selection activeCell="D8" sqref="D8:K10"/>
    </sheetView>
  </sheetViews>
  <sheetFormatPr defaultRowHeight="25.8" x14ac:dyDescent="0.5"/>
  <cols>
    <col min="1" max="2" width="8.88671875" style="51"/>
    <col min="3" max="3" width="5" style="51" customWidth="1"/>
    <col min="4" max="4" width="27.88671875" style="51" bestFit="1" customWidth="1"/>
    <col min="5" max="7" width="8.88671875" style="51"/>
    <col min="8" max="8" width="14.88671875" style="51" customWidth="1"/>
    <col min="9" max="9" width="11.6640625" style="51" customWidth="1"/>
    <col min="10" max="10" width="15.77734375" style="51" bestFit="1" customWidth="1"/>
    <col min="11" max="16384" width="8.88671875" style="51"/>
  </cols>
  <sheetData>
    <row r="3" spans="4:11" x14ac:dyDescent="0.5">
      <c r="D3" s="209" t="s">
        <v>196</v>
      </c>
      <c r="E3" s="209"/>
      <c r="F3" s="209"/>
      <c r="G3" s="209"/>
      <c r="H3" s="209"/>
      <c r="I3" s="209"/>
      <c r="J3" s="209"/>
      <c r="K3" s="209"/>
    </row>
    <row r="5" spans="4:11" x14ac:dyDescent="0.5">
      <c r="D5" s="208" t="s">
        <v>197</v>
      </c>
      <c r="E5" s="208"/>
      <c r="F5" s="208"/>
      <c r="G5" s="208"/>
      <c r="H5" s="208"/>
      <c r="I5" s="208"/>
      <c r="J5" s="100">
        <v>4</v>
      </c>
      <c r="K5" s="99" t="s">
        <v>200</v>
      </c>
    </row>
    <row r="6" spans="4:11" x14ac:dyDescent="0.5">
      <c r="D6" s="208" t="s">
        <v>198</v>
      </c>
      <c r="E6" s="208"/>
      <c r="F6" s="208"/>
      <c r="G6" s="208"/>
      <c r="H6" s="208"/>
      <c r="I6" s="208"/>
      <c r="J6" s="100">
        <v>1.625</v>
      </c>
      <c r="K6" s="99" t="s">
        <v>53</v>
      </c>
    </row>
    <row r="7" spans="4:11" x14ac:dyDescent="0.5">
      <c r="D7" s="210" t="s">
        <v>199</v>
      </c>
      <c r="E7" s="211"/>
      <c r="F7" s="211"/>
      <c r="G7" s="211"/>
      <c r="H7" s="211"/>
      <c r="I7" s="212"/>
      <c r="J7" s="141">
        <f>((J5*1000)*J6)/50</f>
        <v>130</v>
      </c>
      <c r="K7" s="99" t="s">
        <v>112</v>
      </c>
    </row>
    <row r="8" spans="4:11" ht="25.8" customHeight="1" x14ac:dyDescent="0.5">
      <c r="D8" s="244" t="s">
        <v>201</v>
      </c>
      <c r="E8" s="244"/>
      <c r="F8" s="244"/>
      <c r="G8" s="244"/>
      <c r="H8" s="244"/>
      <c r="I8" s="244"/>
      <c r="J8" s="244"/>
      <c r="K8" s="244"/>
    </row>
    <row r="9" spans="4:11" x14ac:dyDescent="0.5">
      <c r="D9" s="245"/>
      <c r="E9" s="245"/>
      <c r="F9" s="245"/>
      <c r="G9" s="245"/>
      <c r="H9" s="245"/>
      <c r="I9" s="245"/>
      <c r="J9" s="245"/>
      <c r="K9" s="245"/>
    </row>
    <row r="10" spans="4:11" x14ac:dyDescent="0.5">
      <c r="D10" s="245"/>
      <c r="E10" s="245"/>
      <c r="F10" s="245"/>
      <c r="G10" s="245"/>
      <c r="H10" s="245"/>
      <c r="I10" s="245"/>
      <c r="J10" s="245"/>
      <c r="K10" s="245"/>
    </row>
  </sheetData>
  <sheetProtection algorithmName="SHA-512" hashValue="24T/klWqapDFUfO4YQ16BenFxndNdtrNyafXWzPJHfgTIqAZwA3eXNzPh3l5IQ1RHSvs/jlRbHq0RUYOu1DKYA==" saltValue="bq4iXkvIDv6pNYYxE6m+og==" spinCount="100000" sheet="1" objects="1" scenarios="1"/>
  <mergeCells count="5">
    <mergeCell ref="D3:K3"/>
    <mergeCell ref="D5:I5"/>
    <mergeCell ref="D6:I6"/>
    <mergeCell ref="D7:I7"/>
    <mergeCell ref="D8:K10"/>
  </mergeCells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D3:J6"/>
  <sheetViews>
    <sheetView workbookViewId="0">
      <selection activeCell="J5" sqref="J5"/>
    </sheetView>
  </sheetViews>
  <sheetFormatPr defaultRowHeight="25.8" x14ac:dyDescent="0.5"/>
  <cols>
    <col min="1" max="3" width="8.88671875" style="51"/>
    <col min="4" max="4" width="27.88671875" style="51" bestFit="1" customWidth="1"/>
    <col min="5" max="16384" width="8.88671875" style="51"/>
  </cols>
  <sheetData>
    <row r="3" spans="4:10" x14ac:dyDescent="0.5">
      <c r="D3" s="209" t="s">
        <v>66</v>
      </c>
      <c r="E3" s="209"/>
      <c r="F3" s="209"/>
      <c r="G3" s="209"/>
      <c r="H3" s="209"/>
      <c r="I3" s="209"/>
      <c r="J3" s="209"/>
    </row>
    <row r="5" spans="4:10" x14ac:dyDescent="0.5">
      <c r="D5" s="208" t="s">
        <v>65</v>
      </c>
      <c r="E5" s="208"/>
      <c r="F5" s="208"/>
      <c r="G5" s="208"/>
      <c r="H5" s="208"/>
      <c r="I5" s="208"/>
      <c r="J5" s="70">
        <v>3.8</v>
      </c>
    </row>
    <row r="6" spans="4:10" x14ac:dyDescent="0.5">
      <c r="D6" s="208" t="s">
        <v>67</v>
      </c>
      <c r="E6" s="208"/>
      <c r="F6" s="208"/>
      <c r="G6" s="208"/>
      <c r="H6" s="208"/>
      <c r="I6" s="208"/>
      <c r="J6" s="52">
        <f>((J5*8.8)*2)</f>
        <v>66.88</v>
      </c>
    </row>
  </sheetData>
  <sheetProtection algorithmName="SHA-512" hashValue="mI+6++8G+aHp1tBi+B7WJVuz4e5sJML/6IqP5x4FuWTzA2tQEoaOjc71/VBp8QysWR4AN0xsM9BwYqMvXFq4Gw==" saltValue="y8gXZW4j/YiKw7Gt8TLyDw==" spinCount="100000" sheet="1" objects="1" scenarios="1" selectLockedCells="1"/>
  <mergeCells count="3">
    <mergeCell ref="D3:J3"/>
    <mergeCell ref="D5:I5"/>
    <mergeCell ref="D6:I6"/>
  </mergeCells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D3:K6"/>
  <sheetViews>
    <sheetView workbookViewId="0">
      <selection activeCell="J5" sqref="J5"/>
    </sheetView>
  </sheetViews>
  <sheetFormatPr defaultRowHeight="25.8" x14ac:dyDescent="0.5"/>
  <cols>
    <col min="1" max="3" width="8.88671875" style="51"/>
    <col min="4" max="4" width="27.88671875" style="51" bestFit="1" customWidth="1"/>
    <col min="5" max="16384" width="8.88671875" style="51"/>
  </cols>
  <sheetData>
    <row r="3" spans="4:11" x14ac:dyDescent="0.5">
      <c r="D3" s="209" t="s">
        <v>116</v>
      </c>
      <c r="E3" s="209"/>
      <c r="F3" s="209"/>
      <c r="G3" s="209"/>
      <c r="H3" s="209"/>
      <c r="I3" s="209"/>
      <c r="J3" s="209"/>
      <c r="K3" s="209"/>
    </row>
    <row r="5" spans="4:11" x14ac:dyDescent="0.5">
      <c r="D5" s="208" t="s">
        <v>123</v>
      </c>
      <c r="E5" s="208"/>
      <c r="F5" s="208"/>
      <c r="G5" s="208"/>
      <c r="H5" s="208"/>
      <c r="I5" s="208"/>
      <c r="J5" s="102">
        <v>0</v>
      </c>
      <c r="K5" s="99" t="s">
        <v>112</v>
      </c>
    </row>
    <row r="6" spans="4:11" x14ac:dyDescent="0.5">
      <c r="D6" s="208" t="s">
        <v>124</v>
      </c>
      <c r="E6" s="208"/>
      <c r="F6" s="208"/>
      <c r="G6" s="208"/>
      <c r="H6" s="208"/>
      <c r="I6" s="208"/>
      <c r="J6" s="103">
        <f>((J5*8.73)/10)</f>
        <v>0</v>
      </c>
      <c r="K6" s="99" t="s">
        <v>53</v>
      </c>
    </row>
  </sheetData>
  <sheetProtection algorithmName="SHA-512" hashValue="1Hy7xmAwqREakbAqYWGcgzGYgYva6nsCVfgNS7ZHOQylGAzQKyhk7ZDZeYvG+jWnD5gSehB5QaPi166M8/RmEQ==" saltValue="iG0qtxTJl7+tMNpAM7Ec5w==" spinCount="100000" sheet="1" objects="1" scenarios="1" selectLockedCells="1"/>
  <mergeCells count="3">
    <mergeCell ref="D5:I5"/>
    <mergeCell ref="D6:I6"/>
    <mergeCell ref="D3:K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96273-E1C6-4B31-A1F4-45E83CBD5FF9}">
  <sheetPr codeName="Planilha8"/>
  <dimension ref="D3:K6"/>
  <sheetViews>
    <sheetView workbookViewId="0">
      <selection activeCell="J6" sqref="J6"/>
    </sheetView>
  </sheetViews>
  <sheetFormatPr defaultRowHeight="25.8" x14ac:dyDescent="0.5"/>
  <cols>
    <col min="1" max="3" width="8.88671875" style="51"/>
    <col min="4" max="4" width="27.88671875" style="51" bestFit="1" customWidth="1"/>
    <col min="5" max="10" width="8.88671875" style="51"/>
    <col min="11" max="11" width="11.77734375" style="51" bestFit="1" customWidth="1"/>
    <col min="12" max="16384" width="8.88671875" style="51"/>
  </cols>
  <sheetData>
    <row r="3" spans="4:11" x14ac:dyDescent="0.5">
      <c r="D3" s="209" t="s">
        <v>117</v>
      </c>
      <c r="E3" s="209"/>
      <c r="F3" s="209"/>
      <c r="G3" s="209"/>
      <c r="H3" s="209"/>
      <c r="I3" s="209"/>
      <c r="J3" s="209"/>
      <c r="K3" s="209"/>
    </row>
    <row r="5" spans="4:11" x14ac:dyDescent="0.5">
      <c r="D5" s="208" t="s">
        <v>122</v>
      </c>
      <c r="E5" s="208"/>
      <c r="F5" s="208"/>
      <c r="G5" s="208"/>
      <c r="H5" s="208"/>
      <c r="I5" s="208"/>
      <c r="J5" s="104">
        <v>24</v>
      </c>
      <c r="K5" s="99" t="s">
        <v>118</v>
      </c>
    </row>
    <row r="6" spans="4:11" x14ac:dyDescent="0.5">
      <c r="D6" s="208" t="s">
        <v>124</v>
      </c>
      <c r="E6" s="208"/>
      <c r="F6" s="208"/>
      <c r="G6" s="208"/>
      <c r="H6" s="208"/>
      <c r="I6" s="208"/>
      <c r="J6" s="103">
        <f>(0.1348*J5-0.0106)</f>
        <v>3.2245999999999997</v>
      </c>
      <c r="K6" s="99" t="s">
        <v>53</v>
      </c>
    </row>
  </sheetData>
  <sheetProtection algorithmName="SHA-512" hashValue="r3lOn3NQcvfFT6FQoZuUKpArBNJscjw/e/NleSQRSBoF+BPEmt+trE9Ur8IYe4UkZpUMezauc/+v1Yjh2mPnng==" saltValue="2pZCdJqwBrqjgNMAusNzhA==" spinCount="100000" sheet="1" objects="1" scenarios="1"/>
  <mergeCells count="3">
    <mergeCell ref="D3:K3"/>
    <mergeCell ref="D5:I5"/>
    <mergeCell ref="D6:I6"/>
  </mergeCells>
  <pageMargins left="0.511811024" right="0.511811024" top="0.78740157499999996" bottom="0.78740157499999996" header="0.31496062000000002" footer="0.3149606200000000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4867-5058-4B7A-8BCE-96690A2DCA6D}">
  <sheetPr codeName="Planilha9"/>
  <dimension ref="D3:K6"/>
  <sheetViews>
    <sheetView workbookViewId="0">
      <selection activeCell="J6" sqref="J6"/>
    </sheetView>
  </sheetViews>
  <sheetFormatPr defaultRowHeight="25.8" x14ac:dyDescent="0.5"/>
  <cols>
    <col min="1" max="2" width="8.88671875" style="51"/>
    <col min="3" max="3" width="4.109375" style="51" customWidth="1"/>
    <col min="4" max="4" width="27.88671875" style="51" bestFit="1" customWidth="1"/>
    <col min="5" max="8" width="8.88671875" style="51"/>
    <col min="9" max="9" width="19.44140625" style="51" customWidth="1"/>
    <col min="10" max="10" width="10.88671875" style="51" customWidth="1"/>
    <col min="11" max="11" width="12.6640625" style="51" customWidth="1"/>
    <col min="12" max="16384" width="8.88671875" style="51"/>
  </cols>
  <sheetData>
    <row r="3" spans="4:11" x14ac:dyDescent="0.5">
      <c r="D3" s="209" t="s">
        <v>119</v>
      </c>
      <c r="E3" s="209"/>
      <c r="F3" s="209"/>
      <c r="G3" s="209"/>
      <c r="H3" s="209"/>
      <c r="I3" s="209"/>
      <c r="J3" s="209"/>
      <c r="K3" s="209"/>
    </row>
    <row r="5" spans="4:11" x14ac:dyDescent="0.5">
      <c r="D5" s="208" t="s">
        <v>120</v>
      </c>
      <c r="E5" s="208"/>
      <c r="F5" s="208"/>
      <c r="G5" s="208"/>
      <c r="H5" s="208"/>
      <c r="I5" s="208"/>
      <c r="J5" s="104">
        <v>35</v>
      </c>
      <c r="K5" s="99" t="s">
        <v>118</v>
      </c>
    </row>
    <row r="6" spans="4:11" x14ac:dyDescent="0.5">
      <c r="D6" s="208" t="s">
        <v>121</v>
      </c>
      <c r="E6" s="208"/>
      <c r="F6" s="208"/>
      <c r="G6" s="208"/>
      <c r="H6" s="208"/>
      <c r="I6" s="208"/>
      <c r="J6" s="106">
        <f>(0.1142*J5)-(0.0346)</f>
        <v>3.9623999999999997</v>
      </c>
      <c r="K6" s="99" t="s">
        <v>53</v>
      </c>
    </row>
  </sheetData>
  <sheetProtection algorithmName="SHA-512" hashValue="EDS33KXapaDhKXrTvcIlYeXHx1q5A2pxgAD7SsWeY02JFV3YjiZPgxwTVyDr4ey/5ok4ziELMkgcknTHEPl3mA==" saltValue="EwYljZCT3k0ofFGvotzTiA==" spinCount="100000" sheet="1" objects="1" scenarios="1"/>
  <mergeCells count="3">
    <mergeCell ref="D3:K3"/>
    <mergeCell ref="D5:I5"/>
    <mergeCell ref="D6:I6"/>
  </mergeCells>
  <pageMargins left="0.511811024" right="0.511811024" top="0.78740157499999996" bottom="0.78740157499999996" header="0.31496062000000002" footer="0.31496062000000002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10"/>
  <dimension ref="D3:K6"/>
  <sheetViews>
    <sheetView workbookViewId="0">
      <selection activeCell="J5" sqref="J5"/>
    </sheetView>
  </sheetViews>
  <sheetFormatPr defaultRowHeight="25.8" x14ac:dyDescent="0.5"/>
  <cols>
    <col min="1" max="3" width="8.88671875" style="51"/>
    <col min="4" max="4" width="27.88671875" style="51" bestFit="1" customWidth="1"/>
    <col min="5" max="16384" width="8.88671875" style="51"/>
  </cols>
  <sheetData>
    <row r="3" spans="4:11" x14ac:dyDescent="0.5">
      <c r="D3" s="209" t="s">
        <v>115</v>
      </c>
      <c r="E3" s="209"/>
      <c r="F3" s="209"/>
      <c r="G3" s="209"/>
      <c r="H3" s="209"/>
      <c r="I3" s="209"/>
      <c r="J3" s="209"/>
      <c r="K3" s="209"/>
    </row>
    <row r="5" spans="4:11" x14ac:dyDescent="0.5">
      <c r="D5" s="208" t="s">
        <v>113</v>
      </c>
      <c r="E5" s="208"/>
      <c r="F5" s="208"/>
      <c r="G5" s="208"/>
      <c r="H5" s="208"/>
      <c r="I5" s="208"/>
      <c r="J5" s="102">
        <v>0</v>
      </c>
      <c r="K5" s="99" t="s">
        <v>112</v>
      </c>
    </row>
    <row r="6" spans="4:11" x14ac:dyDescent="0.5">
      <c r="D6" s="208" t="s">
        <v>114</v>
      </c>
      <c r="E6" s="208"/>
      <c r="F6" s="208"/>
      <c r="G6" s="208"/>
      <c r="H6" s="208"/>
      <c r="I6" s="208"/>
      <c r="J6" s="101">
        <f>((J5*12.23)/10)</f>
        <v>0</v>
      </c>
      <c r="K6" s="99" t="s">
        <v>53</v>
      </c>
    </row>
  </sheetData>
  <sheetProtection algorithmName="SHA-512" hashValue="se+riLjxMUDmu/YpZBioH55DwjcSVPPG2MFdDoAy9X2/DY+RU1l0e6MMDXUqfhjCMUql2BZVdjP44KkNrmuW1A==" saltValue="TR1rBT7PsxNkJJmLl8laJg==" spinCount="100000" sheet="1" objects="1" scenarios="1" selectLockedCells="1"/>
  <mergeCells count="3">
    <mergeCell ref="D5:I5"/>
    <mergeCell ref="D6:I6"/>
    <mergeCell ref="D3:K3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C21E6-72BD-46E0-B723-4B0B5F8C1923}">
  <dimension ref="A1:Y94"/>
  <sheetViews>
    <sheetView zoomScale="110" zoomScaleNormal="110" workbookViewId="0">
      <selection sqref="A1:Q1"/>
    </sheetView>
  </sheetViews>
  <sheetFormatPr defaultColWidth="15.6640625" defaultRowHeight="15" x14ac:dyDescent="0.3"/>
  <cols>
    <col min="1" max="1" width="13.5546875" style="1" customWidth="1"/>
    <col min="2" max="2" width="10.21875" style="1" hidden="1" customWidth="1"/>
    <col min="3" max="3" width="10" style="1" customWidth="1"/>
    <col min="4" max="4" width="10.33203125" style="1" hidden="1" customWidth="1"/>
    <col min="5" max="5" width="12.5546875" style="1" hidden="1" customWidth="1"/>
    <col min="6" max="6" width="13.44140625" style="1" customWidth="1"/>
    <col min="7" max="7" width="21.109375" style="1" customWidth="1"/>
    <col min="8" max="8" width="14.44140625" style="1" customWidth="1"/>
    <col min="9" max="9" width="15.21875" style="1" customWidth="1"/>
    <col min="10" max="10" width="14.88671875" style="1" customWidth="1"/>
    <col min="11" max="11" width="14.33203125" style="1" customWidth="1"/>
    <col min="12" max="12" width="15" style="1" hidden="1" customWidth="1"/>
    <col min="13" max="13" width="19.88671875" style="1" hidden="1" customWidth="1"/>
    <col min="14" max="14" width="2.109375" style="21" customWidth="1"/>
    <col min="15" max="15" width="17.44140625" style="21" customWidth="1"/>
    <col min="16" max="16" width="12.21875" style="21" customWidth="1"/>
    <col min="17" max="25" width="15.6640625" style="21"/>
    <col min="26" max="16384" width="15.6640625" style="1"/>
  </cols>
  <sheetData>
    <row r="1" spans="1:25" ht="21" x14ac:dyDescent="0.3">
      <c r="A1" s="165" t="s">
        <v>34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</row>
    <row r="2" spans="1:25" ht="15" customHeight="1" x14ac:dyDescent="0.3">
      <c r="A2" s="163" t="s">
        <v>15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</row>
    <row r="3" spans="1:25" ht="10.199999999999999" customHeight="1" x14ac:dyDescent="0.3">
      <c r="A3" s="163"/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</row>
    <row r="4" spans="1:25" ht="18" customHeight="1" thickBot="1" x14ac:dyDescent="0.35">
      <c r="A4" s="200" t="s">
        <v>136</v>
      </c>
      <c r="B4" s="201"/>
      <c r="C4" s="201"/>
      <c r="D4" s="201"/>
      <c r="E4" s="202"/>
      <c r="F4" s="149" t="s">
        <v>90</v>
      </c>
      <c r="G4" s="176" t="s">
        <v>212</v>
      </c>
      <c r="H4" s="177"/>
      <c r="I4" s="178"/>
      <c r="J4" s="17">
        <v>1.0429999999999999</v>
      </c>
      <c r="K4" s="179"/>
      <c r="L4" s="180"/>
      <c r="M4" s="17"/>
      <c r="O4" s="168" t="s">
        <v>215</v>
      </c>
      <c r="P4" s="168"/>
      <c r="Q4" s="168"/>
    </row>
    <row r="5" spans="1:25" s="12" customFormat="1" ht="51" customHeight="1" thickBot="1" x14ac:dyDescent="0.35">
      <c r="A5" s="148" t="s">
        <v>0</v>
      </c>
      <c r="B5" s="148" t="s">
        <v>1</v>
      </c>
      <c r="C5" s="148" t="s">
        <v>13</v>
      </c>
      <c r="D5" s="148" t="s">
        <v>10</v>
      </c>
      <c r="E5" s="148" t="s">
        <v>2</v>
      </c>
      <c r="F5" s="148" t="s">
        <v>12</v>
      </c>
      <c r="G5" s="148" t="s">
        <v>217</v>
      </c>
      <c r="H5" s="148" t="s">
        <v>22</v>
      </c>
      <c r="I5" s="148" t="s">
        <v>27</v>
      </c>
      <c r="J5" s="148" t="s">
        <v>219</v>
      </c>
      <c r="K5" s="148" t="s">
        <v>5</v>
      </c>
      <c r="L5" s="11" t="s">
        <v>11</v>
      </c>
      <c r="M5" s="11" t="s">
        <v>6</v>
      </c>
      <c r="N5" s="22"/>
      <c r="O5" s="169" t="str">
        <f>IF(Q22&gt;0, "PRODUZIU A MAIS", "PRODUZIU A MENOS")</f>
        <v>PRODUZIU A MAIS</v>
      </c>
      <c r="P5" s="170"/>
      <c r="Q5" s="171"/>
      <c r="R5" s="22"/>
      <c r="S5" s="22"/>
      <c r="T5" s="22"/>
      <c r="U5" s="22"/>
      <c r="V5" s="22"/>
      <c r="W5" s="22"/>
      <c r="X5" s="22"/>
      <c r="Y5" s="22"/>
    </row>
    <row r="6" spans="1:25" s="14" customFormat="1" ht="10.8" hidden="1" thickBot="1" x14ac:dyDescent="0.3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23"/>
      <c r="O6" s="153"/>
      <c r="P6" s="153"/>
      <c r="Q6" s="153"/>
      <c r="R6" s="23"/>
      <c r="S6" s="23"/>
      <c r="T6" s="23"/>
      <c r="U6" s="23"/>
      <c r="V6" s="23"/>
      <c r="W6" s="23"/>
      <c r="X6" s="23"/>
      <c r="Y6" s="23"/>
    </row>
    <row r="7" spans="1:25" x14ac:dyDescent="0.3">
      <c r="A7" s="16">
        <v>25000</v>
      </c>
      <c r="B7" s="17">
        <v>610</v>
      </c>
      <c r="C7" s="149">
        <v>1</v>
      </c>
      <c r="D7" s="18">
        <v>0.6020833333333333</v>
      </c>
      <c r="E7" s="18">
        <v>0.79166666666666663</v>
      </c>
      <c r="F7" s="16">
        <v>22818</v>
      </c>
      <c r="G7" s="10">
        <f>IF(F4="200ML",(F7+800)/0.2,F7+1200)</f>
        <v>24018</v>
      </c>
      <c r="H7" s="10">
        <f>IF(F4="200ML",(A7/J4)/0.2,A7/J4)</f>
        <v>23969.319271332697</v>
      </c>
      <c r="I7" s="10">
        <f>H7-(H7*0.03)</f>
        <v>23250.239693192718</v>
      </c>
      <c r="J7" s="10">
        <f>(G7/J4)-H7</f>
        <v>-941.51486097794987</v>
      </c>
      <c r="K7" s="10">
        <f>IF(F4="200ML",J7*0.2,J7)</f>
        <v>-941.51486097794987</v>
      </c>
      <c r="L7" s="15"/>
      <c r="M7" s="10"/>
      <c r="O7" s="195" t="s">
        <v>214</v>
      </c>
      <c r="P7" s="196"/>
      <c r="Q7" s="190">
        <f>SUM(A7:A22)</f>
        <v>175000</v>
      </c>
    </row>
    <row r="8" spans="1:25" x14ac:dyDescent="0.3">
      <c r="A8" s="16">
        <v>25000</v>
      </c>
      <c r="B8" s="17">
        <v>620</v>
      </c>
      <c r="C8" s="149">
        <v>2</v>
      </c>
      <c r="D8" s="18"/>
      <c r="E8" s="18"/>
      <c r="F8" s="16">
        <v>47878</v>
      </c>
      <c r="G8" s="10">
        <f>IF(F8-F7&gt;0,(F8-F7),0)</f>
        <v>25060</v>
      </c>
      <c r="H8" s="10">
        <f>IF(F4="200ML",(A8/J4)/0.2,A8/J4)</f>
        <v>23969.319271332697</v>
      </c>
      <c r="I8" s="10">
        <f t="shared" ref="I8:I22" si="0">H8-(H8*0.03)</f>
        <v>23250.239693192718</v>
      </c>
      <c r="J8" s="10">
        <f>(G8/J4)-H8</f>
        <v>57.526366251197032</v>
      </c>
      <c r="K8" s="10">
        <f t="shared" ref="K8:K22" si="1">IF(F5="200ML",J8*0.2,J8)</f>
        <v>57.526366251197032</v>
      </c>
      <c r="L8" s="15"/>
      <c r="M8" s="10"/>
      <c r="O8" s="197"/>
      <c r="P8" s="198"/>
      <c r="Q8" s="199"/>
    </row>
    <row r="9" spans="1:25" x14ac:dyDescent="0.3">
      <c r="A9" s="16">
        <v>25000</v>
      </c>
      <c r="B9" s="17">
        <v>610</v>
      </c>
      <c r="C9" s="149">
        <v>3</v>
      </c>
      <c r="D9" s="18"/>
      <c r="E9" s="18"/>
      <c r="F9" s="16">
        <v>70935</v>
      </c>
      <c r="G9" s="10">
        <f t="shared" ref="G9:G22" si="2">IF(F9-F8&gt;0,(F9-F8),0)</f>
        <v>23057</v>
      </c>
      <c r="H9" s="10">
        <f>IF(F4="200ML",(A9/J4)/0.2,A9/J4)</f>
        <v>23969.319271332697</v>
      </c>
      <c r="I9" s="10">
        <f t="shared" si="0"/>
        <v>23250.239693192718</v>
      </c>
      <c r="J9" s="10">
        <f>(G9/J4)-H9</f>
        <v>-1862.8954937679773</v>
      </c>
      <c r="K9" s="10">
        <f t="shared" si="1"/>
        <v>-1862.8954937679773</v>
      </c>
      <c r="L9" s="15"/>
      <c r="M9" s="10"/>
      <c r="O9" s="197" t="s">
        <v>221</v>
      </c>
      <c r="P9" s="198"/>
      <c r="Q9" s="166">
        <f>IF(F4="200ML",SUM(G7:G22)*0.2*J4,SUM(G7:G22))</f>
        <v>168421</v>
      </c>
    </row>
    <row r="10" spans="1:25" ht="15.6" thickBot="1" x14ac:dyDescent="0.35">
      <c r="A10" s="16">
        <v>25000</v>
      </c>
      <c r="B10" s="17"/>
      <c r="C10" s="149">
        <v>4</v>
      </c>
      <c r="D10" s="18"/>
      <c r="E10" s="18"/>
      <c r="F10" s="16">
        <v>94780</v>
      </c>
      <c r="G10" s="10">
        <f t="shared" si="2"/>
        <v>23845</v>
      </c>
      <c r="H10" s="10">
        <f>IF(F4="200ML",(A10/J4)/0.2,A10/J4)</f>
        <v>23969.319271332697</v>
      </c>
      <c r="I10" s="10">
        <f t="shared" si="0"/>
        <v>23250.239693192718</v>
      </c>
      <c r="J10" s="10">
        <f>(G10/J4)-H10</f>
        <v>-1107.3825503355729</v>
      </c>
      <c r="K10" s="10">
        <f t="shared" si="1"/>
        <v>-1107.3825503355729</v>
      </c>
      <c r="L10" s="15"/>
      <c r="M10" s="10"/>
      <c r="O10" s="203"/>
      <c r="P10" s="204"/>
      <c r="Q10" s="181"/>
    </row>
    <row r="11" spans="1:25" ht="15.6" customHeight="1" thickBot="1" x14ac:dyDescent="0.35">
      <c r="A11" s="16">
        <v>25000</v>
      </c>
      <c r="B11" s="17"/>
      <c r="C11" s="149">
        <v>5</v>
      </c>
      <c r="D11" s="18"/>
      <c r="E11" s="18"/>
      <c r="F11" s="16">
        <v>118460</v>
      </c>
      <c r="G11" s="10">
        <f t="shared" si="2"/>
        <v>23680</v>
      </c>
      <c r="H11" s="10">
        <f>IF(F4="200ML",(A11/J4)/0.2,A11/J4)</f>
        <v>23969.319271332697</v>
      </c>
      <c r="I11" s="10">
        <f t="shared" si="0"/>
        <v>23250.239693192718</v>
      </c>
      <c r="J11" s="10">
        <f>(G11/J4)-H11</f>
        <v>-1265.5800575263675</v>
      </c>
      <c r="K11" s="10">
        <f t="shared" si="1"/>
        <v>-1265.5800575263675</v>
      </c>
      <c r="L11" s="15"/>
      <c r="M11" s="10"/>
      <c r="O11" s="155"/>
      <c r="P11" s="155"/>
      <c r="Q11" s="155"/>
    </row>
    <row r="12" spans="1:25" ht="15" customHeight="1" x14ac:dyDescent="0.3">
      <c r="A12" s="16">
        <v>25000</v>
      </c>
      <c r="B12" s="17"/>
      <c r="C12" s="149">
        <v>6</v>
      </c>
      <c r="D12" s="18"/>
      <c r="E12" s="19"/>
      <c r="F12" s="16">
        <v>141545</v>
      </c>
      <c r="G12" s="10">
        <f t="shared" si="2"/>
        <v>23085</v>
      </c>
      <c r="H12" s="10">
        <f>IF(F4="200ML",(A12/J4)/0.2,A12/J4)</f>
        <v>23969.319271332697</v>
      </c>
      <c r="I12" s="10">
        <f t="shared" si="0"/>
        <v>23250.239693192718</v>
      </c>
      <c r="J12" s="10">
        <f>(G12/J4)-H12</f>
        <v>-1836.0498561840868</v>
      </c>
      <c r="K12" s="10">
        <f t="shared" si="1"/>
        <v>-1836.0498561840868</v>
      </c>
      <c r="L12" s="15"/>
      <c r="M12" s="10"/>
      <c r="O12" s="182" t="s">
        <v>23</v>
      </c>
      <c r="P12" s="183"/>
      <c r="Q12" s="190">
        <f>IF(F4="200ML",(Q7/0.2)/J4,Q7/J4)</f>
        <v>167785.23489932888</v>
      </c>
    </row>
    <row r="13" spans="1:25" ht="15" customHeight="1" x14ac:dyDescent="0.3">
      <c r="A13" s="16">
        <v>25000</v>
      </c>
      <c r="B13" s="17"/>
      <c r="C13" s="149">
        <v>7</v>
      </c>
      <c r="D13" s="18"/>
      <c r="E13" s="18"/>
      <c r="F13" s="16">
        <v>167221</v>
      </c>
      <c r="G13" s="10">
        <f t="shared" si="2"/>
        <v>25676</v>
      </c>
      <c r="H13" s="10">
        <f>IF(F4="200ML",(A13/J4)/0.2,A13/J4)</f>
        <v>23969.319271332697</v>
      </c>
      <c r="I13" s="10">
        <f t="shared" si="0"/>
        <v>23250.239693192718</v>
      </c>
      <c r="J13" s="10">
        <f>(G13/J4)-H13</f>
        <v>648.13039309683518</v>
      </c>
      <c r="K13" s="10">
        <f t="shared" si="1"/>
        <v>648.13039309683518</v>
      </c>
      <c r="L13" s="15"/>
      <c r="M13" s="10"/>
      <c r="O13" s="184"/>
      <c r="P13" s="185"/>
      <c r="Q13" s="166"/>
    </row>
    <row r="14" spans="1:25" ht="15.6" customHeight="1" x14ac:dyDescent="0.3">
      <c r="A14" s="16">
        <v>0</v>
      </c>
      <c r="B14" s="17"/>
      <c r="C14" s="149">
        <v>8</v>
      </c>
      <c r="D14" s="18"/>
      <c r="E14" s="18"/>
      <c r="F14" s="16">
        <v>0</v>
      </c>
      <c r="G14" s="10">
        <f t="shared" si="2"/>
        <v>0</v>
      </c>
      <c r="H14" s="10">
        <f>IF(F4="200ML",(A14/J4)/0.2,A14/J4)</f>
        <v>0</v>
      </c>
      <c r="I14" s="10">
        <f t="shared" si="0"/>
        <v>0</v>
      </c>
      <c r="J14" s="10">
        <f>(G14/J4)-H14</f>
        <v>0</v>
      </c>
      <c r="K14" s="10">
        <f t="shared" si="1"/>
        <v>0</v>
      </c>
      <c r="L14" s="15"/>
      <c r="M14" s="10"/>
      <c r="O14" s="186"/>
      <c r="P14" s="187"/>
      <c r="Q14" s="166"/>
    </row>
    <row r="15" spans="1:25" ht="15" customHeight="1" x14ac:dyDescent="0.3">
      <c r="A15" s="16">
        <v>0</v>
      </c>
      <c r="B15" s="17"/>
      <c r="C15" s="149">
        <v>9</v>
      </c>
      <c r="D15" s="18"/>
      <c r="E15" s="18"/>
      <c r="F15" s="16">
        <v>0</v>
      </c>
      <c r="G15" s="10">
        <f t="shared" si="2"/>
        <v>0</v>
      </c>
      <c r="H15" s="10">
        <f>IF(F4="200ML",(A15/J4)/0.2,A15/J4)</f>
        <v>0</v>
      </c>
      <c r="I15" s="10">
        <f t="shared" si="0"/>
        <v>0</v>
      </c>
      <c r="J15" s="10">
        <f>(G15/J4)-H15</f>
        <v>0</v>
      </c>
      <c r="K15" s="10">
        <f t="shared" si="1"/>
        <v>0</v>
      </c>
      <c r="L15" s="15"/>
      <c r="M15" s="10"/>
      <c r="O15" s="188" t="s">
        <v>222</v>
      </c>
      <c r="P15" s="189"/>
      <c r="Q15" s="166">
        <f>Q12-(Q12*0.03)</f>
        <v>162751.67785234901</v>
      </c>
    </row>
    <row r="16" spans="1:25" ht="15" customHeight="1" x14ac:dyDescent="0.3">
      <c r="A16" s="16">
        <v>0</v>
      </c>
      <c r="B16" s="17"/>
      <c r="C16" s="149">
        <v>10</v>
      </c>
      <c r="D16" s="18"/>
      <c r="E16" s="18"/>
      <c r="F16" s="16">
        <v>0</v>
      </c>
      <c r="G16" s="10">
        <f t="shared" si="2"/>
        <v>0</v>
      </c>
      <c r="H16" s="10">
        <f>IF(F4="200ML",(A16/J4)/0.2,A16/J4)</f>
        <v>0</v>
      </c>
      <c r="I16" s="10">
        <f t="shared" si="0"/>
        <v>0</v>
      </c>
      <c r="J16" s="10">
        <f>(G16/J4)-H16</f>
        <v>0</v>
      </c>
      <c r="K16" s="10">
        <f t="shared" si="1"/>
        <v>0</v>
      </c>
      <c r="L16" s="15"/>
      <c r="M16" s="10"/>
      <c r="O16" s="184"/>
      <c r="P16" s="185"/>
      <c r="Q16" s="166"/>
    </row>
    <row r="17" spans="1:17" ht="15.6" customHeight="1" x14ac:dyDescent="0.3">
      <c r="A17" s="16">
        <v>0</v>
      </c>
      <c r="B17" s="17"/>
      <c r="C17" s="149">
        <v>11</v>
      </c>
      <c r="D17" s="18"/>
      <c r="E17" s="18"/>
      <c r="F17" s="16">
        <v>0</v>
      </c>
      <c r="G17" s="10">
        <f t="shared" si="2"/>
        <v>0</v>
      </c>
      <c r="H17" s="10">
        <f>IF(F4="200ML",(A17/J4)/0.2,A17/J4)</f>
        <v>0</v>
      </c>
      <c r="I17" s="10">
        <f t="shared" si="0"/>
        <v>0</v>
      </c>
      <c r="J17" s="10">
        <f>(G17/J4)-H17</f>
        <v>0</v>
      </c>
      <c r="K17" s="10">
        <f t="shared" si="1"/>
        <v>0</v>
      </c>
      <c r="L17" s="15"/>
      <c r="M17" s="10"/>
      <c r="O17" s="184"/>
      <c r="P17" s="185"/>
      <c r="Q17" s="166"/>
    </row>
    <row r="18" spans="1:17" ht="15.6" customHeight="1" x14ac:dyDescent="0.3">
      <c r="A18" s="16">
        <v>0</v>
      </c>
      <c r="B18" s="17"/>
      <c r="C18" s="149">
        <v>12</v>
      </c>
      <c r="D18" s="18"/>
      <c r="E18" s="18"/>
      <c r="F18" s="16">
        <v>0</v>
      </c>
      <c r="G18" s="10">
        <f t="shared" si="2"/>
        <v>0</v>
      </c>
      <c r="H18" s="10">
        <f>IF(F4="200ML",(A18/J4)/0.2,A18/J4)</f>
        <v>0</v>
      </c>
      <c r="I18" s="10">
        <f t="shared" si="0"/>
        <v>0</v>
      </c>
      <c r="J18" s="10">
        <f>(G18/J4)-H18</f>
        <v>0</v>
      </c>
      <c r="K18" s="10">
        <f t="shared" si="1"/>
        <v>0</v>
      </c>
      <c r="L18" s="15"/>
      <c r="M18" s="10"/>
      <c r="O18" s="188" t="s">
        <v>14</v>
      </c>
      <c r="P18" s="189"/>
      <c r="Q18" s="166">
        <f>SUM(G7:G21)</f>
        <v>168421</v>
      </c>
    </row>
    <row r="19" spans="1:17" ht="15.6" thickBot="1" x14ac:dyDescent="0.35">
      <c r="A19" s="16">
        <v>0</v>
      </c>
      <c r="B19" s="17"/>
      <c r="C19" s="149">
        <v>13</v>
      </c>
      <c r="D19" s="18"/>
      <c r="E19" s="18"/>
      <c r="F19" s="16">
        <v>0</v>
      </c>
      <c r="G19" s="10">
        <f t="shared" si="2"/>
        <v>0</v>
      </c>
      <c r="H19" s="10">
        <f>IF(F4="200ML",(A19/J4)/0.2,A19/J4)</f>
        <v>0</v>
      </c>
      <c r="I19" s="10">
        <f t="shared" si="0"/>
        <v>0</v>
      </c>
      <c r="J19" s="10">
        <f>(G19/J4)-H19</f>
        <v>0</v>
      </c>
      <c r="K19" s="10">
        <f t="shared" si="1"/>
        <v>0</v>
      </c>
      <c r="L19" s="147"/>
      <c r="M19" s="146"/>
      <c r="O19" s="191"/>
      <c r="P19" s="192"/>
      <c r="Q19" s="167"/>
    </row>
    <row r="20" spans="1:17" ht="15.6" thickBot="1" x14ac:dyDescent="0.35">
      <c r="A20" s="16">
        <v>0</v>
      </c>
      <c r="B20" s="17"/>
      <c r="C20" s="149">
        <v>14</v>
      </c>
      <c r="D20" s="18"/>
      <c r="E20" s="18"/>
      <c r="F20" s="16">
        <v>0</v>
      </c>
      <c r="G20" s="10">
        <f t="shared" si="2"/>
        <v>0</v>
      </c>
      <c r="H20" s="10">
        <f>IF(F4="200ML",(A20/J4)/0.2,A20/J4)</f>
        <v>0</v>
      </c>
      <c r="I20" s="10">
        <f t="shared" si="0"/>
        <v>0</v>
      </c>
      <c r="J20" s="10">
        <f>(G20/J4)-H20</f>
        <v>0</v>
      </c>
      <c r="K20" s="10">
        <f t="shared" si="1"/>
        <v>0</v>
      </c>
      <c r="L20" s="147"/>
      <c r="M20" s="146"/>
      <c r="O20" s="155"/>
      <c r="P20" s="155"/>
      <c r="Q20" s="155"/>
    </row>
    <row r="21" spans="1:17" ht="15.6" x14ac:dyDescent="0.3">
      <c r="A21" s="16">
        <v>0</v>
      </c>
      <c r="B21" s="17"/>
      <c r="C21" s="149">
        <v>15</v>
      </c>
      <c r="D21" s="18"/>
      <c r="E21" s="18"/>
      <c r="F21" s="16">
        <v>0</v>
      </c>
      <c r="G21" s="10">
        <f t="shared" si="2"/>
        <v>0</v>
      </c>
      <c r="H21" s="10">
        <f>IF(F4="200ML",(A21/J4)/0.2,A21/J4)</f>
        <v>0</v>
      </c>
      <c r="I21" s="10">
        <f t="shared" si="0"/>
        <v>0</v>
      </c>
      <c r="J21" s="10">
        <f>(G21/J4)-H21</f>
        <v>0</v>
      </c>
      <c r="K21" s="10">
        <f t="shared" si="1"/>
        <v>0</v>
      </c>
      <c r="L21" s="147"/>
      <c r="M21" s="146"/>
      <c r="O21" s="193" t="s">
        <v>24</v>
      </c>
      <c r="P21" s="194"/>
      <c r="Q21" s="154">
        <f>Q18-Q12</f>
        <v>635.76510067112395</v>
      </c>
    </row>
    <row r="22" spans="1:17" s="21" customFormat="1" ht="16.2" thickBot="1" x14ac:dyDescent="0.35">
      <c r="A22" s="16">
        <v>0</v>
      </c>
      <c r="B22" s="17"/>
      <c r="C22" s="149">
        <v>16</v>
      </c>
      <c r="D22" s="18"/>
      <c r="E22" s="18"/>
      <c r="F22" s="16">
        <v>0</v>
      </c>
      <c r="G22" s="10">
        <f t="shared" si="2"/>
        <v>0</v>
      </c>
      <c r="H22" s="10">
        <f>IF(F4="200ML",(A22/J4)/0.2,A22/J4)</f>
        <v>0</v>
      </c>
      <c r="I22" s="10">
        <f t="shared" si="0"/>
        <v>0</v>
      </c>
      <c r="J22" s="10">
        <f>(G22/J4)-H22</f>
        <v>0</v>
      </c>
      <c r="K22" s="10">
        <f t="shared" si="1"/>
        <v>0</v>
      </c>
      <c r="O22" s="174" t="s">
        <v>25</v>
      </c>
      <c r="P22" s="175"/>
      <c r="Q22" s="156">
        <f>IF(F4="200ML", Q21*0.2,Q21)</f>
        <v>635.76510067112395</v>
      </c>
    </row>
    <row r="23" spans="1:17" ht="15.6" thickBot="1" x14ac:dyDescent="0.35">
      <c r="D23" s="21"/>
      <c r="H23" s="21"/>
      <c r="I23" s="21"/>
      <c r="J23" s="21"/>
      <c r="K23" s="21"/>
      <c r="L23" s="21"/>
    </row>
    <row r="24" spans="1:17" ht="16.2" thickBot="1" x14ac:dyDescent="0.35">
      <c r="A24" s="172" t="s">
        <v>216</v>
      </c>
      <c r="B24" s="173"/>
      <c r="C24" s="173"/>
      <c r="D24" s="150"/>
      <c r="E24" s="150"/>
      <c r="F24" s="151" t="str">
        <f>IF(O5="PRODUZIU A MAIS", "REDUZIR","AUMENTAR")</f>
        <v>REDUZIR</v>
      </c>
      <c r="G24" s="152">
        <f>IF(O5="PRODUZIU A MAIS",(((Q9/Q7)*100)-100)/100,(((Q9/Q7)*100)-100)/100*(-1))</f>
        <v>-3.7594285714285719E-2</v>
      </c>
      <c r="H24" s="21"/>
      <c r="I24" s="21"/>
      <c r="J24" s="21"/>
      <c r="K24" s="21"/>
      <c r="L24" s="21"/>
    </row>
    <row r="25" spans="1:17" x14ac:dyDescent="0.3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6" spans="1:17" x14ac:dyDescent="0.3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</row>
    <row r="27" spans="1:17" x14ac:dyDescent="0.3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</row>
    <row r="28" spans="1:17" x14ac:dyDescent="0.3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</row>
    <row r="29" spans="1:17" x14ac:dyDescent="0.3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</row>
    <row r="30" spans="1:17" x14ac:dyDescent="0.3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</row>
    <row r="31" spans="1:17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</row>
    <row r="32" spans="1:17" x14ac:dyDescent="0.3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</row>
    <row r="33" spans="1:12" x14ac:dyDescent="0.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</row>
    <row r="34" spans="1:12" x14ac:dyDescent="0.3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</row>
    <row r="35" spans="1:12" x14ac:dyDescent="0.3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</row>
    <row r="36" spans="1:12" x14ac:dyDescent="0.3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</row>
    <row r="37" spans="1:12" x14ac:dyDescent="0.3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</row>
    <row r="38" spans="1:12" x14ac:dyDescent="0.3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</row>
    <row r="39" spans="1:12" x14ac:dyDescent="0.3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</row>
    <row r="40" spans="1:12" x14ac:dyDescent="0.3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</row>
    <row r="41" spans="1:12" x14ac:dyDescent="0.3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</row>
    <row r="42" spans="1:12" x14ac:dyDescent="0.3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</row>
    <row r="43" spans="1:12" x14ac:dyDescent="0.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</row>
    <row r="44" spans="1:12" x14ac:dyDescent="0.3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</row>
    <row r="45" spans="1:12" x14ac:dyDescent="0.3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</row>
    <row r="46" spans="1:12" x14ac:dyDescent="0.3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</row>
    <row r="47" spans="1:12" x14ac:dyDescent="0.3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</row>
    <row r="48" spans="1:12" x14ac:dyDescent="0.3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</row>
    <row r="49" spans="1:12" x14ac:dyDescent="0.3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</row>
    <row r="50" spans="1:12" x14ac:dyDescent="0.3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</row>
    <row r="51" spans="1:12" x14ac:dyDescent="0.3">
      <c r="A51" s="21"/>
      <c r="B51" s="21"/>
      <c r="C51" s="21"/>
      <c r="D51" s="21"/>
      <c r="E51" s="21"/>
      <c r="F51" s="21"/>
      <c r="G51" s="21"/>
      <c r="H51" s="21"/>
    </row>
    <row r="52" spans="1:12" x14ac:dyDescent="0.3">
      <c r="A52" s="21"/>
      <c r="B52" s="21"/>
      <c r="C52" s="21"/>
      <c r="D52" s="21"/>
      <c r="E52" s="21"/>
      <c r="F52" s="21"/>
      <c r="G52" s="21"/>
      <c r="H52" s="21"/>
    </row>
    <row r="53" spans="1:12" x14ac:dyDescent="0.3">
      <c r="A53" s="21"/>
      <c r="B53" s="21"/>
      <c r="C53" s="21"/>
      <c r="D53" s="21"/>
      <c r="E53" s="21"/>
      <c r="F53" s="21"/>
      <c r="G53" s="21"/>
      <c r="H53" s="21"/>
    </row>
    <row r="54" spans="1:12" x14ac:dyDescent="0.3">
      <c r="A54" s="21"/>
      <c r="B54" s="21"/>
      <c r="C54" s="21"/>
      <c r="D54" s="21"/>
      <c r="E54" s="21"/>
      <c r="F54" s="21"/>
      <c r="G54" s="21"/>
      <c r="H54" s="21"/>
    </row>
    <row r="55" spans="1:12" x14ac:dyDescent="0.3">
      <c r="A55" s="21"/>
      <c r="B55" s="21"/>
      <c r="C55" s="21"/>
      <c r="D55" s="21"/>
      <c r="E55" s="21"/>
      <c r="F55" s="21"/>
      <c r="G55" s="21"/>
      <c r="H55" s="21"/>
    </row>
    <row r="56" spans="1:12" x14ac:dyDescent="0.3">
      <c r="A56" s="21"/>
      <c r="B56" s="21"/>
      <c r="C56" s="21"/>
      <c r="D56" s="21"/>
      <c r="E56" s="21"/>
      <c r="F56" s="21"/>
      <c r="G56" s="21"/>
      <c r="H56" s="21"/>
    </row>
    <row r="57" spans="1:12" x14ac:dyDescent="0.3">
      <c r="A57" s="21"/>
      <c r="B57" s="21"/>
      <c r="C57" s="21"/>
      <c r="D57" s="21"/>
      <c r="E57" s="21"/>
      <c r="F57" s="21"/>
      <c r="G57" s="21"/>
      <c r="H57" s="21"/>
    </row>
    <row r="58" spans="1:12" x14ac:dyDescent="0.3">
      <c r="A58" s="21"/>
      <c r="B58" s="21"/>
      <c r="C58" s="21"/>
      <c r="D58" s="21"/>
      <c r="E58" s="21"/>
      <c r="F58" s="21"/>
      <c r="G58" s="21"/>
      <c r="H58" s="21"/>
    </row>
    <row r="59" spans="1:12" x14ac:dyDescent="0.3">
      <c r="A59" s="21"/>
      <c r="B59" s="21"/>
      <c r="C59" s="21"/>
      <c r="D59" s="21"/>
      <c r="E59" s="21"/>
      <c r="F59" s="21"/>
      <c r="G59" s="21"/>
      <c r="H59" s="21"/>
    </row>
    <row r="60" spans="1:12" x14ac:dyDescent="0.3">
      <c r="A60" s="21"/>
      <c r="B60" s="21"/>
      <c r="C60" s="21"/>
      <c r="D60" s="21"/>
      <c r="E60" s="21"/>
      <c r="F60" s="21"/>
      <c r="G60" s="21"/>
      <c r="H60" s="21"/>
    </row>
    <row r="61" spans="1:12" x14ac:dyDescent="0.3">
      <c r="A61" s="21"/>
      <c r="B61" s="21"/>
      <c r="C61" s="21"/>
      <c r="D61" s="21"/>
      <c r="E61" s="21"/>
      <c r="F61" s="21"/>
      <c r="G61" s="21"/>
      <c r="H61" s="21"/>
    </row>
    <row r="62" spans="1:12" x14ac:dyDescent="0.3">
      <c r="A62" s="21"/>
      <c r="B62" s="21"/>
      <c r="C62" s="21"/>
      <c r="D62" s="21"/>
      <c r="E62" s="21"/>
      <c r="F62" s="21"/>
      <c r="G62" s="21"/>
      <c r="H62" s="21"/>
    </row>
    <row r="63" spans="1:12" x14ac:dyDescent="0.3">
      <c r="A63" s="21"/>
      <c r="B63" s="21"/>
      <c r="C63" s="21"/>
      <c r="D63" s="21"/>
      <c r="E63" s="21"/>
      <c r="F63" s="21"/>
      <c r="G63" s="21"/>
      <c r="H63" s="21"/>
    </row>
    <row r="64" spans="1:12" x14ac:dyDescent="0.3">
      <c r="A64" s="21"/>
      <c r="B64" s="21"/>
      <c r="C64" s="21"/>
      <c r="D64" s="21"/>
      <c r="E64" s="21"/>
      <c r="F64" s="21"/>
      <c r="G64" s="21"/>
      <c r="H64" s="21"/>
    </row>
    <row r="65" spans="1:8" x14ac:dyDescent="0.3">
      <c r="A65" s="21"/>
      <c r="B65" s="21"/>
      <c r="C65" s="21"/>
      <c r="D65" s="21"/>
      <c r="E65" s="21"/>
      <c r="F65" s="21"/>
      <c r="G65" s="21"/>
      <c r="H65" s="21"/>
    </row>
    <row r="66" spans="1:8" x14ac:dyDescent="0.3">
      <c r="A66" s="21"/>
      <c r="B66" s="21"/>
      <c r="C66" s="21"/>
      <c r="D66" s="21"/>
      <c r="E66" s="21"/>
      <c r="F66" s="21"/>
      <c r="G66" s="21"/>
      <c r="H66" s="21"/>
    </row>
    <row r="67" spans="1:8" x14ac:dyDescent="0.3">
      <c r="A67" s="21"/>
      <c r="B67" s="21"/>
      <c r="C67" s="21"/>
      <c r="D67" s="21"/>
      <c r="E67" s="21"/>
      <c r="F67" s="21"/>
      <c r="G67" s="21"/>
      <c r="H67" s="21"/>
    </row>
    <row r="68" spans="1:8" x14ac:dyDescent="0.3">
      <c r="A68" s="21"/>
      <c r="B68" s="21"/>
      <c r="C68" s="21"/>
      <c r="D68" s="21"/>
      <c r="E68" s="21"/>
      <c r="F68" s="21"/>
      <c r="G68" s="21"/>
      <c r="H68" s="21"/>
    </row>
    <row r="69" spans="1:8" x14ac:dyDescent="0.3">
      <c r="A69" s="21"/>
      <c r="B69" s="21"/>
      <c r="C69" s="21"/>
      <c r="D69" s="21"/>
      <c r="E69" s="21"/>
      <c r="F69" s="21"/>
      <c r="G69" s="21"/>
      <c r="H69" s="21"/>
    </row>
    <row r="70" spans="1:8" x14ac:dyDescent="0.3">
      <c r="A70" s="21"/>
      <c r="B70" s="21"/>
      <c r="C70" s="21"/>
      <c r="D70" s="21"/>
      <c r="E70" s="21"/>
      <c r="F70" s="21"/>
      <c r="G70" s="21"/>
      <c r="H70" s="21"/>
    </row>
    <row r="71" spans="1:8" x14ac:dyDescent="0.3">
      <c r="A71" s="21"/>
      <c r="B71" s="21"/>
      <c r="C71" s="21"/>
      <c r="D71" s="21"/>
      <c r="E71" s="21"/>
      <c r="F71" s="21"/>
      <c r="G71" s="21"/>
      <c r="H71" s="21"/>
    </row>
    <row r="72" spans="1:8" x14ac:dyDescent="0.3">
      <c r="A72" s="21"/>
      <c r="B72" s="21"/>
      <c r="C72" s="21"/>
      <c r="D72" s="21"/>
      <c r="E72" s="21"/>
      <c r="F72" s="21"/>
      <c r="G72" s="21"/>
      <c r="H72" s="21"/>
    </row>
    <row r="73" spans="1:8" x14ac:dyDescent="0.3">
      <c r="A73" s="21"/>
      <c r="B73" s="21"/>
      <c r="C73" s="21"/>
      <c r="D73" s="21"/>
      <c r="E73" s="21"/>
      <c r="F73" s="21"/>
      <c r="G73" s="21"/>
      <c r="H73" s="21"/>
    </row>
    <row r="74" spans="1:8" x14ac:dyDescent="0.3">
      <c r="A74" s="21"/>
      <c r="B74" s="21"/>
      <c r="C74" s="21"/>
      <c r="D74" s="21"/>
      <c r="E74" s="21"/>
      <c r="F74" s="21"/>
      <c r="G74" s="21"/>
      <c r="H74" s="21"/>
    </row>
    <row r="75" spans="1:8" x14ac:dyDescent="0.3">
      <c r="A75" s="21"/>
      <c r="B75" s="21"/>
      <c r="C75" s="21"/>
      <c r="D75" s="21"/>
      <c r="E75" s="21"/>
      <c r="F75" s="21"/>
      <c r="G75" s="21"/>
      <c r="H75" s="21"/>
    </row>
    <row r="76" spans="1:8" x14ac:dyDescent="0.3">
      <c r="A76" s="21"/>
      <c r="B76" s="21"/>
      <c r="C76" s="21"/>
      <c r="D76" s="21"/>
      <c r="E76" s="21"/>
      <c r="F76" s="21"/>
      <c r="G76" s="21"/>
      <c r="H76" s="21"/>
    </row>
    <row r="77" spans="1:8" x14ac:dyDescent="0.3">
      <c r="A77" s="21"/>
      <c r="B77" s="21"/>
      <c r="C77" s="21"/>
      <c r="D77" s="21"/>
      <c r="E77" s="21"/>
      <c r="F77" s="21"/>
      <c r="G77" s="21"/>
      <c r="H77" s="21"/>
    </row>
    <row r="78" spans="1:8" x14ac:dyDescent="0.3">
      <c r="A78" s="21"/>
      <c r="B78" s="21"/>
      <c r="C78" s="21"/>
      <c r="D78" s="21"/>
      <c r="E78" s="21"/>
      <c r="F78" s="21"/>
      <c r="G78" s="21"/>
      <c r="H78" s="21"/>
    </row>
    <row r="79" spans="1:8" x14ac:dyDescent="0.3">
      <c r="A79" s="21"/>
      <c r="B79" s="21"/>
      <c r="C79" s="21"/>
      <c r="D79" s="21"/>
      <c r="E79" s="21"/>
      <c r="F79" s="21"/>
      <c r="G79" s="21"/>
      <c r="H79" s="21"/>
    </row>
    <row r="80" spans="1:8" x14ac:dyDescent="0.3">
      <c r="A80" s="21"/>
      <c r="B80" s="21"/>
      <c r="C80" s="21"/>
      <c r="D80" s="21"/>
      <c r="E80" s="21"/>
      <c r="F80" s="21"/>
      <c r="G80" s="21"/>
      <c r="H80" s="21"/>
    </row>
    <row r="81" spans="1:8" x14ac:dyDescent="0.3">
      <c r="A81" s="21"/>
      <c r="B81" s="21"/>
      <c r="C81" s="21"/>
      <c r="D81" s="21"/>
      <c r="E81" s="21"/>
      <c r="F81" s="21"/>
      <c r="G81" s="21"/>
      <c r="H81" s="21"/>
    </row>
    <row r="82" spans="1:8" x14ac:dyDescent="0.3">
      <c r="A82" s="21"/>
      <c r="B82" s="21"/>
      <c r="C82" s="21"/>
      <c r="D82" s="21"/>
      <c r="E82" s="21"/>
      <c r="F82" s="21"/>
      <c r="G82" s="21"/>
      <c r="H82" s="21"/>
    </row>
    <row r="83" spans="1:8" x14ac:dyDescent="0.3">
      <c r="A83" s="21"/>
      <c r="B83" s="21"/>
      <c r="C83" s="21"/>
      <c r="D83" s="21"/>
      <c r="E83" s="21"/>
      <c r="F83" s="21"/>
      <c r="G83" s="21"/>
      <c r="H83" s="21"/>
    </row>
    <row r="84" spans="1:8" x14ac:dyDescent="0.3">
      <c r="A84" s="21"/>
      <c r="B84" s="21"/>
      <c r="C84" s="21"/>
      <c r="D84" s="21"/>
      <c r="E84" s="21"/>
      <c r="F84" s="21"/>
      <c r="G84" s="21"/>
      <c r="H84" s="21"/>
    </row>
    <row r="85" spans="1:8" x14ac:dyDescent="0.3">
      <c r="A85" s="21"/>
      <c r="B85" s="21"/>
      <c r="C85" s="21"/>
      <c r="D85" s="21"/>
      <c r="E85" s="21"/>
      <c r="F85" s="21"/>
      <c r="G85" s="21"/>
      <c r="H85" s="21"/>
    </row>
    <row r="86" spans="1:8" x14ac:dyDescent="0.3">
      <c r="A86" s="21"/>
      <c r="B86" s="21"/>
      <c r="C86" s="21"/>
      <c r="D86" s="21"/>
      <c r="E86" s="21"/>
      <c r="F86" s="21"/>
      <c r="G86" s="21"/>
      <c r="H86" s="21"/>
    </row>
    <row r="87" spans="1:8" x14ac:dyDescent="0.3">
      <c r="A87" s="21"/>
      <c r="B87" s="21"/>
      <c r="C87" s="21"/>
      <c r="D87" s="21"/>
      <c r="E87" s="21"/>
      <c r="F87" s="21"/>
      <c r="G87" s="21"/>
      <c r="H87" s="21"/>
    </row>
    <row r="88" spans="1:8" x14ac:dyDescent="0.3">
      <c r="A88" s="21"/>
      <c r="B88" s="21"/>
      <c r="C88" s="21"/>
      <c r="D88" s="21"/>
      <c r="E88" s="21"/>
      <c r="F88" s="21"/>
      <c r="G88" s="21"/>
      <c r="H88" s="21"/>
    </row>
    <row r="89" spans="1:8" x14ac:dyDescent="0.3">
      <c r="A89" s="21"/>
      <c r="B89" s="21"/>
      <c r="C89" s="21"/>
      <c r="D89" s="21"/>
      <c r="E89" s="21"/>
      <c r="F89" s="21"/>
      <c r="G89" s="21"/>
      <c r="H89" s="21"/>
    </row>
    <row r="90" spans="1:8" x14ac:dyDescent="0.3">
      <c r="A90" s="21"/>
      <c r="B90" s="21"/>
      <c r="C90" s="21"/>
      <c r="D90" s="21"/>
      <c r="E90" s="21"/>
      <c r="F90" s="21"/>
      <c r="G90" s="21"/>
      <c r="H90" s="21"/>
    </row>
    <row r="91" spans="1:8" x14ac:dyDescent="0.3">
      <c r="A91" s="21"/>
      <c r="B91" s="21"/>
      <c r="C91" s="21"/>
      <c r="D91" s="21"/>
      <c r="E91" s="21"/>
      <c r="F91" s="21"/>
      <c r="G91" s="21"/>
      <c r="H91" s="21"/>
    </row>
    <row r="92" spans="1:8" x14ac:dyDescent="0.3">
      <c r="A92" s="21"/>
      <c r="B92" s="21"/>
      <c r="C92" s="21"/>
      <c r="D92" s="21"/>
      <c r="E92" s="21"/>
      <c r="F92" s="21"/>
      <c r="G92" s="21"/>
      <c r="H92" s="21"/>
    </row>
    <row r="93" spans="1:8" x14ac:dyDescent="0.3">
      <c r="A93" s="21"/>
      <c r="B93" s="21"/>
      <c r="C93" s="21"/>
      <c r="D93" s="21"/>
      <c r="E93" s="21"/>
      <c r="F93" s="21"/>
      <c r="G93" s="21"/>
      <c r="H93" s="21"/>
    </row>
    <row r="94" spans="1:8" x14ac:dyDescent="0.3">
      <c r="A94" s="21"/>
      <c r="B94" s="21"/>
      <c r="C94" s="21"/>
      <c r="D94" s="21"/>
      <c r="E94" s="21"/>
      <c r="F94" s="21"/>
      <c r="G94" s="21"/>
      <c r="H94" s="21"/>
    </row>
  </sheetData>
  <sheetProtection algorithmName="SHA-512" hashValue="PwiKAaTRAZMAoXO3EHV89eQCmCfaZD1KcTcIBsFN0xyg7gTJSJGQwfExot/zOrd5mrdfOoZTPh2TP1nZMAAKYA==" saltValue="jOfc8W6v0pq6s6/rG6SOvg==" spinCount="100000" sheet="1" objects="1" scenarios="1"/>
  <mergeCells count="20">
    <mergeCell ref="A24:C24"/>
    <mergeCell ref="O15:P17"/>
    <mergeCell ref="Q15:Q17"/>
    <mergeCell ref="O18:P19"/>
    <mergeCell ref="Q18:Q19"/>
    <mergeCell ref="O21:P21"/>
    <mergeCell ref="O22:P22"/>
    <mergeCell ref="O12:P14"/>
    <mergeCell ref="Q12:Q14"/>
    <mergeCell ref="A1:Q1"/>
    <mergeCell ref="A2:Q3"/>
    <mergeCell ref="A4:E4"/>
    <mergeCell ref="G4:I4"/>
    <mergeCell ref="K4:L4"/>
    <mergeCell ref="O4:Q4"/>
    <mergeCell ref="O5:Q5"/>
    <mergeCell ref="O7:P8"/>
    <mergeCell ref="Q7:Q8"/>
    <mergeCell ref="O9:P10"/>
    <mergeCell ref="Q9:Q10"/>
  </mergeCells>
  <conditionalFormatting sqref="J7:J22">
    <cfRule type="cellIs" dxfId="3" priority="3" operator="between">
      <formula>-0.1</formula>
      <formula>-9999999999999990000</formula>
    </cfRule>
    <cfRule type="cellIs" dxfId="2" priority="4" operator="between">
      <formula>0.1</formula>
      <formula>9.99999999999999E+36</formula>
    </cfRule>
  </conditionalFormatting>
  <conditionalFormatting sqref="Q21:Q22">
    <cfRule type="cellIs" dxfId="1" priority="1" operator="lessThan">
      <formula>0</formula>
    </cfRule>
    <cfRule type="cellIs" dxfId="0" priority="2" operator="greaterThan">
      <formula>0</formula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E7573CB-EF6C-4654-8669-CA760CF5190E}">
          <x14:formula1>
            <xm:f>DADOS!$B$6:$B$15</xm:f>
          </x14:formula1>
          <xm:sqref>C7:C22</xm:sqref>
        </x14:dataValidation>
        <x14:dataValidation type="list" allowBlank="1" showInputMessage="1" showErrorMessage="1" xr:uid="{9E8AC242-BDB5-4365-8352-BAA395DB7CAC}">
          <x14:formula1>
            <xm:f>DADOS!$B$3:$B$10</xm:f>
          </x14:formula1>
          <xm:sqref>B7:B22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11"/>
  <dimension ref="A1:AK34"/>
  <sheetViews>
    <sheetView workbookViewId="0">
      <selection activeCell="B4" sqref="B4"/>
    </sheetView>
  </sheetViews>
  <sheetFormatPr defaultColWidth="9.109375" defaultRowHeight="13.8" x14ac:dyDescent="0.25"/>
  <cols>
    <col min="1" max="1" width="80.6640625" style="45" customWidth="1"/>
    <col min="2" max="2" width="17.109375" style="45" customWidth="1"/>
    <col min="3" max="3" width="6" style="45" customWidth="1"/>
    <col min="4" max="4" width="11.21875" style="45" customWidth="1"/>
    <col min="5" max="5" width="14.6640625" style="45" customWidth="1"/>
    <col min="6" max="6" width="6.33203125" style="45" customWidth="1"/>
    <col min="7" max="7" width="22.6640625" style="45" customWidth="1"/>
    <col min="8" max="8" width="17.5546875" style="45" customWidth="1"/>
    <col min="9" max="37" width="9.109375" style="44"/>
    <col min="38" max="16384" width="9.109375" style="45"/>
  </cols>
  <sheetData>
    <row r="1" spans="1:8" ht="33" x14ac:dyDescent="0.6">
      <c r="A1" s="246" t="s">
        <v>59</v>
      </c>
      <c r="B1" s="246"/>
      <c r="C1" s="246"/>
      <c r="D1" s="246"/>
      <c r="E1" s="246"/>
      <c r="F1" s="246"/>
      <c r="G1" s="246"/>
      <c r="H1" s="246"/>
    </row>
    <row r="2" spans="1:8" s="44" customFormat="1" ht="27.75" customHeight="1" x14ac:dyDescent="0.25">
      <c r="A2" s="247" t="s">
        <v>32</v>
      </c>
      <c r="B2" s="248"/>
      <c r="C2" s="248"/>
      <c r="D2" s="248"/>
      <c r="E2" s="248"/>
      <c r="F2" s="248"/>
      <c r="G2" s="248"/>
      <c r="H2" s="248"/>
    </row>
    <row r="3" spans="1:8" s="44" customFormat="1" ht="27.75" customHeight="1" x14ac:dyDescent="0.25">
      <c r="A3" s="25"/>
      <c r="B3" s="26"/>
      <c r="C3" s="26"/>
      <c r="D3" s="26"/>
      <c r="E3" s="26"/>
      <c r="F3" s="26"/>
      <c r="G3" s="26"/>
      <c r="H3" s="26"/>
    </row>
    <row r="4" spans="1:8" ht="22.8" x14ac:dyDescent="0.4">
      <c r="A4" s="7" t="s">
        <v>111</v>
      </c>
      <c r="B4" s="88">
        <v>10000</v>
      </c>
      <c r="C4" s="258" t="s">
        <v>40</v>
      </c>
      <c r="D4" s="259"/>
      <c r="E4" s="44"/>
      <c r="F4" s="44"/>
      <c r="G4" s="44"/>
      <c r="H4" s="44"/>
    </row>
    <row r="5" spans="1:8" ht="22.8" x14ac:dyDescent="0.4">
      <c r="A5" s="7" t="s">
        <v>60</v>
      </c>
      <c r="B5" s="88">
        <v>10</v>
      </c>
      <c r="C5" s="7" t="s">
        <v>109</v>
      </c>
      <c r="D5" s="7"/>
      <c r="E5" s="44"/>
      <c r="F5" s="44"/>
      <c r="G5" s="44"/>
      <c r="H5" s="44"/>
    </row>
    <row r="6" spans="1:8" ht="22.8" x14ac:dyDescent="0.4">
      <c r="A6" s="7" t="s">
        <v>61</v>
      </c>
      <c r="B6" s="88">
        <v>45</v>
      </c>
      <c r="C6" s="7" t="s">
        <v>109</v>
      </c>
      <c r="D6" s="7"/>
      <c r="E6" s="44"/>
      <c r="F6" s="44"/>
      <c r="G6" s="44"/>
      <c r="H6" s="44"/>
    </row>
    <row r="7" spans="1:8" s="44" customFormat="1" x14ac:dyDescent="0.25"/>
    <row r="8" spans="1:8" s="44" customFormat="1" x14ac:dyDescent="0.25"/>
    <row r="9" spans="1:8" s="44" customFormat="1" ht="14.4" thickBot="1" x14ac:dyDescent="0.3"/>
    <row r="10" spans="1:8" x14ac:dyDescent="0.25">
      <c r="A10" s="27"/>
      <c r="B10" s="27"/>
      <c r="C10" s="27"/>
      <c r="D10" s="249">
        <f>(((B6-B5)*B4)/100)/1000</f>
        <v>3.5</v>
      </c>
      <c r="E10" s="250"/>
      <c r="F10" s="46"/>
      <c r="G10" s="27"/>
      <c r="H10" s="27"/>
    </row>
    <row r="11" spans="1:8" ht="15" customHeight="1" x14ac:dyDescent="0.25">
      <c r="A11" s="255" t="s">
        <v>110</v>
      </c>
      <c r="B11" s="255"/>
      <c r="C11" s="256"/>
      <c r="D11" s="251"/>
      <c r="E11" s="252"/>
      <c r="F11" s="257" t="s">
        <v>62</v>
      </c>
      <c r="G11" s="255"/>
      <c r="H11" s="255"/>
    </row>
    <row r="12" spans="1:8" ht="15" customHeight="1" x14ac:dyDescent="0.25">
      <c r="A12" s="255"/>
      <c r="B12" s="255"/>
      <c r="C12" s="256"/>
      <c r="D12" s="251"/>
      <c r="E12" s="252"/>
      <c r="F12" s="257"/>
      <c r="G12" s="255"/>
      <c r="H12" s="255"/>
    </row>
    <row r="13" spans="1:8" ht="15" customHeight="1" x14ac:dyDescent="0.25">
      <c r="A13" s="255"/>
      <c r="B13" s="255"/>
      <c r="C13" s="256"/>
      <c r="D13" s="251"/>
      <c r="E13" s="252"/>
      <c r="F13" s="257"/>
      <c r="G13" s="255"/>
      <c r="H13" s="255"/>
    </row>
    <row r="14" spans="1:8" ht="14.4" thickBot="1" x14ac:dyDescent="0.3">
      <c r="A14" s="27"/>
      <c r="B14" s="27"/>
      <c r="C14" s="27"/>
      <c r="D14" s="253"/>
      <c r="E14" s="254"/>
      <c r="F14" s="47"/>
      <c r="G14" s="27"/>
      <c r="H14" s="27"/>
    </row>
    <row r="15" spans="1:8" s="44" customFormat="1" x14ac:dyDescent="0.25"/>
    <row r="16" spans="1:8" s="44" customFormat="1" x14ac:dyDescent="0.25"/>
    <row r="17" s="44" customFormat="1" x14ac:dyDescent="0.25"/>
    <row r="18" s="44" customFormat="1" x14ac:dyDescent="0.25"/>
    <row r="19" s="44" customFormat="1" x14ac:dyDescent="0.25"/>
    <row r="20" s="44" customFormat="1" x14ac:dyDescent="0.25"/>
    <row r="21" s="44" customFormat="1" x14ac:dyDescent="0.25"/>
    <row r="22" s="44" customFormat="1" x14ac:dyDescent="0.25"/>
    <row r="23" s="44" customFormat="1" x14ac:dyDescent="0.25"/>
    <row r="24" s="44" customFormat="1" x14ac:dyDescent="0.25"/>
    <row r="25" s="44" customFormat="1" x14ac:dyDescent="0.25"/>
    <row r="26" s="44" customFormat="1" x14ac:dyDescent="0.25"/>
    <row r="27" s="44" customFormat="1" x14ac:dyDescent="0.25"/>
    <row r="28" s="44" customFormat="1" x14ac:dyDescent="0.25"/>
    <row r="29" s="44" customFormat="1" x14ac:dyDescent="0.25"/>
    <row r="30" s="44" customFormat="1" x14ac:dyDescent="0.25"/>
    <row r="31" s="44" customFormat="1" x14ac:dyDescent="0.25"/>
    <row r="32" s="44" customFormat="1" x14ac:dyDescent="0.25"/>
    <row r="33" s="44" customFormat="1" x14ac:dyDescent="0.25"/>
    <row r="34" s="44" customFormat="1" x14ac:dyDescent="0.25"/>
  </sheetData>
  <sheetProtection algorithmName="SHA-512" hashValue="8eTsafCxjZb7+PvRdyWOC92RuB3xb35K7KcNuOA3Y7/U7lHHdgUjpXyHhnUrtNJ+1K5P+NPaS0GirwvrUysMMg==" saltValue="ephysw8j4R7+mPqTWwviUw==" spinCount="100000" sheet="1" objects="1" scenarios="1" selectLockedCells="1"/>
  <mergeCells count="6">
    <mergeCell ref="A1:H1"/>
    <mergeCell ref="A2:H2"/>
    <mergeCell ref="D10:E14"/>
    <mergeCell ref="A11:C13"/>
    <mergeCell ref="F11:H13"/>
    <mergeCell ref="C4:D4"/>
  </mergeCells>
  <pageMargins left="0.511811024" right="0.511811024" top="0.78740157499999996" bottom="0.78740157499999996" header="0.31496062000000002" footer="0.31496062000000002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2"/>
  <dimension ref="A1:AK41"/>
  <sheetViews>
    <sheetView topLeftCell="A3" zoomScale="90" zoomScaleNormal="90" workbookViewId="0">
      <selection activeCell="B17" sqref="B17"/>
    </sheetView>
  </sheetViews>
  <sheetFormatPr defaultColWidth="9.109375" defaultRowHeight="13.8" x14ac:dyDescent="0.25"/>
  <cols>
    <col min="1" max="1" width="83.88671875" style="57" bestFit="1" customWidth="1"/>
    <col min="2" max="2" width="19.88671875" style="57" customWidth="1"/>
    <col min="3" max="3" width="8" style="57" customWidth="1"/>
    <col min="4" max="4" width="11.6640625" style="57" customWidth="1"/>
    <col min="5" max="5" width="20.6640625" style="57" customWidth="1"/>
    <col min="6" max="6" width="8.88671875" style="57" customWidth="1"/>
    <col min="7" max="7" width="13.109375" style="57" customWidth="1"/>
    <col min="8" max="8" width="6.6640625" style="57" customWidth="1"/>
    <col min="9" max="37" width="9.109375" style="56"/>
    <col min="38" max="16384" width="9.109375" style="57"/>
  </cols>
  <sheetData>
    <row r="1" spans="1:8" ht="30" customHeight="1" x14ac:dyDescent="0.6">
      <c r="A1" s="269" t="s">
        <v>204</v>
      </c>
      <c r="B1" s="269"/>
      <c r="C1" s="269"/>
      <c r="D1" s="269"/>
      <c r="E1" s="269"/>
      <c r="F1" s="269"/>
      <c r="G1" s="269"/>
      <c r="H1" s="269"/>
    </row>
    <row r="2" spans="1:8" s="56" customFormat="1" ht="21" customHeight="1" x14ac:dyDescent="0.25">
      <c r="A2" s="270" t="s">
        <v>32</v>
      </c>
      <c r="B2" s="271"/>
      <c r="C2" s="271"/>
      <c r="D2" s="271"/>
      <c r="E2" s="271"/>
      <c r="F2" s="271"/>
      <c r="G2" s="271"/>
      <c r="H2" s="271"/>
    </row>
    <row r="3" spans="1:8" s="56" customFormat="1" ht="12" customHeight="1" x14ac:dyDescent="0.25">
      <c r="A3" s="58"/>
      <c r="B3" s="59"/>
      <c r="C3" s="59"/>
      <c r="D3" s="59"/>
      <c r="E3" s="59"/>
      <c r="F3" s="59"/>
      <c r="G3" s="59"/>
      <c r="H3" s="59"/>
    </row>
    <row r="4" spans="1:8" ht="22.8" x14ac:dyDescent="0.4">
      <c r="A4" s="60" t="s">
        <v>202</v>
      </c>
      <c r="B4" s="88">
        <v>0.23</v>
      </c>
      <c r="C4" s="90" t="s">
        <v>53</v>
      </c>
      <c r="D4" s="56"/>
      <c r="E4" s="56"/>
      <c r="F4" s="56"/>
      <c r="G4" s="56"/>
      <c r="H4" s="56"/>
    </row>
    <row r="5" spans="1:8" ht="22.8" x14ac:dyDescent="0.4">
      <c r="A5" s="60" t="s">
        <v>91</v>
      </c>
      <c r="B5" s="88">
        <v>29368</v>
      </c>
      <c r="C5" s="90" t="s">
        <v>40</v>
      </c>
      <c r="D5" s="56"/>
      <c r="E5" s="56"/>
      <c r="F5" s="56"/>
      <c r="G5" s="56"/>
      <c r="H5" s="56"/>
    </row>
    <row r="6" spans="1:8" ht="22.8" x14ac:dyDescent="0.4">
      <c r="A6" s="60" t="s">
        <v>105</v>
      </c>
      <c r="B6" s="63">
        <v>8.73</v>
      </c>
      <c r="C6" s="90" t="s">
        <v>53</v>
      </c>
      <c r="D6" s="56"/>
      <c r="E6" s="56"/>
      <c r="F6" s="56"/>
      <c r="G6" s="56"/>
      <c r="H6" s="56"/>
    </row>
    <row r="7" spans="1:8" ht="22.8" x14ac:dyDescent="0.4">
      <c r="A7" s="60" t="s">
        <v>106</v>
      </c>
      <c r="B7" s="63">
        <v>660</v>
      </c>
      <c r="C7" s="90" t="s">
        <v>40</v>
      </c>
      <c r="D7" s="56"/>
      <c r="E7" s="56"/>
      <c r="F7" s="56"/>
      <c r="G7" s="56"/>
      <c r="H7" s="56"/>
    </row>
    <row r="8" spans="1:8" s="56" customFormat="1" ht="22.8" x14ac:dyDescent="0.4">
      <c r="A8" s="60" t="s">
        <v>97</v>
      </c>
      <c r="B8" s="63">
        <v>0</v>
      </c>
      <c r="C8" s="90" t="s">
        <v>40</v>
      </c>
    </row>
    <row r="9" spans="1:8" s="56" customFormat="1" ht="22.8" x14ac:dyDescent="0.4">
      <c r="A9" s="60" t="s">
        <v>98</v>
      </c>
      <c r="B9" s="63">
        <v>10.042</v>
      </c>
      <c r="C9" s="90" t="s">
        <v>40</v>
      </c>
    </row>
    <row r="10" spans="1:8" s="56" customFormat="1" ht="22.8" x14ac:dyDescent="0.4">
      <c r="A10" s="60" t="s">
        <v>99</v>
      </c>
      <c r="B10" s="63">
        <v>0</v>
      </c>
      <c r="C10" s="90" t="s">
        <v>40</v>
      </c>
    </row>
    <row r="11" spans="1:8" s="56" customFormat="1" ht="22.8" x14ac:dyDescent="0.4">
      <c r="A11" s="60" t="s">
        <v>107</v>
      </c>
      <c r="B11" s="63">
        <v>660</v>
      </c>
      <c r="C11" s="90" t="s">
        <v>40</v>
      </c>
      <c r="D11" s="272"/>
      <c r="E11" s="272"/>
    </row>
    <row r="12" spans="1:8" ht="22.8" customHeight="1" x14ac:dyDescent="0.4">
      <c r="A12" s="60" t="s">
        <v>108</v>
      </c>
      <c r="B12" s="63">
        <v>0</v>
      </c>
      <c r="C12" s="90" t="s">
        <v>53</v>
      </c>
      <c r="D12" s="272"/>
      <c r="E12" s="272"/>
      <c r="F12" s="61"/>
      <c r="G12" s="61"/>
      <c r="H12" s="61"/>
    </row>
    <row r="13" spans="1:8" ht="22.8" customHeight="1" x14ac:dyDescent="0.4">
      <c r="A13" s="93" t="s">
        <v>100</v>
      </c>
      <c r="B13" s="97">
        <v>0</v>
      </c>
      <c r="C13" s="92" t="s">
        <v>40</v>
      </c>
      <c r="D13" s="272"/>
      <c r="E13" s="272"/>
      <c r="F13" s="61"/>
      <c r="G13" s="61"/>
      <c r="H13" s="61"/>
    </row>
    <row r="14" spans="1:8" ht="22.8" customHeight="1" x14ac:dyDescent="0.4">
      <c r="A14" s="60" t="s">
        <v>101</v>
      </c>
      <c r="B14" s="63">
        <v>104.733</v>
      </c>
      <c r="C14" s="90" t="s">
        <v>96</v>
      </c>
      <c r="D14" s="91"/>
      <c r="E14" s="91"/>
      <c r="F14" s="61"/>
      <c r="G14" s="61"/>
      <c r="H14" s="61"/>
    </row>
    <row r="15" spans="1:8" ht="22.8" customHeight="1" thickBot="1" x14ac:dyDescent="0.45">
      <c r="A15" s="60" t="s">
        <v>203</v>
      </c>
      <c r="B15" s="63">
        <v>8.73</v>
      </c>
      <c r="C15" s="90" t="s">
        <v>53</v>
      </c>
      <c r="D15" s="91"/>
      <c r="E15" s="91"/>
      <c r="F15" s="61"/>
      <c r="G15" s="61"/>
      <c r="H15" s="61"/>
    </row>
    <row r="16" spans="1:8" ht="22.8" hidden="1" customHeight="1" thickBot="1" x14ac:dyDescent="0.45">
      <c r="A16" s="159"/>
      <c r="B16" s="160"/>
      <c r="C16" s="161"/>
      <c r="D16" s="91">
        <f>((((((B7*B6)+(B8*100)+(B9*35)+(B10*20)+(B11*B12)+(B13*20)+(B14*0.49*100))/B5)-B4)*B5/B15))</f>
        <v>514.38109965635749</v>
      </c>
      <c r="E16" s="91"/>
      <c r="F16" s="61"/>
      <c r="G16" s="61"/>
      <c r="H16" s="61"/>
    </row>
    <row r="17" spans="1:8" ht="22.8" customHeight="1" x14ac:dyDescent="0.4">
      <c r="A17" s="94"/>
      <c r="B17" s="95"/>
      <c r="C17" s="96"/>
      <c r="D17" s="260">
        <f>IF(B15=B6,D16-B7,D16-B11)*(-1)</f>
        <v>145.61890034364251</v>
      </c>
      <c r="E17" s="261"/>
      <c r="F17" s="61"/>
      <c r="G17" s="61"/>
      <c r="H17" s="61"/>
    </row>
    <row r="18" spans="1:8" ht="15" customHeight="1" x14ac:dyDescent="0.25">
      <c r="A18" s="266" t="s">
        <v>220</v>
      </c>
      <c r="B18" s="266"/>
      <c r="C18" s="267"/>
      <c r="D18" s="262"/>
      <c r="E18" s="263"/>
      <c r="F18" s="268" t="s">
        <v>40</v>
      </c>
      <c r="G18" s="266"/>
      <c r="H18" s="266"/>
    </row>
    <row r="19" spans="1:8" ht="15" customHeight="1" x14ac:dyDescent="0.25">
      <c r="A19" s="266"/>
      <c r="B19" s="266"/>
      <c r="C19" s="267"/>
      <c r="D19" s="262"/>
      <c r="E19" s="263"/>
      <c r="F19" s="268"/>
      <c r="G19" s="266"/>
      <c r="H19" s="266"/>
    </row>
    <row r="20" spans="1:8" ht="15" customHeight="1" x14ac:dyDescent="0.25">
      <c r="A20" s="266"/>
      <c r="B20" s="266"/>
      <c r="C20" s="267"/>
      <c r="D20" s="262"/>
      <c r="E20" s="263"/>
      <c r="F20" s="268"/>
      <c r="G20" s="266"/>
      <c r="H20" s="266"/>
    </row>
    <row r="21" spans="1:8" ht="14.4" customHeight="1" thickBot="1" x14ac:dyDescent="0.3">
      <c r="A21" s="61"/>
      <c r="B21" s="61"/>
      <c r="C21" s="61"/>
      <c r="D21" s="264"/>
      <c r="E21" s="265"/>
      <c r="F21" s="62"/>
      <c r="G21" s="61"/>
      <c r="H21" s="61"/>
    </row>
    <row r="22" spans="1:8" s="56" customFormat="1" x14ac:dyDescent="0.25"/>
    <row r="23" spans="1:8" s="56" customFormat="1" x14ac:dyDescent="0.25"/>
    <row r="24" spans="1:8" s="56" customFormat="1" x14ac:dyDescent="0.25"/>
    <row r="25" spans="1:8" s="56" customFormat="1" x14ac:dyDescent="0.25"/>
    <row r="26" spans="1:8" s="56" customFormat="1" x14ac:dyDescent="0.25"/>
    <row r="27" spans="1:8" s="56" customFormat="1" x14ac:dyDescent="0.25"/>
    <row r="28" spans="1:8" s="56" customFormat="1" x14ac:dyDescent="0.25"/>
    <row r="29" spans="1:8" s="56" customFormat="1" x14ac:dyDescent="0.25"/>
    <row r="30" spans="1:8" s="56" customFormat="1" x14ac:dyDescent="0.25"/>
    <row r="31" spans="1:8" s="56" customFormat="1" x14ac:dyDescent="0.25"/>
    <row r="32" spans="1:8" s="56" customFormat="1" x14ac:dyDescent="0.25"/>
    <row r="33" s="56" customFormat="1" x14ac:dyDescent="0.25"/>
    <row r="34" s="56" customFormat="1" x14ac:dyDescent="0.25"/>
    <row r="35" s="56" customFormat="1" x14ac:dyDescent="0.25"/>
    <row r="36" s="56" customFormat="1" x14ac:dyDescent="0.25"/>
    <row r="37" s="56" customFormat="1" x14ac:dyDescent="0.25"/>
    <row r="38" s="56" customFormat="1" x14ac:dyDescent="0.25"/>
    <row r="39" s="56" customFormat="1" x14ac:dyDescent="0.25"/>
    <row r="40" s="56" customFormat="1" x14ac:dyDescent="0.25"/>
    <row r="41" s="56" customFormat="1" x14ac:dyDescent="0.25"/>
  </sheetData>
  <sheetProtection algorithmName="SHA-512" hashValue="IOmu2Lao+fWzPh5CCMImRgtu7PhTE6PLBYKY2wq+hfqStuqxXjEf7m5rLy5X2xp5me+b6L0mTWyzofJhgWYTtg==" saltValue="0CF2TlLXT9ThY1YqIhbgXQ==" spinCount="100000" sheet="1" objects="1" scenarios="1" selectLockedCells="1"/>
  <mergeCells count="6">
    <mergeCell ref="D17:E21"/>
    <mergeCell ref="A18:C20"/>
    <mergeCell ref="F18:H20"/>
    <mergeCell ref="A1:H1"/>
    <mergeCell ref="A2:H2"/>
    <mergeCell ref="D11:E13"/>
  </mergeCells>
  <pageMargins left="0.511811024" right="0.511811024" top="0.78740157499999996" bottom="0.78740157499999996" header="0.31496062000000002" footer="0.31496062000000002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3"/>
  <dimension ref="B2:E7"/>
  <sheetViews>
    <sheetView workbookViewId="0">
      <selection activeCell="D4" sqref="D4"/>
    </sheetView>
  </sheetViews>
  <sheetFormatPr defaultRowHeight="14.4" x14ac:dyDescent="0.3"/>
  <cols>
    <col min="1" max="1" width="2.88671875" style="34" customWidth="1"/>
    <col min="2" max="2" width="8.88671875" style="34" hidden="1" customWidth="1"/>
    <col min="3" max="3" width="90.88671875" style="34" customWidth="1"/>
    <col min="4" max="4" width="64.109375" style="34" customWidth="1"/>
    <col min="5" max="16384" width="8.88671875" style="34"/>
  </cols>
  <sheetData>
    <row r="2" spans="3:5" ht="17.399999999999999" x14ac:dyDescent="0.3">
      <c r="C2" s="205" t="s">
        <v>33</v>
      </c>
      <c r="D2" s="205"/>
      <c r="E2" s="205"/>
    </row>
    <row r="3" spans="3:5" ht="22.8" customHeight="1" x14ac:dyDescent="0.3">
      <c r="C3" s="273" t="s">
        <v>57</v>
      </c>
      <c r="D3" s="274"/>
      <c r="E3" s="274"/>
    </row>
    <row r="4" spans="3:5" ht="45" customHeight="1" x14ac:dyDescent="0.3">
      <c r="C4" s="33" t="s">
        <v>176</v>
      </c>
      <c r="D4" s="127">
        <v>3500</v>
      </c>
      <c r="E4" s="133" t="s">
        <v>40</v>
      </c>
    </row>
    <row r="5" spans="3:5" ht="44.4" customHeight="1" x14ac:dyDescent="0.3">
      <c r="C5" s="33" t="s">
        <v>175</v>
      </c>
      <c r="D5" s="124">
        <v>100</v>
      </c>
      <c r="E5" s="133" t="s">
        <v>53</v>
      </c>
    </row>
    <row r="6" spans="3:5" ht="52.2" customHeight="1" x14ac:dyDescent="0.3">
      <c r="C6" s="33" t="s">
        <v>177</v>
      </c>
      <c r="D6" s="124">
        <v>100</v>
      </c>
      <c r="E6" s="133" t="s">
        <v>53</v>
      </c>
    </row>
    <row r="7" spans="3:5" ht="73.2" customHeight="1" x14ac:dyDescent="0.3">
      <c r="C7" s="33" t="s">
        <v>56</v>
      </c>
      <c r="D7" s="134">
        <f>((D5*D4)/D6)</f>
        <v>3500</v>
      </c>
      <c r="E7" s="133" t="s">
        <v>40</v>
      </c>
    </row>
  </sheetData>
  <sheetProtection algorithmName="SHA-512" hashValue="v+S/sjYNbQI88SnUKL1czT6H9Qx84UYrtIcMbIDVupNOro5G+lglZ3pdqiuspa22Nva2CUcnwpZLBJeIC/jraA==" saltValue="/vlD/XdcUrsiNSkMVXIBOg==" spinCount="100000" sheet="1" objects="1" scenarios="1" selectLockedCells="1"/>
  <mergeCells count="2">
    <mergeCell ref="C2:E2"/>
    <mergeCell ref="C3:E3"/>
  </mergeCells>
  <pageMargins left="0.511811024" right="0.511811024" top="0.78740157499999996" bottom="0.78740157499999996" header="0.31496062000000002" footer="0.31496062000000002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4"/>
  <dimension ref="A3:G18"/>
  <sheetViews>
    <sheetView topLeftCell="E1" zoomScale="70" zoomScaleNormal="70" workbookViewId="0">
      <selection activeCell="F6" sqref="F6"/>
    </sheetView>
  </sheetViews>
  <sheetFormatPr defaultRowHeight="14.4" x14ac:dyDescent="0.3"/>
  <cols>
    <col min="1" max="1" width="3.77734375" style="34" hidden="1" customWidth="1"/>
    <col min="2" max="2" width="2.109375" style="34" hidden="1" customWidth="1"/>
    <col min="3" max="3" width="1.88671875" style="34" hidden="1" customWidth="1"/>
    <col min="4" max="4" width="8.88671875" style="34" hidden="1" customWidth="1"/>
    <col min="5" max="5" width="111.109375" style="34" customWidth="1"/>
    <col min="6" max="6" width="66.88671875" style="34" customWidth="1"/>
    <col min="7" max="8" width="8.88671875" style="34" customWidth="1"/>
    <col min="9" max="16384" width="8.88671875" style="34"/>
  </cols>
  <sheetData>
    <row r="3" spans="5:7" ht="30.6" customHeight="1" x14ac:dyDescent="0.3">
      <c r="E3" s="205" t="s">
        <v>33</v>
      </c>
      <c r="F3" s="205"/>
      <c r="G3" s="205"/>
    </row>
    <row r="4" spans="5:7" ht="22.8" customHeight="1" x14ac:dyDescent="0.3">
      <c r="E4" s="273" t="s">
        <v>55</v>
      </c>
      <c r="F4" s="274"/>
      <c r="G4" s="274"/>
    </row>
    <row r="5" spans="5:7" ht="28.2" x14ac:dyDescent="0.3">
      <c r="E5" s="33" t="s">
        <v>164</v>
      </c>
      <c r="F5" s="128">
        <v>10000</v>
      </c>
      <c r="G5" s="126" t="s">
        <v>40</v>
      </c>
    </row>
    <row r="6" spans="5:7" ht="28.2" x14ac:dyDescent="0.3">
      <c r="E6" s="33" t="s">
        <v>165</v>
      </c>
      <c r="F6" s="128">
        <v>9000</v>
      </c>
      <c r="G6" s="126" t="s">
        <v>40</v>
      </c>
    </row>
    <row r="7" spans="5:7" ht="28.2" x14ac:dyDescent="0.3">
      <c r="E7" s="33" t="s">
        <v>161</v>
      </c>
      <c r="F7" s="129">
        <v>1.1000000000000001</v>
      </c>
      <c r="G7" s="126" t="s">
        <v>53</v>
      </c>
    </row>
    <row r="8" spans="5:7" ht="28.2" x14ac:dyDescent="0.3">
      <c r="E8" s="33" t="s">
        <v>162</v>
      </c>
      <c r="F8" s="129">
        <v>1.7</v>
      </c>
      <c r="G8" s="126" t="s">
        <v>53</v>
      </c>
    </row>
    <row r="9" spans="5:7" ht="28.2" x14ac:dyDescent="0.3">
      <c r="E9" s="33" t="s">
        <v>163</v>
      </c>
      <c r="F9" s="129">
        <v>50</v>
      </c>
      <c r="G9" s="126" t="s">
        <v>53</v>
      </c>
    </row>
    <row r="10" spans="5:7" ht="28.2" x14ac:dyDescent="0.3">
      <c r="E10" s="33" t="s">
        <v>39</v>
      </c>
      <c r="F10" s="125">
        <f>((((F7*F6)/F5)-F8)*(-1)*F5)/F9</f>
        <v>142</v>
      </c>
      <c r="G10" s="126" t="s">
        <v>40</v>
      </c>
    </row>
    <row r="11" spans="5:7" ht="15" thickBot="1" x14ac:dyDescent="0.35"/>
    <row r="12" spans="5:7" ht="37.200000000000003" customHeight="1" x14ac:dyDescent="0.85">
      <c r="E12" s="74" t="s">
        <v>69</v>
      </c>
      <c r="F12" s="76">
        <f>F10</f>
        <v>142</v>
      </c>
    </row>
    <row r="13" spans="5:7" ht="52.2" customHeight="1" thickBot="1" x14ac:dyDescent="0.9">
      <c r="E13" s="75" t="s">
        <v>70</v>
      </c>
      <c r="F13" s="77">
        <f>F6+F12</f>
        <v>9142</v>
      </c>
    </row>
    <row r="14" spans="5:7" ht="32.4" customHeight="1" thickBot="1" x14ac:dyDescent="0.9">
      <c r="E14" s="73"/>
      <c r="F14" s="73"/>
    </row>
    <row r="15" spans="5:7" s="119" customFormat="1" ht="30" customHeight="1" thickBot="1" x14ac:dyDescent="0.65">
      <c r="E15" s="120" t="s">
        <v>166</v>
      </c>
      <c r="F15" s="121" t="str">
        <f>IF(F13&lt;(F5),"COMPLETAR COM ÁGUA","SOMENTE PUXAR AÇÚCAR")</f>
        <v>COMPLETAR COM ÁGUA</v>
      </c>
    </row>
    <row r="16" spans="5:7" ht="12" customHeight="1" x14ac:dyDescent="0.85">
      <c r="E16" s="73"/>
      <c r="F16" s="73"/>
    </row>
    <row r="17" spans="5:6" ht="10.199999999999999" customHeight="1" thickBot="1" x14ac:dyDescent="0.35"/>
    <row r="18" spans="5:6" ht="25.2" thickBot="1" x14ac:dyDescent="0.45">
      <c r="E18" s="122" t="s">
        <v>167</v>
      </c>
      <c r="F18" s="123" t="str">
        <f>IF(F13&gt;(F5+F5*0.05),"CORRIGIR INSUMOS","NÃO PRECISA CORRIGIR INSUMOS")</f>
        <v>NÃO PRECISA CORRIGIR INSUMOS</v>
      </c>
    </row>
  </sheetData>
  <sheetProtection algorithmName="SHA-512" hashValue="Y99RXtvbZ7Z3TzuBVmKkMqGR2n2jioNl2YEv8TY+KlBc+wbp+E7JspuHboebO7gIU2/GnTd5YPy4S12V6+wP5w==" saltValue="/Z1kfraHgUlp2LK/29yRDg==" spinCount="100000" sheet="1" objects="1" scenarios="1" selectLockedCells="1"/>
  <mergeCells count="2">
    <mergeCell ref="E3:G3"/>
    <mergeCell ref="E4:G4"/>
  </mergeCells>
  <pageMargins left="0.511811024" right="0.511811024" top="0.78740157499999996" bottom="0.78740157499999996" header="0.31496062000000002" footer="0.31496062000000002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5"/>
  <dimension ref="A1:AK38"/>
  <sheetViews>
    <sheetView workbookViewId="0">
      <selection activeCell="B14" sqref="B14"/>
    </sheetView>
  </sheetViews>
  <sheetFormatPr defaultColWidth="9.109375" defaultRowHeight="13.8" x14ac:dyDescent="0.25"/>
  <cols>
    <col min="1" max="1" width="83.88671875" style="57" bestFit="1" customWidth="1"/>
    <col min="2" max="2" width="17.44140625" style="57" customWidth="1"/>
    <col min="3" max="3" width="8" style="57" customWidth="1"/>
    <col min="4" max="4" width="11.6640625" style="57" customWidth="1"/>
    <col min="5" max="5" width="7" style="57" customWidth="1"/>
    <col min="6" max="6" width="8.88671875" style="57" customWidth="1"/>
    <col min="7" max="7" width="13.109375" style="57" customWidth="1"/>
    <col min="8" max="8" width="6.6640625" style="57" customWidth="1"/>
    <col min="9" max="37" width="9.109375" style="56"/>
    <col min="38" max="16384" width="9.109375" style="57"/>
  </cols>
  <sheetData>
    <row r="1" spans="1:8" ht="33" x14ac:dyDescent="0.6">
      <c r="A1" s="269" t="s">
        <v>178</v>
      </c>
      <c r="B1" s="269"/>
      <c r="C1" s="269"/>
      <c r="D1" s="269"/>
      <c r="E1" s="269"/>
      <c r="F1" s="269"/>
      <c r="G1" s="269"/>
      <c r="H1" s="269"/>
    </row>
    <row r="2" spans="1:8" s="56" customFormat="1" ht="27.75" customHeight="1" x14ac:dyDescent="0.25">
      <c r="A2" s="270" t="s">
        <v>32</v>
      </c>
      <c r="B2" s="271"/>
      <c r="C2" s="271"/>
      <c r="D2" s="271"/>
      <c r="E2" s="271"/>
      <c r="F2" s="271"/>
      <c r="G2" s="271"/>
      <c r="H2" s="271"/>
    </row>
    <row r="3" spans="1:8" s="56" customFormat="1" ht="12" customHeight="1" x14ac:dyDescent="0.25">
      <c r="A3" s="58"/>
      <c r="B3" s="59"/>
      <c r="C3" s="59"/>
      <c r="D3" s="59"/>
      <c r="E3" s="59"/>
      <c r="F3" s="59"/>
      <c r="G3" s="59"/>
      <c r="H3" s="59"/>
    </row>
    <row r="4" spans="1:8" ht="22.8" x14ac:dyDescent="0.4">
      <c r="A4" s="60" t="s">
        <v>92</v>
      </c>
      <c r="B4" s="88">
        <v>29710</v>
      </c>
      <c r="C4" s="90" t="s">
        <v>40</v>
      </c>
      <c r="D4" s="56"/>
      <c r="E4" s="56"/>
      <c r="F4" s="56"/>
      <c r="G4" s="56"/>
      <c r="H4" s="56"/>
    </row>
    <row r="5" spans="1:8" ht="22.8" x14ac:dyDescent="0.4">
      <c r="A5" s="60" t="s">
        <v>179</v>
      </c>
      <c r="B5" s="63">
        <v>30</v>
      </c>
      <c r="C5" s="90" t="s">
        <v>53</v>
      </c>
      <c r="D5" s="56"/>
      <c r="E5" s="56"/>
      <c r="F5" s="56"/>
      <c r="G5" s="56"/>
      <c r="H5" s="56"/>
    </row>
    <row r="6" spans="1:8" ht="22.8" x14ac:dyDescent="0.4">
      <c r="A6" s="60" t="s">
        <v>106</v>
      </c>
      <c r="B6" s="63">
        <v>660</v>
      </c>
      <c r="C6" s="90" t="s">
        <v>40</v>
      </c>
      <c r="D6" s="56"/>
      <c r="E6" s="56"/>
      <c r="F6" s="56"/>
      <c r="G6" s="56"/>
      <c r="H6" s="56"/>
    </row>
    <row r="7" spans="1:8" s="56" customFormat="1" ht="22.8" x14ac:dyDescent="0.4">
      <c r="A7" s="60" t="s">
        <v>97</v>
      </c>
      <c r="B7" s="63">
        <v>61.439</v>
      </c>
      <c r="C7" s="90" t="s">
        <v>40</v>
      </c>
    </row>
    <row r="8" spans="1:8" s="56" customFormat="1" ht="22.8" x14ac:dyDescent="0.4">
      <c r="A8" s="60" t="s">
        <v>98</v>
      </c>
      <c r="B8" s="63">
        <v>10.095000000000001</v>
      </c>
      <c r="C8" s="90" t="s">
        <v>40</v>
      </c>
    </row>
    <row r="9" spans="1:8" s="56" customFormat="1" ht="22.8" x14ac:dyDescent="0.4">
      <c r="A9" s="60" t="s">
        <v>101</v>
      </c>
      <c r="B9" s="63">
        <v>0</v>
      </c>
      <c r="C9" s="90" t="s">
        <v>96</v>
      </c>
    </row>
    <row r="10" spans="1:8" s="56" customFormat="1" ht="22.8" x14ac:dyDescent="0.4">
      <c r="A10" s="60" t="s">
        <v>107</v>
      </c>
      <c r="B10" s="63">
        <v>55</v>
      </c>
      <c r="C10" s="90" t="s">
        <v>40</v>
      </c>
      <c r="D10" s="272"/>
      <c r="E10" s="272"/>
    </row>
    <row r="11" spans="1:8" ht="22.8" customHeight="1" x14ac:dyDescent="0.4">
      <c r="A11" s="60" t="s">
        <v>180</v>
      </c>
      <c r="B11" s="63">
        <v>28</v>
      </c>
      <c r="C11" s="90" t="s">
        <v>53</v>
      </c>
      <c r="D11" s="272"/>
      <c r="E11" s="272"/>
      <c r="F11" s="61"/>
      <c r="G11" s="61"/>
      <c r="H11" s="61"/>
    </row>
    <row r="12" spans="1:8" ht="22.8" customHeight="1" x14ac:dyDescent="0.4">
      <c r="A12" s="93" t="s">
        <v>181</v>
      </c>
      <c r="B12" s="97">
        <v>76</v>
      </c>
      <c r="C12" s="92" t="s">
        <v>53</v>
      </c>
      <c r="D12" s="272"/>
      <c r="E12" s="272"/>
      <c r="F12" s="61"/>
      <c r="G12" s="61"/>
      <c r="H12" s="61"/>
    </row>
    <row r="13" spans="1:8" ht="22.8" customHeight="1" thickBot="1" x14ac:dyDescent="0.45">
      <c r="A13" s="60" t="s">
        <v>182</v>
      </c>
      <c r="B13" s="63">
        <v>1897.712</v>
      </c>
      <c r="C13" s="90" t="s">
        <v>40</v>
      </c>
      <c r="D13" s="91"/>
      <c r="E13" s="91"/>
      <c r="F13" s="61"/>
      <c r="G13" s="61"/>
      <c r="H13" s="61"/>
    </row>
    <row r="14" spans="1:8" ht="22.8" customHeight="1" x14ac:dyDescent="0.4">
      <c r="A14" s="94"/>
      <c r="B14" s="95"/>
      <c r="C14" s="96"/>
      <c r="D14" s="275">
        <f>((B6*B5)+(B7*85)+(B8*8.5)+(B9*0.49*85)+(B10*B11)+(B12*B13))/B4</f>
        <v>5.7514047290474588</v>
      </c>
      <c r="E14" s="276"/>
      <c r="F14" s="61"/>
      <c r="G14" s="61"/>
      <c r="H14" s="61"/>
    </row>
    <row r="15" spans="1:8" ht="15" customHeight="1" x14ac:dyDescent="0.25">
      <c r="A15" s="266" t="s">
        <v>54</v>
      </c>
      <c r="B15" s="266"/>
      <c r="C15" s="267"/>
      <c r="D15" s="277"/>
      <c r="E15" s="278"/>
      <c r="F15" s="268" t="s">
        <v>53</v>
      </c>
      <c r="G15" s="266"/>
      <c r="H15" s="266"/>
    </row>
    <row r="16" spans="1:8" ht="15" customHeight="1" x14ac:dyDescent="0.25">
      <c r="A16" s="266"/>
      <c r="B16" s="266"/>
      <c r="C16" s="267"/>
      <c r="D16" s="277"/>
      <c r="E16" s="278"/>
      <c r="F16" s="268"/>
      <c r="G16" s="266"/>
      <c r="H16" s="266"/>
    </row>
    <row r="17" spans="1:8" ht="15" customHeight="1" x14ac:dyDescent="0.25">
      <c r="A17" s="266"/>
      <c r="B17" s="266"/>
      <c r="C17" s="267"/>
      <c r="D17" s="277"/>
      <c r="E17" s="278"/>
      <c r="F17" s="268"/>
      <c r="G17" s="266"/>
      <c r="H17" s="266"/>
    </row>
    <row r="18" spans="1:8" ht="14.4" customHeight="1" thickBot="1" x14ac:dyDescent="0.3">
      <c r="A18" s="61"/>
      <c r="B18" s="61"/>
      <c r="C18" s="61"/>
      <c r="D18" s="279"/>
      <c r="E18" s="280"/>
      <c r="F18" s="62"/>
      <c r="G18" s="61"/>
      <c r="H18" s="61"/>
    </row>
    <row r="19" spans="1:8" s="56" customFormat="1" x14ac:dyDescent="0.25"/>
    <row r="20" spans="1:8" s="56" customFormat="1" x14ac:dyDescent="0.25"/>
    <row r="21" spans="1:8" s="56" customFormat="1" x14ac:dyDescent="0.25"/>
    <row r="22" spans="1:8" s="56" customFormat="1" x14ac:dyDescent="0.25"/>
    <row r="23" spans="1:8" s="56" customFormat="1" x14ac:dyDescent="0.25"/>
    <row r="24" spans="1:8" s="56" customFormat="1" x14ac:dyDescent="0.25"/>
    <row r="25" spans="1:8" s="56" customFormat="1" x14ac:dyDescent="0.25"/>
    <row r="26" spans="1:8" s="56" customFormat="1" x14ac:dyDescent="0.25"/>
    <row r="27" spans="1:8" s="56" customFormat="1" x14ac:dyDescent="0.25"/>
    <row r="28" spans="1:8" s="56" customFormat="1" x14ac:dyDescent="0.25"/>
    <row r="29" spans="1:8" s="56" customFormat="1" x14ac:dyDescent="0.25"/>
    <row r="30" spans="1:8" s="56" customFormat="1" x14ac:dyDescent="0.25"/>
    <row r="31" spans="1:8" s="56" customFormat="1" x14ac:dyDescent="0.25"/>
    <row r="32" spans="1:8" s="56" customFormat="1" x14ac:dyDescent="0.25"/>
    <row r="33" s="56" customFormat="1" x14ac:dyDescent="0.25"/>
    <row r="34" s="56" customFormat="1" x14ac:dyDescent="0.25"/>
    <row r="35" s="56" customFormat="1" x14ac:dyDescent="0.25"/>
    <row r="36" s="56" customFormat="1" x14ac:dyDescent="0.25"/>
    <row r="37" s="56" customFormat="1" x14ac:dyDescent="0.25"/>
    <row r="38" s="56" customFormat="1" x14ac:dyDescent="0.25"/>
  </sheetData>
  <sheetProtection algorithmName="SHA-512" hashValue="p2bo/YLV7NaoTk3n4AbOYfRBvxQtA8hdPMkSKGZtwnyZOhCQIvrBFNiWd4g85V1HtPmEYhdm96/K6/6RZ8dR1g==" saltValue="xKN7irXBPfTnTUqEt3MXsA==" spinCount="100000" sheet="1" selectLockedCells="1"/>
  <mergeCells count="6">
    <mergeCell ref="A1:H1"/>
    <mergeCell ref="A2:H2"/>
    <mergeCell ref="D10:E12"/>
    <mergeCell ref="D14:E18"/>
    <mergeCell ref="A15:C17"/>
    <mergeCell ref="F15:H17"/>
  </mergeCells>
  <pageMargins left="0.511811024" right="0.511811024" top="0.78740157499999996" bottom="0.78740157499999996" header="0.31496062000000002" footer="0.31496062000000002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6"/>
  <dimension ref="A1:AK38"/>
  <sheetViews>
    <sheetView workbookViewId="0">
      <selection activeCell="B12" sqref="B12"/>
    </sheetView>
  </sheetViews>
  <sheetFormatPr defaultColWidth="9.109375" defaultRowHeight="13.8" x14ac:dyDescent="0.25"/>
  <cols>
    <col min="1" max="1" width="83.88671875" style="57" bestFit="1" customWidth="1"/>
    <col min="2" max="2" width="15.5546875" style="57" customWidth="1"/>
    <col min="3" max="3" width="8" style="57" customWidth="1"/>
    <col min="4" max="4" width="11.6640625" style="57" customWidth="1"/>
    <col min="5" max="5" width="7" style="57" customWidth="1"/>
    <col min="6" max="6" width="8.88671875" style="57" customWidth="1"/>
    <col min="7" max="7" width="13.109375" style="57" customWidth="1"/>
    <col min="8" max="8" width="6.6640625" style="57" customWidth="1"/>
    <col min="9" max="37" width="9.109375" style="56"/>
    <col min="38" max="16384" width="9.109375" style="57"/>
  </cols>
  <sheetData>
    <row r="1" spans="1:8" ht="33" x14ac:dyDescent="0.6">
      <c r="A1" s="269" t="s">
        <v>51</v>
      </c>
      <c r="B1" s="269"/>
      <c r="C1" s="269"/>
      <c r="D1" s="269"/>
      <c r="E1" s="269"/>
      <c r="F1" s="269"/>
      <c r="G1" s="269"/>
      <c r="H1" s="269"/>
    </row>
    <row r="2" spans="1:8" s="56" customFormat="1" ht="27.75" customHeight="1" x14ac:dyDescent="0.25">
      <c r="A2" s="270" t="s">
        <v>32</v>
      </c>
      <c r="B2" s="271"/>
      <c r="C2" s="271"/>
      <c r="D2" s="271"/>
      <c r="E2" s="271"/>
      <c r="F2" s="271"/>
      <c r="G2" s="271"/>
      <c r="H2" s="271"/>
    </row>
    <row r="3" spans="1:8" s="56" customFormat="1" ht="12" customHeight="1" x14ac:dyDescent="0.25">
      <c r="A3" s="58"/>
      <c r="B3" s="59"/>
      <c r="C3" s="59"/>
      <c r="D3" s="59"/>
      <c r="E3" s="59"/>
      <c r="F3" s="59"/>
      <c r="G3" s="59"/>
      <c r="H3" s="59"/>
    </row>
    <row r="4" spans="1:8" ht="22.8" x14ac:dyDescent="0.4">
      <c r="A4" s="60" t="s">
        <v>92</v>
      </c>
      <c r="B4" s="88">
        <v>29710</v>
      </c>
      <c r="C4" s="90" t="s">
        <v>40</v>
      </c>
      <c r="D4" s="56"/>
      <c r="E4" s="56"/>
      <c r="F4" s="56"/>
      <c r="G4" s="56"/>
      <c r="H4" s="56"/>
    </row>
    <row r="5" spans="1:8" ht="22.8" x14ac:dyDescent="0.4">
      <c r="A5" s="60" t="s">
        <v>105</v>
      </c>
      <c r="B5" s="63">
        <v>0.67</v>
      </c>
      <c r="C5" s="90" t="s">
        <v>53</v>
      </c>
      <c r="D5" s="56"/>
      <c r="E5" s="56"/>
      <c r="F5" s="56"/>
      <c r="G5" s="56"/>
      <c r="H5" s="56"/>
    </row>
    <row r="6" spans="1:8" ht="22.8" x14ac:dyDescent="0.4">
      <c r="A6" s="60" t="s">
        <v>106</v>
      </c>
      <c r="B6" s="63">
        <v>660</v>
      </c>
      <c r="C6" s="90" t="s">
        <v>40</v>
      </c>
      <c r="D6" s="56"/>
      <c r="E6" s="56"/>
      <c r="F6" s="56"/>
      <c r="G6" s="56"/>
      <c r="H6" s="56"/>
    </row>
    <row r="7" spans="1:8" s="56" customFormat="1" ht="22.8" x14ac:dyDescent="0.4">
      <c r="A7" s="60" t="s">
        <v>97</v>
      </c>
      <c r="B7" s="63">
        <v>61.439</v>
      </c>
      <c r="C7" s="90" t="s">
        <v>40</v>
      </c>
    </row>
    <row r="8" spans="1:8" s="56" customFormat="1" ht="22.8" x14ac:dyDescent="0.4">
      <c r="A8" s="60" t="s">
        <v>98</v>
      </c>
      <c r="B8" s="63">
        <v>10.095000000000001</v>
      </c>
      <c r="C8" s="90" t="s">
        <v>40</v>
      </c>
    </row>
    <row r="9" spans="1:8" s="56" customFormat="1" ht="22.8" x14ac:dyDescent="0.4">
      <c r="A9" s="60" t="s">
        <v>99</v>
      </c>
      <c r="B9" s="63">
        <v>0</v>
      </c>
      <c r="C9" s="90" t="s">
        <v>40</v>
      </c>
    </row>
    <row r="10" spans="1:8" s="56" customFormat="1" ht="22.8" x14ac:dyDescent="0.4">
      <c r="A10" s="60" t="s">
        <v>107</v>
      </c>
      <c r="B10" s="63">
        <v>0.98</v>
      </c>
      <c r="C10" s="90" t="s">
        <v>40</v>
      </c>
      <c r="D10" s="272"/>
      <c r="E10" s="272"/>
    </row>
    <row r="11" spans="1:8" ht="22.8" customHeight="1" x14ac:dyDescent="0.4">
      <c r="A11" s="60" t="s">
        <v>108</v>
      </c>
      <c r="B11" s="63">
        <v>55</v>
      </c>
      <c r="C11" s="90" t="s">
        <v>53</v>
      </c>
      <c r="D11" s="272"/>
      <c r="E11" s="272"/>
      <c r="F11" s="61"/>
      <c r="G11" s="61"/>
      <c r="H11" s="61"/>
    </row>
    <row r="12" spans="1:8" ht="22.8" customHeight="1" x14ac:dyDescent="0.4">
      <c r="A12" s="93" t="s">
        <v>100</v>
      </c>
      <c r="B12" s="97">
        <v>0</v>
      </c>
      <c r="C12" s="92" t="s">
        <v>40</v>
      </c>
      <c r="D12" s="272"/>
      <c r="E12" s="272"/>
      <c r="F12" s="61"/>
      <c r="G12" s="61"/>
      <c r="H12" s="61"/>
    </row>
    <row r="13" spans="1:8" ht="22.8" customHeight="1" thickBot="1" x14ac:dyDescent="0.45">
      <c r="A13" s="60" t="s">
        <v>101</v>
      </c>
      <c r="B13" s="63">
        <v>0</v>
      </c>
      <c r="C13" s="90" t="s">
        <v>96</v>
      </c>
      <c r="D13" s="91"/>
      <c r="E13" s="91"/>
      <c r="F13" s="61"/>
      <c r="G13" s="61"/>
      <c r="H13" s="61"/>
    </row>
    <row r="14" spans="1:8" ht="22.8" customHeight="1" x14ac:dyDescent="0.4">
      <c r="A14" s="94"/>
      <c r="B14" s="95"/>
      <c r="C14" s="96"/>
      <c r="D14" s="275">
        <f>((B6*B5)+(B7*100)+(B8*25)+(B9*20)+(B10*B11)+(B12*20)+(B13*0.49*100))/B4</f>
        <v>0.23198838774823288</v>
      </c>
      <c r="E14" s="276"/>
      <c r="F14" s="61"/>
      <c r="G14" s="61"/>
      <c r="H14" s="61"/>
    </row>
    <row r="15" spans="1:8" ht="15" customHeight="1" x14ac:dyDescent="0.25">
      <c r="A15" s="266" t="s">
        <v>52</v>
      </c>
      <c r="B15" s="266"/>
      <c r="C15" s="267"/>
      <c r="D15" s="277"/>
      <c r="E15" s="278"/>
      <c r="F15" s="268" t="s">
        <v>53</v>
      </c>
      <c r="G15" s="266"/>
      <c r="H15" s="266"/>
    </row>
    <row r="16" spans="1:8" ht="15" customHeight="1" x14ac:dyDescent="0.25">
      <c r="A16" s="266"/>
      <c r="B16" s="266"/>
      <c r="C16" s="267"/>
      <c r="D16" s="277"/>
      <c r="E16" s="278"/>
      <c r="F16" s="268"/>
      <c r="G16" s="266"/>
      <c r="H16" s="266"/>
    </row>
    <row r="17" spans="1:8" ht="15" customHeight="1" x14ac:dyDescent="0.25">
      <c r="A17" s="266"/>
      <c r="B17" s="266"/>
      <c r="C17" s="267"/>
      <c r="D17" s="277"/>
      <c r="E17" s="278"/>
      <c r="F17" s="268"/>
      <c r="G17" s="266"/>
      <c r="H17" s="266"/>
    </row>
    <row r="18" spans="1:8" ht="14.4" customHeight="1" thickBot="1" x14ac:dyDescent="0.3">
      <c r="A18" s="61"/>
      <c r="B18" s="61"/>
      <c r="C18" s="61"/>
      <c r="D18" s="279"/>
      <c r="E18" s="280"/>
      <c r="F18" s="62"/>
      <c r="G18" s="61"/>
      <c r="H18" s="61"/>
    </row>
    <row r="19" spans="1:8" s="56" customFormat="1" x14ac:dyDescent="0.25"/>
    <row r="20" spans="1:8" s="56" customFormat="1" x14ac:dyDescent="0.25"/>
    <row r="21" spans="1:8" s="56" customFormat="1" x14ac:dyDescent="0.25"/>
    <row r="22" spans="1:8" s="56" customFormat="1" x14ac:dyDescent="0.25"/>
    <row r="23" spans="1:8" s="56" customFormat="1" x14ac:dyDescent="0.25"/>
    <row r="24" spans="1:8" s="56" customFormat="1" x14ac:dyDescent="0.25"/>
    <row r="25" spans="1:8" s="56" customFormat="1" x14ac:dyDescent="0.25"/>
    <row r="26" spans="1:8" s="56" customFormat="1" x14ac:dyDescent="0.25"/>
    <row r="27" spans="1:8" s="56" customFormat="1" x14ac:dyDescent="0.25"/>
    <row r="28" spans="1:8" s="56" customFormat="1" x14ac:dyDescent="0.25"/>
    <row r="29" spans="1:8" s="56" customFormat="1" x14ac:dyDescent="0.25"/>
    <row r="30" spans="1:8" s="56" customFormat="1" x14ac:dyDescent="0.25"/>
    <row r="31" spans="1:8" s="56" customFormat="1" x14ac:dyDescent="0.25"/>
    <row r="32" spans="1:8" s="56" customFormat="1" x14ac:dyDescent="0.25"/>
    <row r="33" s="56" customFormat="1" x14ac:dyDescent="0.25"/>
    <row r="34" s="56" customFormat="1" x14ac:dyDescent="0.25"/>
    <row r="35" s="56" customFormat="1" x14ac:dyDescent="0.25"/>
    <row r="36" s="56" customFormat="1" x14ac:dyDescent="0.25"/>
    <row r="37" s="56" customFormat="1" x14ac:dyDescent="0.25"/>
    <row r="38" s="56" customFormat="1" x14ac:dyDescent="0.25"/>
  </sheetData>
  <sheetProtection algorithmName="SHA-512" hashValue="1ETshMZodq8SqNLpBQmT1VpJ6phjgLVEV00N9ynNwanARrh56nXEJwv7TuX2hJBR7YKEvJZpPGa1qxRDmheUhg==" saltValue="5zrwamvxCTSrdDXLm3J34A==" spinCount="100000" sheet="1" objects="1" scenarios="1" selectLockedCells="1"/>
  <mergeCells count="6">
    <mergeCell ref="A1:H1"/>
    <mergeCell ref="A2:H2"/>
    <mergeCell ref="A15:C17"/>
    <mergeCell ref="F15:H17"/>
    <mergeCell ref="D10:E12"/>
    <mergeCell ref="D14:E1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7"/>
  <dimension ref="A1:X23"/>
  <sheetViews>
    <sheetView tabSelected="1" zoomScale="85" zoomScaleNormal="85" workbookViewId="0">
      <selection activeCell="F6" sqref="F6"/>
    </sheetView>
  </sheetViews>
  <sheetFormatPr defaultColWidth="9.109375" defaultRowHeight="24.6" x14ac:dyDescent="0.3"/>
  <cols>
    <col min="1" max="4" width="9.109375" style="3"/>
    <col min="5" max="5" width="30.109375" style="3" customWidth="1"/>
    <col min="6" max="8" width="9.109375" style="3"/>
    <col min="9" max="11" width="9.109375" style="2"/>
    <col min="12" max="12" width="17.44140625" style="3" customWidth="1"/>
    <col min="13" max="13" width="20.6640625" style="3" customWidth="1"/>
    <col min="14" max="14" width="9.109375" style="3" hidden="1" customWidth="1"/>
    <col min="15" max="15" width="0.33203125" style="3" customWidth="1"/>
    <col min="16" max="18" width="9.109375" style="3"/>
    <col min="19" max="19" width="2.33203125" style="3" customWidth="1"/>
    <col min="20" max="24" width="9.109375" style="2"/>
    <col min="25" max="16384" width="9.109375" style="3"/>
  </cols>
  <sheetData>
    <row r="1" spans="1:19" s="2" customFormat="1" ht="40.5" customHeight="1" x14ac:dyDescent="0.3">
      <c r="A1" s="283" t="s">
        <v>17</v>
      </c>
      <c r="B1" s="284"/>
      <c r="C1" s="284"/>
      <c r="D1" s="284"/>
      <c r="E1" s="284"/>
      <c r="F1" s="284"/>
      <c r="G1" s="284"/>
      <c r="H1" s="284"/>
      <c r="I1" s="284"/>
      <c r="J1" s="284"/>
      <c r="K1" s="284"/>
      <c r="L1" s="284"/>
      <c r="M1" s="284"/>
      <c r="N1" s="284"/>
      <c r="O1" s="284"/>
      <c r="P1" s="284"/>
      <c r="Q1" s="284"/>
      <c r="R1" s="284"/>
      <c r="S1" s="285"/>
    </row>
    <row r="2" spans="1:19" s="2" customFormat="1" ht="40.5" customHeight="1" x14ac:dyDescent="0.3">
      <c r="A2" s="300" t="s">
        <v>31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  <c r="R2" s="301"/>
      <c r="S2" s="302"/>
    </row>
    <row r="3" spans="1:19" x14ac:dyDescent="0.3">
      <c r="A3" s="286" t="s">
        <v>135</v>
      </c>
      <c r="B3" s="286"/>
      <c r="C3" s="286"/>
      <c r="D3" s="286"/>
      <c r="E3" s="286"/>
      <c r="F3" s="288">
        <v>14000</v>
      </c>
      <c r="G3" s="288"/>
      <c r="H3" s="288"/>
      <c r="L3" s="291" t="s">
        <v>16</v>
      </c>
      <c r="M3" s="292"/>
      <c r="N3" s="292"/>
      <c r="O3" s="292"/>
      <c r="P3" s="292"/>
      <c r="Q3" s="292"/>
      <c r="R3" s="292"/>
      <c r="S3" s="293"/>
    </row>
    <row r="4" spans="1:19" x14ac:dyDescent="0.3">
      <c r="A4" s="287"/>
      <c r="B4" s="287"/>
      <c r="C4" s="287"/>
      <c r="D4" s="287"/>
      <c r="E4" s="287"/>
      <c r="F4" s="289"/>
      <c r="G4" s="289"/>
      <c r="H4" s="289"/>
      <c r="L4" s="291"/>
      <c r="M4" s="292"/>
      <c r="N4" s="292"/>
      <c r="O4" s="292"/>
      <c r="P4" s="292"/>
      <c r="Q4" s="292"/>
      <c r="R4" s="292"/>
      <c r="S4" s="293"/>
    </row>
    <row r="5" spans="1:19" x14ac:dyDescent="0.3">
      <c r="A5" s="287"/>
      <c r="B5" s="287"/>
      <c r="C5" s="287"/>
      <c r="D5" s="287"/>
      <c r="E5" s="287"/>
      <c r="F5" s="289"/>
      <c r="G5" s="289"/>
      <c r="H5" s="289"/>
      <c r="L5" s="291"/>
      <c r="M5" s="292"/>
      <c r="N5" s="292"/>
      <c r="O5" s="292"/>
      <c r="P5" s="292"/>
      <c r="Q5" s="292"/>
      <c r="R5" s="292"/>
      <c r="S5" s="293"/>
    </row>
    <row r="6" spans="1:19" s="2" customFormat="1" x14ac:dyDescent="0.3">
      <c r="A6" s="24"/>
      <c r="B6" s="24"/>
      <c r="C6" s="24"/>
      <c r="D6" s="24"/>
      <c r="E6" s="24"/>
      <c r="L6" s="291"/>
      <c r="M6" s="292"/>
      <c r="N6" s="292"/>
      <c r="O6" s="292"/>
      <c r="P6" s="292"/>
      <c r="Q6" s="292"/>
      <c r="R6" s="292"/>
      <c r="S6" s="293"/>
    </row>
    <row r="7" spans="1:19" x14ac:dyDescent="0.3">
      <c r="A7" s="281" t="s">
        <v>30</v>
      </c>
      <c r="B7" s="281"/>
      <c r="C7" s="281"/>
      <c r="D7" s="281"/>
      <c r="E7" s="281"/>
      <c r="F7" s="290">
        <f ca="1">NOW()</f>
        <v>45717.238544907406</v>
      </c>
      <c r="G7" s="290"/>
      <c r="H7" s="290"/>
      <c r="L7" s="294">
        <f ca="1">F7+L13+L14</f>
        <v>45717.357108593045</v>
      </c>
      <c r="M7" s="295"/>
      <c r="N7" s="295"/>
      <c r="O7" s="295"/>
      <c r="P7" s="295"/>
      <c r="Q7" s="295"/>
      <c r="R7" s="295"/>
      <c r="S7" s="296"/>
    </row>
    <row r="8" spans="1:19" x14ac:dyDescent="0.3">
      <c r="A8" s="281"/>
      <c r="B8" s="281"/>
      <c r="C8" s="281"/>
      <c r="D8" s="281"/>
      <c r="E8" s="281"/>
      <c r="F8" s="290"/>
      <c r="G8" s="290"/>
      <c r="H8" s="290"/>
      <c r="L8" s="294"/>
      <c r="M8" s="295"/>
      <c r="N8" s="295"/>
      <c r="O8" s="295"/>
      <c r="P8" s="295"/>
      <c r="Q8" s="295"/>
      <c r="R8" s="295"/>
      <c r="S8" s="296"/>
    </row>
    <row r="9" spans="1:19" x14ac:dyDescent="0.3">
      <c r="A9" s="281"/>
      <c r="B9" s="281"/>
      <c r="C9" s="281"/>
      <c r="D9" s="281"/>
      <c r="E9" s="281"/>
      <c r="F9" s="290"/>
      <c r="G9" s="290"/>
      <c r="H9" s="290"/>
      <c r="L9" s="297"/>
      <c r="M9" s="298"/>
      <c r="N9" s="298"/>
      <c r="O9" s="298"/>
      <c r="P9" s="298"/>
      <c r="Q9" s="298"/>
      <c r="R9" s="298"/>
      <c r="S9" s="299"/>
    </row>
    <row r="10" spans="1:19" s="2" customFormat="1" x14ac:dyDescent="0.3">
      <c r="A10" s="24"/>
      <c r="B10" s="24"/>
      <c r="C10" s="24"/>
      <c r="D10" s="24"/>
      <c r="E10" s="24"/>
    </row>
    <row r="11" spans="1:19" s="2" customFormat="1" x14ac:dyDescent="0.3">
      <c r="A11" s="281" t="s">
        <v>136</v>
      </c>
      <c r="B11" s="281"/>
      <c r="C11" s="281"/>
      <c r="D11" s="281"/>
      <c r="E11" s="281"/>
      <c r="F11" s="282" t="s">
        <v>89</v>
      </c>
      <c r="G11" s="282"/>
      <c r="H11" s="282"/>
      <c r="K11" s="114"/>
      <c r="L11" s="111">
        <f>IF(F11="200ML",((F3/82)/60),(((F3/12000))))</f>
        <v>2.8455284552845526</v>
      </c>
      <c r="M11" s="112">
        <f>IF(F11="200ML",((F3/82)/60),(((F3/12000))))</f>
        <v>2.8455284552845526</v>
      </c>
    </row>
    <row r="12" spans="1:19" s="2" customFormat="1" x14ac:dyDescent="0.3">
      <c r="A12" s="281"/>
      <c r="B12" s="281"/>
      <c r="C12" s="281"/>
      <c r="D12" s="281"/>
      <c r="E12" s="281"/>
      <c r="F12" s="282"/>
      <c r="G12" s="282"/>
      <c r="H12" s="282"/>
      <c r="K12" s="114"/>
      <c r="L12" s="111">
        <f>INT(M11)</f>
        <v>2</v>
      </c>
      <c r="M12" s="112">
        <f>M11-L12</f>
        <v>0.84552845528455256</v>
      </c>
    </row>
    <row r="13" spans="1:19" s="2" customFormat="1" x14ac:dyDescent="0.3">
      <c r="A13" s="281"/>
      <c r="B13" s="281"/>
      <c r="C13" s="281"/>
      <c r="D13" s="281"/>
      <c r="E13" s="281"/>
      <c r="F13" s="282"/>
      <c r="G13" s="282"/>
      <c r="H13" s="282"/>
      <c r="K13" s="114"/>
      <c r="L13" s="113">
        <f>L12/24</f>
        <v>8.3333333333333329E-2</v>
      </c>
      <c r="M13" s="114"/>
    </row>
    <row r="14" spans="1:19" s="2" customFormat="1" x14ac:dyDescent="0.3">
      <c r="K14" s="114"/>
      <c r="L14" s="115">
        <f>IF((M11-L12)&gt;0,((M12)/24),0)</f>
        <v>3.5230352303523026E-2</v>
      </c>
      <c r="M14" s="114"/>
    </row>
    <row r="15" spans="1:19" s="2" customFormat="1" x14ac:dyDescent="0.3"/>
    <row r="16" spans="1:19" s="2" customFormat="1" x14ac:dyDescent="0.3"/>
    <row r="17" s="2" customFormat="1" x14ac:dyDescent="0.3"/>
    <row r="18" s="2" customFormat="1" x14ac:dyDescent="0.3"/>
    <row r="19" s="2" customFormat="1" x14ac:dyDescent="0.3"/>
    <row r="20" s="2" customFormat="1" x14ac:dyDescent="0.3"/>
    <row r="21" s="2" customFormat="1" x14ac:dyDescent="0.3"/>
    <row r="22" s="2" customFormat="1" x14ac:dyDescent="0.3"/>
    <row r="23" s="2" customFormat="1" x14ac:dyDescent="0.3"/>
  </sheetData>
  <sheetProtection algorithmName="SHA-512" hashValue="d+oxE/spyd1+JyLniuGIwYDDy9vkGZxHXrPGpqNqAz5Nn8Z0xNHzU6a7UOSqIAtketUGN4WDXkSVfvnYVNrehw==" saltValue="xvw3PWR11qWXttJhVnJJtw==" spinCount="100000" sheet="1" objects="1" scenarios="1" selectLockedCells="1"/>
  <mergeCells count="10">
    <mergeCell ref="A11:E13"/>
    <mergeCell ref="F11:H13"/>
    <mergeCell ref="A1:S1"/>
    <mergeCell ref="A3:E5"/>
    <mergeCell ref="A7:E9"/>
    <mergeCell ref="F3:H5"/>
    <mergeCell ref="F7:H9"/>
    <mergeCell ref="L3:S6"/>
    <mergeCell ref="L7:S9"/>
    <mergeCell ref="A2:S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4965F5-8E35-4BA7-9B00-8C4DB2ACC892}">
          <x14:formula1>
            <xm:f>DADOS!$D$1:$D$2</xm:f>
          </x14:formula1>
          <xm:sqref>F11:H13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8"/>
  <dimension ref="A1:AK36"/>
  <sheetViews>
    <sheetView zoomScale="85" zoomScaleNormal="85" workbookViewId="0">
      <selection activeCell="B8" sqref="B8"/>
    </sheetView>
  </sheetViews>
  <sheetFormatPr defaultColWidth="9.109375" defaultRowHeight="13.8" x14ac:dyDescent="0.25"/>
  <cols>
    <col min="1" max="1" width="68.6640625" style="45" customWidth="1"/>
    <col min="2" max="2" width="19.109375" style="45" customWidth="1"/>
    <col min="3" max="3" width="6" style="45" customWidth="1"/>
    <col min="4" max="4" width="8.109375" style="45" customWidth="1"/>
    <col min="5" max="5" width="12.21875" style="45" customWidth="1"/>
    <col min="6" max="6" width="8.88671875" style="45" customWidth="1"/>
    <col min="7" max="7" width="13.109375" style="45" customWidth="1"/>
    <col min="8" max="8" width="23.109375" style="45" customWidth="1"/>
    <col min="9" max="37" width="9.109375" style="44"/>
    <col min="38" max="16384" width="9.109375" style="45"/>
  </cols>
  <sheetData>
    <row r="1" spans="1:8" ht="33" x14ac:dyDescent="0.6">
      <c r="A1" s="246" t="s">
        <v>85</v>
      </c>
      <c r="B1" s="246"/>
      <c r="C1" s="246"/>
      <c r="D1" s="246"/>
      <c r="E1" s="246"/>
      <c r="F1" s="246"/>
      <c r="G1" s="246"/>
      <c r="H1" s="246"/>
    </row>
    <row r="2" spans="1:8" s="44" customFormat="1" ht="27.75" customHeight="1" x14ac:dyDescent="0.25">
      <c r="A2" s="247" t="s">
        <v>32</v>
      </c>
      <c r="B2" s="248"/>
      <c r="C2" s="248"/>
      <c r="D2" s="248"/>
      <c r="E2" s="248"/>
      <c r="F2" s="248"/>
      <c r="G2" s="248"/>
      <c r="H2" s="248"/>
    </row>
    <row r="3" spans="1:8" s="44" customFormat="1" ht="27.75" customHeight="1" x14ac:dyDescent="0.25">
      <c r="A3" s="25"/>
      <c r="B3" s="26"/>
      <c r="C3" s="26"/>
      <c r="D3" s="26"/>
      <c r="E3" s="26"/>
      <c r="F3" s="26"/>
      <c r="G3" s="26"/>
      <c r="H3" s="26"/>
    </row>
    <row r="4" spans="1:8" s="44" customFormat="1" ht="27.75" customHeight="1" x14ac:dyDescent="0.4">
      <c r="A4" s="7" t="s">
        <v>91</v>
      </c>
      <c r="B4" s="88">
        <v>25974</v>
      </c>
      <c r="C4" s="87" t="s">
        <v>40</v>
      </c>
      <c r="D4" s="26"/>
      <c r="E4" s="26"/>
      <c r="F4" s="26"/>
      <c r="G4" s="26"/>
      <c r="H4" s="26"/>
    </row>
    <row r="5" spans="1:8" ht="22.8" x14ac:dyDescent="0.4">
      <c r="A5" s="7" t="s">
        <v>92</v>
      </c>
      <c r="B5" s="88">
        <v>14500</v>
      </c>
      <c r="C5" s="87" t="s">
        <v>40</v>
      </c>
      <c r="D5" s="44"/>
      <c r="E5" s="44"/>
      <c r="F5" s="44"/>
      <c r="G5" s="44"/>
      <c r="H5" s="44"/>
    </row>
    <row r="6" spans="1:8" ht="22.8" x14ac:dyDescent="0.4">
      <c r="A6" s="7" t="s">
        <v>93</v>
      </c>
      <c r="B6" s="88">
        <v>0.4</v>
      </c>
      <c r="C6" s="87" t="s">
        <v>53</v>
      </c>
      <c r="D6" s="44"/>
      <c r="E6" s="44"/>
      <c r="F6" s="44"/>
      <c r="G6" s="44"/>
      <c r="H6" s="44"/>
    </row>
    <row r="7" spans="1:8" ht="22.8" x14ac:dyDescent="0.4">
      <c r="A7" s="7" t="s">
        <v>94</v>
      </c>
      <c r="B7" s="88">
        <v>0.45</v>
      </c>
      <c r="C7" s="87" t="s">
        <v>53</v>
      </c>
      <c r="D7" s="44"/>
      <c r="E7" s="44"/>
      <c r="F7" s="44"/>
      <c r="G7" s="44"/>
      <c r="H7" s="44"/>
    </row>
    <row r="8" spans="1:8" s="44" customFormat="1" ht="22.8" x14ac:dyDescent="0.4">
      <c r="A8" s="7" t="s">
        <v>95</v>
      </c>
      <c r="B8" s="88">
        <v>7.5</v>
      </c>
      <c r="C8" s="87" t="s">
        <v>53</v>
      </c>
    </row>
    <row r="9" spans="1:8" s="44" customFormat="1" x14ac:dyDescent="0.25"/>
    <row r="10" spans="1:8" s="44" customFormat="1" x14ac:dyDescent="0.25"/>
    <row r="11" spans="1:8" s="44" customFormat="1" ht="14.4" thickBot="1" x14ac:dyDescent="0.3"/>
    <row r="12" spans="1:8" x14ac:dyDescent="0.25">
      <c r="A12" s="27"/>
      <c r="B12" s="27"/>
      <c r="C12" s="27"/>
      <c r="D12" s="305">
        <f>(((((B4*B6)/B5)-B7)*10*B5)/1000)*(-1)</f>
        <v>-38.646000000000008</v>
      </c>
      <c r="E12" s="306"/>
      <c r="F12" s="46"/>
      <c r="G12" s="27"/>
      <c r="H12" s="27"/>
    </row>
    <row r="13" spans="1:8" ht="15" customHeight="1" x14ac:dyDescent="0.25">
      <c r="A13" s="255" t="s">
        <v>50</v>
      </c>
      <c r="B13" s="255"/>
      <c r="C13" s="256"/>
      <c r="D13" s="307"/>
      <c r="E13" s="308"/>
      <c r="F13" s="257" t="s">
        <v>18</v>
      </c>
      <c r="G13" s="255"/>
      <c r="H13" s="255"/>
    </row>
    <row r="14" spans="1:8" ht="15" customHeight="1" x14ac:dyDescent="0.25">
      <c r="A14" s="255"/>
      <c r="B14" s="255"/>
      <c r="C14" s="256"/>
      <c r="D14" s="307"/>
      <c r="E14" s="308"/>
      <c r="F14" s="257"/>
      <c r="G14" s="255"/>
      <c r="H14" s="255"/>
    </row>
    <row r="15" spans="1:8" ht="15" customHeight="1" x14ac:dyDescent="0.25">
      <c r="A15" s="255"/>
      <c r="B15" s="255"/>
      <c r="C15" s="256"/>
      <c r="D15" s="307"/>
      <c r="E15" s="308"/>
      <c r="F15" s="257"/>
      <c r="G15" s="255"/>
      <c r="H15" s="255"/>
    </row>
    <row r="16" spans="1:8" ht="14.4" thickBot="1" x14ac:dyDescent="0.3">
      <c r="A16" s="27"/>
      <c r="B16" s="27"/>
      <c r="C16" s="27"/>
      <c r="D16" s="309"/>
      <c r="E16" s="310"/>
      <c r="F16" s="47"/>
      <c r="G16" s="27"/>
      <c r="H16" s="27"/>
    </row>
    <row r="17" spans="1:8" s="44" customFormat="1" x14ac:dyDescent="0.25"/>
    <row r="18" spans="1:8" s="44" customFormat="1" x14ac:dyDescent="0.25"/>
    <row r="19" spans="1:8" s="44" customFormat="1" x14ac:dyDescent="0.25"/>
    <row r="20" spans="1:8" s="44" customFormat="1" x14ac:dyDescent="0.25">
      <c r="A20" s="303" t="s">
        <v>46</v>
      </c>
      <c r="B20" s="303"/>
      <c r="C20" s="303"/>
      <c r="D20" s="303"/>
      <c r="E20" s="303"/>
      <c r="F20" s="303"/>
      <c r="G20" s="303"/>
      <c r="H20" s="303"/>
    </row>
    <row r="21" spans="1:8" s="44" customFormat="1" x14ac:dyDescent="0.25">
      <c r="A21" s="303"/>
      <c r="B21" s="303"/>
      <c r="C21" s="303"/>
      <c r="D21" s="303"/>
      <c r="E21" s="303"/>
      <c r="F21" s="303"/>
      <c r="G21" s="303"/>
      <c r="H21" s="303"/>
    </row>
    <row r="22" spans="1:8" s="44" customFormat="1" ht="14.4" thickBot="1" x14ac:dyDescent="0.3"/>
    <row r="23" spans="1:8" s="44" customFormat="1" ht="18" thickBot="1" x14ac:dyDescent="0.35">
      <c r="A23" s="48" t="s">
        <v>68</v>
      </c>
      <c r="B23" s="54">
        <f>((D12*85)/B5)+B8</f>
        <v>7.2734544827586207</v>
      </c>
      <c r="C23" s="49"/>
      <c r="D23" s="304"/>
      <c r="E23" s="304"/>
      <c r="F23" s="304"/>
      <c r="G23" s="304"/>
      <c r="H23" s="55"/>
    </row>
    <row r="24" spans="1:8" s="44" customFormat="1" x14ac:dyDescent="0.25"/>
    <row r="25" spans="1:8" s="44" customFormat="1" x14ac:dyDescent="0.25"/>
    <row r="26" spans="1:8" s="44" customFormat="1" x14ac:dyDescent="0.25"/>
    <row r="27" spans="1:8" s="44" customFormat="1" x14ac:dyDescent="0.25"/>
    <row r="28" spans="1:8" s="44" customFormat="1" x14ac:dyDescent="0.25"/>
    <row r="29" spans="1:8" s="44" customFormat="1" x14ac:dyDescent="0.25"/>
    <row r="30" spans="1:8" s="44" customFormat="1" x14ac:dyDescent="0.25"/>
    <row r="31" spans="1:8" s="44" customFormat="1" x14ac:dyDescent="0.25"/>
    <row r="32" spans="1:8" s="44" customFormat="1" x14ac:dyDescent="0.25"/>
    <row r="33" s="44" customFormat="1" x14ac:dyDescent="0.25"/>
    <row r="34" s="44" customFormat="1" x14ac:dyDescent="0.25"/>
    <row r="35" s="44" customFormat="1" x14ac:dyDescent="0.25"/>
    <row r="36" s="44" customFormat="1" x14ac:dyDescent="0.25"/>
  </sheetData>
  <sheetProtection algorithmName="SHA-512" hashValue="vpvmAWmEBxsZH1UO0YQ0mNs5Y2P/EQpqr29FSwZzgBa83wx2sJlpoQt6KwYU9nkjMJjNBTH79nanmChzUPLQGw==" saltValue="jtG6hlbIlvVM9YoW1oGi2A==" spinCount="100000" sheet="1" objects="1" scenarios="1" selectLockedCells="1"/>
  <mergeCells count="7">
    <mergeCell ref="A1:H1"/>
    <mergeCell ref="A2:H2"/>
    <mergeCell ref="A20:H21"/>
    <mergeCell ref="D23:G23"/>
    <mergeCell ref="A13:C15"/>
    <mergeCell ref="F13:H15"/>
    <mergeCell ref="D12:E16"/>
  </mergeCells>
  <pageMargins left="0.511811024" right="0.511811024" top="0.78740157499999996" bottom="0.78740157499999996" header="0.31496062000000002" footer="0.31496062000000002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9"/>
  <dimension ref="A1:AK34"/>
  <sheetViews>
    <sheetView workbookViewId="0">
      <selection activeCell="B6" sqref="B6"/>
    </sheetView>
  </sheetViews>
  <sheetFormatPr defaultColWidth="9.109375" defaultRowHeight="13.8" x14ac:dyDescent="0.25"/>
  <cols>
    <col min="1" max="1" width="59.5546875" style="6" customWidth="1"/>
    <col min="2" max="2" width="17.5546875" style="6" customWidth="1"/>
    <col min="3" max="3" width="8.88671875" style="6" customWidth="1"/>
    <col min="4" max="4" width="13.88671875" style="6" customWidth="1"/>
    <col min="5" max="5" width="7" style="6" customWidth="1"/>
    <col min="6" max="6" width="11" style="6" customWidth="1"/>
    <col min="7" max="7" width="13.109375" style="6" customWidth="1"/>
    <col min="8" max="8" width="12.88671875" style="6" customWidth="1"/>
    <col min="9" max="37" width="9.109375" style="5"/>
    <col min="38" max="16384" width="9.109375" style="6"/>
  </cols>
  <sheetData>
    <row r="1" spans="1:8" ht="33" x14ac:dyDescent="0.6">
      <c r="A1" s="246" t="s">
        <v>87</v>
      </c>
      <c r="B1" s="246"/>
      <c r="C1" s="246"/>
      <c r="D1" s="246"/>
      <c r="E1" s="246"/>
      <c r="F1" s="246"/>
      <c r="G1" s="246"/>
      <c r="H1" s="246"/>
    </row>
    <row r="2" spans="1:8" s="5" customFormat="1" ht="27.75" customHeight="1" x14ac:dyDescent="0.25">
      <c r="A2" s="247" t="s">
        <v>32</v>
      </c>
      <c r="B2" s="248"/>
      <c r="C2" s="248"/>
      <c r="D2" s="248"/>
      <c r="E2" s="248"/>
      <c r="F2" s="248"/>
      <c r="G2" s="248"/>
      <c r="H2" s="248"/>
    </row>
    <row r="3" spans="1:8" s="5" customFormat="1" ht="18.600000000000001" customHeight="1" x14ac:dyDescent="0.25">
      <c r="A3" s="25"/>
      <c r="B3" s="26"/>
      <c r="C3" s="26"/>
      <c r="D3" s="26"/>
      <c r="E3" s="26"/>
      <c r="F3" s="26"/>
      <c r="G3" s="26"/>
      <c r="H3" s="26"/>
    </row>
    <row r="4" spans="1:8" s="5" customFormat="1" ht="27.75" customHeight="1" x14ac:dyDescent="0.4">
      <c r="A4" s="7" t="s">
        <v>91</v>
      </c>
      <c r="B4" s="88">
        <v>16600</v>
      </c>
      <c r="C4" s="89" t="s">
        <v>40</v>
      </c>
      <c r="D4" s="26"/>
      <c r="E4" s="26"/>
      <c r="F4" s="26"/>
      <c r="G4" s="26"/>
      <c r="H4" s="26"/>
    </row>
    <row r="5" spans="1:8" ht="22.8" x14ac:dyDescent="0.4">
      <c r="A5" s="7" t="s">
        <v>92</v>
      </c>
      <c r="B5" s="88">
        <v>16600</v>
      </c>
      <c r="C5" s="89" t="s">
        <v>40</v>
      </c>
      <c r="D5" s="5"/>
      <c r="E5" s="5"/>
      <c r="F5" s="5"/>
      <c r="G5" s="5"/>
      <c r="H5" s="5"/>
    </row>
    <row r="6" spans="1:8" ht="22.8" x14ac:dyDescent="0.4">
      <c r="A6" s="7" t="s">
        <v>102</v>
      </c>
      <c r="B6" s="88">
        <v>0.3</v>
      </c>
      <c r="C6" s="89" t="s">
        <v>53</v>
      </c>
      <c r="D6" s="5"/>
      <c r="E6" s="5"/>
      <c r="F6" s="5"/>
      <c r="G6" s="5"/>
      <c r="H6" s="5"/>
    </row>
    <row r="7" spans="1:8" ht="22.8" x14ac:dyDescent="0.4">
      <c r="A7" s="7" t="s">
        <v>103</v>
      </c>
      <c r="B7" s="88">
        <v>0.28000000000000003</v>
      </c>
      <c r="C7" s="89" t="s">
        <v>53</v>
      </c>
      <c r="D7" s="5"/>
      <c r="E7" s="5"/>
      <c r="F7" s="5"/>
      <c r="G7" s="5"/>
      <c r="H7" s="5"/>
    </row>
    <row r="8" spans="1:8" s="5" customFormat="1" ht="22.8" x14ac:dyDescent="0.4">
      <c r="A8" s="7" t="s">
        <v>104</v>
      </c>
      <c r="B8" s="88">
        <v>10.6</v>
      </c>
      <c r="C8" s="89" t="s">
        <v>53</v>
      </c>
    </row>
    <row r="9" spans="1:8" s="5" customFormat="1" ht="10.8" customHeight="1" thickBot="1" x14ac:dyDescent="0.3"/>
    <row r="10" spans="1:8" ht="9" customHeight="1" x14ac:dyDescent="0.25">
      <c r="A10" s="41"/>
      <c r="B10" s="41"/>
      <c r="C10" s="41"/>
      <c r="D10" s="313">
        <f>(((((B4*B6/B5)*B5/B7))))</f>
        <v>17785.714285714283</v>
      </c>
      <c r="E10" s="314"/>
      <c r="F10" s="42"/>
      <c r="G10" s="41"/>
      <c r="H10" s="41"/>
    </row>
    <row r="11" spans="1:8" ht="15" customHeight="1" x14ac:dyDescent="0.25">
      <c r="A11" s="255" t="s">
        <v>44</v>
      </c>
      <c r="B11" s="255"/>
      <c r="C11" s="256"/>
      <c r="D11" s="315"/>
      <c r="E11" s="316"/>
      <c r="F11" s="257" t="s">
        <v>45</v>
      </c>
      <c r="G11" s="255"/>
      <c r="H11" s="255"/>
    </row>
    <row r="12" spans="1:8" ht="15" customHeight="1" x14ac:dyDescent="0.25">
      <c r="A12" s="255"/>
      <c r="B12" s="255"/>
      <c r="C12" s="256"/>
      <c r="D12" s="315"/>
      <c r="E12" s="316"/>
      <c r="F12" s="257"/>
      <c r="G12" s="255"/>
      <c r="H12" s="255"/>
    </row>
    <row r="13" spans="1:8" ht="15" customHeight="1" x14ac:dyDescent="0.25">
      <c r="A13" s="255"/>
      <c r="B13" s="255"/>
      <c r="C13" s="256"/>
      <c r="D13" s="315"/>
      <c r="E13" s="316"/>
      <c r="F13" s="257"/>
      <c r="G13" s="255"/>
      <c r="H13" s="255"/>
    </row>
    <row r="14" spans="1:8" ht="14.4" thickBot="1" x14ac:dyDescent="0.3">
      <c r="A14" s="41"/>
      <c r="B14" s="41"/>
      <c r="C14" s="41"/>
      <c r="D14" s="317"/>
      <c r="E14" s="318"/>
      <c r="F14" s="43"/>
      <c r="G14" s="41"/>
      <c r="H14" s="41"/>
    </row>
    <row r="15" spans="1:8" s="5" customFormat="1" hidden="1" x14ac:dyDescent="0.25">
      <c r="A15" s="44"/>
      <c r="B15" s="44"/>
      <c r="C15" s="44"/>
      <c r="D15" s="44"/>
      <c r="E15" s="44"/>
      <c r="F15" s="44"/>
      <c r="G15" s="44"/>
      <c r="H15" s="44"/>
    </row>
    <row r="16" spans="1:8" s="5" customFormat="1" x14ac:dyDescent="0.25">
      <c r="A16" s="303" t="s">
        <v>46</v>
      </c>
      <c r="B16" s="303"/>
      <c r="C16" s="303"/>
      <c r="D16" s="303"/>
      <c r="E16" s="303"/>
      <c r="F16" s="303"/>
      <c r="G16" s="303"/>
      <c r="H16" s="303"/>
    </row>
    <row r="17" spans="1:8" s="5" customFormat="1" x14ac:dyDescent="0.25">
      <c r="A17" s="303"/>
      <c r="B17" s="303"/>
      <c r="C17" s="303"/>
      <c r="D17" s="303"/>
      <c r="E17" s="303"/>
      <c r="F17" s="303"/>
      <c r="G17" s="303"/>
      <c r="H17" s="303"/>
    </row>
    <row r="18" spans="1:8" s="5" customFormat="1" ht="14.4" thickBot="1" x14ac:dyDescent="0.3">
      <c r="A18" s="44"/>
      <c r="B18" s="44"/>
      <c r="C18" s="44"/>
      <c r="D18" s="44"/>
      <c r="E18" s="44"/>
      <c r="F18" s="44"/>
      <c r="G18" s="44"/>
      <c r="H18" s="44"/>
    </row>
    <row r="19" spans="1:8" s="5" customFormat="1" ht="18" thickBot="1" x14ac:dyDescent="0.35">
      <c r="A19" s="48" t="s">
        <v>47</v>
      </c>
      <c r="B19" s="86">
        <f>D10</f>
        <v>17785.714285714283</v>
      </c>
      <c r="C19" s="49" t="s">
        <v>48</v>
      </c>
      <c r="D19" s="304" t="s">
        <v>49</v>
      </c>
      <c r="E19" s="304"/>
      <c r="F19" s="304"/>
      <c r="G19" s="304"/>
      <c r="H19" s="55">
        <f>(B8*B5)/D10</f>
        <v>9.8933333333333344</v>
      </c>
    </row>
    <row r="20" spans="1:8" s="5" customFormat="1" ht="14.4" thickBot="1" x14ac:dyDescent="0.3">
      <c r="A20" s="44"/>
      <c r="B20" s="44"/>
      <c r="C20" s="44"/>
      <c r="D20" s="44"/>
      <c r="E20" s="44"/>
      <c r="F20" s="44"/>
      <c r="G20" s="44"/>
      <c r="H20" s="44"/>
    </row>
    <row r="21" spans="1:8" s="5" customFormat="1" ht="18" thickBot="1" x14ac:dyDescent="0.35">
      <c r="A21" s="48" t="s">
        <v>47</v>
      </c>
      <c r="B21" s="86">
        <f>D10</f>
        <v>17785.714285714283</v>
      </c>
      <c r="C21" s="49" t="s">
        <v>48</v>
      </c>
      <c r="D21" s="304" t="s">
        <v>86</v>
      </c>
      <c r="E21" s="304"/>
      <c r="F21" s="304"/>
      <c r="G21" s="311" t="str">
        <f>IF(D10&gt;(B5+B5*0.03),"MAIOR QUE 3%","MENOR QUE 3%")</f>
        <v>MAIOR QUE 3%</v>
      </c>
      <c r="H21" s="312"/>
    </row>
    <row r="22" spans="1:8" s="5" customFormat="1" x14ac:dyDescent="0.25">
      <c r="A22" s="44"/>
      <c r="B22" s="44"/>
      <c r="C22" s="44"/>
      <c r="D22" s="44"/>
      <c r="E22" s="44"/>
      <c r="F22" s="44"/>
      <c r="G22" s="44"/>
      <c r="H22" s="44"/>
    </row>
    <row r="23" spans="1:8" s="5" customFormat="1" x14ac:dyDescent="0.25">
      <c r="A23" s="44"/>
      <c r="B23" s="44"/>
      <c r="C23" s="44"/>
      <c r="D23" s="44"/>
      <c r="E23" s="44"/>
      <c r="F23" s="44"/>
      <c r="G23" s="44"/>
      <c r="H23" s="44"/>
    </row>
    <row r="24" spans="1:8" s="5" customFormat="1" x14ac:dyDescent="0.25"/>
    <row r="25" spans="1:8" s="5" customFormat="1" x14ac:dyDescent="0.25"/>
    <row r="26" spans="1:8" s="5" customFormat="1" x14ac:dyDescent="0.25"/>
    <row r="27" spans="1:8" s="5" customFormat="1" x14ac:dyDescent="0.25"/>
    <row r="28" spans="1:8" s="5" customFormat="1" x14ac:dyDescent="0.25"/>
    <row r="29" spans="1:8" s="5" customFormat="1" x14ac:dyDescent="0.25"/>
    <row r="30" spans="1:8" s="5" customFormat="1" x14ac:dyDescent="0.25"/>
    <row r="31" spans="1:8" s="5" customFormat="1" x14ac:dyDescent="0.25"/>
    <row r="32" spans="1:8" s="5" customFormat="1" x14ac:dyDescent="0.25"/>
    <row r="33" s="5" customFormat="1" x14ac:dyDescent="0.25"/>
    <row r="34" s="5" customFormat="1" x14ac:dyDescent="0.25"/>
  </sheetData>
  <sheetProtection algorithmName="SHA-512" hashValue="TSQUKmwUn7J+6ufECdKlhOFCcdKObWVTjHzMer0448gkbBcholBWbP7oD5ELKfiNkxVnMW3KqmiDQ5Mje/dD+A==" saltValue="8e/ZDhPqWraGWIvbUldNqA==" spinCount="100000" sheet="1" objects="1" scenarios="1" selectLockedCells="1"/>
  <mergeCells count="9">
    <mergeCell ref="D21:F21"/>
    <mergeCell ref="G21:H21"/>
    <mergeCell ref="D19:G19"/>
    <mergeCell ref="A1:H1"/>
    <mergeCell ref="A2:H2"/>
    <mergeCell ref="D10:E14"/>
    <mergeCell ref="A11:C13"/>
    <mergeCell ref="F11:H13"/>
    <mergeCell ref="A16:H17"/>
  </mergeCells>
  <pageMargins left="0.511811024" right="0.511811024" top="0.78740157499999996" bottom="0.78740157499999996" header="0.31496062000000002" footer="0.31496062000000002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20"/>
  <dimension ref="B1:E138"/>
  <sheetViews>
    <sheetView zoomScale="85" zoomScaleNormal="85" workbookViewId="0">
      <selection activeCell="D7" sqref="D7"/>
    </sheetView>
  </sheetViews>
  <sheetFormatPr defaultRowHeight="14.4" x14ac:dyDescent="0.3"/>
  <cols>
    <col min="1" max="1" width="0.5546875" style="34" customWidth="1"/>
    <col min="2" max="2" width="8.88671875" style="34" hidden="1" customWidth="1"/>
    <col min="3" max="3" width="109.88671875" style="34" customWidth="1"/>
    <col min="4" max="4" width="79.44140625" style="34" customWidth="1"/>
    <col min="5" max="16384" width="8.88671875" style="34"/>
  </cols>
  <sheetData>
    <row r="1" spans="3:5" ht="9.6" customHeight="1" x14ac:dyDescent="0.3"/>
    <row r="2" spans="3:5" ht="4.2" hidden="1" customHeight="1" x14ac:dyDescent="0.3"/>
    <row r="3" spans="3:5" hidden="1" x14ac:dyDescent="0.3"/>
    <row r="4" spans="3:5" ht="0.6" hidden="1" customHeight="1" x14ac:dyDescent="0.3"/>
    <row r="5" spans="3:5" hidden="1" x14ac:dyDescent="0.3"/>
    <row r="6" spans="3:5" ht="22.8" customHeight="1" x14ac:dyDescent="0.3">
      <c r="C6" s="319" t="s">
        <v>173</v>
      </c>
      <c r="D6" s="320"/>
      <c r="E6" s="320"/>
    </row>
    <row r="7" spans="3:5" ht="24.6" x14ac:dyDescent="0.3">
      <c r="C7" s="32" t="s">
        <v>171</v>
      </c>
      <c r="D7" s="128">
        <v>15927</v>
      </c>
      <c r="E7" s="130" t="s">
        <v>40</v>
      </c>
    </row>
    <row r="8" spans="3:5" ht="24.6" x14ac:dyDescent="0.3">
      <c r="C8" s="32" t="s">
        <v>172</v>
      </c>
      <c r="D8" s="128">
        <v>16894</v>
      </c>
      <c r="E8" s="130" t="s">
        <v>40</v>
      </c>
    </row>
    <row r="9" spans="3:5" ht="24.6" x14ac:dyDescent="0.3">
      <c r="C9" s="32" t="s">
        <v>161</v>
      </c>
      <c r="D9" s="124">
        <v>3.1</v>
      </c>
      <c r="E9" s="130" t="s">
        <v>53</v>
      </c>
    </row>
    <row r="10" spans="3:5" ht="24.6" x14ac:dyDescent="0.3">
      <c r="C10" s="32" t="s">
        <v>168</v>
      </c>
      <c r="D10" s="124">
        <v>3.2</v>
      </c>
      <c r="E10" s="130" t="s">
        <v>53</v>
      </c>
    </row>
    <row r="11" spans="3:5" ht="24.6" x14ac:dyDescent="0.3">
      <c r="C11" s="32" t="s">
        <v>174</v>
      </c>
      <c r="D11" s="125">
        <f>(((D9*D7/D8)-(D10*D8)/77)*(-1))</f>
        <v>699.16575338358814</v>
      </c>
      <c r="E11" s="130" t="s">
        <v>40</v>
      </c>
    </row>
    <row r="12" spans="3:5" ht="15" thickBot="1" x14ac:dyDescent="0.35"/>
    <row r="13" spans="3:5" ht="46.2" x14ac:dyDescent="0.85">
      <c r="C13" s="74" t="s">
        <v>69</v>
      </c>
      <c r="D13" s="76">
        <f>D11</f>
        <v>699.16575338358814</v>
      </c>
    </row>
    <row r="14" spans="3:5" ht="46.8" thickBot="1" x14ac:dyDescent="0.9">
      <c r="C14" s="75" t="s">
        <v>70</v>
      </c>
      <c r="D14" s="131">
        <f>D7+D11</f>
        <v>16626.16575338359</v>
      </c>
    </row>
    <row r="15" spans="3:5" ht="15" customHeight="1" thickBot="1" x14ac:dyDescent="0.9">
      <c r="C15" s="73"/>
      <c r="D15" s="78"/>
    </row>
    <row r="16" spans="3:5" ht="25.2" thickBot="1" x14ac:dyDescent="0.45">
      <c r="C16" s="132" t="s">
        <v>170</v>
      </c>
      <c r="D16" s="123" t="str">
        <f>IF(D14&lt;(D8),"COMPLETAR COM ÁGUA","SOMENTE PUXAR AÇÚCAR")</f>
        <v>COMPLETAR COM ÁGUA</v>
      </c>
    </row>
    <row r="18" spans="3:4" ht="15" thickBot="1" x14ac:dyDescent="0.35"/>
    <row r="19" spans="3:4" ht="25.2" thickBot="1" x14ac:dyDescent="0.45">
      <c r="C19" s="122" t="s">
        <v>167</v>
      </c>
      <c r="D19" s="71" t="str">
        <f>IF(D14&gt;(D8+D8*0.03),"CORRIGIR INSUMOS","NÃO PRECISA CORRIGIR INSUMOS")</f>
        <v>NÃO PRECISA CORRIGIR INSUMOS</v>
      </c>
    </row>
    <row r="20" spans="3:4" ht="40.799999999999997" customHeight="1" x14ac:dyDescent="0.3"/>
    <row r="33" s="34" customFormat="1" x14ac:dyDescent="0.3"/>
    <row r="34" s="34" customFormat="1" x14ac:dyDescent="0.3"/>
    <row r="35" s="34" customFormat="1" x14ac:dyDescent="0.3"/>
    <row r="36" s="34" customFormat="1" x14ac:dyDescent="0.3"/>
    <row r="37" s="34" customFormat="1" x14ac:dyDescent="0.3"/>
    <row r="38" s="34" customFormat="1" x14ac:dyDescent="0.3"/>
    <row r="39" s="34" customFormat="1" x14ac:dyDescent="0.3"/>
    <row r="40" s="34" customFormat="1" x14ac:dyDescent="0.3"/>
    <row r="41" s="34" customFormat="1" x14ac:dyDescent="0.3"/>
    <row r="42" s="34" customFormat="1" x14ac:dyDescent="0.3"/>
    <row r="43" s="34" customFormat="1" x14ac:dyDescent="0.3"/>
    <row r="44" s="34" customFormat="1" x14ac:dyDescent="0.3"/>
    <row r="45" s="34" customFormat="1" x14ac:dyDescent="0.3"/>
    <row r="46" s="34" customFormat="1" x14ac:dyDescent="0.3"/>
    <row r="47" s="34" customFormat="1" x14ac:dyDescent="0.3"/>
    <row r="48" s="34" customFormat="1" x14ac:dyDescent="0.3"/>
    <row r="49" s="34" customFormat="1" x14ac:dyDescent="0.3"/>
    <row r="50" s="34" customFormat="1" x14ac:dyDescent="0.3"/>
    <row r="51" s="34" customFormat="1" x14ac:dyDescent="0.3"/>
    <row r="52" s="34" customFormat="1" x14ac:dyDescent="0.3"/>
    <row r="53" s="34" customFormat="1" x14ac:dyDescent="0.3"/>
    <row r="54" s="34" customFormat="1" x14ac:dyDescent="0.3"/>
    <row r="55" s="34" customFormat="1" x14ac:dyDescent="0.3"/>
    <row r="56" s="34" customFormat="1" x14ac:dyDescent="0.3"/>
    <row r="57" s="34" customFormat="1" x14ac:dyDescent="0.3"/>
    <row r="58" s="34" customFormat="1" x14ac:dyDescent="0.3"/>
    <row r="59" s="34" customFormat="1" x14ac:dyDescent="0.3"/>
    <row r="60" s="34" customFormat="1" x14ac:dyDescent="0.3"/>
    <row r="61" s="34" customFormat="1" x14ac:dyDescent="0.3"/>
    <row r="62" s="34" customFormat="1" x14ac:dyDescent="0.3"/>
    <row r="63" s="34" customFormat="1" x14ac:dyDescent="0.3"/>
    <row r="64" s="34" customFormat="1" x14ac:dyDescent="0.3"/>
    <row r="65" s="34" customFormat="1" x14ac:dyDescent="0.3"/>
    <row r="66" s="34" customFormat="1" x14ac:dyDescent="0.3"/>
    <row r="67" s="34" customFormat="1" x14ac:dyDescent="0.3"/>
    <row r="68" s="34" customFormat="1" x14ac:dyDescent="0.3"/>
    <row r="69" s="34" customFormat="1" x14ac:dyDescent="0.3"/>
    <row r="70" s="34" customFormat="1" x14ac:dyDescent="0.3"/>
    <row r="71" s="34" customFormat="1" x14ac:dyDescent="0.3"/>
    <row r="72" s="34" customFormat="1" x14ac:dyDescent="0.3"/>
    <row r="73" s="34" customFormat="1" x14ac:dyDescent="0.3"/>
    <row r="74" s="34" customFormat="1" x14ac:dyDescent="0.3"/>
    <row r="75" s="34" customFormat="1" x14ac:dyDescent="0.3"/>
    <row r="76" s="34" customFormat="1" x14ac:dyDescent="0.3"/>
    <row r="77" s="34" customFormat="1" x14ac:dyDescent="0.3"/>
    <row r="78" s="34" customFormat="1" x14ac:dyDescent="0.3"/>
    <row r="79" s="34" customFormat="1" x14ac:dyDescent="0.3"/>
    <row r="80" s="34" customFormat="1" x14ac:dyDescent="0.3"/>
    <row r="81" s="34" customFormat="1" x14ac:dyDescent="0.3"/>
    <row r="82" s="34" customFormat="1" x14ac:dyDescent="0.3"/>
    <row r="83" s="34" customFormat="1" x14ac:dyDescent="0.3"/>
    <row r="84" s="34" customFormat="1" x14ac:dyDescent="0.3"/>
    <row r="85" s="34" customFormat="1" x14ac:dyDescent="0.3"/>
    <row r="86" s="34" customFormat="1" x14ac:dyDescent="0.3"/>
    <row r="87" s="34" customFormat="1" x14ac:dyDescent="0.3"/>
    <row r="88" s="34" customFormat="1" x14ac:dyDescent="0.3"/>
    <row r="89" s="34" customFormat="1" x14ac:dyDescent="0.3"/>
    <row r="90" s="34" customFormat="1" x14ac:dyDescent="0.3"/>
    <row r="91" s="34" customFormat="1" x14ac:dyDescent="0.3"/>
    <row r="92" s="34" customFormat="1" x14ac:dyDescent="0.3"/>
    <row r="93" s="34" customFormat="1" x14ac:dyDescent="0.3"/>
    <row r="94" s="34" customFormat="1" x14ac:dyDescent="0.3"/>
    <row r="95" s="34" customFormat="1" x14ac:dyDescent="0.3"/>
    <row r="96" s="34" customFormat="1" x14ac:dyDescent="0.3"/>
    <row r="97" s="34" customFormat="1" x14ac:dyDescent="0.3"/>
    <row r="98" s="34" customFormat="1" x14ac:dyDescent="0.3"/>
    <row r="99" s="34" customFormat="1" x14ac:dyDescent="0.3"/>
    <row r="100" s="34" customFormat="1" x14ac:dyDescent="0.3"/>
    <row r="101" s="34" customFormat="1" x14ac:dyDescent="0.3"/>
    <row r="102" s="34" customFormat="1" x14ac:dyDescent="0.3"/>
    <row r="103" s="34" customFormat="1" x14ac:dyDescent="0.3"/>
    <row r="104" s="34" customFormat="1" x14ac:dyDescent="0.3"/>
    <row r="105" s="34" customFormat="1" x14ac:dyDescent="0.3"/>
    <row r="106" s="34" customFormat="1" x14ac:dyDescent="0.3"/>
    <row r="107" s="34" customFormat="1" x14ac:dyDescent="0.3"/>
    <row r="108" s="34" customFormat="1" x14ac:dyDescent="0.3"/>
    <row r="109" s="34" customFormat="1" x14ac:dyDescent="0.3"/>
    <row r="110" s="34" customFormat="1" x14ac:dyDescent="0.3"/>
    <row r="111" s="34" customFormat="1" x14ac:dyDescent="0.3"/>
    <row r="112" s="34" customFormat="1" x14ac:dyDescent="0.3"/>
    <row r="113" s="34" customFormat="1" x14ac:dyDescent="0.3"/>
    <row r="114" s="34" customFormat="1" x14ac:dyDescent="0.3"/>
    <row r="115" s="34" customFormat="1" x14ac:dyDescent="0.3"/>
    <row r="116" s="34" customFormat="1" x14ac:dyDescent="0.3"/>
    <row r="117" s="34" customFormat="1" x14ac:dyDescent="0.3"/>
    <row r="118" s="34" customFormat="1" x14ac:dyDescent="0.3"/>
    <row r="119" s="34" customFormat="1" x14ac:dyDescent="0.3"/>
    <row r="120" s="34" customFormat="1" x14ac:dyDescent="0.3"/>
    <row r="121" s="34" customFormat="1" x14ac:dyDescent="0.3"/>
    <row r="122" s="34" customFormat="1" x14ac:dyDescent="0.3"/>
    <row r="123" s="34" customFormat="1" x14ac:dyDescent="0.3"/>
    <row r="124" s="34" customFormat="1" x14ac:dyDescent="0.3"/>
    <row r="125" s="34" customFormat="1" x14ac:dyDescent="0.3"/>
    <row r="126" s="34" customFormat="1" x14ac:dyDescent="0.3"/>
    <row r="127" s="34" customFormat="1" x14ac:dyDescent="0.3"/>
    <row r="128" s="34" customFormat="1" x14ac:dyDescent="0.3"/>
    <row r="129" s="34" customFormat="1" x14ac:dyDescent="0.3"/>
    <row r="130" s="34" customFormat="1" x14ac:dyDescent="0.3"/>
    <row r="131" s="34" customFormat="1" x14ac:dyDescent="0.3"/>
    <row r="132" s="34" customFormat="1" x14ac:dyDescent="0.3"/>
    <row r="133" s="34" customFormat="1" x14ac:dyDescent="0.3"/>
    <row r="134" s="34" customFormat="1" x14ac:dyDescent="0.3"/>
    <row r="135" s="34" customFormat="1" x14ac:dyDescent="0.3"/>
    <row r="136" s="34" customFormat="1" x14ac:dyDescent="0.3"/>
    <row r="137" s="34" customFormat="1" x14ac:dyDescent="0.3"/>
    <row r="138" s="34" customFormat="1" x14ac:dyDescent="0.3"/>
  </sheetData>
  <sheetProtection algorithmName="SHA-512" hashValue="LWRzvXW+Oc45p3NUDSBvxIq/3ATXC3sKw/sN12x1TjaekJUrZAUUPALKp9AeQKF9j6HxhrCF1jG4tY0xF9i5gg==" saltValue="yi6bPZgvCELt5AA5g3j2wA==" spinCount="100000" sheet="1" selectLockedCells="1"/>
  <mergeCells count="1">
    <mergeCell ref="C6:E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F24"/>
  <sheetViews>
    <sheetView topLeftCell="D1" zoomScale="85" zoomScaleNormal="85" workbookViewId="0">
      <selection activeCell="E6" sqref="E6"/>
    </sheetView>
  </sheetViews>
  <sheetFormatPr defaultRowHeight="14.4" x14ac:dyDescent="0.3"/>
  <cols>
    <col min="1" max="1" width="4.33203125" style="34" hidden="1" customWidth="1"/>
    <col min="2" max="3" width="8.88671875" style="34" hidden="1" customWidth="1"/>
    <col min="4" max="4" width="110.44140625" style="34" customWidth="1"/>
    <col min="5" max="5" width="71.33203125" style="34" customWidth="1"/>
    <col min="6" max="16384" width="8.88671875" style="34"/>
  </cols>
  <sheetData>
    <row r="1" spans="4:6" ht="9.6" customHeight="1" x14ac:dyDescent="0.3"/>
    <row r="2" spans="4:6" hidden="1" x14ac:dyDescent="0.3"/>
    <row r="3" spans="4:6" ht="10.199999999999999" customHeight="1" x14ac:dyDescent="0.3"/>
    <row r="4" spans="4:6" ht="22.8" x14ac:dyDescent="0.3">
      <c r="D4" s="206" t="s">
        <v>36</v>
      </c>
      <c r="E4" s="207"/>
      <c r="F4" s="207"/>
    </row>
    <row r="5" spans="4:6" ht="17.399999999999999" x14ac:dyDescent="0.3">
      <c r="D5" s="205" t="s">
        <v>33</v>
      </c>
      <c r="E5" s="205"/>
      <c r="F5" s="205"/>
    </row>
    <row r="6" spans="4:6" ht="24.6" x14ac:dyDescent="0.4">
      <c r="D6" s="20" t="s">
        <v>205</v>
      </c>
      <c r="E6" s="128">
        <v>28000</v>
      </c>
      <c r="F6" s="145" t="s">
        <v>40</v>
      </c>
    </row>
    <row r="7" spans="4:6" ht="24.6" x14ac:dyDescent="0.4">
      <c r="D7" s="20" t="s">
        <v>206</v>
      </c>
      <c r="E7" s="128">
        <v>25400</v>
      </c>
      <c r="F7" s="145" t="s">
        <v>40</v>
      </c>
    </row>
    <row r="8" spans="4:6" ht="24.6" x14ac:dyDescent="0.4">
      <c r="D8" s="20" t="s">
        <v>207</v>
      </c>
      <c r="E8" s="124">
        <v>10.9</v>
      </c>
      <c r="F8" s="145" t="s">
        <v>53</v>
      </c>
    </row>
    <row r="9" spans="4:6" ht="24.6" x14ac:dyDescent="0.4">
      <c r="D9" s="142" t="s">
        <v>208</v>
      </c>
      <c r="E9" s="124">
        <v>10</v>
      </c>
      <c r="F9" s="145" t="s">
        <v>53</v>
      </c>
    </row>
    <row r="10" spans="4:6" ht="24.6" x14ac:dyDescent="0.4">
      <c r="D10" s="20" t="s">
        <v>209</v>
      </c>
      <c r="E10" s="124">
        <v>0.45</v>
      </c>
      <c r="F10" s="145" t="s">
        <v>53</v>
      </c>
    </row>
    <row r="11" spans="4:6" ht="24.6" x14ac:dyDescent="0.4">
      <c r="D11" s="20" t="s">
        <v>211</v>
      </c>
      <c r="E11" s="134">
        <f>((E8*E7)/E9)-E7</f>
        <v>2286</v>
      </c>
      <c r="F11" s="145" t="s">
        <v>40</v>
      </c>
    </row>
    <row r="12" spans="4:6" ht="4.8" customHeight="1" x14ac:dyDescent="0.3"/>
    <row r="13" spans="4:6" hidden="1" x14ac:dyDescent="0.3"/>
    <row r="14" spans="4:6" hidden="1" x14ac:dyDescent="0.3"/>
    <row r="15" spans="4:6" ht="1.2" customHeight="1" x14ac:dyDescent="0.3"/>
    <row r="16" spans="4:6" ht="4.2" hidden="1" customHeight="1" thickBot="1" x14ac:dyDescent="0.35"/>
    <row r="17" spans="4:5" ht="2.4" customHeight="1" thickBot="1" x14ac:dyDescent="0.35"/>
    <row r="18" spans="4:5" ht="46.2" x14ac:dyDescent="0.85">
      <c r="D18" s="74" t="s">
        <v>69</v>
      </c>
      <c r="E18" s="76">
        <f>E11</f>
        <v>2286</v>
      </c>
    </row>
    <row r="19" spans="4:5" ht="42" customHeight="1" thickBot="1" x14ac:dyDescent="0.9">
      <c r="D19" s="75" t="s">
        <v>70</v>
      </c>
      <c r="E19" s="77">
        <f>E18+E7</f>
        <v>27686</v>
      </c>
    </row>
    <row r="20" spans="4:5" ht="13.8" customHeight="1" x14ac:dyDescent="0.85">
      <c r="D20" s="73"/>
      <c r="E20" s="73"/>
    </row>
    <row r="21" spans="4:5" ht="49.8" customHeight="1" x14ac:dyDescent="0.4">
      <c r="D21" s="144" t="s">
        <v>210</v>
      </c>
      <c r="E21" s="143" t="str">
        <f>IF(E19&gt;(E6+E6*0.03),"PASSA DE 3%, CORRIGIR INSUMOS","RENDIMENTO MENOR QUE 3%, NÃO PRECISA CORRIGIR INSUMOS")</f>
        <v>RENDIMENTO MENOR QUE 3%, NÃO PRECISA CORRIGIR INSUMOS</v>
      </c>
    </row>
    <row r="22" spans="4:5" ht="6" customHeight="1" x14ac:dyDescent="0.3"/>
    <row r="24" spans="4:5" ht="36.6" x14ac:dyDescent="0.3">
      <c r="D24" s="72" t="s">
        <v>71</v>
      </c>
      <c r="E24" s="79">
        <f>(E10*E7)/E19</f>
        <v>0.41284403669724773</v>
      </c>
    </row>
  </sheetData>
  <sheetProtection algorithmName="SHA-512" hashValue="h496hxXl78dFh4iRtmPiwuMhvF46DALhMoMqo/pBNhbmYrL8ZEJWvBzCgR/4woBqFDSCkBT2SOvQDyZXBzUNEg==" saltValue="S3jYeD56dgHn7Nj2QVPQGg==" spinCount="100000" sheet="1" objects="1" scenarios="1" selectLockedCells="1"/>
  <mergeCells count="2">
    <mergeCell ref="D5:F5"/>
    <mergeCell ref="D4:F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21"/>
  <dimension ref="D6:G11"/>
  <sheetViews>
    <sheetView workbookViewId="0">
      <selection activeCell="G8" sqref="G8:G10"/>
    </sheetView>
  </sheetViews>
  <sheetFormatPr defaultRowHeight="14.4" x14ac:dyDescent="0.3"/>
  <cols>
    <col min="1" max="2" width="8.88671875" style="34"/>
    <col min="3" max="3" width="2.88671875" style="34" customWidth="1"/>
    <col min="4" max="5" width="8.88671875" style="34" hidden="1" customWidth="1"/>
    <col min="6" max="6" width="55.5546875" style="34" customWidth="1"/>
    <col min="7" max="7" width="71.77734375" style="34" customWidth="1"/>
    <col min="8" max="16384" width="8.88671875" style="34"/>
  </cols>
  <sheetData>
    <row r="6" spans="6:7" ht="22.8" x14ac:dyDescent="0.3">
      <c r="F6" s="321" t="s">
        <v>19</v>
      </c>
      <c r="G6" s="321"/>
    </row>
    <row r="7" spans="6:7" ht="24.6" customHeight="1" x14ac:dyDescent="0.3">
      <c r="F7" s="325" t="s">
        <v>33</v>
      </c>
      <c r="G7" s="325"/>
    </row>
    <row r="8" spans="6:7" x14ac:dyDescent="0.3">
      <c r="F8" s="322" t="s">
        <v>157</v>
      </c>
      <c r="G8" s="323">
        <v>1000</v>
      </c>
    </row>
    <row r="9" spans="6:7" ht="42" customHeight="1" x14ac:dyDescent="0.3">
      <c r="F9" s="322"/>
      <c r="G9" s="324"/>
    </row>
    <row r="10" spans="6:7" x14ac:dyDescent="0.3">
      <c r="F10" s="322"/>
      <c r="G10" s="324"/>
    </row>
    <row r="11" spans="6:7" ht="49.2" x14ac:dyDescent="0.3">
      <c r="F11" s="30" t="s">
        <v>158</v>
      </c>
      <c r="G11" s="118">
        <f>ABS(G8*100)/76</f>
        <v>1315.7894736842106</v>
      </c>
    </row>
  </sheetData>
  <sheetProtection algorithmName="SHA-512" hashValue="xwcGGuufTKhXxnLuBL+2UxCJ71WcLRrmRvfHaqa/KmGKT0MQ7COhprB5PJD+DDniKEpesZ6I4eJA1o8uwG/34g==" saltValue="+rwX3sayoOXWUECbK1n+Sw==" spinCount="100000" sheet="1" objects="1" scenarios="1" selectLockedCells="1"/>
  <mergeCells count="4">
    <mergeCell ref="F6:G6"/>
    <mergeCell ref="F8:F10"/>
    <mergeCell ref="G8:G10"/>
    <mergeCell ref="F7:G7"/>
  </mergeCells>
  <pageMargins left="0.511811024" right="0.511811024" top="0.78740157499999996" bottom="0.78740157499999996" header="0.31496062000000002" footer="0.31496062000000002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2"/>
  <dimension ref="B1:E138"/>
  <sheetViews>
    <sheetView zoomScale="85" zoomScaleNormal="85" workbookViewId="0">
      <selection activeCell="D7" sqref="D7"/>
    </sheetView>
  </sheetViews>
  <sheetFormatPr defaultRowHeight="14.4" x14ac:dyDescent="0.3"/>
  <cols>
    <col min="1" max="1" width="0.5546875" style="34" customWidth="1"/>
    <col min="2" max="2" width="8.88671875" style="34" hidden="1" customWidth="1"/>
    <col min="3" max="3" width="109.88671875" style="34" customWidth="1"/>
    <col min="4" max="4" width="79.44140625" style="34" customWidth="1"/>
    <col min="5" max="16384" width="8.88671875" style="34"/>
  </cols>
  <sheetData>
    <row r="1" spans="3:5" ht="9.6" customHeight="1" x14ac:dyDescent="0.3"/>
    <row r="2" spans="3:5" ht="4.2" hidden="1" customHeight="1" x14ac:dyDescent="0.3"/>
    <row r="3" spans="3:5" hidden="1" x14ac:dyDescent="0.3"/>
    <row r="4" spans="3:5" ht="0.6" hidden="1" customHeight="1" x14ac:dyDescent="0.3"/>
    <row r="5" spans="3:5" hidden="1" x14ac:dyDescent="0.3"/>
    <row r="6" spans="3:5" ht="22.8" customHeight="1" x14ac:dyDescent="0.3">
      <c r="C6" s="319" t="s">
        <v>38</v>
      </c>
      <c r="D6" s="320"/>
      <c r="E6" s="320"/>
    </row>
    <row r="7" spans="3:5" ht="24.6" x14ac:dyDescent="0.3">
      <c r="C7" s="32" t="s">
        <v>171</v>
      </c>
      <c r="D7" s="128">
        <v>20000</v>
      </c>
      <c r="E7" s="130" t="s">
        <v>40</v>
      </c>
    </row>
    <row r="8" spans="3:5" ht="24.6" x14ac:dyDescent="0.3">
      <c r="C8" s="32" t="s">
        <v>172</v>
      </c>
      <c r="D8" s="128">
        <v>24000</v>
      </c>
      <c r="E8" s="130" t="s">
        <v>40</v>
      </c>
    </row>
    <row r="9" spans="3:5" ht="24.6" x14ac:dyDescent="0.3">
      <c r="C9" s="32" t="s">
        <v>161</v>
      </c>
      <c r="D9" s="124">
        <v>10.199999999999999</v>
      </c>
      <c r="E9" s="130" t="s">
        <v>53</v>
      </c>
    </row>
    <row r="10" spans="3:5" ht="24.6" x14ac:dyDescent="0.3">
      <c r="C10" s="32" t="s">
        <v>168</v>
      </c>
      <c r="D10" s="124">
        <v>10.8</v>
      </c>
      <c r="E10" s="130" t="s">
        <v>53</v>
      </c>
    </row>
    <row r="11" spans="3:5" ht="24.6" x14ac:dyDescent="0.3">
      <c r="C11" s="32" t="s">
        <v>169</v>
      </c>
      <c r="D11" s="125">
        <f>(((D9*D7/D8)-(D10*D8)/100)*(-1))</f>
        <v>2583.5000000000005</v>
      </c>
      <c r="E11" s="130" t="s">
        <v>40</v>
      </c>
    </row>
    <row r="12" spans="3:5" ht="15" thickBot="1" x14ac:dyDescent="0.35"/>
    <row r="13" spans="3:5" ht="46.2" x14ac:dyDescent="0.85">
      <c r="C13" s="74" t="s">
        <v>69</v>
      </c>
      <c r="D13" s="76">
        <f>D11</f>
        <v>2583.5000000000005</v>
      </c>
    </row>
    <row r="14" spans="3:5" ht="46.8" thickBot="1" x14ac:dyDescent="0.9">
      <c r="C14" s="75" t="s">
        <v>70</v>
      </c>
      <c r="D14" s="131">
        <f>D7+D11</f>
        <v>22583.5</v>
      </c>
    </row>
    <row r="15" spans="3:5" ht="15" customHeight="1" thickBot="1" x14ac:dyDescent="0.9">
      <c r="C15" s="73"/>
      <c r="D15" s="78"/>
    </row>
    <row r="16" spans="3:5" ht="25.2" thickBot="1" x14ac:dyDescent="0.45">
      <c r="C16" s="132" t="s">
        <v>170</v>
      </c>
      <c r="D16" s="123" t="str">
        <f>IF(D14&lt;(D8),"COMPLETAR COM ÁGUA","SOMENTE PUXAR AÇÚCAR")</f>
        <v>COMPLETAR COM ÁGUA</v>
      </c>
    </row>
    <row r="18" spans="3:4" ht="15" thickBot="1" x14ac:dyDescent="0.35"/>
    <row r="19" spans="3:4" ht="25.2" thickBot="1" x14ac:dyDescent="0.45">
      <c r="C19" s="122" t="s">
        <v>167</v>
      </c>
      <c r="D19" s="71" t="str">
        <f>IF(D14&gt;(D8+D8*0.03),"CORRIGIR INSUMOS","NÃO PRECISA CORRIGIR INSUMOS")</f>
        <v>NÃO PRECISA CORRIGIR INSUMOS</v>
      </c>
    </row>
    <row r="20" spans="3:4" ht="40.799999999999997" customHeight="1" x14ac:dyDescent="0.3"/>
    <row r="33" s="34" customFormat="1" x14ac:dyDescent="0.3"/>
    <row r="34" s="34" customFormat="1" x14ac:dyDescent="0.3"/>
    <row r="35" s="34" customFormat="1" x14ac:dyDescent="0.3"/>
    <row r="36" s="34" customFormat="1" x14ac:dyDescent="0.3"/>
    <row r="37" s="34" customFormat="1" x14ac:dyDescent="0.3"/>
    <row r="38" s="34" customFormat="1" x14ac:dyDescent="0.3"/>
    <row r="39" s="34" customFormat="1" x14ac:dyDescent="0.3"/>
    <row r="40" s="34" customFormat="1" x14ac:dyDescent="0.3"/>
    <row r="41" s="34" customFormat="1" x14ac:dyDescent="0.3"/>
    <row r="42" s="34" customFormat="1" x14ac:dyDescent="0.3"/>
    <row r="43" s="34" customFormat="1" x14ac:dyDescent="0.3"/>
    <row r="44" s="34" customFormat="1" x14ac:dyDescent="0.3"/>
    <row r="45" s="34" customFormat="1" x14ac:dyDescent="0.3"/>
    <row r="46" s="34" customFormat="1" x14ac:dyDescent="0.3"/>
    <row r="47" s="34" customFormat="1" x14ac:dyDescent="0.3"/>
    <row r="48" s="34" customFormat="1" x14ac:dyDescent="0.3"/>
    <row r="49" s="34" customFormat="1" x14ac:dyDescent="0.3"/>
    <row r="50" s="34" customFormat="1" x14ac:dyDescent="0.3"/>
    <row r="51" s="34" customFormat="1" x14ac:dyDescent="0.3"/>
    <row r="52" s="34" customFormat="1" x14ac:dyDescent="0.3"/>
    <row r="53" s="34" customFormat="1" x14ac:dyDescent="0.3"/>
    <row r="54" s="34" customFormat="1" x14ac:dyDescent="0.3"/>
    <row r="55" s="34" customFormat="1" x14ac:dyDescent="0.3"/>
    <row r="56" s="34" customFormat="1" x14ac:dyDescent="0.3"/>
    <row r="57" s="34" customFormat="1" x14ac:dyDescent="0.3"/>
    <row r="58" s="34" customFormat="1" x14ac:dyDescent="0.3"/>
    <row r="59" s="34" customFormat="1" x14ac:dyDescent="0.3"/>
    <row r="60" s="34" customFormat="1" x14ac:dyDescent="0.3"/>
    <row r="61" s="34" customFormat="1" x14ac:dyDescent="0.3"/>
    <row r="62" s="34" customFormat="1" x14ac:dyDescent="0.3"/>
    <row r="63" s="34" customFormat="1" x14ac:dyDescent="0.3"/>
    <row r="64" s="34" customFormat="1" x14ac:dyDescent="0.3"/>
    <row r="65" s="34" customFormat="1" x14ac:dyDescent="0.3"/>
    <row r="66" s="34" customFormat="1" x14ac:dyDescent="0.3"/>
    <row r="67" s="34" customFormat="1" x14ac:dyDescent="0.3"/>
    <row r="68" s="34" customFormat="1" x14ac:dyDescent="0.3"/>
    <row r="69" s="34" customFormat="1" x14ac:dyDescent="0.3"/>
    <row r="70" s="34" customFormat="1" x14ac:dyDescent="0.3"/>
    <row r="71" s="34" customFormat="1" x14ac:dyDescent="0.3"/>
    <row r="72" s="34" customFormat="1" x14ac:dyDescent="0.3"/>
    <row r="73" s="34" customFormat="1" x14ac:dyDescent="0.3"/>
    <row r="74" s="34" customFormat="1" x14ac:dyDescent="0.3"/>
    <row r="75" s="34" customFormat="1" x14ac:dyDescent="0.3"/>
    <row r="76" s="34" customFormat="1" x14ac:dyDescent="0.3"/>
    <row r="77" s="34" customFormat="1" x14ac:dyDescent="0.3"/>
    <row r="78" s="34" customFormat="1" x14ac:dyDescent="0.3"/>
    <row r="79" s="34" customFormat="1" x14ac:dyDescent="0.3"/>
    <row r="80" s="34" customFormat="1" x14ac:dyDescent="0.3"/>
    <row r="81" s="34" customFormat="1" x14ac:dyDescent="0.3"/>
    <row r="82" s="34" customFormat="1" x14ac:dyDescent="0.3"/>
    <row r="83" s="34" customFormat="1" x14ac:dyDescent="0.3"/>
    <row r="84" s="34" customFormat="1" x14ac:dyDescent="0.3"/>
    <row r="85" s="34" customFormat="1" x14ac:dyDescent="0.3"/>
    <row r="86" s="34" customFormat="1" x14ac:dyDescent="0.3"/>
    <row r="87" s="34" customFormat="1" x14ac:dyDescent="0.3"/>
    <row r="88" s="34" customFormat="1" x14ac:dyDescent="0.3"/>
    <row r="89" s="34" customFormat="1" x14ac:dyDescent="0.3"/>
    <row r="90" s="34" customFormat="1" x14ac:dyDescent="0.3"/>
    <row r="91" s="34" customFormat="1" x14ac:dyDescent="0.3"/>
    <row r="92" s="34" customFormat="1" x14ac:dyDescent="0.3"/>
    <row r="93" s="34" customFormat="1" x14ac:dyDescent="0.3"/>
    <row r="94" s="34" customFormat="1" x14ac:dyDescent="0.3"/>
    <row r="95" s="34" customFormat="1" x14ac:dyDescent="0.3"/>
    <row r="96" s="34" customFormat="1" x14ac:dyDescent="0.3"/>
    <row r="97" s="34" customFormat="1" x14ac:dyDescent="0.3"/>
    <row r="98" s="34" customFormat="1" x14ac:dyDescent="0.3"/>
    <row r="99" s="34" customFormat="1" x14ac:dyDescent="0.3"/>
    <row r="100" s="34" customFormat="1" x14ac:dyDescent="0.3"/>
    <row r="101" s="34" customFormat="1" x14ac:dyDescent="0.3"/>
    <row r="102" s="34" customFormat="1" x14ac:dyDescent="0.3"/>
    <row r="103" s="34" customFormat="1" x14ac:dyDescent="0.3"/>
    <row r="104" s="34" customFormat="1" x14ac:dyDescent="0.3"/>
    <row r="105" s="34" customFormat="1" x14ac:dyDescent="0.3"/>
    <row r="106" s="34" customFormat="1" x14ac:dyDescent="0.3"/>
    <row r="107" s="34" customFormat="1" x14ac:dyDescent="0.3"/>
    <row r="108" s="34" customFormat="1" x14ac:dyDescent="0.3"/>
    <row r="109" s="34" customFormat="1" x14ac:dyDescent="0.3"/>
    <row r="110" s="34" customFormat="1" x14ac:dyDescent="0.3"/>
    <row r="111" s="34" customFormat="1" x14ac:dyDescent="0.3"/>
    <row r="112" s="34" customFormat="1" x14ac:dyDescent="0.3"/>
    <row r="113" s="34" customFormat="1" x14ac:dyDescent="0.3"/>
    <row r="114" s="34" customFormat="1" x14ac:dyDescent="0.3"/>
    <row r="115" s="34" customFormat="1" x14ac:dyDescent="0.3"/>
    <row r="116" s="34" customFormat="1" x14ac:dyDescent="0.3"/>
    <row r="117" s="34" customFormat="1" x14ac:dyDescent="0.3"/>
    <row r="118" s="34" customFormat="1" x14ac:dyDescent="0.3"/>
    <row r="119" s="34" customFormat="1" x14ac:dyDescent="0.3"/>
    <row r="120" s="34" customFormat="1" x14ac:dyDescent="0.3"/>
    <row r="121" s="34" customFormat="1" x14ac:dyDescent="0.3"/>
    <row r="122" s="34" customFormat="1" x14ac:dyDescent="0.3"/>
    <row r="123" s="34" customFormat="1" x14ac:dyDescent="0.3"/>
    <row r="124" s="34" customFormat="1" x14ac:dyDescent="0.3"/>
    <row r="125" s="34" customFormat="1" x14ac:dyDescent="0.3"/>
    <row r="126" s="34" customFormat="1" x14ac:dyDescent="0.3"/>
    <row r="127" s="34" customFormat="1" x14ac:dyDescent="0.3"/>
    <row r="128" s="34" customFormat="1" x14ac:dyDescent="0.3"/>
    <row r="129" s="34" customFormat="1" x14ac:dyDescent="0.3"/>
    <row r="130" s="34" customFormat="1" x14ac:dyDescent="0.3"/>
    <row r="131" s="34" customFormat="1" x14ac:dyDescent="0.3"/>
    <row r="132" s="34" customFormat="1" x14ac:dyDescent="0.3"/>
    <row r="133" s="34" customFormat="1" x14ac:dyDescent="0.3"/>
    <row r="134" s="34" customFormat="1" x14ac:dyDescent="0.3"/>
    <row r="135" s="34" customFormat="1" x14ac:dyDescent="0.3"/>
    <row r="136" s="34" customFormat="1" x14ac:dyDescent="0.3"/>
    <row r="137" s="34" customFormat="1" x14ac:dyDescent="0.3"/>
    <row r="138" s="34" customFormat="1" x14ac:dyDescent="0.3"/>
  </sheetData>
  <sheetProtection algorithmName="SHA-512" hashValue="JN/QajpRPg/AteH46aJ784N05VeeSMO9dMBuFoy89FH6+WqtpToiN8zKSRWNK0e5YE+hSyD6kuCDIePJiA//Bg==" saltValue="G73fRWRRuzNCLVgobpiLxA==" spinCount="100000" sheet="1" selectLockedCells="1"/>
  <mergeCells count="1">
    <mergeCell ref="C6:E6"/>
  </mergeCells>
  <pageMargins left="0.511811024" right="0.511811024" top="0.78740157499999996" bottom="0.78740157499999996" header="0.31496062000000002" footer="0.31496062000000002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3"/>
  <dimension ref="E4:H9"/>
  <sheetViews>
    <sheetView workbookViewId="0">
      <selection activeCell="H6" sqref="H6:H8"/>
    </sheetView>
  </sheetViews>
  <sheetFormatPr defaultRowHeight="14.4" x14ac:dyDescent="0.3"/>
  <cols>
    <col min="1" max="3" width="8.88671875" style="34"/>
    <col min="4" max="4" width="1.109375" style="34" customWidth="1"/>
    <col min="5" max="6" width="8.88671875" style="34" hidden="1" customWidth="1"/>
    <col min="7" max="7" width="66.5546875" style="34" customWidth="1"/>
    <col min="8" max="8" width="60.44140625" style="34" customWidth="1"/>
    <col min="9" max="16384" width="8.88671875" style="34"/>
  </cols>
  <sheetData>
    <row r="4" spans="7:8" ht="15.6" x14ac:dyDescent="0.3">
      <c r="G4" s="325" t="s">
        <v>33</v>
      </c>
      <c r="H4" s="325"/>
    </row>
    <row r="5" spans="7:8" ht="22.8" x14ac:dyDescent="0.3">
      <c r="G5" s="326" t="s">
        <v>37</v>
      </c>
      <c r="H5" s="326"/>
    </row>
    <row r="6" spans="7:8" x14ac:dyDescent="0.3">
      <c r="G6" s="327" t="s">
        <v>159</v>
      </c>
      <c r="H6" s="324">
        <v>1200</v>
      </c>
    </row>
    <row r="7" spans="7:8" x14ac:dyDescent="0.3">
      <c r="G7" s="327"/>
      <c r="H7" s="324"/>
    </row>
    <row r="8" spans="7:8" ht="54" customHeight="1" x14ac:dyDescent="0.3">
      <c r="G8" s="327"/>
      <c r="H8" s="324"/>
    </row>
    <row r="9" spans="7:8" ht="49.2" x14ac:dyDescent="0.3">
      <c r="G9" s="50" t="s">
        <v>160</v>
      </c>
      <c r="H9" s="31">
        <f>ABS(H6*76)/100</f>
        <v>912</v>
      </c>
    </row>
  </sheetData>
  <sheetProtection algorithmName="SHA-512" hashValue="g8+ocdufLAKC1j6WzF/FSGia0qv/foVLXvWdD7kJ1je6sOOd6qC+vhkjQtujmb8gD3j8nzx1fbbGooakXHuemw==" saltValue="crnFxdGYfovcXWnWWxiMhQ==" spinCount="100000" sheet="1" objects="1" scenarios="1" selectLockedCells="1"/>
  <mergeCells count="4">
    <mergeCell ref="G5:H5"/>
    <mergeCell ref="G6:G8"/>
    <mergeCell ref="H6:H8"/>
    <mergeCell ref="G4:H4"/>
  </mergeCells>
  <pageMargins left="0.511811024" right="0.511811024" top="0.78740157499999996" bottom="0.78740157499999996" header="0.31496062000000002" footer="0.31496062000000002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4"/>
  <dimension ref="A1:Z44"/>
  <sheetViews>
    <sheetView zoomScaleNormal="100" workbookViewId="0">
      <selection activeCell="B5" sqref="B5"/>
    </sheetView>
  </sheetViews>
  <sheetFormatPr defaultColWidth="9.109375" defaultRowHeight="24.6" x14ac:dyDescent="0.4"/>
  <cols>
    <col min="1" max="1" width="71.44140625" style="64" bestFit="1" customWidth="1"/>
    <col min="2" max="2" width="15.5546875" style="69" customWidth="1"/>
    <col min="3" max="5" width="9.109375" style="29"/>
    <col min="6" max="7" width="9.109375" style="64"/>
    <col min="8" max="8" width="13.88671875" style="64" bestFit="1" customWidth="1"/>
    <col min="9" max="10" width="9.109375" style="64"/>
    <col min="11" max="26" width="9.109375" style="29"/>
    <col min="27" max="16384" width="9.109375" style="64"/>
  </cols>
  <sheetData>
    <row r="1" spans="1:26" ht="25.5" customHeight="1" x14ac:dyDescent="0.4">
      <c r="A1" s="329" t="s">
        <v>131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</row>
    <row r="2" spans="1:26" ht="3" customHeight="1" x14ac:dyDescent="0.4">
      <c r="A2" s="329"/>
      <c r="B2" s="330"/>
      <c r="C2" s="330"/>
      <c r="D2" s="330"/>
      <c r="E2" s="330"/>
      <c r="F2" s="330"/>
      <c r="G2" s="330"/>
      <c r="H2" s="330"/>
      <c r="I2" s="330"/>
      <c r="J2" s="330"/>
      <c r="K2" s="330"/>
    </row>
    <row r="3" spans="1:26" x14ac:dyDescent="0.4">
      <c r="A3" s="331" t="s">
        <v>35</v>
      </c>
      <c r="B3" s="332"/>
      <c r="C3" s="332"/>
      <c r="D3" s="332"/>
      <c r="E3" s="332"/>
      <c r="F3" s="332"/>
      <c r="G3" s="332"/>
      <c r="H3" s="332"/>
      <c r="I3" s="332"/>
      <c r="J3" s="332"/>
      <c r="K3" s="332"/>
    </row>
    <row r="4" spans="1:26" ht="13.2" customHeight="1" x14ac:dyDescent="0.4">
      <c r="A4" s="29"/>
      <c r="B4" s="65"/>
      <c r="F4" s="36"/>
      <c r="G4" s="36"/>
      <c r="H4" s="36"/>
      <c r="I4" s="36"/>
      <c r="J4" s="36"/>
      <c r="K4" s="36"/>
    </row>
    <row r="5" spans="1:26" s="67" customFormat="1" ht="24" customHeight="1" x14ac:dyDescent="0.4">
      <c r="A5" s="35" t="s">
        <v>20</v>
      </c>
      <c r="B5" s="108">
        <v>0</v>
      </c>
      <c r="C5" s="66"/>
      <c r="D5" s="328" t="s">
        <v>42</v>
      </c>
      <c r="E5" s="328"/>
      <c r="F5" s="328"/>
      <c r="G5" s="328"/>
      <c r="H5" s="40">
        <f>(B5-B8)/B7</f>
        <v>-7.8301886792452091</v>
      </c>
      <c r="I5" s="36"/>
      <c r="J5" s="36"/>
      <c r="K5" s="3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 spans="1:26" s="67" customFormat="1" ht="24" customHeight="1" x14ac:dyDescent="0.4">
      <c r="A6" s="35" t="s">
        <v>21</v>
      </c>
      <c r="B6" s="108">
        <v>0</v>
      </c>
      <c r="C6" s="66"/>
      <c r="D6" s="328" t="s">
        <v>43</v>
      </c>
      <c r="E6" s="328"/>
      <c r="F6" s="328"/>
      <c r="G6" s="328"/>
      <c r="H6" s="40">
        <f>(B6-B8)/B7</f>
        <v>-7.8301886792452091</v>
      </c>
      <c r="I6" s="36"/>
      <c r="J6" s="36"/>
      <c r="K6" s="3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 spans="1:26" s="67" customFormat="1" ht="24" customHeight="1" x14ac:dyDescent="0.4">
      <c r="A7" s="35" t="s">
        <v>3</v>
      </c>
      <c r="B7" s="38">
        <v>1.06000000000001</v>
      </c>
      <c r="C7" s="66"/>
      <c r="D7" s="66"/>
      <c r="E7" s="66"/>
      <c r="F7" s="36"/>
      <c r="G7" s="36"/>
      <c r="H7" s="36"/>
      <c r="I7" s="36"/>
      <c r="J7" s="36"/>
      <c r="K7" s="3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 spans="1:26" s="67" customFormat="1" ht="24" x14ac:dyDescent="0.4">
      <c r="A8" s="35" t="s">
        <v>129</v>
      </c>
      <c r="B8" s="39">
        <v>8.3000000000000007</v>
      </c>
      <c r="C8" s="66"/>
      <c r="D8" s="66"/>
      <c r="E8" s="66"/>
      <c r="F8" s="37"/>
      <c r="G8" s="37"/>
      <c r="H8" s="37"/>
      <c r="I8" s="37"/>
      <c r="J8" s="37"/>
      <c r="K8" s="37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 spans="1:26" s="67" customFormat="1" ht="17.399999999999999" customHeight="1" x14ac:dyDescent="0.4">
      <c r="A9" s="66"/>
      <c r="B9" s="68"/>
      <c r="C9" s="66"/>
      <c r="D9" s="66"/>
      <c r="E9" s="66"/>
      <c r="F9" s="37"/>
      <c r="G9" s="37"/>
      <c r="H9" s="37"/>
      <c r="I9" s="37"/>
      <c r="J9" s="37"/>
      <c r="K9" s="37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 spans="1:26" s="67" customFormat="1" x14ac:dyDescent="0.4">
      <c r="A10" s="35" t="s">
        <v>20</v>
      </c>
      <c r="B10" s="108">
        <v>0</v>
      </c>
      <c r="C10" s="66"/>
      <c r="D10" s="328" t="s">
        <v>42</v>
      </c>
      <c r="E10" s="328"/>
      <c r="F10" s="328"/>
      <c r="G10" s="328"/>
      <c r="H10" s="109">
        <f>(B10-B13)/B12</f>
        <v>-9.0309690309690307</v>
      </c>
      <c r="I10" s="37"/>
      <c r="J10" s="37"/>
      <c r="K10" s="37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 spans="1:26" s="67" customFormat="1" x14ac:dyDescent="0.4">
      <c r="A11" s="35" t="s">
        <v>21</v>
      </c>
      <c r="B11" s="108">
        <v>0</v>
      </c>
      <c r="C11" s="66"/>
      <c r="D11" s="328" t="s">
        <v>43</v>
      </c>
      <c r="E11" s="328"/>
      <c r="F11" s="328"/>
      <c r="G11" s="328"/>
      <c r="H11" s="109">
        <f>(B11-B13)/B12</f>
        <v>-9.0309690309690307</v>
      </c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</row>
    <row r="12" spans="1:26" s="66" customFormat="1" ht="24" x14ac:dyDescent="0.4">
      <c r="A12" s="35" t="s">
        <v>3</v>
      </c>
      <c r="B12" s="38">
        <v>1.0009999999999999</v>
      </c>
    </row>
    <row r="13" spans="1:26" s="66" customFormat="1" ht="24" x14ac:dyDescent="0.4">
      <c r="A13" s="35" t="s">
        <v>130</v>
      </c>
      <c r="B13" s="39">
        <v>9.0399999999999991</v>
      </c>
    </row>
    <row r="14" spans="1:26" s="66" customFormat="1" ht="19.2" customHeight="1" x14ac:dyDescent="0.4">
      <c r="B14" s="68"/>
    </row>
    <row r="15" spans="1:26" x14ac:dyDescent="0.4">
      <c r="A15" s="29"/>
      <c r="B15" s="65"/>
      <c r="F15" s="29"/>
      <c r="G15" s="29"/>
      <c r="H15" s="29"/>
      <c r="I15" s="29"/>
      <c r="J15" s="29"/>
    </row>
    <row r="16" spans="1:26" x14ac:dyDescent="0.4">
      <c r="A16" s="29"/>
      <c r="B16" s="65"/>
      <c r="F16" s="29"/>
      <c r="G16" s="29"/>
      <c r="H16" s="29"/>
      <c r="I16" s="29"/>
      <c r="J16" s="29"/>
    </row>
    <row r="17" spans="1:10" x14ac:dyDescent="0.4">
      <c r="A17" s="29"/>
      <c r="B17" s="65"/>
      <c r="F17" s="29"/>
      <c r="G17" s="29"/>
      <c r="H17" s="29"/>
      <c r="I17" s="29"/>
      <c r="J17" s="29"/>
    </row>
    <row r="18" spans="1:10" x14ac:dyDescent="0.4">
      <c r="A18" s="29"/>
      <c r="B18" s="65"/>
      <c r="F18" s="29"/>
      <c r="G18" s="29"/>
      <c r="H18" s="29"/>
      <c r="I18" s="29"/>
      <c r="J18" s="29"/>
    </row>
    <row r="19" spans="1:10" x14ac:dyDescent="0.4">
      <c r="A19" s="29"/>
      <c r="B19" s="65"/>
      <c r="F19" s="29"/>
      <c r="G19" s="29"/>
      <c r="H19" s="29"/>
      <c r="I19" s="29"/>
      <c r="J19" s="29"/>
    </row>
    <row r="20" spans="1:10" x14ac:dyDescent="0.4">
      <c r="A20" s="29"/>
      <c r="B20" s="65"/>
      <c r="F20" s="29"/>
      <c r="G20" s="29"/>
      <c r="H20" s="29"/>
      <c r="I20" s="29"/>
      <c r="J20" s="29"/>
    </row>
    <row r="21" spans="1:10" x14ac:dyDescent="0.4">
      <c r="A21" s="29"/>
      <c r="B21" s="65"/>
      <c r="F21" s="29"/>
      <c r="G21" s="29"/>
      <c r="H21" s="29"/>
      <c r="I21" s="29"/>
      <c r="J21" s="29"/>
    </row>
    <row r="22" spans="1:10" x14ac:dyDescent="0.4">
      <c r="A22" s="29"/>
      <c r="B22" s="65"/>
      <c r="F22" s="29"/>
      <c r="G22" s="29"/>
      <c r="H22" s="29"/>
      <c r="I22" s="29"/>
      <c r="J22" s="29"/>
    </row>
    <row r="23" spans="1:10" x14ac:dyDescent="0.4">
      <c r="A23" s="29"/>
      <c r="B23" s="65"/>
      <c r="F23" s="29"/>
      <c r="G23" s="29"/>
      <c r="H23" s="29"/>
      <c r="I23" s="29"/>
      <c r="J23" s="29"/>
    </row>
    <row r="24" spans="1:10" s="29" customFormat="1" x14ac:dyDescent="0.4">
      <c r="B24" s="65"/>
    </row>
    <row r="25" spans="1:10" s="29" customFormat="1" x14ac:dyDescent="0.4">
      <c r="B25" s="65"/>
    </row>
    <row r="26" spans="1:10" s="29" customFormat="1" x14ac:dyDescent="0.4">
      <c r="B26" s="65"/>
    </row>
    <row r="27" spans="1:10" s="29" customFormat="1" x14ac:dyDescent="0.4">
      <c r="B27" s="65"/>
    </row>
    <row r="28" spans="1:10" s="29" customFormat="1" x14ac:dyDescent="0.4">
      <c r="B28" s="65"/>
    </row>
    <row r="29" spans="1:10" s="29" customFormat="1" x14ac:dyDescent="0.4">
      <c r="B29" s="65"/>
    </row>
    <row r="30" spans="1:10" s="29" customFormat="1" x14ac:dyDescent="0.4">
      <c r="B30" s="65"/>
    </row>
    <row r="31" spans="1:10" s="29" customFormat="1" x14ac:dyDescent="0.4">
      <c r="B31" s="65"/>
    </row>
    <row r="32" spans="1:10" s="29" customFormat="1" x14ac:dyDescent="0.4">
      <c r="B32" s="65"/>
    </row>
    <row r="33" spans="2:2" s="29" customFormat="1" x14ac:dyDescent="0.4">
      <c r="B33" s="65"/>
    </row>
    <row r="34" spans="2:2" s="29" customFormat="1" x14ac:dyDescent="0.4">
      <c r="B34" s="65"/>
    </row>
    <row r="35" spans="2:2" s="29" customFormat="1" x14ac:dyDescent="0.4">
      <c r="B35" s="65"/>
    </row>
    <row r="36" spans="2:2" s="29" customFormat="1" x14ac:dyDescent="0.4">
      <c r="B36" s="65"/>
    </row>
    <row r="37" spans="2:2" s="29" customFormat="1" x14ac:dyDescent="0.4">
      <c r="B37" s="65"/>
    </row>
    <row r="38" spans="2:2" s="29" customFormat="1" x14ac:dyDescent="0.4">
      <c r="B38" s="65"/>
    </row>
    <row r="39" spans="2:2" s="29" customFormat="1" x14ac:dyDescent="0.4">
      <c r="B39" s="65"/>
    </row>
    <row r="40" spans="2:2" s="29" customFormat="1" x14ac:dyDescent="0.4">
      <c r="B40" s="65"/>
    </row>
    <row r="41" spans="2:2" s="29" customFormat="1" x14ac:dyDescent="0.4">
      <c r="B41" s="65"/>
    </row>
    <row r="42" spans="2:2" s="29" customFormat="1" x14ac:dyDescent="0.4">
      <c r="B42" s="65"/>
    </row>
    <row r="43" spans="2:2" s="29" customFormat="1" x14ac:dyDescent="0.4">
      <c r="B43" s="65"/>
    </row>
    <row r="44" spans="2:2" s="29" customFormat="1" x14ac:dyDescent="0.4">
      <c r="B44" s="65"/>
    </row>
  </sheetData>
  <sheetProtection algorithmName="SHA-512" hashValue="H7EL6pnHxV0INr9wQZXpwy77MC8halXL9iQHheVrNnP198YS8hyhs3r1qJ7/qazJct8KWNx2nSTPn8trrjEyEA==" saltValue="B980Rqco3FEyelhLqtTz5w==" spinCount="100000" sheet="1" objects="1" scenarios="1" selectLockedCells="1"/>
  <mergeCells count="6">
    <mergeCell ref="D11:G11"/>
    <mergeCell ref="A1:K2"/>
    <mergeCell ref="A3:K3"/>
    <mergeCell ref="D5:G5"/>
    <mergeCell ref="D6:G6"/>
    <mergeCell ref="D10:G10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1500-000000000000}">
          <x14:formula1>
            <xm:f>DADOS!$G$1:$G$61</xm:f>
          </x14:formula1>
          <xm:sqref>B7 B12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42049-BD26-4436-B788-D44F540E80DD}">
  <sheetPr codeName="Planilha25"/>
  <dimension ref="A1:AT544"/>
  <sheetViews>
    <sheetView workbookViewId="0">
      <selection sqref="A1:K2"/>
    </sheetView>
  </sheetViews>
  <sheetFormatPr defaultRowHeight="14.4" x14ac:dyDescent="0.3"/>
  <cols>
    <col min="1" max="1" width="62.88671875" customWidth="1"/>
    <col min="2" max="2" width="18.21875" customWidth="1"/>
    <col min="3" max="3" width="8.77734375" customWidth="1"/>
    <col min="4" max="4" width="1.33203125" customWidth="1"/>
    <col min="5" max="5" width="17.33203125" customWidth="1"/>
    <col min="6" max="6" width="5.88671875" customWidth="1"/>
    <col min="7" max="7" width="9.6640625" customWidth="1"/>
    <col min="8" max="8" width="11.6640625" bestFit="1" customWidth="1"/>
    <col min="9" max="9" width="9.88671875" customWidth="1"/>
    <col min="10" max="10" width="6.88671875" customWidth="1"/>
    <col min="11" max="11" width="22.109375" customWidth="1"/>
    <col min="12" max="40" width="8.88671875" style="34"/>
  </cols>
  <sheetData>
    <row r="1" spans="1:46" x14ac:dyDescent="0.3">
      <c r="A1" s="329" t="s">
        <v>132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</row>
    <row r="2" spans="1:46" x14ac:dyDescent="0.3">
      <c r="A2" s="329"/>
      <c r="B2" s="330"/>
      <c r="C2" s="330"/>
      <c r="D2" s="330"/>
      <c r="E2" s="330"/>
      <c r="F2" s="330"/>
      <c r="G2" s="330"/>
      <c r="H2" s="330"/>
      <c r="I2" s="330"/>
      <c r="J2" s="330"/>
      <c r="K2" s="330"/>
    </row>
    <row r="3" spans="1:46" ht="21" x14ac:dyDescent="0.4">
      <c r="A3" s="331" t="s">
        <v>35</v>
      </c>
      <c r="B3" s="332"/>
      <c r="C3" s="332"/>
      <c r="D3" s="332"/>
      <c r="E3" s="332"/>
      <c r="F3" s="332"/>
      <c r="G3" s="332"/>
      <c r="H3" s="332"/>
      <c r="I3" s="332"/>
      <c r="J3" s="332"/>
      <c r="K3" s="332"/>
    </row>
    <row r="4" spans="1:46" s="34" customFormat="1" x14ac:dyDescent="0.3"/>
    <row r="5" spans="1:46" s="67" customFormat="1" ht="24.6" x14ac:dyDescent="0.4">
      <c r="A5" s="35" t="s">
        <v>20</v>
      </c>
      <c r="B5" s="108">
        <v>0</v>
      </c>
      <c r="C5" s="66"/>
      <c r="D5" s="328" t="s">
        <v>42</v>
      </c>
      <c r="E5" s="328"/>
      <c r="F5" s="328"/>
      <c r="G5" s="328"/>
      <c r="H5" s="109">
        <f>(B5-B8)/B7</f>
        <v>-31.744765702891328</v>
      </c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</row>
    <row r="6" spans="1:46" s="67" customFormat="1" ht="24.6" x14ac:dyDescent="0.4">
      <c r="A6" s="35" t="s">
        <v>21</v>
      </c>
      <c r="B6" s="108">
        <v>0</v>
      </c>
      <c r="C6" s="66"/>
      <c r="D6" s="328" t="s">
        <v>43</v>
      </c>
      <c r="E6" s="328"/>
      <c r="F6" s="328"/>
      <c r="G6" s="328"/>
      <c r="H6" s="109">
        <f>(B6-B8)/B7</f>
        <v>-31.744765702891328</v>
      </c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</row>
    <row r="7" spans="1:46" s="66" customFormat="1" ht="24" x14ac:dyDescent="0.4">
      <c r="A7" s="35" t="s">
        <v>3</v>
      </c>
      <c r="B7" s="38">
        <v>1.0029999999999999</v>
      </c>
      <c r="H7" s="110"/>
    </row>
    <row r="8" spans="1:46" s="66" customFormat="1" ht="24" x14ac:dyDescent="0.4">
      <c r="A8" s="35" t="s">
        <v>133</v>
      </c>
      <c r="B8" s="39">
        <v>31.84</v>
      </c>
      <c r="H8" s="110"/>
    </row>
    <row r="9" spans="1:46" s="66" customFormat="1" ht="17.399999999999999" customHeight="1" x14ac:dyDescent="0.4">
      <c r="B9" s="68"/>
      <c r="H9" s="110"/>
    </row>
    <row r="10" spans="1:46" s="66" customFormat="1" ht="24.6" x14ac:dyDescent="0.4">
      <c r="A10" s="35" t="s">
        <v>20</v>
      </c>
      <c r="B10" s="108">
        <v>0</v>
      </c>
      <c r="D10" s="328" t="s">
        <v>42</v>
      </c>
      <c r="E10" s="328"/>
      <c r="F10" s="328"/>
      <c r="G10" s="328"/>
      <c r="H10" s="109">
        <f>(B10-B13)/B12</f>
        <v>-34.376784015223272</v>
      </c>
    </row>
    <row r="11" spans="1:46" s="66" customFormat="1" ht="24.6" x14ac:dyDescent="0.4">
      <c r="A11" s="35" t="s">
        <v>21</v>
      </c>
      <c r="B11" s="108">
        <v>0</v>
      </c>
      <c r="D11" s="328" t="s">
        <v>43</v>
      </c>
      <c r="E11" s="328"/>
      <c r="F11" s="328"/>
      <c r="G11" s="328"/>
      <c r="H11" s="109">
        <f>(B11-B13)/B12</f>
        <v>-34.376784015223272</v>
      </c>
    </row>
    <row r="12" spans="1:46" s="66" customFormat="1" ht="24" x14ac:dyDescent="0.4">
      <c r="A12" s="35" t="s">
        <v>3</v>
      </c>
      <c r="B12" s="38">
        <v>1.0510000000000099</v>
      </c>
    </row>
    <row r="13" spans="1:46" s="66" customFormat="1" ht="24" x14ac:dyDescent="0.4">
      <c r="A13" s="35" t="s">
        <v>134</v>
      </c>
      <c r="B13" s="39">
        <v>36.130000000000003</v>
      </c>
    </row>
    <row r="14" spans="1:46" x14ac:dyDescent="0.3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AO14" s="34"/>
      <c r="AP14" s="34"/>
      <c r="AQ14" s="34"/>
      <c r="AR14" s="34"/>
      <c r="AS14" s="34"/>
      <c r="AT14" s="34"/>
    </row>
    <row r="15" spans="1:46" x14ac:dyDescent="0.3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AO15" s="34"/>
      <c r="AP15" s="34"/>
      <c r="AQ15" s="34"/>
      <c r="AR15" s="34"/>
      <c r="AS15" s="34"/>
      <c r="AT15" s="34"/>
    </row>
    <row r="16" spans="1:46" x14ac:dyDescent="0.3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AO16" s="34"/>
      <c r="AP16" s="34"/>
      <c r="AQ16" s="34"/>
      <c r="AR16" s="34"/>
      <c r="AS16" s="34"/>
      <c r="AT16" s="34"/>
    </row>
    <row r="17" spans="1:46" x14ac:dyDescent="0.3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AO17" s="34"/>
      <c r="AP17" s="34"/>
      <c r="AQ17" s="34"/>
      <c r="AR17" s="34"/>
      <c r="AS17" s="34"/>
      <c r="AT17" s="34"/>
    </row>
    <row r="18" spans="1:46" x14ac:dyDescent="0.3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AO18" s="34"/>
      <c r="AP18" s="34"/>
      <c r="AQ18" s="34"/>
      <c r="AR18" s="34"/>
      <c r="AS18" s="34"/>
      <c r="AT18" s="34"/>
    </row>
    <row r="19" spans="1:46" x14ac:dyDescent="0.3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AO19" s="34"/>
      <c r="AP19" s="34"/>
      <c r="AQ19" s="34"/>
      <c r="AR19" s="34"/>
      <c r="AS19" s="34"/>
      <c r="AT19" s="34"/>
    </row>
    <row r="20" spans="1:46" x14ac:dyDescent="0.3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AO20" s="34"/>
      <c r="AP20" s="34"/>
      <c r="AQ20" s="34"/>
      <c r="AR20" s="34"/>
      <c r="AS20" s="34"/>
      <c r="AT20" s="34"/>
    </row>
    <row r="21" spans="1:46" x14ac:dyDescent="0.3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AO21" s="34"/>
      <c r="AP21" s="34"/>
      <c r="AQ21" s="34"/>
      <c r="AR21" s="34"/>
      <c r="AS21" s="34"/>
      <c r="AT21" s="34"/>
    </row>
    <row r="22" spans="1:46" x14ac:dyDescent="0.3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AO22" s="34"/>
      <c r="AP22" s="34"/>
      <c r="AQ22" s="34"/>
      <c r="AR22" s="34"/>
      <c r="AS22" s="34"/>
      <c r="AT22" s="34"/>
    </row>
    <row r="23" spans="1:46" x14ac:dyDescent="0.3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AO23" s="34"/>
      <c r="AP23" s="34"/>
      <c r="AQ23" s="34"/>
      <c r="AR23" s="34"/>
      <c r="AS23" s="34"/>
      <c r="AT23" s="34"/>
    </row>
    <row r="24" spans="1:46" x14ac:dyDescent="0.3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AO24" s="34"/>
      <c r="AP24" s="34"/>
      <c r="AQ24" s="34"/>
      <c r="AR24" s="34"/>
      <c r="AS24" s="34"/>
      <c r="AT24" s="34"/>
    </row>
    <row r="25" spans="1:46" x14ac:dyDescent="0.3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AO25" s="34"/>
      <c r="AP25" s="34"/>
      <c r="AQ25" s="34"/>
      <c r="AR25" s="34"/>
      <c r="AS25" s="34"/>
      <c r="AT25" s="34"/>
    </row>
    <row r="26" spans="1:46" x14ac:dyDescent="0.3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AO26" s="34"/>
      <c r="AP26" s="34"/>
      <c r="AQ26" s="34"/>
      <c r="AR26" s="34"/>
      <c r="AS26" s="34"/>
      <c r="AT26" s="34"/>
    </row>
    <row r="27" spans="1:46" x14ac:dyDescent="0.3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AO27" s="34"/>
      <c r="AP27" s="34"/>
      <c r="AQ27" s="34"/>
      <c r="AR27" s="34"/>
      <c r="AS27" s="34"/>
      <c r="AT27" s="34"/>
    </row>
    <row r="28" spans="1:46" x14ac:dyDescent="0.3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AO28" s="34"/>
      <c r="AP28" s="34"/>
      <c r="AQ28" s="34"/>
      <c r="AR28" s="34"/>
      <c r="AS28" s="34"/>
      <c r="AT28" s="34"/>
    </row>
    <row r="29" spans="1:46" x14ac:dyDescent="0.3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AO29" s="34"/>
      <c r="AP29" s="34"/>
      <c r="AQ29" s="34"/>
      <c r="AR29" s="34"/>
      <c r="AS29" s="34"/>
      <c r="AT29" s="34"/>
    </row>
    <row r="30" spans="1:46" x14ac:dyDescent="0.3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AO30" s="34"/>
      <c r="AP30" s="34"/>
      <c r="AQ30" s="34"/>
      <c r="AR30" s="34"/>
      <c r="AS30" s="34"/>
      <c r="AT30" s="34"/>
    </row>
    <row r="31" spans="1:46" x14ac:dyDescent="0.3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AO31" s="34"/>
      <c r="AP31" s="34"/>
      <c r="AQ31" s="34"/>
      <c r="AR31" s="34"/>
      <c r="AS31" s="34"/>
      <c r="AT31" s="34"/>
    </row>
    <row r="32" spans="1:46" x14ac:dyDescent="0.3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AO32" s="34"/>
      <c r="AP32" s="34"/>
      <c r="AQ32" s="34"/>
      <c r="AR32" s="34"/>
      <c r="AS32" s="34"/>
      <c r="AT32" s="34"/>
    </row>
    <row r="33" spans="1:46" x14ac:dyDescent="0.3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AO33" s="34"/>
      <c r="AP33" s="34"/>
      <c r="AQ33" s="34"/>
      <c r="AR33" s="34"/>
      <c r="AS33" s="34"/>
      <c r="AT33" s="34"/>
    </row>
    <row r="34" spans="1:46" x14ac:dyDescent="0.3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AO34" s="34"/>
      <c r="AP34" s="34"/>
      <c r="AQ34" s="34"/>
      <c r="AR34" s="34"/>
      <c r="AS34" s="34"/>
      <c r="AT34" s="34"/>
    </row>
    <row r="35" spans="1:46" x14ac:dyDescent="0.3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AO35" s="34"/>
      <c r="AP35" s="34"/>
      <c r="AQ35" s="34"/>
      <c r="AR35" s="34"/>
      <c r="AS35" s="34"/>
      <c r="AT35" s="34"/>
    </row>
    <row r="36" spans="1:46" x14ac:dyDescent="0.3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AO36" s="34"/>
      <c r="AP36" s="34"/>
      <c r="AQ36" s="34"/>
      <c r="AR36" s="34"/>
      <c r="AS36" s="34"/>
      <c r="AT36" s="34"/>
    </row>
    <row r="37" spans="1:46" x14ac:dyDescent="0.3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AO37" s="34"/>
      <c r="AP37" s="34"/>
      <c r="AQ37" s="34"/>
      <c r="AR37" s="34"/>
      <c r="AS37" s="34"/>
      <c r="AT37" s="34"/>
    </row>
    <row r="38" spans="1:46" x14ac:dyDescent="0.3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AO38" s="34"/>
      <c r="AP38" s="34"/>
      <c r="AQ38" s="34"/>
      <c r="AR38" s="34"/>
      <c r="AS38" s="34"/>
      <c r="AT38" s="34"/>
    </row>
    <row r="39" spans="1:46" x14ac:dyDescent="0.3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AO39" s="34"/>
      <c r="AP39" s="34"/>
      <c r="AQ39" s="34"/>
      <c r="AR39" s="34"/>
      <c r="AS39" s="34"/>
      <c r="AT39" s="34"/>
    </row>
    <row r="40" spans="1:46" x14ac:dyDescent="0.3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AO40" s="34"/>
      <c r="AP40" s="34"/>
      <c r="AQ40" s="34"/>
      <c r="AR40" s="34"/>
      <c r="AS40" s="34"/>
      <c r="AT40" s="34"/>
    </row>
    <row r="41" spans="1:46" x14ac:dyDescent="0.3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AO41" s="34"/>
      <c r="AP41" s="34"/>
      <c r="AQ41" s="34"/>
      <c r="AR41" s="34"/>
      <c r="AS41" s="34"/>
      <c r="AT41" s="34"/>
    </row>
    <row r="42" spans="1:46" x14ac:dyDescent="0.3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AO42" s="34"/>
      <c r="AP42" s="34"/>
      <c r="AQ42" s="34"/>
      <c r="AR42" s="34"/>
      <c r="AS42" s="34"/>
      <c r="AT42" s="34"/>
    </row>
    <row r="43" spans="1:46" x14ac:dyDescent="0.3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AO43" s="34"/>
      <c r="AP43" s="34"/>
      <c r="AQ43" s="34"/>
      <c r="AR43" s="34"/>
      <c r="AS43" s="34"/>
      <c r="AT43" s="34"/>
    </row>
    <row r="44" spans="1:46" x14ac:dyDescent="0.3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AO44" s="34"/>
      <c r="AP44" s="34"/>
      <c r="AQ44" s="34"/>
      <c r="AR44" s="34"/>
      <c r="AS44" s="34"/>
      <c r="AT44" s="34"/>
    </row>
    <row r="45" spans="1:46" x14ac:dyDescent="0.3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AO45" s="34"/>
      <c r="AP45" s="34"/>
      <c r="AQ45" s="34"/>
      <c r="AR45" s="34"/>
      <c r="AS45" s="34"/>
      <c r="AT45" s="34"/>
    </row>
    <row r="46" spans="1:46" x14ac:dyDescent="0.3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AO46" s="34"/>
      <c r="AP46" s="34"/>
      <c r="AQ46" s="34"/>
      <c r="AR46" s="34"/>
      <c r="AS46" s="34"/>
      <c r="AT46" s="34"/>
    </row>
    <row r="47" spans="1:46" x14ac:dyDescent="0.3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AO47" s="34"/>
      <c r="AP47" s="34"/>
      <c r="AQ47" s="34"/>
      <c r="AR47" s="34"/>
      <c r="AS47" s="34"/>
      <c r="AT47" s="34"/>
    </row>
    <row r="48" spans="1:46" x14ac:dyDescent="0.3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AO48" s="34"/>
      <c r="AP48" s="34"/>
      <c r="AQ48" s="34"/>
      <c r="AR48" s="34"/>
      <c r="AS48" s="34"/>
      <c r="AT48" s="34"/>
    </row>
    <row r="49" spans="1:46" x14ac:dyDescent="0.3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AO49" s="34"/>
      <c r="AP49" s="34"/>
      <c r="AQ49" s="34"/>
      <c r="AR49" s="34"/>
      <c r="AS49" s="34"/>
      <c r="AT49" s="34"/>
    </row>
    <row r="50" spans="1:46" x14ac:dyDescent="0.3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AO50" s="34"/>
      <c r="AP50" s="34"/>
      <c r="AQ50" s="34"/>
      <c r="AR50" s="34"/>
      <c r="AS50" s="34"/>
      <c r="AT50" s="34"/>
    </row>
    <row r="51" spans="1:46" x14ac:dyDescent="0.3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AO51" s="34"/>
      <c r="AP51" s="34"/>
      <c r="AQ51" s="34"/>
      <c r="AR51" s="34"/>
      <c r="AS51" s="34"/>
      <c r="AT51" s="34"/>
    </row>
    <row r="52" spans="1:46" x14ac:dyDescent="0.3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AO52" s="34"/>
      <c r="AP52" s="34"/>
      <c r="AQ52" s="34"/>
      <c r="AR52" s="34"/>
      <c r="AS52" s="34"/>
      <c r="AT52" s="34"/>
    </row>
    <row r="53" spans="1:46" x14ac:dyDescent="0.3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AO53" s="34"/>
      <c r="AP53" s="34"/>
      <c r="AQ53" s="34"/>
      <c r="AR53" s="34"/>
      <c r="AS53" s="34"/>
      <c r="AT53" s="34"/>
    </row>
    <row r="54" spans="1:46" x14ac:dyDescent="0.3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AO54" s="34"/>
      <c r="AP54" s="34"/>
      <c r="AQ54" s="34"/>
      <c r="AR54" s="34"/>
      <c r="AS54" s="34"/>
      <c r="AT54" s="34"/>
    </row>
    <row r="55" spans="1:46" x14ac:dyDescent="0.3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AO55" s="34"/>
      <c r="AP55" s="34"/>
      <c r="AQ55" s="34"/>
      <c r="AR55" s="34"/>
      <c r="AS55" s="34"/>
      <c r="AT55" s="34"/>
    </row>
    <row r="56" spans="1:46" x14ac:dyDescent="0.3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AO56" s="34"/>
      <c r="AP56" s="34"/>
      <c r="AQ56" s="34"/>
      <c r="AR56" s="34"/>
      <c r="AS56" s="34"/>
      <c r="AT56" s="34"/>
    </row>
    <row r="57" spans="1:46" x14ac:dyDescent="0.3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AO57" s="34"/>
      <c r="AP57" s="34"/>
      <c r="AQ57" s="34"/>
      <c r="AR57" s="34"/>
      <c r="AS57" s="34"/>
      <c r="AT57" s="34"/>
    </row>
    <row r="58" spans="1:46" x14ac:dyDescent="0.3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AO58" s="34"/>
      <c r="AP58" s="34"/>
      <c r="AQ58" s="34"/>
      <c r="AR58" s="34"/>
      <c r="AS58" s="34"/>
      <c r="AT58" s="34"/>
    </row>
    <row r="59" spans="1:46" x14ac:dyDescent="0.3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AO59" s="34"/>
      <c r="AP59" s="34"/>
      <c r="AQ59" s="34"/>
      <c r="AR59" s="34"/>
      <c r="AS59" s="34"/>
      <c r="AT59" s="34"/>
    </row>
    <row r="60" spans="1:46" x14ac:dyDescent="0.3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AO60" s="34"/>
      <c r="AP60" s="34"/>
      <c r="AQ60" s="34"/>
      <c r="AR60" s="34"/>
      <c r="AS60" s="34"/>
      <c r="AT60" s="34"/>
    </row>
    <row r="61" spans="1:46" x14ac:dyDescent="0.3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AO61" s="34"/>
      <c r="AP61" s="34"/>
      <c r="AQ61" s="34"/>
      <c r="AR61" s="34"/>
      <c r="AS61" s="34"/>
      <c r="AT61" s="34"/>
    </row>
    <row r="62" spans="1:46" x14ac:dyDescent="0.3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AO62" s="34"/>
      <c r="AP62" s="34"/>
      <c r="AQ62" s="34"/>
      <c r="AR62" s="34"/>
      <c r="AS62" s="34"/>
      <c r="AT62" s="34"/>
    </row>
    <row r="63" spans="1:46" x14ac:dyDescent="0.3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AO63" s="34"/>
      <c r="AP63" s="34"/>
      <c r="AQ63" s="34"/>
      <c r="AR63" s="34"/>
      <c r="AS63" s="34"/>
      <c r="AT63" s="34"/>
    </row>
    <row r="64" spans="1:46" x14ac:dyDescent="0.3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AO64" s="34"/>
      <c r="AP64" s="34"/>
      <c r="AQ64" s="34"/>
      <c r="AR64" s="34"/>
      <c r="AS64" s="34"/>
      <c r="AT64" s="34"/>
    </row>
    <row r="65" spans="1:46" x14ac:dyDescent="0.3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AO65" s="34"/>
      <c r="AP65" s="34"/>
      <c r="AQ65" s="34"/>
      <c r="AR65" s="34"/>
      <c r="AS65" s="34"/>
      <c r="AT65" s="34"/>
    </row>
    <row r="66" spans="1:46" x14ac:dyDescent="0.3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AO66" s="34"/>
      <c r="AP66" s="34"/>
      <c r="AQ66" s="34"/>
      <c r="AR66" s="34"/>
      <c r="AS66" s="34"/>
      <c r="AT66" s="34"/>
    </row>
    <row r="67" spans="1:46" x14ac:dyDescent="0.3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AO67" s="34"/>
      <c r="AP67" s="34"/>
      <c r="AQ67" s="34"/>
      <c r="AR67" s="34"/>
      <c r="AS67" s="34"/>
      <c r="AT67" s="34"/>
    </row>
    <row r="68" spans="1:46" x14ac:dyDescent="0.3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AO68" s="34"/>
      <c r="AP68" s="34"/>
      <c r="AQ68" s="34"/>
      <c r="AR68" s="34"/>
      <c r="AS68" s="34"/>
      <c r="AT68" s="34"/>
    </row>
    <row r="69" spans="1:46" x14ac:dyDescent="0.3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AO69" s="34"/>
      <c r="AP69" s="34"/>
      <c r="AQ69" s="34"/>
      <c r="AR69" s="34"/>
      <c r="AS69" s="34"/>
      <c r="AT69" s="34"/>
    </row>
    <row r="70" spans="1:46" x14ac:dyDescent="0.3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AO70" s="34"/>
      <c r="AP70" s="34"/>
      <c r="AQ70" s="34"/>
      <c r="AR70" s="34"/>
      <c r="AS70" s="34"/>
      <c r="AT70" s="34"/>
    </row>
    <row r="71" spans="1:46" x14ac:dyDescent="0.3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AO71" s="34"/>
      <c r="AP71" s="34"/>
      <c r="AQ71" s="34"/>
      <c r="AR71" s="34"/>
      <c r="AS71" s="34"/>
      <c r="AT71" s="34"/>
    </row>
    <row r="72" spans="1:46" x14ac:dyDescent="0.3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AO72" s="34"/>
      <c r="AP72" s="34"/>
      <c r="AQ72" s="34"/>
      <c r="AR72" s="34"/>
      <c r="AS72" s="34"/>
      <c r="AT72" s="34"/>
    </row>
    <row r="73" spans="1:46" x14ac:dyDescent="0.3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AO73" s="34"/>
      <c r="AP73" s="34"/>
      <c r="AQ73" s="34"/>
      <c r="AR73" s="34"/>
      <c r="AS73" s="34"/>
      <c r="AT73" s="34"/>
    </row>
    <row r="74" spans="1:46" x14ac:dyDescent="0.3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AO74" s="34"/>
      <c r="AP74" s="34"/>
      <c r="AQ74" s="34"/>
      <c r="AR74" s="34"/>
      <c r="AS74" s="34"/>
      <c r="AT74" s="34"/>
    </row>
    <row r="75" spans="1:46" x14ac:dyDescent="0.3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AO75" s="34"/>
      <c r="AP75" s="34"/>
      <c r="AQ75" s="34"/>
      <c r="AR75" s="34"/>
      <c r="AS75" s="34"/>
      <c r="AT75" s="34"/>
    </row>
    <row r="76" spans="1:46" x14ac:dyDescent="0.3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AO76" s="34"/>
      <c r="AP76" s="34"/>
      <c r="AQ76" s="34"/>
      <c r="AR76" s="34"/>
      <c r="AS76" s="34"/>
      <c r="AT76" s="34"/>
    </row>
    <row r="77" spans="1:46" x14ac:dyDescent="0.3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AO77" s="34"/>
      <c r="AP77" s="34"/>
      <c r="AQ77" s="34"/>
      <c r="AR77" s="34"/>
      <c r="AS77" s="34"/>
      <c r="AT77" s="34"/>
    </row>
    <row r="78" spans="1:46" x14ac:dyDescent="0.3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AO78" s="34"/>
      <c r="AP78" s="34"/>
      <c r="AQ78" s="34"/>
      <c r="AR78" s="34"/>
      <c r="AS78" s="34"/>
      <c r="AT78" s="34"/>
    </row>
    <row r="79" spans="1:46" x14ac:dyDescent="0.3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AO79" s="34"/>
      <c r="AP79" s="34"/>
      <c r="AQ79" s="34"/>
      <c r="AR79" s="34"/>
      <c r="AS79" s="34"/>
      <c r="AT79" s="34"/>
    </row>
    <row r="80" spans="1:46" x14ac:dyDescent="0.3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AO80" s="34"/>
      <c r="AP80" s="34"/>
      <c r="AQ80" s="34"/>
      <c r="AR80" s="34"/>
      <c r="AS80" s="34"/>
      <c r="AT80" s="34"/>
    </row>
    <row r="81" spans="1:46" x14ac:dyDescent="0.3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AO81" s="34"/>
      <c r="AP81" s="34"/>
      <c r="AQ81" s="34"/>
      <c r="AR81" s="34"/>
      <c r="AS81" s="34"/>
      <c r="AT81" s="34"/>
    </row>
    <row r="82" spans="1:46" x14ac:dyDescent="0.3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AO82" s="34"/>
      <c r="AP82" s="34"/>
      <c r="AQ82" s="34"/>
      <c r="AR82" s="34"/>
      <c r="AS82" s="34"/>
      <c r="AT82" s="34"/>
    </row>
    <row r="83" spans="1:46" x14ac:dyDescent="0.3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AO83" s="34"/>
      <c r="AP83" s="34"/>
      <c r="AQ83" s="34"/>
      <c r="AR83" s="34"/>
      <c r="AS83" s="34"/>
      <c r="AT83" s="34"/>
    </row>
    <row r="84" spans="1:46" x14ac:dyDescent="0.3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AO84" s="34"/>
      <c r="AP84" s="34"/>
      <c r="AQ84" s="34"/>
      <c r="AR84" s="34"/>
      <c r="AS84" s="34"/>
      <c r="AT84" s="34"/>
    </row>
    <row r="85" spans="1:46" x14ac:dyDescent="0.3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AO85" s="34"/>
      <c r="AP85" s="34"/>
      <c r="AQ85" s="34"/>
      <c r="AR85" s="34"/>
      <c r="AS85" s="34"/>
      <c r="AT85" s="34"/>
    </row>
    <row r="86" spans="1:46" x14ac:dyDescent="0.3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AO86" s="34"/>
      <c r="AP86" s="34"/>
      <c r="AQ86" s="34"/>
      <c r="AR86" s="34"/>
      <c r="AS86" s="34"/>
      <c r="AT86" s="34"/>
    </row>
    <row r="87" spans="1:46" x14ac:dyDescent="0.3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AO87" s="34"/>
      <c r="AP87" s="34"/>
      <c r="AQ87" s="34"/>
      <c r="AR87" s="34"/>
      <c r="AS87" s="34"/>
      <c r="AT87" s="34"/>
    </row>
    <row r="88" spans="1:46" x14ac:dyDescent="0.3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AO88" s="34"/>
      <c r="AP88" s="34"/>
      <c r="AQ88" s="34"/>
      <c r="AR88" s="34"/>
      <c r="AS88" s="34"/>
      <c r="AT88" s="34"/>
    </row>
    <row r="89" spans="1:46" x14ac:dyDescent="0.3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AO89" s="34"/>
      <c r="AP89" s="34"/>
      <c r="AQ89" s="34"/>
      <c r="AR89" s="34"/>
      <c r="AS89" s="34"/>
      <c r="AT89" s="34"/>
    </row>
    <row r="90" spans="1:46" x14ac:dyDescent="0.3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AO90" s="34"/>
      <c r="AP90" s="34"/>
      <c r="AQ90" s="34"/>
      <c r="AR90" s="34"/>
      <c r="AS90" s="34"/>
      <c r="AT90" s="34"/>
    </row>
    <row r="91" spans="1:46" x14ac:dyDescent="0.3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AO91" s="34"/>
      <c r="AP91" s="34"/>
      <c r="AQ91" s="34"/>
      <c r="AR91" s="34"/>
      <c r="AS91" s="34"/>
      <c r="AT91" s="34"/>
    </row>
    <row r="92" spans="1:46" x14ac:dyDescent="0.3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AO92" s="34"/>
      <c r="AP92" s="34"/>
      <c r="AQ92" s="34"/>
      <c r="AR92" s="34"/>
      <c r="AS92" s="34"/>
      <c r="AT92" s="34"/>
    </row>
    <row r="93" spans="1:46" x14ac:dyDescent="0.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AO93" s="34"/>
      <c r="AP93" s="34"/>
      <c r="AQ93" s="34"/>
      <c r="AR93" s="34"/>
      <c r="AS93" s="34"/>
      <c r="AT93" s="34"/>
    </row>
    <row r="94" spans="1:46" x14ac:dyDescent="0.3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AO94" s="34"/>
      <c r="AP94" s="34"/>
      <c r="AQ94" s="34"/>
      <c r="AR94" s="34"/>
      <c r="AS94" s="34"/>
      <c r="AT94" s="34"/>
    </row>
    <row r="95" spans="1:46" x14ac:dyDescent="0.3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AO95" s="34"/>
      <c r="AP95" s="34"/>
      <c r="AQ95" s="34"/>
      <c r="AR95" s="34"/>
      <c r="AS95" s="34"/>
      <c r="AT95" s="34"/>
    </row>
    <row r="96" spans="1:46" x14ac:dyDescent="0.3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AO96" s="34"/>
      <c r="AP96" s="34"/>
      <c r="AQ96" s="34"/>
      <c r="AR96" s="34"/>
      <c r="AS96" s="34"/>
      <c r="AT96" s="34"/>
    </row>
    <row r="97" spans="1:46" x14ac:dyDescent="0.3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AO97" s="34"/>
      <c r="AP97" s="34"/>
      <c r="AQ97" s="34"/>
      <c r="AR97" s="34"/>
      <c r="AS97" s="34"/>
      <c r="AT97" s="34"/>
    </row>
    <row r="98" spans="1:46" x14ac:dyDescent="0.3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AO98" s="34"/>
      <c r="AP98" s="34"/>
      <c r="AQ98" s="34"/>
      <c r="AR98" s="34"/>
      <c r="AS98" s="34"/>
      <c r="AT98" s="34"/>
    </row>
    <row r="99" spans="1:46" x14ac:dyDescent="0.3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AO99" s="34"/>
      <c r="AP99" s="34"/>
      <c r="AQ99" s="34"/>
      <c r="AR99" s="34"/>
      <c r="AS99" s="34"/>
      <c r="AT99" s="34"/>
    </row>
    <row r="100" spans="1:46" x14ac:dyDescent="0.3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AO100" s="34"/>
      <c r="AP100" s="34"/>
      <c r="AQ100" s="34"/>
      <c r="AR100" s="34"/>
      <c r="AS100" s="34"/>
      <c r="AT100" s="34"/>
    </row>
    <row r="101" spans="1:46" x14ac:dyDescent="0.3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AO101" s="34"/>
      <c r="AP101" s="34"/>
      <c r="AQ101" s="34"/>
      <c r="AR101" s="34"/>
      <c r="AS101" s="34"/>
      <c r="AT101" s="34"/>
    </row>
    <row r="102" spans="1:46" x14ac:dyDescent="0.3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AO102" s="34"/>
      <c r="AP102" s="34"/>
      <c r="AQ102" s="34"/>
      <c r="AR102" s="34"/>
      <c r="AS102" s="34"/>
      <c r="AT102" s="34"/>
    </row>
    <row r="103" spans="1:46" x14ac:dyDescent="0.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AO103" s="34"/>
      <c r="AP103" s="34"/>
      <c r="AQ103" s="34"/>
      <c r="AR103" s="34"/>
      <c r="AS103" s="34"/>
      <c r="AT103" s="34"/>
    </row>
    <row r="104" spans="1:46" x14ac:dyDescent="0.3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AO104" s="34"/>
      <c r="AP104" s="34"/>
      <c r="AQ104" s="34"/>
      <c r="AR104" s="34"/>
      <c r="AS104" s="34"/>
      <c r="AT104" s="34"/>
    </row>
    <row r="105" spans="1:46" x14ac:dyDescent="0.3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AO105" s="34"/>
      <c r="AP105" s="34"/>
      <c r="AQ105" s="34"/>
      <c r="AR105" s="34"/>
      <c r="AS105" s="34"/>
      <c r="AT105" s="34"/>
    </row>
    <row r="106" spans="1:46" x14ac:dyDescent="0.3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AO106" s="34"/>
      <c r="AP106" s="34"/>
      <c r="AQ106" s="34"/>
      <c r="AR106" s="34"/>
      <c r="AS106" s="34"/>
      <c r="AT106" s="34"/>
    </row>
    <row r="107" spans="1:46" x14ac:dyDescent="0.3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AO107" s="34"/>
      <c r="AP107" s="34"/>
      <c r="AQ107" s="34"/>
      <c r="AR107" s="34"/>
      <c r="AS107" s="34"/>
      <c r="AT107" s="34"/>
    </row>
    <row r="108" spans="1:46" x14ac:dyDescent="0.3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AO108" s="34"/>
      <c r="AP108" s="34"/>
      <c r="AQ108" s="34"/>
      <c r="AR108" s="34"/>
      <c r="AS108" s="34"/>
      <c r="AT108" s="34"/>
    </row>
    <row r="109" spans="1:46" x14ac:dyDescent="0.3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AO109" s="34"/>
      <c r="AP109" s="34"/>
      <c r="AQ109" s="34"/>
      <c r="AR109" s="34"/>
      <c r="AS109" s="34"/>
      <c r="AT109" s="34"/>
    </row>
    <row r="110" spans="1:46" x14ac:dyDescent="0.3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AO110" s="34"/>
      <c r="AP110" s="34"/>
      <c r="AQ110" s="34"/>
      <c r="AR110" s="34"/>
      <c r="AS110" s="34"/>
      <c r="AT110" s="34"/>
    </row>
    <row r="111" spans="1:46" x14ac:dyDescent="0.3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AO111" s="34"/>
      <c r="AP111" s="34"/>
      <c r="AQ111" s="34"/>
      <c r="AR111" s="34"/>
      <c r="AS111" s="34"/>
      <c r="AT111" s="34"/>
    </row>
    <row r="112" spans="1:46" x14ac:dyDescent="0.3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AO112" s="34"/>
      <c r="AP112" s="34"/>
      <c r="AQ112" s="34"/>
      <c r="AR112" s="34"/>
      <c r="AS112" s="34"/>
      <c r="AT112" s="34"/>
    </row>
    <row r="113" spans="1:46" x14ac:dyDescent="0.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AO113" s="34"/>
      <c r="AP113" s="34"/>
      <c r="AQ113" s="34"/>
      <c r="AR113" s="34"/>
      <c r="AS113" s="34"/>
      <c r="AT113" s="34"/>
    </row>
    <row r="114" spans="1:46" x14ac:dyDescent="0.3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AO114" s="34"/>
      <c r="AP114" s="34"/>
      <c r="AQ114" s="34"/>
      <c r="AR114" s="34"/>
      <c r="AS114" s="34"/>
      <c r="AT114" s="34"/>
    </row>
    <row r="115" spans="1:46" x14ac:dyDescent="0.3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AO115" s="34"/>
      <c r="AP115" s="34"/>
      <c r="AQ115" s="34"/>
      <c r="AR115" s="34"/>
      <c r="AS115" s="34"/>
      <c r="AT115" s="34"/>
    </row>
    <row r="116" spans="1:46" x14ac:dyDescent="0.3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AO116" s="34"/>
      <c r="AP116" s="34"/>
      <c r="AQ116" s="34"/>
      <c r="AR116" s="34"/>
      <c r="AS116" s="34"/>
      <c r="AT116" s="34"/>
    </row>
    <row r="117" spans="1:46" x14ac:dyDescent="0.3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AO117" s="34"/>
      <c r="AP117" s="34"/>
      <c r="AQ117" s="34"/>
      <c r="AR117" s="34"/>
      <c r="AS117" s="34"/>
      <c r="AT117" s="34"/>
    </row>
    <row r="118" spans="1:46" x14ac:dyDescent="0.3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AO118" s="34"/>
      <c r="AP118" s="34"/>
      <c r="AQ118" s="34"/>
      <c r="AR118" s="34"/>
      <c r="AS118" s="34"/>
      <c r="AT118" s="34"/>
    </row>
    <row r="119" spans="1:46" x14ac:dyDescent="0.3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AO119" s="34"/>
      <c r="AP119" s="34"/>
      <c r="AQ119" s="34"/>
      <c r="AR119" s="34"/>
      <c r="AS119" s="34"/>
      <c r="AT119" s="34"/>
    </row>
    <row r="120" spans="1:46" x14ac:dyDescent="0.3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AO120" s="34"/>
      <c r="AP120" s="34"/>
      <c r="AQ120" s="34"/>
      <c r="AR120" s="34"/>
      <c r="AS120" s="34"/>
      <c r="AT120" s="34"/>
    </row>
    <row r="121" spans="1:46" x14ac:dyDescent="0.3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AO121" s="34"/>
      <c r="AP121" s="34"/>
      <c r="AQ121" s="34"/>
      <c r="AR121" s="34"/>
      <c r="AS121" s="34"/>
      <c r="AT121" s="34"/>
    </row>
    <row r="122" spans="1:46" x14ac:dyDescent="0.3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AO122" s="34"/>
      <c r="AP122" s="34"/>
      <c r="AQ122" s="34"/>
      <c r="AR122" s="34"/>
      <c r="AS122" s="34"/>
      <c r="AT122" s="34"/>
    </row>
    <row r="123" spans="1:46" x14ac:dyDescent="0.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AO123" s="34"/>
      <c r="AP123" s="34"/>
      <c r="AQ123" s="34"/>
      <c r="AR123" s="34"/>
      <c r="AS123" s="34"/>
      <c r="AT123" s="34"/>
    </row>
    <row r="124" spans="1:46" x14ac:dyDescent="0.3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AO124" s="34"/>
      <c r="AP124" s="34"/>
      <c r="AQ124" s="34"/>
      <c r="AR124" s="34"/>
      <c r="AS124" s="34"/>
      <c r="AT124" s="34"/>
    </row>
    <row r="125" spans="1:46" x14ac:dyDescent="0.3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AO125" s="34"/>
      <c r="AP125" s="34"/>
      <c r="AQ125" s="34"/>
      <c r="AR125" s="34"/>
      <c r="AS125" s="34"/>
      <c r="AT125" s="34"/>
    </row>
    <row r="126" spans="1:46" x14ac:dyDescent="0.3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AO126" s="34"/>
      <c r="AP126" s="34"/>
      <c r="AQ126" s="34"/>
      <c r="AR126" s="34"/>
      <c r="AS126" s="34"/>
      <c r="AT126" s="34"/>
    </row>
    <row r="127" spans="1:46" x14ac:dyDescent="0.3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AO127" s="34"/>
      <c r="AP127" s="34"/>
      <c r="AQ127" s="34"/>
      <c r="AR127" s="34"/>
      <c r="AS127" s="34"/>
      <c r="AT127" s="34"/>
    </row>
    <row r="128" spans="1:46" x14ac:dyDescent="0.3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AO128" s="34"/>
      <c r="AP128" s="34"/>
      <c r="AQ128" s="34"/>
      <c r="AR128" s="34"/>
      <c r="AS128" s="34"/>
      <c r="AT128" s="34"/>
    </row>
    <row r="129" spans="1:46" x14ac:dyDescent="0.3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AO129" s="34"/>
      <c r="AP129" s="34"/>
      <c r="AQ129" s="34"/>
      <c r="AR129" s="34"/>
      <c r="AS129" s="34"/>
      <c r="AT129" s="34"/>
    </row>
    <row r="130" spans="1:46" x14ac:dyDescent="0.3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AO130" s="34"/>
      <c r="AP130" s="34"/>
      <c r="AQ130" s="34"/>
      <c r="AR130" s="34"/>
      <c r="AS130" s="34"/>
      <c r="AT130" s="34"/>
    </row>
    <row r="131" spans="1:46" x14ac:dyDescent="0.3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AO131" s="34"/>
      <c r="AP131" s="34"/>
      <c r="AQ131" s="34"/>
      <c r="AR131" s="34"/>
      <c r="AS131" s="34"/>
      <c r="AT131" s="34"/>
    </row>
    <row r="132" spans="1:46" x14ac:dyDescent="0.3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AO132" s="34"/>
      <c r="AP132" s="34"/>
      <c r="AQ132" s="34"/>
      <c r="AR132" s="34"/>
      <c r="AS132" s="34"/>
      <c r="AT132" s="34"/>
    </row>
    <row r="133" spans="1:46" x14ac:dyDescent="0.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AO133" s="34"/>
      <c r="AP133" s="34"/>
      <c r="AQ133" s="34"/>
      <c r="AR133" s="34"/>
      <c r="AS133" s="34"/>
      <c r="AT133" s="34"/>
    </row>
    <row r="134" spans="1:46" x14ac:dyDescent="0.3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AO134" s="34"/>
      <c r="AP134" s="34"/>
      <c r="AQ134" s="34"/>
      <c r="AR134" s="34"/>
      <c r="AS134" s="34"/>
      <c r="AT134" s="34"/>
    </row>
    <row r="135" spans="1:46" x14ac:dyDescent="0.3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AO135" s="34"/>
      <c r="AP135" s="34"/>
      <c r="AQ135" s="34"/>
      <c r="AR135" s="34"/>
      <c r="AS135" s="34"/>
      <c r="AT135" s="34"/>
    </row>
    <row r="136" spans="1:46" x14ac:dyDescent="0.3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AO136" s="34"/>
      <c r="AP136" s="34"/>
      <c r="AQ136" s="34"/>
      <c r="AR136" s="34"/>
      <c r="AS136" s="34"/>
      <c r="AT136" s="34"/>
    </row>
    <row r="137" spans="1:46" x14ac:dyDescent="0.3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AO137" s="34"/>
      <c r="AP137" s="34"/>
      <c r="AQ137" s="34"/>
      <c r="AR137" s="34"/>
      <c r="AS137" s="34"/>
      <c r="AT137" s="34"/>
    </row>
    <row r="138" spans="1:46" x14ac:dyDescent="0.3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AO138" s="34"/>
      <c r="AP138" s="34"/>
      <c r="AQ138" s="34"/>
      <c r="AR138" s="34"/>
      <c r="AS138" s="34"/>
      <c r="AT138" s="34"/>
    </row>
    <row r="139" spans="1:46" x14ac:dyDescent="0.3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AO139" s="34"/>
      <c r="AP139" s="34"/>
      <c r="AQ139" s="34"/>
      <c r="AR139" s="34"/>
      <c r="AS139" s="34"/>
      <c r="AT139" s="34"/>
    </row>
    <row r="140" spans="1:46" x14ac:dyDescent="0.3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AO140" s="34"/>
      <c r="AP140" s="34"/>
      <c r="AQ140" s="34"/>
      <c r="AR140" s="34"/>
      <c r="AS140" s="34"/>
      <c r="AT140" s="34"/>
    </row>
    <row r="141" spans="1:46" x14ac:dyDescent="0.3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AO141" s="34"/>
      <c r="AP141" s="34"/>
      <c r="AQ141" s="34"/>
      <c r="AR141" s="34"/>
      <c r="AS141" s="34"/>
      <c r="AT141" s="34"/>
    </row>
    <row r="142" spans="1:46" x14ac:dyDescent="0.3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AO142" s="34"/>
      <c r="AP142" s="34"/>
      <c r="AQ142" s="34"/>
      <c r="AR142" s="34"/>
      <c r="AS142" s="34"/>
      <c r="AT142" s="34"/>
    </row>
    <row r="143" spans="1:46" x14ac:dyDescent="0.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AO143" s="34"/>
      <c r="AP143" s="34"/>
      <c r="AQ143" s="34"/>
      <c r="AR143" s="34"/>
      <c r="AS143" s="34"/>
      <c r="AT143" s="34"/>
    </row>
    <row r="144" spans="1:46" x14ac:dyDescent="0.3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AO144" s="34"/>
      <c r="AP144" s="34"/>
      <c r="AQ144" s="34"/>
      <c r="AR144" s="34"/>
      <c r="AS144" s="34"/>
      <c r="AT144" s="34"/>
    </row>
    <row r="145" spans="1:46" x14ac:dyDescent="0.3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AO145" s="34"/>
      <c r="AP145" s="34"/>
      <c r="AQ145" s="34"/>
      <c r="AR145" s="34"/>
      <c r="AS145" s="34"/>
      <c r="AT145" s="34"/>
    </row>
    <row r="146" spans="1:46" x14ac:dyDescent="0.3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AO146" s="34"/>
      <c r="AP146" s="34"/>
      <c r="AQ146" s="34"/>
      <c r="AR146" s="34"/>
      <c r="AS146" s="34"/>
      <c r="AT146" s="34"/>
    </row>
    <row r="147" spans="1:46" x14ac:dyDescent="0.3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AO147" s="34"/>
      <c r="AP147" s="34"/>
      <c r="AQ147" s="34"/>
      <c r="AR147" s="34"/>
      <c r="AS147" s="34"/>
      <c r="AT147" s="34"/>
    </row>
    <row r="148" spans="1:46" x14ac:dyDescent="0.3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AO148" s="34"/>
      <c r="AP148" s="34"/>
      <c r="AQ148" s="34"/>
      <c r="AR148" s="34"/>
      <c r="AS148" s="34"/>
      <c r="AT148" s="34"/>
    </row>
    <row r="149" spans="1:46" x14ac:dyDescent="0.3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AO149" s="34"/>
      <c r="AP149" s="34"/>
      <c r="AQ149" s="34"/>
      <c r="AR149" s="34"/>
      <c r="AS149" s="34"/>
      <c r="AT149" s="34"/>
    </row>
    <row r="150" spans="1:46" x14ac:dyDescent="0.3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AO150" s="34"/>
      <c r="AP150" s="34"/>
      <c r="AQ150" s="34"/>
      <c r="AR150" s="34"/>
      <c r="AS150" s="34"/>
      <c r="AT150" s="34"/>
    </row>
    <row r="151" spans="1:46" x14ac:dyDescent="0.3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AO151" s="34"/>
      <c r="AP151" s="34"/>
      <c r="AQ151" s="34"/>
      <c r="AR151" s="34"/>
      <c r="AS151" s="34"/>
      <c r="AT151" s="34"/>
    </row>
    <row r="152" spans="1:46" x14ac:dyDescent="0.3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AO152" s="34"/>
      <c r="AP152" s="34"/>
      <c r="AQ152" s="34"/>
      <c r="AR152" s="34"/>
      <c r="AS152" s="34"/>
      <c r="AT152" s="34"/>
    </row>
    <row r="153" spans="1:46" x14ac:dyDescent="0.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AO153" s="34"/>
      <c r="AP153" s="34"/>
      <c r="AQ153" s="34"/>
      <c r="AR153" s="34"/>
      <c r="AS153" s="34"/>
      <c r="AT153" s="34"/>
    </row>
    <row r="154" spans="1:46" x14ac:dyDescent="0.3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AO154" s="34"/>
      <c r="AP154" s="34"/>
      <c r="AQ154" s="34"/>
      <c r="AR154" s="34"/>
      <c r="AS154" s="34"/>
      <c r="AT154" s="34"/>
    </row>
    <row r="155" spans="1:46" x14ac:dyDescent="0.3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AO155" s="34"/>
      <c r="AP155" s="34"/>
      <c r="AQ155" s="34"/>
      <c r="AR155" s="34"/>
      <c r="AS155" s="34"/>
      <c r="AT155" s="34"/>
    </row>
    <row r="156" spans="1:46" x14ac:dyDescent="0.3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AO156" s="34"/>
      <c r="AP156" s="34"/>
      <c r="AQ156" s="34"/>
      <c r="AR156" s="34"/>
      <c r="AS156" s="34"/>
      <c r="AT156" s="34"/>
    </row>
    <row r="157" spans="1:46" x14ac:dyDescent="0.3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AO157" s="34"/>
      <c r="AP157" s="34"/>
      <c r="AQ157" s="34"/>
      <c r="AR157" s="34"/>
      <c r="AS157" s="34"/>
      <c r="AT157" s="34"/>
    </row>
    <row r="158" spans="1:46" x14ac:dyDescent="0.3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AO158" s="34"/>
      <c r="AP158" s="34"/>
      <c r="AQ158" s="34"/>
      <c r="AR158" s="34"/>
      <c r="AS158" s="34"/>
      <c r="AT158" s="34"/>
    </row>
    <row r="159" spans="1:46" x14ac:dyDescent="0.3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AO159" s="34"/>
      <c r="AP159" s="34"/>
      <c r="AQ159" s="34"/>
      <c r="AR159" s="34"/>
      <c r="AS159" s="34"/>
      <c r="AT159" s="34"/>
    </row>
    <row r="160" spans="1:46" x14ac:dyDescent="0.3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AO160" s="34"/>
      <c r="AP160" s="34"/>
      <c r="AQ160" s="34"/>
      <c r="AR160" s="34"/>
      <c r="AS160" s="34"/>
      <c r="AT160" s="34"/>
    </row>
    <row r="161" spans="1:46" x14ac:dyDescent="0.3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AO161" s="34"/>
      <c r="AP161" s="34"/>
      <c r="AQ161" s="34"/>
      <c r="AR161" s="34"/>
      <c r="AS161" s="34"/>
      <c r="AT161" s="34"/>
    </row>
    <row r="162" spans="1:46" x14ac:dyDescent="0.3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AO162" s="34"/>
      <c r="AP162" s="34"/>
      <c r="AQ162" s="34"/>
      <c r="AR162" s="34"/>
      <c r="AS162" s="34"/>
      <c r="AT162" s="34"/>
    </row>
    <row r="163" spans="1:46" x14ac:dyDescent="0.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AO163" s="34"/>
      <c r="AP163" s="34"/>
      <c r="AQ163" s="34"/>
      <c r="AR163" s="34"/>
      <c r="AS163" s="34"/>
      <c r="AT163" s="34"/>
    </row>
    <row r="164" spans="1:46" x14ac:dyDescent="0.3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AO164" s="34"/>
      <c r="AP164" s="34"/>
      <c r="AQ164" s="34"/>
      <c r="AR164" s="34"/>
      <c r="AS164" s="34"/>
      <c r="AT164" s="34"/>
    </row>
    <row r="165" spans="1:46" x14ac:dyDescent="0.3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AO165" s="34"/>
      <c r="AP165" s="34"/>
      <c r="AQ165" s="34"/>
      <c r="AR165" s="34"/>
      <c r="AS165" s="34"/>
      <c r="AT165" s="34"/>
    </row>
    <row r="166" spans="1:46" x14ac:dyDescent="0.3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AO166" s="34"/>
      <c r="AP166" s="34"/>
      <c r="AQ166" s="34"/>
      <c r="AR166" s="34"/>
      <c r="AS166" s="34"/>
      <c r="AT166" s="34"/>
    </row>
    <row r="167" spans="1:46" x14ac:dyDescent="0.3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AO167" s="34"/>
      <c r="AP167" s="34"/>
      <c r="AQ167" s="34"/>
      <c r="AR167" s="34"/>
      <c r="AS167" s="34"/>
      <c r="AT167" s="34"/>
    </row>
    <row r="168" spans="1:46" x14ac:dyDescent="0.3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AO168" s="34"/>
      <c r="AP168" s="34"/>
      <c r="AQ168" s="34"/>
      <c r="AR168" s="34"/>
      <c r="AS168" s="34"/>
      <c r="AT168" s="34"/>
    </row>
    <row r="169" spans="1:46" x14ac:dyDescent="0.3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AO169" s="34"/>
      <c r="AP169" s="34"/>
      <c r="AQ169" s="34"/>
      <c r="AR169" s="34"/>
      <c r="AS169" s="34"/>
      <c r="AT169" s="34"/>
    </row>
    <row r="170" spans="1:46" x14ac:dyDescent="0.3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AO170" s="34"/>
      <c r="AP170" s="34"/>
      <c r="AQ170" s="34"/>
      <c r="AR170" s="34"/>
      <c r="AS170" s="34"/>
      <c r="AT170" s="34"/>
    </row>
    <row r="171" spans="1:46" x14ac:dyDescent="0.3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AO171" s="34"/>
      <c r="AP171" s="34"/>
      <c r="AQ171" s="34"/>
      <c r="AR171" s="34"/>
      <c r="AS171" s="34"/>
      <c r="AT171" s="34"/>
    </row>
    <row r="172" spans="1:46" x14ac:dyDescent="0.3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AO172" s="34"/>
      <c r="AP172" s="34"/>
      <c r="AQ172" s="34"/>
      <c r="AR172" s="34"/>
      <c r="AS172" s="34"/>
      <c r="AT172" s="34"/>
    </row>
    <row r="173" spans="1:46" x14ac:dyDescent="0.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AO173" s="34"/>
      <c r="AP173" s="34"/>
      <c r="AQ173" s="34"/>
      <c r="AR173" s="34"/>
      <c r="AS173" s="34"/>
      <c r="AT173" s="34"/>
    </row>
    <row r="174" spans="1:46" x14ac:dyDescent="0.3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AO174" s="34"/>
      <c r="AP174" s="34"/>
      <c r="AQ174" s="34"/>
      <c r="AR174" s="34"/>
      <c r="AS174" s="34"/>
      <c r="AT174" s="34"/>
    </row>
    <row r="175" spans="1:46" x14ac:dyDescent="0.3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AO175" s="34"/>
      <c r="AP175" s="34"/>
      <c r="AQ175" s="34"/>
      <c r="AR175" s="34"/>
      <c r="AS175" s="34"/>
      <c r="AT175" s="34"/>
    </row>
    <row r="176" spans="1:46" x14ac:dyDescent="0.3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AO176" s="34"/>
      <c r="AP176" s="34"/>
      <c r="AQ176" s="34"/>
      <c r="AR176" s="34"/>
      <c r="AS176" s="34"/>
      <c r="AT176" s="34"/>
    </row>
    <row r="177" spans="1:46" x14ac:dyDescent="0.3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AO177" s="34"/>
      <c r="AP177" s="34"/>
      <c r="AQ177" s="34"/>
      <c r="AR177" s="34"/>
      <c r="AS177" s="34"/>
      <c r="AT177" s="34"/>
    </row>
    <row r="178" spans="1:46" x14ac:dyDescent="0.3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AO178" s="34"/>
      <c r="AP178" s="34"/>
      <c r="AQ178" s="34"/>
      <c r="AR178" s="34"/>
      <c r="AS178" s="34"/>
      <c r="AT178" s="34"/>
    </row>
    <row r="179" spans="1:46" x14ac:dyDescent="0.3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AO179" s="34"/>
      <c r="AP179" s="34"/>
      <c r="AQ179" s="34"/>
      <c r="AR179" s="34"/>
      <c r="AS179" s="34"/>
      <c r="AT179" s="34"/>
    </row>
    <row r="180" spans="1:46" x14ac:dyDescent="0.3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AO180" s="34"/>
      <c r="AP180" s="34"/>
      <c r="AQ180" s="34"/>
      <c r="AR180" s="34"/>
      <c r="AS180" s="34"/>
      <c r="AT180" s="34"/>
    </row>
    <row r="181" spans="1:46" x14ac:dyDescent="0.3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AO181" s="34"/>
      <c r="AP181" s="34"/>
      <c r="AQ181" s="34"/>
      <c r="AR181" s="34"/>
      <c r="AS181" s="34"/>
      <c r="AT181" s="34"/>
    </row>
    <row r="182" spans="1:46" x14ac:dyDescent="0.3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AO182" s="34"/>
      <c r="AP182" s="34"/>
      <c r="AQ182" s="34"/>
      <c r="AR182" s="34"/>
      <c r="AS182" s="34"/>
      <c r="AT182" s="34"/>
    </row>
    <row r="183" spans="1:46" x14ac:dyDescent="0.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AO183" s="34"/>
      <c r="AP183" s="34"/>
      <c r="AQ183" s="34"/>
      <c r="AR183" s="34"/>
      <c r="AS183" s="34"/>
      <c r="AT183" s="34"/>
    </row>
    <row r="184" spans="1:46" x14ac:dyDescent="0.3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AO184" s="34"/>
      <c r="AP184" s="34"/>
      <c r="AQ184" s="34"/>
      <c r="AR184" s="34"/>
      <c r="AS184" s="34"/>
      <c r="AT184" s="34"/>
    </row>
    <row r="185" spans="1:46" x14ac:dyDescent="0.3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AO185" s="34"/>
      <c r="AP185" s="34"/>
      <c r="AQ185" s="34"/>
      <c r="AR185" s="34"/>
      <c r="AS185" s="34"/>
      <c r="AT185" s="34"/>
    </row>
    <row r="186" spans="1:46" x14ac:dyDescent="0.3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AO186" s="34"/>
      <c r="AP186" s="34"/>
      <c r="AQ186" s="34"/>
      <c r="AR186" s="34"/>
      <c r="AS186" s="34"/>
      <c r="AT186" s="34"/>
    </row>
    <row r="187" spans="1:46" x14ac:dyDescent="0.3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AO187" s="34"/>
      <c r="AP187" s="34"/>
      <c r="AQ187" s="34"/>
      <c r="AR187" s="34"/>
      <c r="AS187" s="34"/>
      <c r="AT187" s="34"/>
    </row>
    <row r="188" spans="1:46" x14ac:dyDescent="0.3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AO188" s="34"/>
      <c r="AP188" s="34"/>
      <c r="AQ188" s="34"/>
      <c r="AR188" s="34"/>
      <c r="AS188" s="34"/>
      <c r="AT188" s="34"/>
    </row>
    <row r="189" spans="1:46" x14ac:dyDescent="0.3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AO189" s="34"/>
      <c r="AP189" s="34"/>
      <c r="AQ189" s="34"/>
      <c r="AR189" s="34"/>
      <c r="AS189" s="34"/>
      <c r="AT189" s="34"/>
    </row>
    <row r="190" spans="1:46" x14ac:dyDescent="0.3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AO190" s="34"/>
      <c r="AP190" s="34"/>
      <c r="AQ190" s="34"/>
      <c r="AR190" s="34"/>
      <c r="AS190" s="34"/>
      <c r="AT190" s="34"/>
    </row>
    <row r="191" spans="1:46" x14ac:dyDescent="0.3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AO191" s="34"/>
      <c r="AP191" s="34"/>
      <c r="AQ191" s="34"/>
      <c r="AR191" s="34"/>
      <c r="AS191" s="34"/>
      <c r="AT191" s="34"/>
    </row>
    <row r="192" spans="1:46" x14ac:dyDescent="0.3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AO192" s="34"/>
      <c r="AP192" s="34"/>
      <c r="AQ192" s="34"/>
      <c r="AR192" s="34"/>
      <c r="AS192" s="34"/>
      <c r="AT192" s="34"/>
    </row>
    <row r="193" spans="1:46" x14ac:dyDescent="0.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AO193" s="34"/>
      <c r="AP193" s="34"/>
      <c r="AQ193" s="34"/>
      <c r="AR193" s="34"/>
      <c r="AS193" s="34"/>
      <c r="AT193" s="34"/>
    </row>
    <row r="194" spans="1:46" x14ac:dyDescent="0.3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AO194" s="34"/>
      <c r="AP194" s="34"/>
      <c r="AQ194" s="34"/>
      <c r="AR194" s="34"/>
      <c r="AS194" s="34"/>
      <c r="AT194" s="34"/>
    </row>
    <row r="195" spans="1:46" x14ac:dyDescent="0.3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AO195" s="34"/>
      <c r="AP195" s="34"/>
      <c r="AQ195" s="34"/>
      <c r="AR195" s="34"/>
      <c r="AS195" s="34"/>
      <c r="AT195" s="34"/>
    </row>
    <row r="196" spans="1:46" x14ac:dyDescent="0.3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AO196" s="34"/>
      <c r="AP196" s="34"/>
      <c r="AQ196" s="34"/>
      <c r="AR196" s="34"/>
      <c r="AS196" s="34"/>
      <c r="AT196" s="34"/>
    </row>
    <row r="197" spans="1:46" x14ac:dyDescent="0.3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AO197" s="34"/>
      <c r="AP197" s="34"/>
      <c r="AQ197" s="34"/>
      <c r="AR197" s="34"/>
      <c r="AS197" s="34"/>
      <c r="AT197" s="34"/>
    </row>
    <row r="198" spans="1:46" x14ac:dyDescent="0.3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AO198" s="34"/>
      <c r="AP198" s="34"/>
      <c r="AQ198" s="34"/>
      <c r="AR198" s="34"/>
      <c r="AS198" s="34"/>
      <c r="AT198" s="34"/>
    </row>
    <row r="199" spans="1:46" x14ac:dyDescent="0.3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AO199" s="34"/>
      <c r="AP199" s="34"/>
      <c r="AQ199" s="34"/>
      <c r="AR199" s="34"/>
      <c r="AS199" s="34"/>
      <c r="AT199" s="34"/>
    </row>
    <row r="200" spans="1:46" x14ac:dyDescent="0.3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AO200" s="34"/>
      <c r="AP200" s="34"/>
      <c r="AQ200" s="34"/>
      <c r="AR200" s="34"/>
      <c r="AS200" s="34"/>
      <c r="AT200" s="34"/>
    </row>
    <row r="201" spans="1:46" x14ac:dyDescent="0.3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AO201" s="34"/>
      <c r="AP201" s="34"/>
      <c r="AQ201" s="34"/>
      <c r="AR201" s="34"/>
      <c r="AS201" s="34"/>
      <c r="AT201" s="34"/>
    </row>
    <row r="202" spans="1:46" x14ac:dyDescent="0.3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AO202" s="34"/>
      <c r="AP202" s="34"/>
      <c r="AQ202" s="34"/>
      <c r="AR202" s="34"/>
      <c r="AS202" s="34"/>
      <c r="AT202" s="34"/>
    </row>
    <row r="203" spans="1:46" x14ac:dyDescent="0.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AO203" s="34"/>
      <c r="AP203" s="34"/>
      <c r="AQ203" s="34"/>
      <c r="AR203" s="34"/>
      <c r="AS203" s="34"/>
      <c r="AT203" s="34"/>
    </row>
    <row r="204" spans="1:46" x14ac:dyDescent="0.3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AO204" s="34"/>
      <c r="AP204" s="34"/>
      <c r="AQ204" s="34"/>
      <c r="AR204" s="34"/>
      <c r="AS204" s="34"/>
      <c r="AT204" s="34"/>
    </row>
    <row r="205" spans="1:46" x14ac:dyDescent="0.3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AO205" s="34"/>
      <c r="AP205" s="34"/>
      <c r="AQ205" s="34"/>
      <c r="AR205" s="34"/>
      <c r="AS205" s="34"/>
      <c r="AT205" s="34"/>
    </row>
    <row r="206" spans="1:46" x14ac:dyDescent="0.3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AO206" s="34"/>
      <c r="AP206" s="34"/>
      <c r="AQ206" s="34"/>
      <c r="AR206" s="34"/>
      <c r="AS206" s="34"/>
      <c r="AT206" s="34"/>
    </row>
    <row r="207" spans="1:46" x14ac:dyDescent="0.3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AO207" s="34"/>
      <c r="AP207" s="34"/>
      <c r="AQ207" s="34"/>
      <c r="AR207" s="34"/>
      <c r="AS207" s="34"/>
      <c r="AT207" s="34"/>
    </row>
    <row r="208" spans="1:46" x14ac:dyDescent="0.3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AO208" s="34"/>
      <c r="AP208" s="34"/>
      <c r="AQ208" s="34"/>
      <c r="AR208" s="34"/>
      <c r="AS208" s="34"/>
      <c r="AT208" s="34"/>
    </row>
    <row r="209" spans="1:46" x14ac:dyDescent="0.3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AO209" s="34"/>
      <c r="AP209" s="34"/>
      <c r="AQ209" s="34"/>
      <c r="AR209" s="34"/>
      <c r="AS209" s="34"/>
      <c r="AT209" s="34"/>
    </row>
    <row r="210" spans="1:46" x14ac:dyDescent="0.3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AO210" s="34"/>
      <c r="AP210" s="34"/>
      <c r="AQ210" s="34"/>
      <c r="AR210" s="34"/>
      <c r="AS210" s="34"/>
      <c r="AT210" s="34"/>
    </row>
    <row r="211" spans="1:46" x14ac:dyDescent="0.3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AO211" s="34"/>
      <c r="AP211" s="34"/>
      <c r="AQ211" s="34"/>
      <c r="AR211" s="34"/>
      <c r="AS211" s="34"/>
      <c r="AT211" s="34"/>
    </row>
    <row r="212" spans="1:46" x14ac:dyDescent="0.3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AO212" s="34"/>
      <c r="AP212" s="34"/>
      <c r="AQ212" s="34"/>
      <c r="AR212" s="34"/>
      <c r="AS212" s="34"/>
      <c r="AT212" s="34"/>
    </row>
    <row r="213" spans="1:46" x14ac:dyDescent="0.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AO213" s="34"/>
      <c r="AP213" s="34"/>
      <c r="AQ213" s="34"/>
      <c r="AR213" s="34"/>
      <c r="AS213" s="34"/>
      <c r="AT213" s="34"/>
    </row>
    <row r="214" spans="1:46" x14ac:dyDescent="0.3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AO214" s="34"/>
      <c r="AP214" s="34"/>
      <c r="AQ214" s="34"/>
      <c r="AR214" s="34"/>
      <c r="AS214" s="34"/>
      <c r="AT214" s="34"/>
    </row>
    <row r="215" spans="1:46" x14ac:dyDescent="0.3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AO215" s="34"/>
      <c r="AP215" s="34"/>
      <c r="AQ215" s="34"/>
      <c r="AR215" s="34"/>
      <c r="AS215" s="34"/>
      <c r="AT215" s="34"/>
    </row>
    <row r="216" spans="1:46" x14ac:dyDescent="0.3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AO216" s="34"/>
      <c r="AP216" s="34"/>
      <c r="AQ216" s="34"/>
      <c r="AR216" s="34"/>
      <c r="AS216" s="34"/>
      <c r="AT216" s="34"/>
    </row>
    <row r="217" spans="1:46" x14ac:dyDescent="0.3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AO217" s="34"/>
      <c r="AP217" s="34"/>
      <c r="AQ217" s="34"/>
      <c r="AR217" s="34"/>
      <c r="AS217" s="34"/>
      <c r="AT217" s="34"/>
    </row>
    <row r="218" spans="1:46" x14ac:dyDescent="0.3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AO218" s="34"/>
      <c r="AP218" s="34"/>
      <c r="AQ218" s="34"/>
      <c r="AR218" s="34"/>
      <c r="AS218" s="34"/>
      <c r="AT218" s="34"/>
    </row>
    <row r="219" spans="1:46" x14ac:dyDescent="0.3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AO219" s="34"/>
      <c r="AP219" s="34"/>
      <c r="AQ219" s="34"/>
      <c r="AR219" s="34"/>
      <c r="AS219" s="34"/>
      <c r="AT219" s="34"/>
    </row>
    <row r="220" spans="1:46" x14ac:dyDescent="0.3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AO220" s="34"/>
      <c r="AP220" s="34"/>
      <c r="AQ220" s="34"/>
      <c r="AR220" s="34"/>
      <c r="AS220" s="34"/>
      <c r="AT220" s="34"/>
    </row>
    <row r="221" spans="1:46" x14ac:dyDescent="0.3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AO221" s="34"/>
      <c r="AP221" s="34"/>
      <c r="AQ221" s="34"/>
      <c r="AR221" s="34"/>
      <c r="AS221" s="34"/>
      <c r="AT221" s="34"/>
    </row>
    <row r="222" spans="1:46" x14ac:dyDescent="0.3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AO222" s="34"/>
      <c r="AP222" s="34"/>
      <c r="AQ222" s="34"/>
      <c r="AR222" s="34"/>
      <c r="AS222" s="34"/>
      <c r="AT222" s="34"/>
    </row>
    <row r="223" spans="1:46" x14ac:dyDescent="0.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AO223" s="34"/>
      <c r="AP223" s="34"/>
      <c r="AQ223" s="34"/>
      <c r="AR223" s="34"/>
      <c r="AS223" s="34"/>
      <c r="AT223" s="34"/>
    </row>
    <row r="224" spans="1:46" x14ac:dyDescent="0.3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AO224" s="34"/>
      <c r="AP224" s="34"/>
      <c r="AQ224" s="34"/>
      <c r="AR224" s="34"/>
      <c r="AS224" s="34"/>
      <c r="AT224" s="34"/>
    </row>
    <row r="225" spans="1:46" x14ac:dyDescent="0.3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AO225" s="34"/>
      <c r="AP225" s="34"/>
      <c r="AQ225" s="34"/>
      <c r="AR225" s="34"/>
      <c r="AS225" s="34"/>
      <c r="AT225" s="34"/>
    </row>
    <row r="226" spans="1:46" x14ac:dyDescent="0.3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AO226" s="34"/>
      <c r="AP226" s="34"/>
      <c r="AQ226" s="34"/>
      <c r="AR226" s="34"/>
      <c r="AS226" s="34"/>
      <c r="AT226" s="34"/>
    </row>
    <row r="227" spans="1:46" x14ac:dyDescent="0.3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AO227" s="34"/>
      <c r="AP227" s="34"/>
      <c r="AQ227" s="34"/>
      <c r="AR227" s="34"/>
      <c r="AS227" s="34"/>
      <c r="AT227" s="34"/>
    </row>
    <row r="228" spans="1:46" x14ac:dyDescent="0.3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AO228" s="34"/>
      <c r="AP228" s="34"/>
      <c r="AQ228" s="34"/>
      <c r="AR228" s="34"/>
      <c r="AS228" s="34"/>
      <c r="AT228" s="34"/>
    </row>
    <row r="229" spans="1:46" x14ac:dyDescent="0.3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AO229" s="34"/>
      <c r="AP229" s="34"/>
      <c r="AQ229" s="34"/>
      <c r="AR229" s="34"/>
      <c r="AS229" s="34"/>
      <c r="AT229" s="34"/>
    </row>
    <row r="230" spans="1:46" x14ac:dyDescent="0.3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AO230" s="34"/>
      <c r="AP230" s="34"/>
      <c r="AQ230" s="34"/>
      <c r="AR230" s="34"/>
      <c r="AS230" s="34"/>
      <c r="AT230" s="34"/>
    </row>
    <row r="231" spans="1:46" x14ac:dyDescent="0.3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AO231" s="34"/>
      <c r="AP231" s="34"/>
      <c r="AQ231" s="34"/>
      <c r="AR231" s="34"/>
      <c r="AS231" s="34"/>
      <c r="AT231" s="34"/>
    </row>
    <row r="232" spans="1:46" x14ac:dyDescent="0.3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AO232" s="34"/>
      <c r="AP232" s="34"/>
      <c r="AQ232" s="34"/>
      <c r="AR232" s="34"/>
      <c r="AS232" s="34"/>
      <c r="AT232" s="34"/>
    </row>
    <row r="233" spans="1:46" x14ac:dyDescent="0.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AO233" s="34"/>
      <c r="AP233" s="34"/>
      <c r="AQ233" s="34"/>
      <c r="AR233" s="34"/>
      <c r="AS233" s="34"/>
      <c r="AT233" s="34"/>
    </row>
    <row r="234" spans="1:46" x14ac:dyDescent="0.3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AO234" s="34"/>
      <c r="AP234" s="34"/>
      <c r="AQ234" s="34"/>
      <c r="AR234" s="34"/>
      <c r="AS234" s="34"/>
      <c r="AT234" s="34"/>
    </row>
    <row r="235" spans="1:46" x14ac:dyDescent="0.3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AO235" s="34"/>
      <c r="AP235" s="34"/>
      <c r="AQ235" s="34"/>
      <c r="AR235" s="34"/>
      <c r="AS235" s="34"/>
      <c r="AT235" s="34"/>
    </row>
    <row r="236" spans="1:46" x14ac:dyDescent="0.3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AO236" s="34"/>
      <c r="AP236" s="34"/>
      <c r="AQ236" s="34"/>
      <c r="AR236" s="34"/>
      <c r="AS236" s="34"/>
      <c r="AT236" s="34"/>
    </row>
    <row r="237" spans="1:46" x14ac:dyDescent="0.3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AO237" s="34"/>
      <c r="AP237" s="34"/>
      <c r="AQ237" s="34"/>
      <c r="AR237" s="34"/>
      <c r="AS237" s="34"/>
      <c r="AT237" s="34"/>
    </row>
    <row r="238" spans="1:46" x14ac:dyDescent="0.3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AO238" s="34"/>
      <c r="AP238" s="34"/>
      <c r="AQ238" s="34"/>
      <c r="AR238" s="34"/>
      <c r="AS238" s="34"/>
      <c r="AT238" s="34"/>
    </row>
    <row r="239" spans="1:46" x14ac:dyDescent="0.3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AO239" s="34"/>
      <c r="AP239" s="34"/>
      <c r="AQ239" s="34"/>
      <c r="AR239" s="34"/>
      <c r="AS239" s="34"/>
      <c r="AT239" s="34"/>
    </row>
    <row r="240" spans="1:46" x14ac:dyDescent="0.3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AO240" s="34"/>
      <c r="AP240" s="34"/>
      <c r="AQ240" s="34"/>
      <c r="AR240" s="34"/>
      <c r="AS240" s="34"/>
      <c r="AT240" s="34"/>
    </row>
    <row r="241" spans="1:46" x14ac:dyDescent="0.3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AO241" s="34"/>
      <c r="AP241" s="34"/>
      <c r="AQ241" s="34"/>
      <c r="AR241" s="34"/>
      <c r="AS241" s="34"/>
      <c r="AT241" s="34"/>
    </row>
    <row r="242" spans="1:46" x14ac:dyDescent="0.3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AO242" s="34"/>
      <c r="AP242" s="34"/>
      <c r="AQ242" s="34"/>
      <c r="AR242" s="34"/>
      <c r="AS242" s="34"/>
      <c r="AT242" s="34"/>
    </row>
    <row r="243" spans="1:46" x14ac:dyDescent="0.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AO243" s="34"/>
      <c r="AP243" s="34"/>
      <c r="AQ243" s="34"/>
      <c r="AR243" s="34"/>
      <c r="AS243" s="34"/>
      <c r="AT243" s="34"/>
    </row>
    <row r="244" spans="1:46" x14ac:dyDescent="0.3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AO244" s="34"/>
      <c r="AP244" s="34"/>
      <c r="AQ244" s="34"/>
      <c r="AR244" s="34"/>
      <c r="AS244" s="34"/>
      <c r="AT244" s="34"/>
    </row>
    <row r="245" spans="1:46" x14ac:dyDescent="0.3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AO245" s="34"/>
      <c r="AP245" s="34"/>
      <c r="AQ245" s="34"/>
      <c r="AR245" s="34"/>
      <c r="AS245" s="34"/>
      <c r="AT245" s="34"/>
    </row>
    <row r="246" spans="1:46" x14ac:dyDescent="0.3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AO246" s="34"/>
      <c r="AP246" s="34"/>
      <c r="AQ246" s="34"/>
      <c r="AR246" s="34"/>
      <c r="AS246" s="34"/>
      <c r="AT246" s="34"/>
    </row>
    <row r="247" spans="1:46" x14ac:dyDescent="0.3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AO247" s="34"/>
      <c r="AP247" s="34"/>
      <c r="AQ247" s="34"/>
      <c r="AR247" s="34"/>
      <c r="AS247" s="34"/>
      <c r="AT247" s="34"/>
    </row>
    <row r="248" spans="1:46" x14ac:dyDescent="0.3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AO248" s="34"/>
      <c r="AP248" s="34"/>
      <c r="AQ248" s="34"/>
      <c r="AR248" s="34"/>
      <c r="AS248" s="34"/>
      <c r="AT248" s="34"/>
    </row>
    <row r="249" spans="1:46" x14ac:dyDescent="0.3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AO249" s="34"/>
      <c r="AP249" s="34"/>
      <c r="AQ249" s="34"/>
      <c r="AR249" s="34"/>
      <c r="AS249" s="34"/>
      <c r="AT249" s="34"/>
    </row>
    <row r="250" spans="1:46" x14ac:dyDescent="0.3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AO250" s="34"/>
      <c r="AP250" s="34"/>
      <c r="AQ250" s="34"/>
      <c r="AR250" s="34"/>
      <c r="AS250" s="34"/>
      <c r="AT250" s="34"/>
    </row>
    <row r="251" spans="1:46" x14ac:dyDescent="0.3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AO251" s="34"/>
      <c r="AP251" s="34"/>
      <c r="AQ251" s="34"/>
      <c r="AR251" s="34"/>
      <c r="AS251" s="34"/>
      <c r="AT251" s="34"/>
    </row>
    <row r="252" spans="1:46" x14ac:dyDescent="0.3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AO252" s="34"/>
      <c r="AP252" s="34"/>
      <c r="AQ252" s="34"/>
      <c r="AR252" s="34"/>
      <c r="AS252" s="34"/>
      <c r="AT252" s="34"/>
    </row>
    <row r="253" spans="1:46" x14ac:dyDescent="0.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AO253" s="34"/>
      <c r="AP253" s="34"/>
      <c r="AQ253" s="34"/>
      <c r="AR253" s="34"/>
      <c r="AS253" s="34"/>
      <c r="AT253" s="34"/>
    </row>
    <row r="254" spans="1:46" x14ac:dyDescent="0.3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AO254" s="34"/>
      <c r="AP254" s="34"/>
      <c r="AQ254" s="34"/>
      <c r="AR254" s="34"/>
      <c r="AS254" s="34"/>
      <c r="AT254" s="34"/>
    </row>
    <row r="255" spans="1:46" x14ac:dyDescent="0.3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AO255" s="34"/>
      <c r="AP255" s="34"/>
      <c r="AQ255" s="34"/>
      <c r="AR255" s="34"/>
      <c r="AS255" s="34"/>
      <c r="AT255" s="34"/>
    </row>
    <row r="256" spans="1:46" x14ac:dyDescent="0.3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AO256" s="34"/>
      <c r="AP256" s="34"/>
      <c r="AQ256" s="34"/>
      <c r="AR256" s="34"/>
      <c r="AS256" s="34"/>
      <c r="AT256" s="34"/>
    </row>
    <row r="257" spans="1:46" x14ac:dyDescent="0.3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AO257" s="34"/>
      <c r="AP257" s="34"/>
      <c r="AQ257" s="34"/>
      <c r="AR257" s="34"/>
      <c r="AS257" s="34"/>
      <c r="AT257" s="34"/>
    </row>
    <row r="258" spans="1:46" x14ac:dyDescent="0.3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AO258" s="34"/>
      <c r="AP258" s="34"/>
      <c r="AQ258" s="34"/>
      <c r="AR258" s="34"/>
      <c r="AS258" s="34"/>
      <c r="AT258" s="34"/>
    </row>
    <row r="259" spans="1:46" x14ac:dyDescent="0.3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AO259" s="34"/>
      <c r="AP259" s="34"/>
      <c r="AQ259" s="34"/>
      <c r="AR259" s="34"/>
      <c r="AS259" s="34"/>
      <c r="AT259" s="34"/>
    </row>
    <row r="260" spans="1:46" x14ac:dyDescent="0.3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AO260" s="34"/>
      <c r="AP260" s="34"/>
      <c r="AQ260" s="34"/>
      <c r="AR260" s="34"/>
      <c r="AS260" s="34"/>
      <c r="AT260" s="34"/>
    </row>
    <row r="261" spans="1:46" x14ac:dyDescent="0.3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AO261" s="34"/>
      <c r="AP261" s="34"/>
      <c r="AQ261" s="34"/>
      <c r="AR261" s="34"/>
      <c r="AS261" s="34"/>
      <c r="AT261" s="34"/>
    </row>
    <row r="262" spans="1:46" x14ac:dyDescent="0.3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AO262" s="34"/>
      <c r="AP262" s="34"/>
      <c r="AQ262" s="34"/>
      <c r="AR262" s="34"/>
      <c r="AS262" s="34"/>
      <c r="AT262" s="34"/>
    </row>
    <row r="263" spans="1:46" x14ac:dyDescent="0.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AO263" s="34"/>
      <c r="AP263" s="34"/>
      <c r="AQ263" s="34"/>
      <c r="AR263" s="34"/>
      <c r="AS263" s="34"/>
      <c r="AT263" s="34"/>
    </row>
    <row r="264" spans="1:46" x14ac:dyDescent="0.3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AO264" s="34"/>
      <c r="AP264" s="34"/>
      <c r="AQ264" s="34"/>
      <c r="AR264" s="34"/>
      <c r="AS264" s="34"/>
      <c r="AT264" s="34"/>
    </row>
    <row r="265" spans="1:46" x14ac:dyDescent="0.3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AO265" s="34"/>
      <c r="AP265" s="34"/>
      <c r="AQ265" s="34"/>
      <c r="AR265" s="34"/>
      <c r="AS265" s="34"/>
      <c r="AT265" s="34"/>
    </row>
    <row r="266" spans="1:46" x14ac:dyDescent="0.3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AO266" s="34"/>
      <c r="AP266" s="34"/>
      <c r="AQ266" s="34"/>
      <c r="AR266" s="34"/>
      <c r="AS266" s="34"/>
      <c r="AT266" s="34"/>
    </row>
    <row r="267" spans="1:46" x14ac:dyDescent="0.3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AO267" s="34"/>
      <c r="AP267" s="34"/>
      <c r="AQ267" s="34"/>
      <c r="AR267" s="34"/>
      <c r="AS267" s="34"/>
      <c r="AT267" s="34"/>
    </row>
    <row r="268" spans="1:46" x14ac:dyDescent="0.3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AO268" s="34"/>
      <c r="AP268" s="34"/>
      <c r="AQ268" s="34"/>
      <c r="AR268" s="34"/>
      <c r="AS268" s="34"/>
      <c r="AT268" s="34"/>
    </row>
    <row r="269" spans="1:46" x14ac:dyDescent="0.3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AO269" s="34"/>
      <c r="AP269" s="34"/>
      <c r="AQ269" s="34"/>
      <c r="AR269" s="34"/>
      <c r="AS269" s="34"/>
      <c r="AT269" s="34"/>
    </row>
    <row r="270" spans="1:46" x14ac:dyDescent="0.3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AO270" s="34"/>
      <c r="AP270" s="34"/>
      <c r="AQ270" s="34"/>
      <c r="AR270" s="34"/>
      <c r="AS270" s="34"/>
      <c r="AT270" s="34"/>
    </row>
    <row r="271" spans="1:46" x14ac:dyDescent="0.3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AO271" s="34"/>
      <c r="AP271" s="34"/>
      <c r="AQ271" s="34"/>
      <c r="AR271" s="34"/>
      <c r="AS271" s="34"/>
      <c r="AT271" s="34"/>
    </row>
    <row r="272" spans="1:46" x14ac:dyDescent="0.3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AO272" s="34"/>
      <c r="AP272" s="34"/>
      <c r="AQ272" s="34"/>
      <c r="AR272" s="34"/>
      <c r="AS272" s="34"/>
      <c r="AT272" s="34"/>
    </row>
    <row r="273" spans="1:46" x14ac:dyDescent="0.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AO273" s="34"/>
      <c r="AP273" s="34"/>
      <c r="AQ273" s="34"/>
      <c r="AR273" s="34"/>
      <c r="AS273" s="34"/>
      <c r="AT273" s="34"/>
    </row>
    <row r="274" spans="1:46" x14ac:dyDescent="0.3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AO274" s="34"/>
      <c r="AP274" s="34"/>
      <c r="AQ274" s="34"/>
      <c r="AR274" s="34"/>
      <c r="AS274" s="34"/>
      <c r="AT274" s="34"/>
    </row>
    <row r="275" spans="1:46" x14ac:dyDescent="0.3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AO275" s="34"/>
      <c r="AP275" s="34"/>
      <c r="AQ275" s="34"/>
      <c r="AR275" s="34"/>
      <c r="AS275" s="34"/>
      <c r="AT275" s="34"/>
    </row>
    <row r="276" spans="1:46" x14ac:dyDescent="0.3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AO276" s="34"/>
      <c r="AP276" s="34"/>
      <c r="AQ276" s="34"/>
      <c r="AR276" s="34"/>
      <c r="AS276" s="34"/>
      <c r="AT276" s="34"/>
    </row>
    <row r="277" spans="1:46" x14ac:dyDescent="0.3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AO277" s="34"/>
      <c r="AP277" s="34"/>
      <c r="AQ277" s="34"/>
      <c r="AR277" s="34"/>
      <c r="AS277" s="34"/>
      <c r="AT277" s="34"/>
    </row>
    <row r="278" spans="1:46" x14ac:dyDescent="0.3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AO278" s="34"/>
      <c r="AP278" s="34"/>
      <c r="AQ278" s="34"/>
      <c r="AR278" s="34"/>
      <c r="AS278" s="34"/>
      <c r="AT278" s="34"/>
    </row>
    <row r="279" spans="1:46" x14ac:dyDescent="0.3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AO279" s="34"/>
      <c r="AP279" s="34"/>
      <c r="AQ279" s="34"/>
      <c r="AR279" s="34"/>
      <c r="AS279" s="34"/>
      <c r="AT279" s="34"/>
    </row>
    <row r="280" spans="1:46" x14ac:dyDescent="0.3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AO280" s="34"/>
      <c r="AP280" s="34"/>
      <c r="AQ280" s="34"/>
      <c r="AR280" s="34"/>
      <c r="AS280" s="34"/>
      <c r="AT280" s="34"/>
    </row>
    <row r="281" spans="1:46" x14ac:dyDescent="0.3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AO281" s="34"/>
      <c r="AP281" s="34"/>
      <c r="AQ281" s="34"/>
      <c r="AR281" s="34"/>
      <c r="AS281" s="34"/>
      <c r="AT281" s="34"/>
    </row>
    <row r="282" spans="1:46" x14ac:dyDescent="0.3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AO282" s="34"/>
      <c r="AP282" s="34"/>
      <c r="AQ282" s="34"/>
      <c r="AR282" s="34"/>
      <c r="AS282" s="34"/>
      <c r="AT282" s="34"/>
    </row>
    <row r="283" spans="1:46" x14ac:dyDescent="0.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AO283" s="34"/>
      <c r="AP283" s="34"/>
      <c r="AQ283" s="34"/>
      <c r="AR283" s="34"/>
      <c r="AS283" s="34"/>
      <c r="AT283" s="34"/>
    </row>
    <row r="284" spans="1:46" x14ac:dyDescent="0.3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AO284" s="34"/>
      <c r="AP284" s="34"/>
      <c r="AQ284" s="34"/>
      <c r="AR284" s="34"/>
      <c r="AS284" s="34"/>
      <c r="AT284" s="34"/>
    </row>
    <row r="285" spans="1:46" x14ac:dyDescent="0.3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AO285" s="34"/>
      <c r="AP285" s="34"/>
      <c r="AQ285" s="34"/>
      <c r="AR285" s="34"/>
      <c r="AS285" s="34"/>
      <c r="AT285" s="34"/>
    </row>
    <row r="286" spans="1:46" x14ac:dyDescent="0.3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AO286" s="34"/>
      <c r="AP286" s="34"/>
      <c r="AQ286" s="34"/>
      <c r="AR286" s="34"/>
      <c r="AS286" s="34"/>
      <c r="AT286" s="34"/>
    </row>
    <row r="287" spans="1:46" x14ac:dyDescent="0.3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AO287" s="34"/>
      <c r="AP287" s="34"/>
      <c r="AQ287" s="34"/>
      <c r="AR287" s="34"/>
      <c r="AS287" s="34"/>
      <c r="AT287" s="34"/>
    </row>
    <row r="288" spans="1:46" x14ac:dyDescent="0.3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AO288" s="34"/>
      <c r="AP288" s="34"/>
      <c r="AQ288" s="34"/>
      <c r="AR288" s="34"/>
      <c r="AS288" s="34"/>
      <c r="AT288" s="34"/>
    </row>
    <row r="289" spans="1:46" x14ac:dyDescent="0.3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AO289" s="34"/>
      <c r="AP289" s="34"/>
      <c r="AQ289" s="34"/>
      <c r="AR289" s="34"/>
      <c r="AS289" s="34"/>
      <c r="AT289" s="34"/>
    </row>
    <row r="290" spans="1:46" x14ac:dyDescent="0.3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AO290" s="34"/>
      <c r="AP290" s="34"/>
      <c r="AQ290" s="34"/>
      <c r="AR290" s="34"/>
      <c r="AS290" s="34"/>
      <c r="AT290" s="34"/>
    </row>
    <row r="291" spans="1:46" x14ac:dyDescent="0.3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AO291" s="34"/>
      <c r="AP291" s="34"/>
      <c r="AQ291" s="34"/>
      <c r="AR291" s="34"/>
      <c r="AS291" s="34"/>
      <c r="AT291" s="34"/>
    </row>
    <row r="292" spans="1:46" x14ac:dyDescent="0.3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AO292" s="34"/>
      <c r="AP292" s="34"/>
      <c r="AQ292" s="34"/>
      <c r="AR292" s="34"/>
      <c r="AS292" s="34"/>
      <c r="AT292" s="34"/>
    </row>
    <row r="293" spans="1:46" x14ac:dyDescent="0.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AO293" s="34"/>
      <c r="AP293" s="34"/>
      <c r="AQ293" s="34"/>
      <c r="AR293" s="34"/>
      <c r="AS293" s="34"/>
      <c r="AT293" s="34"/>
    </row>
    <row r="294" spans="1:46" x14ac:dyDescent="0.3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AO294" s="34"/>
      <c r="AP294" s="34"/>
      <c r="AQ294" s="34"/>
      <c r="AR294" s="34"/>
      <c r="AS294" s="34"/>
      <c r="AT294" s="34"/>
    </row>
    <row r="295" spans="1:46" x14ac:dyDescent="0.3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AO295" s="34"/>
      <c r="AP295" s="34"/>
      <c r="AQ295" s="34"/>
      <c r="AR295" s="34"/>
      <c r="AS295" s="34"/>
      <c r="AT295" s="34"/>
    </row>
    <row r="296" spans="1:46" x14ac:dyDescent="0.3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AO296" s="34"/>
      <c r="AP296" s="34"/>
      <c r="AQ296" s="34"/>
      <c r="AR296" s="34"/>
      <c r="AS296" s="34"/>
      <c r="AT296" s="34"/>
    </row>
    <row r="297" spans="1:46" x14ac:dyDescent="0.3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AO297" s="34"/>
      <c r="AP297" s="34"/>
      <c r="AQ297" s="34"/>
      <c r="AR297" s="34"/>
      <c r="AS297" s="34"/>
      <c r="AT297" s="34"/>
    </row>
    <row r="298" spans="1:46" x14ac:dyDescent="0.3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AO298" s="34"/>
      <c r="AP298" s="34"/>
      <c r="AQ298" s="34"/>
      <c r="AR298" s="34"/>
      <c r="AS298" s="34"/>
      <c r="AT298" s="34"/>
    </row>
    <row r="299" spans="1:46" x14ac:dyDescent="0.3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AO299" s="34"/>
      <c r="AP299" s="34"/>
      <c r="AQ299" s="34"/>
      <c r="AR299" s="34"/>
      <c r="AS299" s="34"/>
      <c r="AT299" s="34"/>
    </row>
    <row r="300" spans="1:46" x14ac:dyDescent="0.3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AO300" s="34"/>
      <c r="AP300" s="34"/>
      <c r="AQ300" s="34"/>
      <c r="AR300" s="34"/>
      <c r="AS300" s="34"/>
      <c r="AT300" s="34"/>
    </row>
    <row r="301" spans="1:46" x14ac:dyDescent="0.3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AO301" s="34"/>
      <c r="AP301" s="34"/>
      <c r="AQ301" s="34"/>
      <c r="AR301" s="34"/>
      <c r="AS301" s="34"/>
      <c r="AT301" s="34"/>
    </row>
    <row r="302" spans="1:46" x14ac:dyDescent="0.3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AO302" s="34"/>
      <c r="AP302" s="34"/>
      <c r="AQ302" s="34"/>
      <c r="AR302" s="34"/>
      <c r="AS302" s="34"/>
      <c r="AT302" s="34"/>
    </row>
    <row r="303" spans="1:46" x14ac:dyDescent="0.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AO303" s="34"/>
      <c r="AP303" s="34"/>
      <c r="AQ303" s="34"/>
      <c r="AR303" s="34"/>
      <c r="AS303" s="34"/>
      <c r="AT303" s="34"/>
    </row>
    <row r="304" spans="1:46" x14ac:dyDescent="0.3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AO304" s="34"/>
      <c r="AP304" s="34"/>
      <c r="AQ304" s="34"/>
      <c r="AR304" s="34"/>
      <c r="AS304" s="34"/>
      <c r="AT304" s="34"/>
    </row>
    <row r="305" spans="1:46" x14ac:dyDescent="0.3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AO305" s="34"/>
      <c r="AP305" s="34"/>
      <c r="AQ305" s="34"/>
      <c r="AR305" s="34"/>
      <c r="AS305" s="34"/>
      <c r="AT305" s="34"/>
    </row>
    <row r="306" spans="1:46" x14ac:dyDescent="0.3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AO306" s="34"/>
      <c r="AP306" s="34"/>
      <c r="AQ306" s="34"/>
      <c r="AR306" s="34"/>
      <c r="AS306" s="34"/>
      <c r="AT306" s="34"/>
    </row>
    <row r="307" spans="1:46" x14ac:dyDescent="0.3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AO307" s="34"/>
      <c r="AP307" s="34"/>
      <c r="AQ307" s="34"/>
      <c r="AR307" s="34"/>
      <c r="AS307" s="34"/>
      <c r="AT307" s="34"/>
    </row>
    <row r="308" spans="1:46" x14ac:dyDescent="0.3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AO308" s="34"/>
      <c r="AP308" s="34"/>
      <c r="AQ308" s="34"/>
      <c r="AR308" s="34"/>
      <c r="AS308" s="34"/>
      <c r="AT308" s="34"/>
    </row>
    <row r="309" spans="1:46" x14ac:dyDescent="0.3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AO309" s="34"/>
      <c r="AP309" s="34"/>
      <c r="AQ309" s="34"/>
      <c r="AR309" s="34"/>
      <c r="AS309" s="34"/>
      <c r="AT309" s="34"/>
    </row>
    <row r="310" spans="1:46" x14ac:dyDescent="0.3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AO310" s="34"/>
      <c r="AP310" s="34"/>
      <c r="AQ310" s="34"/>
      <c r="AR310" s="34"/>
      <c r="AS310" s="34"/>
      <c r="AT310" s="34"/>
    </row>
    <row r="311" spans="1:46" x14ac:dyDescent="0.3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AO311" s="34"/>
      <c r="AP311" s="34"/>
      <c r="AQ311" s="34"/>
      <c r="AR311" s="34"/>
      <c r="AS311" s="34"/>
      <c r="AT311" s="34"/>
    </row>
    <row r="312" spans="1:46" x14ac:dyDescent="0.3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AO312" s="34"/>
      <c r="AP312" s="34"/>
      <c r="AQ312" s="34"/>
      <c r="AR312" s="34"/>
      <c r="AS312" s="34"/>
      <c r="AT312" s="34"/>
    </row>
    <row r="313" spans="1:46" x14ac:dyDescent="0.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AO313" s="34"/>
      <c r="AP313" s="34"/>
      <c r="AQ313" s="34"/>
      <c r="AR313" s="34"/>
      <c r="AS313" s="34"/>
      <c r="AT313" s="34"/>
    </row>
    <row r="314" spans="1:46" x14ac:dyDescent="0.3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AO314" s="34"/>
      <c r="AP314" s="34"/>
      <c r="AQ314" s="34"/>
      <c r="AR314" s="34"/>
      <c r="AS314" s="34"/>
      <c r="AT314" s="34"/>
    </row>
    <row r="315" spans="1:46" x14ac:dyDescent="0.3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AO315" s="34"/>
      <c r="AP315" s="34"/>
      <c r="AQ315" s="34"/>
      <c r="AR315" s="34"/>
      <c r="AS315" s="34"/>
      <c r="AT315" s="34"/>
    </row>
    <row r="316" spans="1:46" x14ac:dyDescent="0.3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AO316" s="34"/>
      <c r="AP316" s="34"/>
      <c r="AQ316" s="34"/>
      <c r="AR316" s="34"/>
      <c r="AS316" s="34"/>
      <c r="AT316" s="34"/>
    </row>
    <row r="317" spans="1:46" x14ac:dyDescent="0.3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AO317" s="34"/>
      <c r="AP317" s="34"/>
      <c r="AQ317" s="34"/>
      <c r="AR317" s="34"/>
      <c r="AS317" s="34"/>
      <c r="AT317" s="34"/>
    </row>
    <row r="318" spans="1:46" x14ac:dyDescent="0.3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AO318" s="34"/>
      <c r="AP318" s="34"/>
      <c r="AQ318" s="34"/>
      <c r="AR318" s="34"/>
      <c r="AS318" s="34"/>
      <c r="AT318" s="34"/>
    </row>
    <row r="319" spans="1:46" x14ac:dyDescent="0.3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AO319" s="34"/>
      <c r="AP319" s="34"/>
      <c r="AQ319" s="34"/>
      <c r="AR319" s="34"/>
      <c r="AS319" s="34"/>
      <c r="AT319" s="34"/>
    </row>
    <row r="320" spans="1:46" x14ac:dyDescent="0.3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AO320" s="34"/>
      <c r="AP320" s="34"/>
      <c r="AQ320" s="34"/>
      <c r="AR320" s="34"/>
      <c r="AS320" s="34"/>
      <c r="AT320" s="34"/>
    </row>
    <row r="321" spans="1:46" x14ac:dyDescent="0.3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AO321" s="34"/>
      <c r="AP321" s="34"/>
      <c r="AQ321" s="34"/>
      <c r="AR321" s="34"/>
      <c r="AS321" s="34"/>
      <c r="AT321" s="34"/>
    </row>
    <row r="322" spans="1:46" x14ac:dyDescent="0.3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AO322" s="34"/>
      <c r="AP322" s="34"/>
      <c r="AQ322" s="34"/>
      <c r="AR322" s="34"/>
      <c r="AS322" s="34"/>
      <c r="AT322" s="34"/>
    </row>
    <row r="323" spans="1:46" x14ac:dyDescent="0.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AO323" s="34"/>
      <c r="AP323" s="34"/>
      <c r="AQ323" s="34"/>
      <c r="AR323" s="34"/>
      <c r="AS323" s="34"/>
      <c r="AT323" s="34"/>
    </row>
    <row r="324" spans="1:46" x14ac:dyDescent="0.3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AO324" s="34"/>
      <c r="AP324" s="34"/>
      <c r="AQ324" s="34"/>
      <c r="AR324" s="34"/>
      <c r="AS324" s="34"/>
      <c r="AT324" s="34"/>
    </row>
    <row r="325" spans="1:46" x14ac:dyDescent="0.3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AO325" s="34"/>
      <c r="AP325" s="34"/>
      <c r="AQ325" s="34"/>
      <c r="AR325" s="34"/>
      <c r="AS325" s="34"/>
      <c r="AT325" s="34"/>
    </row>
    <row r="326" spans="1:46" x14ac:dyDescent="0.3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AO326" s="34"/>
      <c r="AP326" s="34"/>
      <c r="AQ326" s="34"/>
      <c r="AR326" s="34"/>
      <c r="AS326" s="34"/>
      <c r="AT326" s="34"/>
    </row>
    <row r="327" spans="1:46" x14ac:dyDescent="0.3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AO327" s="34"/>
      <c r="AP327" s="34"/>
      <c r="AQ327" s="34"/>
      <c r="AR327" s="34"/>
      <c r="AS327" s="34"/>
      <c r="AT327" s="34"/>
    </row>
    <row r="328" spans="1:46" x14ac:dyDescent="0.3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AO328" s="34"/>
      <c r="AP328" s="34"/>
      <c r="AQ328" s="34"/>
      <c r="AR328" s="34"/>
      <c r="AS328" s="34"/>
      <c r="AT328" s="34"/>
    </row>
    <row r="329" spans="1:46" x14ac:dyDescent="0.3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AO329" s="34"/>
      <c r="AP329" s="34"/>
      <c r="AQ329" s="34"/>
      <c r="AR329" s="34"/>
      <c r="AS329" s="34"/>
      <c r="AT329" s="34"/>
    </row>
    <row r="330" spans="1:46" x14ac:dyDescent="0.3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AO330" s="34"/>
      <c r="AP330" s="34"/>
      <c r="AQ330" s="34"/>
      <c r="AR330" s="34"/>
      <c r="AS330" s="34"/>
      <c r="AT330" s="34"/>
    </row>
    <row r="331" spans="1:46" x14ac:dyDescent="0.3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AO331" s="34"/>
      <c r="AP331" s="34"/>
      <c r="AQ331" s="34"/>
      <c r="AR331" s="34"/>
      <c r="AS331" s="34"/>
      <c r="AT331" s="34"/>
    </row>
    <row r="332" spans="1:46" x14ac:dyDescent="0.3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AO332" s="34"/>
      <c r="AP332" s="34"/>
      <c r="AQ332" s="34"/>
      <c r="AR332" s="34"/>
      <c r="AS332" s="34"/>
      <c r="AT332" s="34"/>
    </row>
    <row r="333" spans="1:46" x14ac:dyDescent="0.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AO333" s="34"/>
      <c r="AP333" s="34"/>
      <c r="AQ333" s="34"/>
      <c r="AR333" s="34"/>
      <c r="AS333" s="34"/>
      <c r="AT333" s="34"/>
    </row>
    <row r="334" spans="1:46" x14ac:dyDescent="0.3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AO334" s="34"/>
      <c r="AP334" s="34"/>
      <c r="AQ334" s="34"/>
      <c r="AR334" s="34"/>
      <c r="AS334" s="34"/>
      <c r="AT334" s="34"/>
    </row>
    <row r="335" spans="1:46" x14ac:dyDescent="0.3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AO335" s="34"/>
      <c r="AP335" s="34"/>
      <c r="AQ335" s="34"/>
      <c r="AR335" s="34"/>
      <c r="AS335" s="34"/>
      <c r="AT335" s="34"/>
    </row>
    <row r="336" spans="1:46" x14ac:dyDescent="0.3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AO336" s="34"/>
      <c r="AP336" s="34"/>
      <c r="AQ336" s="34"/>
      <c r="AR336" s="34"/>
      <c r="AS336" s="34"/>
      <c r="AT336" s="34"/>
    </row>
    <row r="337" spans="1:46" x14ac:dyDescent="0.3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AO337" s="34"/>
      <c r="AP337" s="34"/>
      <c r="AQ337" s="34"/>
      <c r="AR337" s="34"/>
      <c r="AS337" s="34"/>
      <c r="AT337" s="34"/>
    </row>
    <row r="338" spans="1:46" x14ac:dyDescent="0.3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AO338" s="34"/>
      <c r="AP338" s="34"/>
      <c r="AQ338" s="34"/>
      <c r="AR338" s="34"/>
      <c r="AS338" s="34"/>
      <c r="AT338" s="34"/>
    </row>
    <row r="339" spans="1:46" x14ac:dyDescent="0.3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AO339" s="34"/>
      <c r="AP339" s="34"/>
      <c r="AQ339" s="34"/>
      <c r="AR339" s="34"/>
      <c r="AS339" s="34"/>
      <c r="AT339" s="34"/>
    </row>
    <row r="340" spans="1:46" x14ac:dyDescent="0.3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AO340" s="34"/>
      <c r="AP340" s="34"/>
      <c r="AQ340" s="34"/>
      <c r="AR340" s="34"/>
      <c r="AS340" s="34"/>
      <c r="AT340" s="34"/>
    </row>
    <row r="341" spans="1:46" x14ac:dyDescent="0.3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AO341" s="34"/>
      <c r="AP341" s="34"/>
      <c r="AQ341" s="34"/>
      <c r="AR341" s="34"/>
      <c r="AS341" s="34"/>
      <c r="AT341" s="34"/>
    </row>
    <row r="342" spans="1:46" x14ac:dyDescent="0.3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AO342" s="34"/>
      <c r="AP342" s="34"/>
      <c r="AQ342" s="34"/>
      <c r="AR342" s="34"/>
      <c r="AS342" s="34"/>
      <c r="AT342" s="34"/>
    </row>
    <row r="343" spans="1:46" x14ac:dyDescent="0.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AO343" s="34"/>
      <c r="AP343" s="34"/>
      <c r="AQ343" s="34"/>
      <c r="AR343" s="34"/>
      <c r="AS343" s="34"/>
      <c r="AT343" s="34"/>
    </row>
    <row r="344" spans="1:46" x14ac:dyDescent="0.3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AO344" s="34"/>
      <c r="AP344" s="34"/>
      <c r="AQ344" s="34"/>
      <c r="AR344" s="34"/>
      <c r="AS344" s="34"/>
      <c r="AT344" s="34"/>
    </row>
    <row r="345" spans="1:46" x14ac:dyDescent="0.3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AO345" s="34"/>
      <c r="AP345" s="34"/>
      <c r="AQ345" s="34"/>
      <c r="AR345" s="34"/>
      <c r="AS345" s="34"/>
      <c r="AT345" s="34"/>
    </row>
    <row r="346" spans="1:46" x14ac:dyDescent="0.3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AO346" s="34"/>
      <c r="AP346" s="34"/>
      <c r="AQ346" s="34"/>
      <c r="AR346" s="34"/>
      <c r="AS346" s="34"/>
      <c r="AT346" s="34"/>
    </row>
    <row r="347" spans="1:46" x14ac:dyDescent="0.3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AO347" s="34"/>
      <c r="AP347" s="34"/>
      <c r="AQ347" s="34"/>
      <c r="AR347" s="34"/>
      <c r="AS347" s="34"/>
      <c r="AT347" s="34"/>
    </row>
    <row r="348" spans="1:46" x14ac:dyDescent="0.3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AO348" s="34"/>
      <c r="AP348" s="34"/>
      <c r="AQ348" s="34"/>
      <c r="AR348" s="34"/>
      <c r="AS348" s="34"/>
      <c r="AT348" s="34"/>
    </row>
    <row r="349" spans="1:46" x14ac:dyDescent="0.3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AO349" s="34"/>
      <c r="AP349" s="34"/>
      <c r="AQ349" s="34"/>
      <c r="AR349" s="34"/>
      <c r="AS349" s="34"/>
      <c r="AT349" s="34"/>
    </row>
    <row r="350" spans="1:46" x14ac:dyDescent="0.3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AO350" s="34"/>
      <c r="AP350" s="34"/>
      <c r="AQ350" s="34"/>
      <c r="AR350" s="34"/>
      <c r="AS350" s="34"/>
      <c r="AT350" s="34"/>
    </row>
    <row r="351" spans="1:46" x14ac:dyDescent="0.3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AO351" s="34"/>
      <c r="AP351" s="34"/>
      <c r="AQ351" s="34"/>
      <c r="AR351" s="34"/>
      <c r="AS351" s="34"/>
      <c r="AT351" s="34"/>
    </row>
    <row r="352" spans="1:46" x14ac:dyDescent="0.3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AO352" s="34"/>
      <c r="AP352" s="34"/>
      <c r="AQ352" s="34"/>
      <c r="AR352" s="34"/>
      <c r="AS352" s="34"/>
      <c r="AT352" s="34"/>
    </row>
    <row r="353" spans="1:46" x14ac:dyDescent="0.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AO353" s="34"/>
      <c r="AP353" s="34"/>
      <c r="AQ353" s="34"/>
      <c r="AR353" s="34"/>
      <c r="AS353" s="34"/>
      <c r="AT353" s="34"/>
    </row>
    <row r="354" spans="1:46" x14ac:dyDescent="0.3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AO354" s="34"/>
      <c r="AP354" s="34"/>
      <c r="AQ354" s="34"/>
      <c r="AR354" s="34"/>
      <c r="AS354" s="34"/>
      <c r="AT354" s="34"/>
    </row>
    <row r="355" spans="1:46" x14ac:dyDescent="0.3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AO355" s="34"/>
      <c r="AP355" s="34"/>
      <c r="AQ355" s="34"/>
      <c r="AR355" s="34"/>
      <c r="AS355" s="34"/>
      <c r="AT355" s="34"/>
    </row>
    <row r="356" spans="1:46" x14ac:dyDescent="0.3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AO356" s="34"/>
      <c r="AP356" s="34"/>
      <c r="AQ356" s="34"/>
      <c r="AR356" s="34"/>
      <c r="AS356" s="34"/>
      <c r="AT356" s="34"/>
    </row>
    <row r="357" spans="1:46" x14ac:dyDescent="0.3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AO357" s="34"/>
      <c r="AP357" s="34"/>
      <c r="AQ357" s="34"/>
      <c r="AR357" s="34"/>
      <c r="AS357" s="34"/>
      <c r="AT357" s="34"/>
    </row>
    <row r="358" spans="1:46" x14ac:dyDescent="0.3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AO358" s="34"/>
      <c r="AP358" s="34"/>
      <c r="AQ358" s="34"/>
      <c r="AR358" s="34"/>
      <c r="AS358" s="34"/>
      <c r="AT358" s="34"/>
    </row>
    <row r="359" spans="1:46" x14ac:dyDescent="0.3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AO359" s="34"/>
      <c r="AP359" s="34"/>
      <c r="AQ359" s="34"/>
      <c r="AR359" s="34"/>
      <c r="AS359" s="34"/>
      <c r="AT359" s="34"/>
    </row>
    <row r="360" spans="1:46" x14ac:dyDescent="0.3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AO360" s="34"/>
      <c r="AP360" s="34"/>
      <c r="AQ360" s="34"/>
      <c r="AR360" s="34"/>
      <c r="AS360" s="34"/>
      <c r="AT360" s="34"/>
    </row>
    <row r="361" spans="1:46" x14ac:dyDescent="0.3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AO361" s="34"/>
      <c r="AP361" s="34"/>
      <c r="AQ361" s="34"/>
      <c r="AR361" s="34"/>
      <c r="AS361" s="34"/>
      <c r="AT361" s="34"/>
    </row>
    <row r="362" spans="1:46" x14ac:dyDescent="0.3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AO362" s="34"/>
      <c r="AP362" s="34"/>
      <c r="AQ362" s="34"/>
      <c r="AR362" s="34"/>
      <c r="AS362" s="34"/>
      <c r="AT362" s="34"/>
    </row>
    <row r="363" spans="1:46" x14ac:dyDescent="0.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AO363" s="34"/>
      <c r="AP363" s="34"/>
      <c r="AQ363" s="34"/>
      <c r="AR363" s="34"/>
      <c r="AS363" s="34"/>
      <c r="AT363" s="34"/>
    </row>
    <row r="364" spans="1:46" x14ac:dyDescent="0.3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AO364" s="34"/>
      <c r="AP364" s="34"/>
      <c r="AQ364" s="34"/>
      <c r="AR364" s="34"/>
      <c r="AS364" s="34"/>
      <c r="AT364" s="34"/>
    </row>
    <row r="365" spans="1:46" x14ac:dyDescent="0.3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AO365" s="34"/>
      <c r="AP365" s="34"/>
      <c r="AQ365" s="34"/>
      <c r="AR365" s="34"/>
      <c r="AS365" s="34"/>
      <c r="AT365" s="34"/>
    </row>
    <row r="366" spans="1:46" x14ac:dyDescent="0.3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AO366" s="34"/>
      <c r="AP366" s="34"/>
      <c r="AQ366" s="34"/>
      <c r="AR366" s="34"/>
      <c r="AS366" s="34"/>
      <c r="AT366" s="34"/>
    </row>
    <row r="367" spans="1:46" x14ac:dyDescent="0.3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AO367" s="34"/>
      <c r="AP367" s="34"/>
      <c r="AQ367" s="34"/>
      <c r="AR367" s="34"/>
      <c r="AS367" s="34"/>
      <c r="AT367" s="34"/>
    </row>
    <row r="368" spans="1:46" x14ac:dyDescent="0.3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AO368" s="34"/>
      <c r="AP368" s="34"/>
      <c r="AQ368" s="34"/>
      <c r="AR368" s="34"/>
      <c r="AS368" s="34"/>
      <c r="AT368" s="34"/>
    </row>
    <row r="369" spans="1:46" x14ac:dyDescent="0.3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AO369" s="34"/>
      <c r="AP369" s="34"/>
      <c r="AQ369" s="34"/>
      <c r="AR369" s="34"/>
      <c r="AS369" s="34"/>
      <c r="AT369" s="34"/>
    </row>
    <row r="370" spans="1:46" x14ac:dyDescent="0.3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AO370" s="34"/>
      <c r="AP370" s="34"/>
      <c r="AQ370" s="34"/>
      <c r="AR370" s="34"/>
      <c r="AS370" s="34"/>
      <c r="AT370" s="34"/>
    </row>
    <row r="371" spans="1:46" x14ac:dyDescent="0.3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AO371" s="34"/>
      <c r="AP371" s="34"/>
      <c r="AQ371" s="34"/>
      <c r="AR371" s="34"/>
      <c r="AS371" s="34"/>
      <c r="AT371" s="34"/>
    </row>
    <row r="372" spans="1:46" x14ac:dyDescent="0.3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AO372" s="34"/>
      <c r="AP372" s="34"/>
      <c r="AQ372" s="34"/>
      <c r="AR372" s="34"/>
      <c r="AS372" s="34"/>
      <c r="AT372" s="34"/>
    </row>
    <row r="373" spans="1:46" x14ac:dyDescent="0.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AO373" s="34"/>
      <c r="AP373" s="34"/>
      <c r="AQ373" s="34"/>
      <c r="AR373" s="34"/>
      <c r="AS373" s="34"/>
      <c r="AT373" s="34"/>
    </row>
    <row r="374" spans="1:46" x14ac:dyDescent="0.3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AO374" s="34"/>
      <c r="AP374" s="34"/>
      <c r="AQ374" s="34"/>
      <c r="AR374" s="34"/>
      <c r="AS374" s="34"/>
      <c r="AT374" s="34"/>
    </row>
    <row r="375" spans="1:46" x14ac:dyDescent="0.3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AO375" s="34"/>
      <c r="AP375" s="34"/>
      <c r="AQ375" s="34"/>
      <c r="AR375" s="34"/>
      <c r="AS375" s="34"/>
      <c r="AT375" s="34"/>
    </row>
    <row r="376" spans="1:46" x14ac:dyDescent="0.3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AO376" s="34"/>
      <c r="AP376" s="34"/>
      <c r="AQ376" s="34"/>
      <c r="AR376" s="34"/>
      <c r="AS376" s="34"/>
      <c r="AT376" s="34"/>
    </row>
    <row r="377" spans="1:46" x14ac:dyDescent="0.3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AO377" s="34"/>
      <c r="AP377" s="34"/>
      <c r="AQ377" s="34"/>
      <c r="AR377" s="34"/>
      <c r="AS377" s="34"/>
      <c r="AT377" s="34"/>
    </row>
    <row r="378" spans="1:46" x14ac:dyDescent="0.3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AO378" s="34"/>
      <c r="AP378" s="34"/>
      <c r="AQ378" s="34"/>
      <c r="AR378" s="34"/>
      <c r="AS378" s="34"/>
      <c r="AT378" s="34"/>
    </row>
    <row r="379" spans="1:46" x14ac:dyDescent="0.3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AO379" s="34"/>
      <c r="AP379" s="34"/>
      <c r="AQ379" s="34"/>
      <c r="AR379" s="34"/>
      <c r="AS379" s="34"/>
      <c r="AT379" s="34"/>
    </row>
    <row r="380" spans="1:46" x14ac:dyDescent="0.3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AO380" s="34"/>
      <c r="AP380" s="34"/>
      <c r="AQ380" s="34"/>
      <c r="AR380" s="34"/>
      <c r="AS380" s="34"/>
      <c r="AT380" s="34"/>
    </row>
    <row r="381" spans="1:46" x14ac:dyDescent="0.3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AO381" s="34"/>
      <c r="AP381" s="34"/>
      <c r="AQ381" s="34"/>
      <c r="AR381" s="34"/>
      <c r="AS381" s="34"/>
      <c r="AT381" s="34"/>
    </row>
    <row r="382" spans="1:46" x14ac:dyDescent="0.3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AO382" s="34"/>
      <c r="AP382" s="34"/>
      <c r="AQ382" s="34"/>
      <c r="AR382" s="34"/>
      <c r="AS382" s="34"/>
      <c r="AT382" s="34"/>
    </row>
    <row r="383" spans="1:46" x14ac:dyDescent="0.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AO383" s="34"/>
      <c r="AP383" s="34"/>
      <c r="AQ383" s="34"/>
      <c r="AR383" s="34"/>
      <c r="AS383" s="34"/>
      <c r="AT383" s="34"/>
    </row>
    <row r="384" spans="1:46" x14ac:dyDescent="0.3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AO384" s="34"/>
      <c r="AP384" s="34"/>
      <c r="AQ384" s="34"/>
      <c r="AR384" s="34"/>
      <c r="AS384" s="34"/>
      <c r="AT384" s="34"/>
    </row>
    <row r="385" spans="1:46" x14ac:dyDescent="0.3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AO385" s="34"/>
      <c r="AP385" s="34"/>
      <c r="AQ385" s="34"/>
      <c r="AR385" s="34"/>
      <c r="AS385" s="34"/>
      <c r="AT385" s="34"/>
    </row>
    <row r="386" spans="1:46" x14ac:dyDescent="0.3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AO386" s="34"/>
      <c r="AP386" s="34"/>
      <c r="AQ386" s="34"/>
      <c r="AR386" s="34"/>
      <c r="AS386" s="34"/>
      <c r="AT386" s="34"/>
    </row>
    <row r="387" spans="1:46" x14ac:dyDescent="0.3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AO387" s="34"/>
      <c r="AP387" s="34"/>
      <c r="AQ387" s="34"/>
      <c r="AR387" s="34"/>
      <c r="AS387" s="34"/>
      <c r="AT387" s="34"/>
    </row>
    <row r="388" spans="1:46" x14ac:dyDescent="0.3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AO388" s="34"/>
      <c r="AP388" s="34"/>
      <c r="AQ388" s="34"/>
      <c r="AR388" s="34"/>
      <c r="AS388" s="34"/>
      <c r="AT388" s="34"/>
    </row>
    <row r="389" spans="1:46" x14ac:dyDescent="0.3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AO389" s="34"/>
      <c r="AP389" s="34"/>
      <c r="AQ389" s="34"/>
      <c r="AR389" s="34"/>
      <c r="AS389" s="34"/>
      <c r="AT389" s="34"/>
    </row>
    <row r="390" spans="1:46" x14ac:dyDescent="0.3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AO390" s="34"/>
      <c r="AP390" s="34"/>
      <c r="AQ390" s="34"/>
      <c r="AR390" s="34"/>
      <c r="AS390" s="34"/>
      <c r="AT390" s="34"/>
    </row>
    <row r="391" spans="1:46" x14ac:dyDescent="0.3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AO391" s="34"/>
      <c r="AP391" s="34"/>
      <c r="AQ391" s="34"/>
      <c r="AR391" s="34"/>
      <c r="AS391" s="34"/>
      <c r="AT391" s="34"/>
    </row>
    <row r="392" spans="1:46" x14ac:dyDescent="0.3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AO392" s="34"/>
      <c r="AP392" s="34"/>
      <c r="AQ392" s="34"/>
      <c r="AR392" s="34"/>
      <c r="AS392" s="34"/>
      <c r="AT392" s="34"/>
    </row>
    <row r="393" spans="1:46" x14ac:dyDescent="0.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AO393" s="34"/>
      <c r="AP393" s="34"/>
      <c r="AQ393" s="34"/>
      <c r="AR393" s="34"/>
      <c r="AS393" s="34"/>
      <c r="AT393" s="34"/>
    </row>
    <row r="394" spans="1:46" x14ac:dyDescent="0.3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AO394" s="34"/>
      <c r="AP394" s="34"/>
      <c r="AQ394" s="34"/>
      <c r="AR394" s="34"/>
      <c r="AS394" s="34"/>
      <c r="AT394" s="34"/>
    </row>
    <row r="395" spans="1:46" x14ac:dyDescent="0.3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AO395" s="34"/>
      <c r="AP395" s="34"/>
      <c r="AQ395" s="34"/>
      <c r="AR395" s="34"/>
      <c r="AS395" s="34"/>
      <c r="AT395" s="34"/>
    </row>
    <row r="396" spans="1:46" x14ac:dyDescent="0.3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AO396" s="34"/>
      <c r="AP396" s="34"/>
      <c r="AQ396" s="34"/>
      <c r="AR396" s="34"/>
      <c r="AS396" s="34"/>
      <c r="AT396" s="34"/>
    </row>
    <row r="397" spans="1:46" x14ac:dyDescent="0.3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AO397" s="34"/>
      <c r="AP397" s="34"/>
      <c r="AQ397" s="34"/>
      <c r="AR397" s="34"/>
      <c r="AS397" s="34"/>
      <c r="AT397" s="34"/>
    </row>
    <row r="398" spans="1:46" x14ac:dyDescent="0.3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AO398" s="34"/>
      <c r="AP398" s="34"/>
      <c r="AQ398" s="34"/>
      <c r="AR398" s="34"/>
      <c r="AS398" s="34"/>
      <c r="AT398" s="34"/>
    </row>
    <row r="399" spans="1:46" x14ac:dyDescent="0.3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AO399" s="34"/>
      <c r="AP399" s="34"/>
      <c r="AQ399" s="34"/>
      <c r="AR399" s="34"/>
      <c r="AS399" s="34"/>
      <c r="AT399" s="34"/>
    </row>
    <row r="400" spans="1:46" x14ac:dyDescent="0.3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AO400" s="34"/>
      <c r="AP400" s="34"/>
      <c r="AQ400" s="34"/>
      <c r="AR400" s="34"/>
      <c r="AS400" s="34"/>
      <c r="AT400" s="34"/>
    </row>
    <row r="401" spans="1:46" x14ac:dyDescent="0.3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AO401" s="34"/>
      <c r="AP401" s="34"/>
      <c r="AQ401" s="34"/>
      <c r="AR401" s="34"/>
      <c r="AS401" s="34"/>
      <c r="AT401" s="34"/>
    </row>
    <row r="402" spans="1:46" x14ac:dyDescent="0.3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AO402" s="34"/>
      <c r="AP402" s="34"/>
      <c r="AQ402" s="34"/>
      <c r="AR402" s="34"/>
      <c r="AS402" s="34"/>
      <c r="AT402" s="34"/>
    </row>
    <row r="403" spans="1:46" x14ac:dyDescent="0.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AO403" s="34"/>
      <c r="AP403" s="34"/>
      <c r="AQ403" s="34"/>
      <c r="AR403" s="34"/>
      <c r="AS403" s="34"/>
      <c r="AT403" s="34"/>
    </row>
    <row r="404" spans="1:46" x14ac:dyDescent="0.3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AO404" s="34"/>
      <c r="AP404" s="34"/>
      <c r="AQ404" s="34"/>
      <c r="AR404" s="34"/>
      <c r="AS404" s="34"/>
      <c r="AT404" s="34"/>
    </row>
    <row r="405" spans="1:46" x14ac:dyDescent="0.3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AO405" s="34"/>
      <c r="AP405" s="34"/>
      <c r="AQ405" s="34"/>
      <c r="AR405" s="34"/>
      <c r="AS405" s="34"/>
      <c r="AT405" s="34"/>
    </row>
    <row r="406" spans="1:46" x14ac:dyDescent="0.3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AO406" s="34"/>
      <c r="AP406" s="34"/>
      <c r="AQ406" s="34"/>
      <c r="AR406" s="34"/>
      <c r="AS406" s="34"/>
      <c r="AT406" s="34"/>
    </row>
    <row r="407" spans="1:46" x14ac:dyDescent="0.3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AO407" s="34"/>
      <c r="AP407" s="34"/>
      <c r="AQ407" s="34"/>
      <c r="AR407" s="34"/>
      <c r="AS407" s="34"/>
      <c r="AT407" s="34"/>
    </row>
    <row r="408" spans="1:46" x14ac:dyDescent="0.3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AO408" s="34"/>
      <c r="AP408" s="34"/>
      <c r="AQ408" s="34"/>
      <c r="AR408" s="34"/>
      <c r="AS408" s="34"/>
      <c r="AT408" s="34"/>
    </row>
    <row r="409" spans="1:46" x14ac:dyDescent="0.3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AO409" s="34"/>
      <c r="AP409" s="34"/>
      <c r="AQ409" s="34"/>
      <c r="AR409" s="34"/>
      <c r="AS409" s="34"/>
      <c r="AT409" s="34"/>
    </row>
    <row r="410" spans="1:46" x14ac:dyDescent="0.3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AO410" s="34"/>
      <c r="AP410" s="34"/>
      <c r="AQ410" s="34"/>
      <c r="AR410" s="34"/>
      <c r="AS410" s="34"/>
      <c r="AT410" s="34"/>
    </row>
    <row r="411" spans="1:46" x14ac:dyDescent="0.3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AO411" s="34"/>
      <c r="AP411" s="34"/>
      <c r="AQ411" s="34"/>
      <c r="AR411" s="34"/>
      <c r="AS411" s="34"/>
      <c r="AT411" s="34"/>
    </row>
    <row r="412" spans="1:46" x14ac:dyDescent="0.3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AO412" s="34"/>
      <c r="AP412" s="34"/>
      <c r="AQ412" s="34"/>
      <c r="AR412" s="34"/>
      <c r="AS412" s="34"/>
      <c r="AT412" s="34"/>
    </row>
    <row r="413" spans="1:46" x14ac:dyDescent="0.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AO413" s="34"/>
      <c r="AP413" s="34"/>
      <c r="AQ413" s="34"/>
      <c r="AR413" s="34"/>
      <c r="AS413" s="34"/>
      <c r="AT413" s="34"/>
    </row>
    <row r="414" spans="1:46" x14ac:dyDescent="0.3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AO414" s="34"/>
      <c r="AP414" s="34"/>
      <c r="AQ414" s="34"/>
      <c r="AR414" s="34"/>
      <c r="AS414" s="34"/>
      <c r="AT414" s="34"/>
    </row>
    <row r="415" spans="1:46" x14ac:dyDescent="0.3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AO415" s="34"/>
      <c r="AP415" s="34"/>
      <c r="AQ415" s="34"/>
      <c r="AR415" s="34"/>
      <c r="AS415" s="34"/>
      <c r="AT415" s="34"/>
    </row>
    <row r="416" spans="1:46" x14ac:dyDescent="0.3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AO416" s="34"/>
      <c r="AP416" s="34"/>
      <c r="AQ416" s="34"/>
      <c r="AR416" s="34"/>
      <c r="AS416" s="34"/>
      <c r="AT416" s="34"/>
    </row>
    <row r="417" spans="1:46" x14ac:dyDescent="0.3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AO417" s="34"/>
      <c r="AP417" s="34"/>
      <c r="AQ417" s="34"/>
      <c r="AR417" s="34"/>
      <c r="AS417" s="34"/>
      <c r="AT417" s="34"/>
    </row>
    <row r="418" spans="1:46" x14ac:dyDescent="0.3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AO418" s="34"/>
      <c r="AP418" s="34"/>
      <c r="AQ418" s="34"/>
      <c r="AR418" s="34"/>
      <c r="AS418" s="34"/>
      <c r="AT418" s="34"/>
    </row>
    <row r="419" spans="1:46" x14ac:dyDescent="0.3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AO419" s="34"/>
      <c r="AP419" s="34"/>
      <c r="AQ419" s="34"/>
      <c r="AR419" s="34"/>
      <c r="AS419" s="34"/>
      <c r="AT419" s="34"/>
    </row>
    <row r="420" spans="1:46" x14ac:dyDescent="0.3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AO420" s="34"/>
      <c r="AP420" s="34"/>
      <c r="AQ420" s="34"/>
      <c r="AR420" s="34"/>
      <c r="AS420" s="34"/>
      <c r="AT420" s="34"/>
    </row>
    <row r="421" spans="1:46" x14ac:dyDescent="0.3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AO421" s="34"/>
      <c r="AP421" s="34"/>
      <c r="AQ421" s="34"/>
      <c r="AR421" s="34"/>
      <c r="AS421" s="34"/>
      <c r="AT421" s="34"/>
    </row>
    <row r="422" spans="1:46" x14ac:dyDescent="0.3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AO422" s="34"/>
      <c r="AP422" s="34"/>
      <c r="AQ422" s="34"/>
      <c r="AR422" s="34"/>
      <c r="AS422" s="34"/>
      <c r="AT422" s="34"/>
    </row>
    <row r="423" spans="1:46" x14ac:dyDescent="0.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AO423" s="34"/>
      <c r="AP423" s="34"/>
      <c r="AQ423" s="34"/>
      <c r="AR423" s="34"/>
      <c r="AS423" s="34"/>
      <c r="AT423" s="34"/>
    </row>
    <row r="424" spans="1:46" x14ac:dyDescent="0.3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AO424" s="34"/>
      <c r="AP424" s="34"/>
      <c r="AQ424" s="34"/>
      <c r="AR424" s="34"/>
      <c r="AS424" s="34"/>
      <c r="AT424" s="34"/>
    </row>
    <row r="425" spans="1:46" x14ac:dyDescent="0.3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AO425" s="34"/>
      <c r="AP425" s="34"/>
      <c r="AQ425" s="34"/>
      <c r="AR425" s="34"/>
      <c r="AS425" s="34"/>
      <c r="AT425" s="34"/>
    </row>
    <row r="426" spans="1:46" x14ac:dyDescent="0.3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AO426" s="34"/>
      <c r="AP426" s="34"/>
      <c r="AQ426" s="34"/>
      <c r="AR426" s="34"/>
      <c r="AS426" s="34"/>
      <c r="AT426" s="34"/>
    </row>
    <row r="427" spans="1:46" x14ac:dyDescent="0.3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AO427" s="34"/>
      <c r="AP427" s="34"/>
      <c r="AQ427" s="34"/>
      <c r="AR427" s="34"/>
      <c r="AS427" s="34"/>
      <c r="AT427" s="34"/>
    </row>
    <row r="428" spans="1:46" x14ac:dyDescent="0.3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AO428" s="34"/>
      <c r="AP428" s="34"/>
      <c r="AQ428" s="34"/>
      <c r="AR428" s="34"/>
      <c r="AS428" s="34"/>
      <c r="AT428" s="34"/>
    </row>
    <row r="429" spans="1:46" x14ac:dyDescent="0.3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AO429" s="34"/>
      <c r="AP429" s="34"/>
      <c r="AQ429" s="34"/>
      <c r="AR429" s="34"/>
      <c r="AS429" s="34"/>
      <c r="AT429" s="34"/>
    </row>
    <row r="430" spans="1:46" x14ac:dyDescent="0.3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AO430" s="34"/>
      <c r="AP430" s="34"/>
      <c r="AQ430" s="34"/>
      <c r="AR430" s="34"/>
      <c r="AS430" s="34"/>
      <c r="AT430" s="34"/>
    </row>
    <row r="431" spans="1:46" x14ac:dyDescent="0.3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AO431" s="34"/>
      <c r="AP431" s="34"/>
      <c r="AQ431" s="34"/>
      <c r="AR431" s="34"/>
      <c r="AS431" s="34"/>
      <c r="AT431" s="34"/>
    </row>
    <row r="432" spans="1:46" x14ac:dyDescent="0.3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AO432" s="34"/>
      <c r="AP432" s="34"/>
      <c r="AQ432" s="34"/>
      <c r="AR432" s="34"/>
      <c r="AS432" s="34"/>
      <c r="AT432" s="34"/>
    </row>
    <row r="433" spans="1:46" x14ac:dyDescent="0.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AO433" s="34"/>
      <c r="AP433" s="34"/>
      <c r="AQ433" s="34"/>
      <c r="AR433" s="34"/>
      <c r="AS433" s="34"/>
      <c r="AT433" s="34"/>
    </row>
    <row r="434" spans="1:46" x14ac:dyDescent="0.3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AO434" s="34"/>
      <c r="AP434" s="34"/>
      <c r="AQ434" s="34"/>
      <c r="AR434" s="34"/>
      <c r="AS434" s="34"/>
      <c r="AT434" s="34"/>
    </row>
    <row r="435" spans="1:46" x14ac:dyDescent="0.3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AO435" s="34"/>
      <c r="AP435" s="34"/>
      <c r="AQ435" s="34"/>
      <c r="AR435" s="34"/>
      <c r="AS435" s="34"/>
      <c r="AT435" s="34"/>
    </row>
    <row r="436" spans="1:46" x14ac:dyDescent="0.3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AO436" s="34"/>
      <c r="AP436" s="34"/>
      <c r="AQ436" s="34"/>
      <c r="AR436" s="34"/>
      <c r="AS436" s="34"/>
      <c r="AT436" s="34"/>
    </row>
    <row r="437" spans="1:46" x14ac:dyDescent="0.3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AO437" s="34"/>
      <c r="AP437" s="34"/>
      <c r="AQ437" s="34"/>
      <c r="AR437" s="34"/>
      <c r="AS437" s="34"/>
      <c r="AT437" s="34"/>
    </row>
    <row r="438" spans="1:46" x14ac:dyDescent="0.3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AO438" s="34"/>
      <c r="AP438" s="34"/>
      <c r="AQ438" s="34"/>
      <c r="AR438" s="34"/>
      <c r="AS438" s="34"/>
      <c r="AT438" s="34"/>
    </row>
    <row r="439" spans="1:46" x14ac:dyDescent="0.3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AO439" s="34"/>
      <c r="AP439" s="34"/>
      <c r="AQ439" s="34"/>
      <c r="AR439" s="34"/>
      <c r="AS439" s="34"/>
      <c r="AT439" s="34"/>
    </row>
    <row r="440" spans="1:46" x14ac:dyDescent="0.3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AO440" s="34"/>
      <c r="AP440" s="34"/>
      <c r="AQ440" s="34"/>
      <c r="AR440" s="34"/>
      <c r="AS440" s="34"/>
      <c r="AT440" s="34"/>
    </row>
    <row r="441" spans="1:46" x14ac:dyDescent="0.3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AO441" s="34"/>
      <c r="AP441" s="34"/>
      <c r="AQ441" s="34"/>
      <c r="AR441" s="34"/>
      <c r="AS441" s="34"/>
      <c r="AT441" s="34"/>
    </row>
    <row r="442" spans="1:46" x14ac:dyDescent="0.3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AO442" s="34"/>
      <c r="AP442" s="34"/>
      <c r="AQ442" s="34"/>
      <c r="AR442" s="34"/>
      <c r="AS442" s="34"/>
      <c r="AT442" s="34"/>
    </row>
    <row r="443" spans="1:46" x14ac:dyDescent="0.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AO443" s="34"/>
      <c r="AP443" s="34"/>
      <c r="AQ443" s="34"/>
      <c r="AR443" s="34"/>
      <c r="AS443" s="34"/>
      <c r="AT443" s="34"/>
    </row>
    <row r="444" spans="1:46" x14ac:dyDescent="0.3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AO444" s="34"/>
      <c r="AP444" s="34"/>
      <c r="AQ444" s="34"/>
      <c r="AR444" s="34"/>
      <c r="AS444" s="34"/>
      <c r="AT444" s="34"/>
    </row>
    <row r="445" spans="1:46" x14ac:dyDescent="0.3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AO445" s="34"/>
      <c r="AP445" s="34"/>
      <c r="AQ445" s="34"/>
      <c r="AR445" s="34"/>
      <c r="AS445" s="34"/>
      <c r="AT445" s="34"/>
    </row>
    <row r="446" spans="1:46" x14ac:dyDescent="0.3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AO446" s="34"/>
      <c r="AP446" s="34"/>
      <c r="AQ446" s="34"/>
      <c r="AR446" s="34"/>
      <c r="AS446" s="34"/>
      <c r="AT446" s="34"/>
    </row>
    <row r="447" spans="1:46" x14ac:dyDescent="0.3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AO447" s="34"/>
      <c r="AP447" s="34"/>
      <c r="AQ447" s="34"/>
      <c r="AR447" s="34"/>
      <c r="AS447" s="34"/>
      <c r="AT447" s="34"/>
    </row>
    <row r="448" spans="1:46" x14ac:dyDescent="0.3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AO448" s="34"/>
      <c r="AP448" s="34"/>
      <c r="AQ448" s="34"/>
      <c r="AR448" s="34"/>
      <c r="AS448" s="34"/>
      <c r="AT448" s="34"/>
    </row>
    <row r="449" spans="1:46" x14ac:dyDescent="0.3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AO449" s="34"/>
      <c r="AP449" s="34"/>
      <c r="AQ449" s="34"/>
      <c r="AR449" s="34"/>
      <c r="AS449" s="34"/>
      <c r="AT449" s="34"/>
    </row>
    <row r="450" spans="1:46" x14ac:dyDescent="0.3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AO450" s="34"/>
      <c r="AP450" s="34"/>
      <c r="AQ450" s="34"/>
      <c r="AR450" s="34"/>
      <c r="AS450" s="34"/>
      <c r="AT450" s="34"/>
    </row>
    <row r="451" spans="1:46" x14ac:dyDescent="0.3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AO451" s="34"/>
      <c r="AP451" s="34"/>
      <c r="AQ451" s="34"/>
      <c r="AR451" s="34"/>
      <c r="AS451" s="34"/>
      <c r="AT451" s="34"/>
    </row>
    <row r="452" spans="1:46" x14ac:dyDescent="0.3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AO452" s="34"/>
      <c r="AP452" s="34"/>
      <c r="AQ452" s="34"/>
      <c r="AR452" s="34"/>
      <c r="AS452" s="34"/>
      <c r="AT452" s="34"/>
    </row>
    <row r="453" spans="1:46" x14ac:dyDescent="0.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AO453" s="34"/>
      <c r="AP453" s="34"/>
      <c r="AQ453" s="34"/>
      <c r="AR453" s="34"/>
      <c r="AS453" s="34"/>
      <c r="AT453" s="34"/>
    </row>
    <row r="454" spans="1:46" x14ac:dyDescent="0.3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AO454" s="34"/>
      <c r="AP454" s="34"/>
      <c r="AQ454" s="34"/>
      <c r="AR454" s="34"/>
      <c r="AS454" s="34"/>
      <c r="AT454" s="34"/>
    </row>
    <row r="455" spans="1:46" x14ac:dyDescent="0.3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AO455" s="34"/>
      <c r="AP455" s="34"/>
      <c r="AQ455" s="34"/>
      <c r="AR455" s="34"/>
      <c r="AS455" s="34"/>
      <c r="AT455" s="34"/>
    </row>
    <row r="456" spans="1:46" x14ac:dyDescent="0.3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AO456" s="34"/>
      <c r="AP456" s="34"/>
      <c r="AQ456" s="34"/>
      <c r="AR456" s="34"/>
      <c r="AS456" s="34"/>
      <c r="AT456" s="34"/>
    </row>
    <row r="457" spans="1:46" x14ac:dyDescent="0.3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AO457" s="34"/>
      <c r="AP457" s="34"/>
      <c r="AQ457" s="34"/>
      <c r="AR457" s="34"/>
      <c r="AS457" s="34"/>
      <c r="AT457" s="34"/>
    </row>
    <row r="458" spans="1:46" x14ac:dyDescent="0.3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AO458" s="34"/>
      <c r="AP458" s="34"/>
      <c r="AQ458" s="34"/>
      <c r="AR458" s="34"/>
      <c r="AS458" s="34"/>
      <c r="AT458" s="34"/>
    </row>
    <row r="459" spans="1:46" x14ac:dyDescent="0.3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AO459" s="34"/>
      <c r="AP459" s="34"/>
      <c r="AQ459" s="34"/>
      <c r="AR459" s="34"/>
      <c r="AS459" s="34"/>
      <c r="AT459" s="34"/>
    </row>
    <row r="460" spans="1:46" x14ac:dyDescent="0.3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AO460" s="34"/>
      <c r="AP460" s="34"/>
      <c r="AQ460" s="34"/>
      <c r="AR460" s="34"/>
      <c r="AS460" s="34"/>
      <c r="AT460" s="34"/>
    </row>
    <row r="461" spans="1:46" x14ac:dyDescent="0.3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AO461" s="34"/>
      <c r="AP461" s="34"/>
      <c r="AQ461" s="34"/>
      <c r="AR461" s="34"/>
      <c r="AS461" s="34"/>
      <c r="AT461" s="34"/>
    </row>
    <row r="462" spans="1:46" x14ac:dyDescent="0.3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AO462" s="34"/>
      <c r="AP462" s="34"/>
      <c r="AQ462" s="34"/>
      <c r="AR462" s="34"/>
      <c r="AS462" s="34"/>
      <c r="AT462" s="34"/>
    </row>
    <row r="463" spans="1:46" x14ac:dyDescent="0.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AO463" s="34"/>
      <c r="AP463" s="34"/>
      <c r="AQ463" s="34"/>
      <c r="AR463" s="34"/>
      <c r="AS463" s="34"/>
      <c r="AT463" s="34"/>
    </row>
    <row r="464" spans="1:46" x14ac:dyDescent="0.3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AO464" s="34"/>
      <c r="AP464" s="34"/>
      <c r="AQ464" s="34"/>
      <c r="AR464" s="34"/>
      <c r="AS464" s="34"/>
      <c r="AT464" s="34"/>
    </row>
    <row r="465" spans="1:46" x14ac:dyDescent="0.3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AO465" s="34"/>
      <c r="AP465" s="34"/>
      <c r="AQ465" s="34"/>
      <c r="AR465" s="34"/>
      <c r="AS465" s="34"/>
      <c r="AT465" s="34"/>
    </row>
    <row r="466" spans="1:46" x14ac:dyDescent="0.3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AO466" s="34"/>
      <c r="AP466" s="34"/>
      <c r="AQ466" s="34"/>
      <c r="AR466" s="34"/>
      <c r="AS466" s="34"/>
      <c r="AT466" s="34"/>
    </row>
    <row r="467" spans="1:46" x14ac:dyDescent="0.3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AO467" s="34"/>
      <c r="AP467" s="34"/>
      <c r="AQ467" s="34"/>
      <c r="AR467" s="34"/>
      <c r="AS467" s="34"/>
      <c r="AT467" s="34"/>
    </row>
    <row r="468" spans="1:46" x14ac:dyDescent="0.3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AO468" s="34"/>
      <c r="AP468" s="34"/>
      <c r="AQ468" s="34"/>
      <c r="AR468" s="34"/>
      <c r="AS468" s="34"/>
      <c r="AT468" s="34"/>
    </row>
    <row r="469" spans="1:46" x14ac:dyDescent="0.3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AO469" s="34"/>
      <c r="AP469" s="34"/>
      <c r="AQ469" s="34"/>
      <c r="AR469" s="34"/>
      <c r="AS469" s="34"/>
      <c r="AT469" s="34"/>
    </row>
    <row r="470" spans="1:46" x14ac:dyDescent="0.3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AO470" s="34"/>
      <c r="AP470" s="34"/>
      <c r="AQ470" s="34"/>
      <c r="AR470" s="34"/>
      <c r="AS470" s="34"/>
      <c r="AT470" s="34"/>
    </row>
    <row r="471" spans="1:46" x14ac:dyDescent="0.3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AO471" s="34"/>
      <c r="AP471" s="34"/>
      <c r="AQ471" s="34"/>
      <c r="AR471" s="34"/>
      <c r="AS471" s="34"/>
      <c r="AT471" s="34"/>
    </row>
    <row r="472" spans="1:46" x14ac:dyDescent="0.3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AO472" s="34"/>
      <c r="AP472" s="34"/>
      <c r="AQ472" s="34"/>
      <c r="AR472" s="34"/>
      <c r="AS472" s="34"/>
      <c r="AT472" s="34"/>
    </row>
    <row r="473" spans="1:46" x14ac:dyDescent="0.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AO473" s="34"/>
      <c r="AP473" s="34"/>
      <c r="AQ473" s="34"/>
      <c r="AR473" s="34"/>
      <c r="AS473" s="34"/>
      <c r="AT473" s="34"/>
    </row>
    <row r="474" spans="1:46" x14ac:dyDescent="0.3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AO474" s="34"/>
      <c r="AP474" s="34"/>
      <c r="AQ474" s="34"/>
      <c r="AR474" s="34"/>
      <c r="AS474" s="34"/>
      <c r="AT474" s="34"/>
    </row>
    <row r="475" spans="1:46" x14ac:dyDescent="0.3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AO475" s="34"/>
      <c r="AP475" s="34"/>
      <c r="AQ475" s="34"/>
      <c r="AR475" s="34"/>
      <c r="AS475" s="34"/>
      <c r="AT475" s="34"/>
    </row>
    <row r="476" spans="1:46" x14ac:dyDescent="0.3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AO476" s="34"/>
      <c r="AP476" s="34"/>
      <c r="AQ476" s="34"/>
      <c r="AR476" s="34"/>
      <c r="AS476" s="34"/>
      <c r="AT476" s="34"/>
    </row>
    <row r="477" spans="1:46" x14ac:dyDescent="0.3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AO477" s="34"/>
      <c r="AP477" s="34"/>
      <c r="AQ477" s="34"/>
      <c r="AR477" s="34"/>
      <c r="AS477" s="34"/>
      <c r="AT477" s="34"/>
    </row>
    <row r="478" spans="1:46" x14ac:dyDescent="0.3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AO478" s="34"/>
      <c r="AP478" s="34"/>
      <c r="AQ478" s="34"/>
      <c r="AR478" s="34"/>
      <c r="AS478" s="34"/>
      <c r="AT478" s="34"/>
    </row>
    <row r="479" spans="1:46" x14ac:dyDescent="0.3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AO479" s="34"/>
      <c r="AP479" s="34"/>
      <c r="AQ479" s="34"/>
      <c r="AR479" s="34"/>
      <c r="AS479" s="34"/>
      <c r="AT479" s="34"/>
    </row>
    <row r="480" spans="1:46" x14ac:dyDescent="0.3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AO480" s="34"/>
      <c r="AP480" s="34"/>
      <c r="AQ480" s="34"/>
      <c r="AR480" s="34"/>
      <c r="AS480" s="34"/>
      <c r="AT480" s="34"/>
    </row>
    <row r="481" spans="1:46" x14ac:dyDescent="0.3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AO481" s="34"/>
      <c r="AP481" s="34"/>
      <c r="AQ481" s="34"/>
      <c r="AR481" s="34"/>
      <c r="AS481" s="34"/>
      <c r="AT481" s="34"/>
    </row>
    <row r="482" spans="1:46" x14ac:dyDescent="0.3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AO482" s="34"/>
      <c r="AP482" s="34"/>
      <c r="AQ482" s="34"/>
      <c r="AR482" s="34"/>
      <c r="AS482" s="34"/>
      <c r="AT482" s="34"/>
    </row>
    <row r="483" spans="1:46" x14ac:dyDescent="0.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AO483" s="34"/>
      <c r="AP483" s="34"/>
      <c r="AQ483" s="34"/>
      <c r="AR483" s="34"/>
      <c r="AS483" s="34"/>
      <c r="AT483" s="34"/>
    </row>
    <row r="484" spans="1:46" x14ac:dyDescent="0.3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AO484" s="34"/>
      <c r="AP484" s="34"/>
      <c r="AQ484" s="34"/>
      <c r="AR484" s="34"/>
      <c r="AS484" s="34"/>
      <c r="AT484" s="34"/>
    </row>
    <row r="485" spans="1:46" x14ac:dyDescent="0.3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AO485" s="34"/>
      <c r="AP485" s="34"/>
      <c r="AQ485" s="34"/>
      <c r="AR485" s="34"/>
      <c r="AS485" s="34"/>
      <c r="AT485" s="34"/>
    </row>
    <row r="486" spans="1:46" x14ac:dyDescent="0.3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AO486" s="34"/>
      <c r="AP486" s="34"/>
      <c r="AQ486" s="34"/>
      <c r="AR486" s="34"/>
      <c r="AS486" s="34"/>
      <c r="AT486" s="34"/>
    </row>
    <row r="487" spans="1:46" x14ac:dyDescent="0.3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AO487" s="34"/>
      <c r="AP487" s="34"/>
      <c r="AQ487" s="34"/>
      <c r="AR487" s="34"/>
      <c r="AS487" s="34"/>
      <c r="AT487" s="34"/>
    </row>
    <row r="488" spans="1:46" x14ac:dyDescent="0.3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AO488" s="34"/>
      <c r="AP488" s="34"/>
      <c r="AQ488" s="34"/>
      <c r="AR488" s="34"/>
      <c r="AS488" s="34"/>
      <c r="AT488" s="34"/>
    </row>
    <row r="489" spans="1:46" x14ac:dyDescent="0.3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AO489" s="34"/>
      <c r="AP489" s="34"/>
      <c r="AQ489" s="34"/>
      <c r="AR489" s="34"/>
      <c r="AS489" s="34"/>
      <c r="AT489" s="34"/>
    </row>
    <row r="490" spans="1:46" x14ac:dyDescent="0.3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AO490" s="34"/>
      <c r="AP490" s="34"/>
      <c r="AQ490" s="34"/>
      <c r="AR490" s="34"/>
      <c r="AS490" s="34"/>
      <c r="AT490" s="34"/>
    </row>
    <row r="491" spans="1:46" x14ac:dyDescent="0.3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AO491" s="34"/>
      <c r="AP491" s="34"/>
      <c r="AQ491" s="34"/>
      <c r="AR491" s="34"/>
      <c r="AS491" s="34"/>
      <c r="AT491" s="34"/>
    </row>
    <row r="492" spans="1:46" x14ac:dyDescent="0.3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AO492" s="34"/>
      <c r="AP492" s="34"/>
      <c r="AQ492" s="34"/>
      <c r="AR492" s="34"/>
      <c r="AS492" s="34"/>
      <c r="AT492" s="34"/>
    </row>
    <row r="493" spans="1:46" x14ac:dyDescent="0.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AO493" s="34"/>
      <c r="AP493" s="34"/>
      <c r="AQ493" s="34"/>
      <c r="AR493" s="34"/>
      <c r="AS493" s="34"/>
      <c r="AT493" s="34"/>
    </row>
    <row r="494" spans="1:46" x14ac:dyDescent="0.3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AO494" s="34"/>
      <c r="AP494" s="34"/>
      <c r="AQ494" s="34"/>
      <c r="AR494" s="34"/>
      <c r="AS494" s="34"/>
      <c r="AT494" s="34"/>
    </row>
    <row r="495" spans="1:46" x14ac:dyDescent="0.3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AO495" s="34"/>
      <c r="AP495" s="34"/>
      <c r="AQ495" s="34"/>
      <c r="AR495" s="34"/>
      <c r="AS495" s="34"/>
      <c r="AT495" s="34"/>
    </row>
    <row r="496" spans="1:46" x14ac:dyDescent="0.3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AO496" s="34"/>
      <c r="AP496" s="34"/>
      <c r="AQ496" s="34"/>
      <c r="AR496" s="34"/>
      <c r="AS496" s="34"/>
      <c r="AT496" s="34"/>
    </row>
    <row r="497" spans="1:46" x14ac:dyDescent="0.3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AO497" s="34"/>
      <c r="AP497" s="34"/>
      <c r="AQ497" s="34"/>
      <c r="AR497" s="34"/>
      <c r="AS497" s="34"/>
      <c r="AT497" s="34"/>
    </row>
    <row r="498" spans="1:46" x14ac:dyDescent="0.3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AO498" s="34"/>
      <c r="AP498" s="34"/>
      <c r="AQ498" s="34"/>
      <c r="AR498" s="34"/>
      <c r="AS498" s="34"/>
      <c r="AT498" s="34"/>
    </row>
    <row r="499" spans="1:46" x14ac:dyDescent="0.3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AO499" s="34"/>
      <c r="AP499" s="34"/>
      <c r="AQ499" s="34"/>
      <c r="AR499" s="34"/>
      <c r="AS499" s="34"/>
      <c r="AT499" s="34"/>
    </row>
    <row r="500" spans="1:46" x14ac:dyDescent="0.3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AO500" s="34"/>
      <c r="AP500" s="34"/>
      <c r="AQ500" s="34"/>
      <c r="AR500" s="34"/>
      <c r="AS500" s="34"/>
      <c r="AT500" s="34"/>
    </row>
    <row r="501" spans="1:46" x14ac:dyDescent="0.3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AO501" s="34"/>
      <c r="AP501" s="34"/>
      <c r="AQ501" s="34"/>
      <c r="AR501" s="34"/>
      <c r="AS501" s="34"/>
      <c r="AT501" s="34"/>
    </row>
    <row r="502" spans="1:46" x14ac:dyDescent="0.3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AO502" s="34"/>
      <c r="AP502" s="34"/>
      <c r="AQ502" s="34"/>
      <c r="AR502" s="34"/>
      <c r="AS502" s="34"/>
      <c r="AT502" s="34"/>
    </row>
    <row r="503" spans="1:46" x14ac:dyDescent="0.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AO503" s="34"/>
      <c r="AP503" s="34"/>
      <c r="AQ503" s="34"/>
      <c r="AR503" s="34"/>
      <c r="AS503" s="34"/>
      <c r="AT503" s="34"/>
    </row>
    <row r="504" spans="1:46" x14ac:dyDescent="0.3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AO504" s="34"/>
      <c r="AP504" s="34"/>
      <c r="AQ504" s="34"/>
      <c r="AR504" s="34"/>
      <c r="AS504" s="34"/>
      <c r="AT504" s="34"/>
    </row>
    <row r="505" spans="1:46" x14ac:dyDescent="0.3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AO505" s="34"/>
      <c r="AP505" s="34"/>
      <c r="AQ505" s="34"/>
      <c r="AR505" s="34"/>
      <c r="AS505" s="34"/>
      <c r="AT505" s="34"/>
    </row>
    <row r="506" spans="1:46" x14ac:dyDescent="0.3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AO506" s="34"/>
      <c r="AP506" s="34"/>
      <c r="AQ506" s="34"/>
      <c r="AR506" s="34"/>
      <c r="AS506" s="34"/>
      <c r="AT506" s="34"/>
    </row>
    <row r="507" spans="1:46" x14ac:dyDescent="0.3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AO507" s="34"/>
      <c r="AP507" s="34"/>
      <c r="AQ507" s="34"/>
      <c r="AR507" s="34"/>
      <c r="AS507" s="34"/>
      <c r="AT507" s="34"/>
    </row>
    <row r="508" spans="1:46" x14ac:dyDescent="0.3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AO508" s="34"/>
      <c r="AP508" s="34"/>
      <c r="AQ508" s="34"/>
      <c r="AR508" s="34"/>
      <c r="AS508" s="34"/>
      <c r="AT508" s="34"/>
    </row>
    <row r="509" spans="1:46" x14ac:dyDescent="0.3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AO509" s="34"/>
      <c r="AP509" s="34"/>
      <c r="AQ509" s="34"/>
      <c r="AR509" s="34"/>
      <c r="AS509" s="34"/>
      <c r="AT509" s="34"/>
    </row>
    <row r="510" spans="1:46" x14ac:dyDescent="0.3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AO510" s="34"/>
      <c r="AP510" s="34"/>
      <c r="AQ510" s="34"/>
      <c r="AR510" s="34"/>
      <c r="AS510" s="34"/>
      <c r="AT510" s="34"/>
    </row>
    <row r="511" spans="1:46" x14ac:dyDescent="0.3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AO511" s="34"/>
      <c r="AP511" s="34"/>
      <c r="AQ511" s="34"/>
      <c r="AR511" s="34"/>
      <c r="AS511" s="34"/>
      <c r="AT511" s="34"/>
    </row>
    <row r="512" spans="1:46" x14ac:dyDescent="0.3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AO512" s="34"/>
      <c r="AP512" s="34"/>
      <c r="AQ512" s="34"/>
      <c r="AR512" s="34"/>
      <c r="AS512" s="34"/>
      <c r="AT512" s="34"/>
    </row>
    <row r="513" spans="1:46" x14ac:dyDescent="0.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AO513" s="34"/>
      <c r="AP513" s="34"/>
      <c r="AQ513" s="34"/>
      <c r="AR513" s="34"/>
      <c r="AS513" s="34"/>
      <c r="AT513" s="34"/>
    </row>
    <row r="514" spans="1:46" x14ac:dyDescent="0.3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AO514" s="34"/>
      <c r="AP514" s="34"/>
      <c r="AQ514" s="34"/>
      <c r="AR514" s="34"/>
      <c r="AS514" s="34"/>
      <c r="AT514" s="34"/>
    </row>
    <row r="515" spans="1:46" x14ac:dyDescent="0.3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AO515" s="34"/>
      <c r="AP515" s="34"/>
      <c r="AQ515" s="34"/>
      <c r="AR515" s="34"/>
      <c r="AS515" s="34"/>
      <c r="AT515" s="34"/>
    </row>
    <row r="516" spans="1:46" x14ac:dyDescent="0.3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AO516" s="34"/>
      <c r="AP516" s="34"/>
      <c r="AQ516" s="34"/>
      <c r="AR516" s="34"/>
      <c r="AS516" s="34"/>
      <c r="AT516" s="34"/>
    </row>
    <row r="517" spans="1:46" x14ac:dyDescent="0.3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AO517" s="34"/>
      <c r="AP517" s="34"/>
      <c r="AQ517" s="34"/>
      <c r="AR517" s="34"/>
      <c r="AS517" s="34"/>
      <c r="AT517" s="34"/>
    </row>
    <row r="518" spans="1:46" x14ac:dyDescent="0.3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AO518" s="34"/>
      <c r="AP518" s="34"/>
      <c r="AQ518" s="34"/>
      <c r="AR518" s="34"/>
      <c r="AS518" s="34"/>
      <c r="AT518" s="34"/>
    </row>
    <row r="519" spans="1:46" x14ac:dyDescent="0.3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AO519" s="34"/>
      <c r="AP519" s="34"/>
      <c r="AQ519" s="34"/>
      <c r="AR519" s="34"/>
      <c r="AS519" s="34"/>
      <c r="AT519" s="34"/>
    </row>
    <row r="520" spans="1:46" x14ac:dyDescent="0.3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AO520" s="34"/>
      <c r="AP520" s="34"/>
      <c r="AQ520" s="34"/>
      <c r="AR520" s="34"/>
      <c r="AS520" s="34"/>
      <c r="AT520" s="34"/>
    </row>
    <row r="521" spans="1:46" x14ac:dyDescent="0.3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AO521" s="34"/>
      <c r="AP521" s="34"/>
      <c r="AQ521" s="34"/>
      <c r="AR521" s="34"/>
      <c r="AS521" s="34"/>
      <c r="AT521" s="34"/>
    </row>
    <row r="522" spans="1:46" x14ac:dyDescent="0.3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AO522" s="34"/>
      <c r="AP522" s="34"/>
      <c r="AQ522" s="34"/>
      <c r="AR522" s="34"/>
      <c r="AS522" s="34"/>
      <c r="AT522" s="34"/>
    </row>
    <row r="523" spans="1:46" x14ac:dyDescent="0.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AO523" s="34"/>
      <c r="AP523" s="34"/>
      <c r="AQ523" s="34"/>
      <c r="AR523" s="34"/>
      <c r="AS523" s="34"/>
      <c r="AT523" s="34"/>
    </row>
    <row r="524" spans="1:46" x14ac:dyDescent="0.3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AO524" s="34"/>
      <c r="AP524" s="34"/>
      <c r="AQ524" s="34"/>
      <c r="AR524" s="34"/>
      <c r="AS524" s="34"/>
      <c r="AT524" s="34"/>
    </row>
    <row r="525" spans="1:46" x14ac:dyDescent="0.3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AO525" s="34"/>
      <c r="AP525" s="34"/>
      <c r="AQ525" s="34"/>
      <c r="AR525" s="34"/>
      <c r="AS525" s="34"/>
      <c r="AT525" s="34"/>
    </row>
    <row r="526" spans="1:46" x14ac:dyDescent="0.3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AO526" s="34"/>
      <c r="AP526" s="34"/>
      <c r="AQ526" s="34"/>
      <c r="AR526" s="34"/>
      <c r="AS526" s="34"/>
      <c r="AT526" s="34"/>
    </row>
    <row r="527" spans="1:46" x14ac:dyDescent="0.3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AO527" s="34"/>
      <c r="AP527" s="34"/>
      <c r="AQ527" s="34"/>
      <c r="AR527" s="34"/>
      <c r="AS527" s="34"/>
      <c r="AT527" s="34"/>
    </row>
    <row r="528" spans="1:46" x14ac:dyDescent="0.3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AO528" s="34"/>
      <c r="AP528" s="34"/>
      <c r="AQ528" s="34"/>
      <c r="AR528" s="34"/>
      <c r="AS528" s="34"/>
      <c r="AT528" s="34"/>
    </row>
    <row r="529" spans="1:46" x14ac:dyDescent="0.3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AO529" s="34"/>
      <c r="AP529" s="34"/>
      <c r="AQ529" s="34"/>
      <c r="AR529" s="34"/>
      <c r="AS529" s="34"/>
      <c r="AT529" s="34"/>
    </row>
    <row r="530" spans="1:46" x14ac:dyDescent="0.3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AO530" s="34"/>
      <c r="AP530" s="34"/>
      <c r="AQ530" s="34"/>
      <c r="AR530" s="34"/>
      <c r="AS530" s="34"/>
      <c r="AT530" s="34"/>
    </row>
    <row r="531" spans="1:46" x14ac:dyDescent="0.3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AO531" s="34"/>
      <c r="AP531" s="34"/>
      <c r="AQ531" s="34"/>
      <c r="AR531" s="34"/>
      <c r="AS531" s="34"/>
      <c r="AT531" s="34"/>
    </row>
    <row r="532" spans="1:46" x14ac:dyDescent="0.3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AO532" s="34"/>
      <c r="AP532" s="34"/>
      <c r="AQ532" s="34"/>
      <c r="AR532" s="34"/>
      <c r="AS532" s="34"/>
      <c r="AT532" s="34"/>
    </row>
    <row r="533" spans="1:46" x14ac:dyDescent="0.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AO533" s="34"/>
      <c r="AP533" s="34"/>
      <c r="AQ533" s="34"/>
      <c r="AR533" s="34"/>
      <c r="AS533" s="34"/>
      <c r="AT533" s="34"/>
    </row>
    <row r="534" spans="1:46" x14ac:dyDescent="0.3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AO534" s="34"/>
      <c r="AP534" s="34"/>
      <c r="AQ534" s="34"/>
      <c r="AR534" s="34"/>
      <c r="AS534" s="34"/>
      <c r="AT534" s="34"/>
    </row>
    <row r="535" spans="1:46" x14ac:dyDescent="0.3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AO535" s="34"/>
      <c r="AP535" s="34"/>
      <c r="AQ535" s="34"/>
      <c r="AR535" s="34"/>
      <c r="AS535" s="34"/>
      <c r="AT535" s="34"/>
    </row>
    <row r="536" spans="1:46" x14ac:dyDescent="0.3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AO536" s="34"/>
      <c r="AP536" s="34"/>
      <c r="AQ536" s="34"/>
      <c r="AR536" s="34"/>
      <c r="AS536" s="34"/>
      <c r="AT536" s="34"/>
    </row>
    <row r="537" spans="1:46" x14ac:dyDescent="0.3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AO537" s="34"/>
      <c r="AP537" s="34"/>
      <c r="AQ537" s="34"/>
      <c r="AR537" s="34"/>
      <c r="AS537" s="34"/>
      <c r="AT537" s="34"/>
    </row>
    <row r="538" spans="1:46" x14ac:dyDescent="0.3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AO538" s="34"/>
      <c r="AP538" s="34"/>
      <c r="AQ538" s="34"/>
      <c r="AR538" s="34"/>
      <c r="AS538" s="34"/>
      <c r="AT538" s="34"/>
    </row>
    <row r="539" spans="1:46" x14ac:dyDescent="0.3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AO539" s="34"/>
      <c r="AP539" s="34"/>
      <c r="AQ539" s="34"/>
      <c r="AR539" s="34"/>
      <c r="AS539" s="34"/>
      <c r="AT539" s="34"/>
    </row>
    <row r="540" spans="1:46" x14ac:dyDescent="0.3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AO540" s="34"/>
      <c r="AP540" s="34"/>
      <c r="AQ540" s="34"/>
      <c r="AR540" s="34"/>
      <c r="AS540" s="34"/>
      <c r="AT540" s="34"/>
    </row>
    <row r="541" spans="1:46" x14ac:dyDescent="0.3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AO541" s="34"/>
      <c r="AP541" s="34"/>
      <c r="AQ541" s="34"/>
      <c r="AR541" s="34"/>
      <c r="AS541" s="34"/>
      <c r="AT541" s="34"/>
    </row>
    <row r="542" spans="1:46" x14ac:dyDescent="0.3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AO542" s="34"/>
      <c r="AP542" s="34"/>
      <c r="AQ542" s="34"/>
      <c r="AR542" s="34"/>
      <c r="AS542" s="34"/>
      <c r="AT542" s="34"/>
    </row>
    <row r="543" spans="1:46" x14ac:dyDescent="0.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AO543" s="34"/>
      <c r="AP543" s="34"/>
      <c r="AQ543" s="34"/>
      <c r="AR543" s="34"/>
      <c r="AS543" s="34"/>
      <c r="AT543" s="34"/>
    </row>
    <row r="544" spans="1:46" x14ac:dyDescent="0.3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AO544" s="34"/>
      <c r="AP544" s="34"/>
      <c r="AQ544" s="34"/>
      <c r="AR544" s="34"/>
      <c r="AS544" s="34"/>
      <c r="AT544" s="34"/>
    </row>
  </sheetData>
  <sheetProtection algorithmName="SHA-512" hashValue="IjwXRbIk61Zp1yPZtHCDZWoDMuLecxr9zyqaB/feCyTCGwf9MNMyKJ75oe8w7AmIJksXBxldafV3MeGeLS8yKw==" saltValue="HNdrxyFiBEzoiMZY5U5bnQ==" spinCount="100000" sheet="1" objects="1" scenarios="1"/>
  <mergeCells count="6">
    <mergeCell ref="D11:G11"/>
    <mergeCell ref="A1:K2"/>
    <mergeCell ref="A3:K3"/>
    <mergeCell ref="D5:G5"/>
    <mergeCell ref="D6:G6"/>
    <mergeCell ref="D10:G10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0000000}">
          <x14:formula1>
            <xm:f>DADOS!$G$1:$G$61</xm:f>
          </x14:formula1>
          <xm:sqref>B7 B12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6"/>
  <dimension ref="A1:AD14"/>
  <sheetViews>
    <sheetView zoomScale="85" zoomScaleNormal="85" workbookViewId="0">
      <selection activeCell="S1" sqref="S1"/>
    </sheetView>
  </sheetViews>
  <sheetFormatPr defaultColWidth="9.109375" defaultRowHeight="24.6" x14ac:dyDescent="0.4"/>
  <cols>
    <col min="1" max="3" width="9.109375" style="9"/>
    <col min="4" max="4" width="21.6640625" style="9" customWidth="1"/>
    <col min="5" max="7" width="9.109375" style="9"/>
    <col min="8" max="8" width="9.109375" style="8"/>
    <col min="9" max="9" width="12.21875" style="8" customWidth="1"/>
    <col min="10" max="11" width="9.109375" style="9"/>
    <col min="12" max="12" width="11.88671875" style="9" bestFit="1" customWidth="1"/>
    <col min="13" max="14" width="9.109375" style="9"/>
    <col min="15" max="15" width="10.6640625" style="9" customWidth="1"/>
    <col min="16" max="30" width="9.109375" style="8"/>
    <col min="31" max="16384" width="9.109375" style="9"/>
  </cols>
  <sheetData>
    <row r="1" spans="1:25" ht="33" x14ac:dyDescent="0.6">
      <c r="A1" s="338" t="s">
        <v>26</v>
      </c>
      <c r="B1" s="338"/>
      <c r="C1" s="338"/>
      <c r="D1" s="338"/>
      <c r="E1" s="338"/>
      <c r="F1" s="338"/>
      <c r="G1" s="338"/>
      <c r="H1" s="246"/>
      <c r="I1" s="246"/>
      <c r="J1" s="338"/>
      <c r="K1" s="338"/>
      <c r="L1" s="338"/>
      <c r="M1" s="338"/>
      <c r="N1" s="338"/>
      <c r="O1" s="338"/>
      <c r="T1" s="333"/>
      <c r="U1" s="333"/>
      <c r="V1" s="333"/>
      <c r="W1" s="333"/>
      <c r="X1" s="333"/>
      <c r="Y1" s="333"/>
    </row>
    <row r="2" spans="1:25" s="8" customFormat="1" x14ac:dyDescent="0.4">
      <c r="A2" s="343" t="s">
        <v>31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</row>
    <row r="3" spans="1:25" ht="74.400000000000006" customHeight="1" x14ac:dyDescent="0.4">
      <c r="A3" s="8"/>
      <c r="B3" s="8"/>
      <c r="C3" s="8"/>
      <c r="D3" s="8"/>
      <c r="E3" s="8"/>
      <c r="F3" s="8"/>
      <c r="G3" s="8"/>
      <c r="J3" s="340" t="s">
        <v>41</v>
      </c>
      <c r="K3" s="340"/>
      <c r="L3" s="340"/>
      <c r="M3" s="340"/>
      <c r="N3" s="340"/>
      <c r="O3" s="340"/>
    </row>
    <row r="4" spans="1:25" x14ac:dyDescent="0.4">
      <c r="A4" s="339" t="s">
        <v>126</v>
      </c>
      <c r="B4" s="339"/>
      <c r="C4" s="339"/>
      <c r="D4" s="339"/>
      <c r="E4" s="335">
        <v>15000</v>
      </c>
      <c r="F4" s="335"/>
      <c r="G4" s="336"/>
      <c r="H4" s="345" t="s">
        <v>125</v>
      </c>
      <c r="J4" s="340"/>
      <c r="K4" s="340"/>
      <c r="L4" s="340"/>
      <c r="M4" s="340"/>
      <c r="N4" s="340"/>
      <c r="O4" s="340"/>
    </row>
    <row r="5" spans="1:25" ht="87" customHeight="1" x14ac:dyDescent="0.4">
      <c r="A5" s="339"/>
      <c r="B5" s="339"/>
      <c r="C5" s="339"/>
      <c r="D5" s="339"/>
      <c r="E5" s="335"/>
      <c r="F5" s="335"/>
      <c r="G5" s="336"/>
      <c r="H5" s="345"/>
      <c r="J5" s="341">
        <f>IF(E10="200ML",(((E7/0.2)-E4))*(-1),(((E7-E4)*(-1))))</f>
        <v>14000</v>
      </c>
      <c r="K5" s="341"/>
      <c r="L5" s="341"/>
      <c r="M5" s="341"/>
      <c r="N5" s="341"/>
      <c r="O5" s="342" t="s">
        <v>40</v>
      </c>
    </row>
    <row r="6" spans="1:25" ht="17.399999999999999" customHeight="1" x14ac:dyDescent="0.4">
      <c r="A6" s="107"/>
      <c r="B6" s="107"/>
      <c r="C6" s="107"/>
      <c r="D6" s="107"/>
      <c r="E6" s="28"/>
      <c r="F6" s="28"/>
      <c r="G6" s="28"/>
      <c r="J6" s="341"/>
      <c r="K6" s="341"/>
      <c r="L6" s="341"/>
      <c r="M6" s="341"/>
      <c r="N6" s="341"/>
      <c r="O6" s="342"/>
    </row>
    <row r="7" spans="1:25" x14ac:dyDescent="0.4">
      <c r="A7" s="339" t="s">
        <v>127</v>
      </c>
      <c r="B7" s="339"/>
      <c r="C7" s="339"/>
      <c r="D7" s="339"/>
      <c r="E7" s="335">
        <v>1000</v>
      </c>
      <c r="F7" s="335"/>
      <c r="G7" s="336"/>
      <c r="H7" s="345" t="s">
        <v>40</v>
      </c>
      <c r="J7" s="8"/>
      <c r="K7" s="8"/>
      <c r="L7" s="8"/>
      <c r="M7" s="8"/>
      <c r="N7" s="8"/>
      <c r="O7" s="8"/>
    </row>
    <row r="8" spans="1:25" ht="52.8" customHeight="1" x14ac:dyDescent="0.4">
      <c r="A8" s="339"/>
      <c r="B8" s="339"/>
      <c r="C8" s="339"/>
      <c r="D8" s="339"/>
      <c r="E8" s="335"/>
      <c r="F8" s="335"/>
      <c r="G8" s="336"/>
      <c r="H8" s="345"/>
      <c r="J8" s="8"/>
      <c r="K8" s="8"/>
      <c r="L8" s="8"/>
      <c r="M8" s="8"/>
      <c r="N8" s="8"/>
      <c r="O8" s="8"/>
    </row>
    <row r="9" spans="1:25" s="8" customFormat="1" ht="17.399999999999999" customHeight="1" x14ac:dyDescent="0.4">
      <c r="A9" s="107"/>
      <c r="B9" s="107"/>
      <c r="C9" s="107"/>
      <c r="D9" s="107"/>
    </row>
    <row r="10" spans="1:25" s="8" customFormat="1" x14ac:dyDescent="0.4">
      <c r="A10" s="337" t="s">
        <v>88</v>
      </c>
      <c r="B10" s="337"/>
      <c r="C10" s="337"/>
      <c r="D10" s="337"/>
      <c r="E10" s="334" t="s">
        <v>90</v>
      </c>
      <c r="F10" s="335"/>
      <c r="G10" s="336"/>
      <c r="H10" s="346" t="s">
        <v>128</v>
      </c>
      <c r="I10" s="346"/>
    </row>
    <row r="11" spans="1:25" s="8" customFormat="1" x14ac:dyDescent="0.4">
      <c r="A11" s="337"/>
      <c r="B11" s="337"/>
      <c r="C11" s="337"/>
      <c r="D11" s="337"/>
      <c r="E11" s="334"/>
      <c r="F11" s="335"/>
      <c r="G11" s="336"/>
      <c r="H11" s="346"/>
      <c r="I11" s="346"/>
    </row>
    <row r="12" spans="1:25" s="8" customFormat="1" x14ac:dyDescent="0.4"/>
    <row r="13" spans="1:25" s="8" customFormat="1" x14ac:dyDescent="0.4"/>
    <row r="14" spans="1:25" s="8" customFormat="1" x14ac:dyDescent="0.4"/>
  </sheetData>
  <sheetProtection algorithmName="SHA-512" hashValue="aMv6yXyCj1obwrkHMUMVEJ+bK7g1NXw3t9DLXi8gEQ9EbhzcE8+cyIlxSMSO8XUPwn+PtkRSzaS5lw7E7cj1TQ==" saltValue="RkS6iBxGNDkrbbwbo0Fy3w==" spinCount="100000" sheet="1" objects="1" scenarios="1" selectLockedCells="1"/>
  <mergeCells count="15">
    <mergeCell ref="T1:Y1"/>
    <mergeCell ref="E10:G11"/>
    <mergeCell ref="A10:D11"/>
    <mergeCell ref="A1:O1"/>
    <mergeCell ref="A4:D5"/>
    <mergeCell ref="A7:D8"/>
    <mergeCell ref="J3:O4"/>
    <mergeCell ref="J5:N6"/>
    <mergeCell ref="E4:G5"/>
    <mergeCell ref="E7:G8"/>
    <mergeCell ref="O5:O6"/>
    <mergeCell ref="A2:O2"/>
    <mergeCell ref="H4:H5"/>
    <mergeCell ref="H7:H8"/>
    <mergeCell ref="H10:I11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978CB6E-8BFD-427C-9C60-F12463F73290}">
          <x14:formula1>
            <xm:f>DADOS!$D$1:$D$2</xm:f>
          </x14:formula1>
          <xm:sqref>E10:G11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7"/>
  <dimension ref="A1:G61"/>
  <sheetViews>
    <sheetView workbookViewId="0">
      <selection activeCell="B11" sqref="B11"/>
    </sheetView>
  </sheetViews>
  <sheetFormatPr defaultRowHeight="14.4" x14ac:dyDescent="0.3"/>
  <cols>
    <col min="1" max="1" width="14.33203125" bestFit="1" customWidth="1"/>
  </cols>
  <sheetData>
    <row r="1" spans="1:7" ht="23.4" x14ac:dyDescent="0.45">
      <c r="A1" s="4" t="s">
        <v>7</v>
      </c>
      <c r="B1" s="4"/>
      <c r="C1" s="4"/>
      <c r="D1" s="4" t="s">
        <v>89</v>
      </c>
      <c r="G1">
        <v>1</v>
      </c>
    </row>
    <row r="2" spans="1:7" ht="23.4" x14ac:dyDescent="0.45">
      <c r="A2" s="4"/>
      <c r="B2" s="4"/>
      <c r="C2" s="4"/>
      <c r="D2" s="4" t="s">
        <v>90</v>
      </c>
      <c r="G2">
        <v>1.0009999999999999</v>
      </c>
    </row>
    <row r="3" spans="1:7" ht="23.4" x14ac:dyDescent="0.45">
      <c r="A3" s="4" t="s">
        <v>8</v>
      </c>
      <c r="B3" s="4">
        <v>600</v>
      </c>
      <c r="C3" s="4"/>
      <c r="D3" s="4"/>
      <c r="G3">
        <v>1.002</v>
      </c>
    </row>
    <row r="4" spans="1:7" ht="23.4" x14ac:dyDescent="0.45">
      <c r="A4" s="4" t="s">
        <v>9</v>
      </c>
      <c r="B4" s="4">
        <v>610</v>
      </c>
      <c r="C4" s="4"/>
      <c r="D4" s="4"/>
      <c r="G4">
        <v>1.0029999999999999</v>
      </c>
    </row>
    <row r="5" spans="1:7" ht="23.4" x14ac:dyDescent="0.45">
      <c r="A5" s="4"/>
      <c r="B5" s="4">
        <v>620</v>
      </c>
      <c r="C5" s="4"/>
      <c r="D5" s="4"/>
      <c r="G5">
        <v>1.004</v>
      </c>
    </row>
    <row r="6" spans="1:7" ht="23.4" x14ac:dyDescent="0.45">
      <c r="A6" s="4" t="s">
        <v>28</v>
      </c>
      <c r="B6" s="4">
        <v>700</v>
      </c>
      <c r="C6" s="4"/>
      <c r="D6" s="4"/>
      <c r="G6">
        <v>1.0049999999999999</v>
      </c>
    </row>
    <row r="7" spans="1:7" ht="23.4" x14ac:dyDescent="0.45">
      <c r="A7" s="4" t="s">
        <v>28</v>
      </c>
      <c r="B7" s="4">
        <v>710</v>
      </c>
      <c r="C7" s="4"/>
      <c r="D7" s="4"/>
      <c r="G7">
        <v>1.006</v>
      </c>
    </row>
    <row r="8" spans="1:7" ht="23.4" x14ac:dyDescent="0.45">
      <c r="A8" s="4" t="s">
        <v>28</v>
      </c>
      <c r="B8" s="4">
        <v>720</v>
      </c>
      <c r="C8" s="4"/>
      <c r="D8" s="4"/>
      <c r="G8">
        <v>1.0069999999999999</v>
      </c>
    </row>
    <row r="9" spans="1:7" ht="23.4" x14ac:dyDescent="0.45">
      <c r="A9" s="4" t="s">
        <v>28</v>
      </c>
      <c r="B9" s="4">
        <v>300</v>
      </c>
      <c r="G9">
        <v>1.008</v>
      </c>
    </row>
    <row r="10" spans="1:7" ht="23.4" x14ac:dyDescent="0.45">
      <c r="A10" s="4" t="s">
        <v>28</v>
      </c>
      <c r="B10" s="4">
        <v>310</v>
      </c>
      <c r="G10">
        <v>1.0089999999999999</v>
      </c>
    </row>
    <row r="11" spans="1:7" ht="23.4" x14ac:dyDescent="0.45">
      <c r="A11" s="4" t="s">
        <v>28</v>
      </c>
      <c r="B11" s="4">
        <v>6</v>
      </c>
      <c r="G11">
        <v>1.01</v>
      </c>
    </row>
    <row r="12" spans="1:7" ht="23.4" x14ac:dyDescent="0.45">
      <c r="A12" s="4" t="s">
        <v>28</v>
      </c>
      <c r="B12" s="4">
        <v>7</v>
      </c>
      <c r="G12">
        <v>1.0109999999999999</v>
      </c>
    </row>
    <row r="13" spans="1:7" ht="23.4" x14ac:dyDescent="0.45">
      <c r="A13" s="4" t="s">
        <v>28</v>
      </c>
      <c r="B13" s="4">
        <v>8</v>
      </c>
      <c r="G13">
        <v>1.012</v>
      </c>
    </row>
    <row r="14" spans="1:7" ht="23.4" x14ac:dyDescent="0.45">
      <c r="A14" s="4" t="s">
        <v>28</v>
      </c>
      <c r="B14" s="4">
        <v>9</v>
      </c>
      <c r="G14">
        <v>1.0129999999999999</v>
      </c>
    </row>
    <row r="15" spans="1:7" ht="23.4" x14ac:dyDescent="0.45">
      <c r="A15" s="4" t="s">
        <v>28</v>
      </c>
      <c r="B15" s="4">
        <v>10</v>
      </c>
      <c r="G15">
        <v>1.014</v>
      </c>
    </row>
    <row r="16" spans="1:7" x14ac:dyDescent="0.3">
      <c r="G16">
        <v>1.0149999999999999</v>
      </c>
    </row>
    <row r="17" spans="7:7" x14ac:dyDescent="0.3">
      <c r="G17">
        <v>1.016</v>
      </c>
    </row>
    <row r="18" spans="7:7" x14ac:dyDescent="0.3">
      <c r="G18">
        <v>1.0169999999999999</v>
      </c>
    </row>
    <row r="19" spans="7:7" x14ac:dyDescent="0.3">
      <c r="G19">
        <v>1.018</v>
      </c>
    </row>
    <row r="20" spans="7:7" x14ac:dyDescent="0.3">
      <c r="G20">
        <v>1.0189999999999999</v>
      </c>
    </row>
    <row r="21" spans="7:7" x14ac:dyDescent="0.3">
      <c r="G21">
        <v>1.02</v>
      </c>
    </row>
    <row r="22" spans="7:7" x14ac:dyDescent="0.3">
      <c r="G22">
        <v>1.0209999999999999</v>
      </c>
    </row>
    <row r="23" spans="7:7" x14ac:dyDescent="0.3">
      <c r="G23">
        <v>1.022</v>
      </c>
    </row>
    <row r="24" spans="7:7" x14ac:dyDescent="0.3">
      <c r="G24">
        <v>1.0229999999999999</v>
      </c>
    </row>
    <row r="25" spans="7:7" x14ac:dyDescent="0.3">
      <c r="G25">
        <v>1.024</v>
      </c>
    </row>
    <row r="26" spans="7:7" x14ac:dyDescent="0.3">
      <c r="G26">
        <v>1.0249999999999999</v>
      </c>
    </row>
    <row r="27" spans="7:7" x14ac:dyDescent="0.3">
      <c r="G27">
        <v>1.026</v>
      </c>
    </row>
    <row r="28" spans="7:7" x14ac:dyDescent="0.3">
      <c r="G28">
        <v>1.0269999999999999</v>
      </c>
    </row>
    <row r="29" spans="7:7" x14ac:dyDescent="0.3">
      <c r="G29">
        <v>1.028</v>
      </c>
    </row>
    <row r="30" spans="7:7" x14ac:dyDescent="0.3">
      <c r="G30">
        <v>1.0289999999999999</v>
      </c>
    </row>
    <row r="31" spans="7:7" x14ac:dyDescent="0.3">
      <c r="G31">
        <v>1.03</v>
      </c>
    </row>
    <row r="32" spans="7:7" x14ac:dyDescent="0.3">
      <c r="G32">
        <v>1.0309999999999999</v>
      </c>
    </row>
    <row r="33" spans="7:7" x14ac:dyDescent="0.3">
      <c r="G33">
        <v>1.032</v>
      </c>
    </row>
    <row r="34" spans="7:7" x14ac:dyDescent="0.3">
      <c r="G34">
        <v>1.0329999999999999</v>
      </c>
    </row>
    <row r="35" spans="7:7" x14ac:dyDescent="0.3">
      <c r="G35">
        <v>1.034</v>
      </c>
    </row>
    <row r="36" spans="7:7" x14ac:dyDescent="0.3">
      <c r="G36">
        <v>1.0349999999999999</v>
      </c>
    </row>
    <row r="37" spans="7:7" x14ac:dyDescent="0.3">
      <c r="G37">
        <v>1.036</v>
      </c>
    </row>
    <row r="38" spans="7:7" x14ac:dyDescent="0.3">
      <c r="G38">
        <v>1.0369999999999999</v>
      </c>
    </row>
    <row r="39" spans="7:7" x14ac:dyDescent="0.3">
      <c r="G39">
        <v>1.038</v>
      </c>
    </row>
    <row r="40" spans="7:7" x14ac:dyDescent="0.3">
      <c r="G40">
        <v>1.0389999999999999</v>
      </c>
    </row>
    <row r="41" spans="7:7" x14ac:dyDescent="0.3">
      <c r="G41">
        <v>1.04</v>
      </c>
    </row>
    <row r="42" spans="7:7" x14ac:dyDescent="0.3">
      <c r="G42">
        <v>1.0409999999999999</v>
      </c>
    </row>
    <row r="43" spans="7:7" x14ac:dyDescent="0.3">
      <c r="G43">
        <v>1.042</v>
      </c>
    </row>
    <row r="44" spans="7:7" x14ac:dyDescent="0.3">
      <c r="G44">
        <v>1.0429999999999999</v>
      </c>
    </row>
    <row r="45" spans="7:7" x14ac:dyDescent="0.3">
      <c r="G45">
        <v>1.044</v>
      </c>
    </row>
    <row r="46" spans="7:7" x14ac:dyDescent="0.3">
      <c r="G46">
        <v>1.0449999999999999</v>
      </c>
    </row>
    <row r="47" spans="7:7" x14ac:dyDescent="0.3">
      <c r="G47">
        <v>1.046</v>
      </c>
    </row>
    <row r="48" spans="7:7" x14ac:dyDescent="0.3">
      <c r="G48">
        <v>1.0470000000000099</v>
      </c>
    </row>
    <row r="49" spans="7:7" x14ac:dyDescent="0.3">
      <c r="G49">
        <v>1.04800000000001</v>
      </c>
    </row>
    <row r="50" spans="7:7" x14ac:dyDescent="0.3">
      <c r="G50">
        <v>1.0490000000000099</v>
      </c>
    </row>
    <row r="51" spans="7:7" x14ac:dyDescent="0.3">
      <c r="G51">
        <v>1.05000000000001</v>
      </c>
    </row>
    <row r="52" spans="7:7" x14ac:dyDescent="0.3">
      <c r="G52">
        <v>1.0510000000000099</v>
      </c>
    </row>
    <row r="53" spans="7:7" x14ac:dyDescent="0.3">
      <c r="G53">
        <v>1.05200000000001</v>
      </c>
    </row>
    <row r="54" spans="7:7" x14ac:dyDescent="0.3">
      <c r="G54">
        <v>1.0530000000000099</v>
      </c>
    </row>
    <row r="55" spans="7:7" x14ac:dyDescent="0.3">
      <c r="G55">
        <v>1.05400000000001</v>
      </c>
    </row>
    <row r="56" spans="7:7" x14ac:dyDescent="0.3">
      <c r="G56">
        <v>1.0550000000000099</v>
      </c>
    </row>
    <row r="57" spans="7:7" x14ac:dyDescent="0.3">
      <c r="G57">
        <v>1.05600000000001</v>
      </c>
    </row>
    <row r="58" spans="7:7" x14ac:dyDescent="0.3">
      <c r="G58">
        <v>1.0570000000000099</v>
      </c>
    </row>
    <row r="59" spans="7:7" x14ac:dyDescent="0.3">
      <c r="G59">
        <v>1.05800000000001</v>
      </c>
    </row>
    <row r="60" spans="7:7" x14ac:dyDescent="0.3">
      <c r="G60">
        <v>1.0590000000000099</v>
      </c>
    </row>
    <row r="61" spans="7:7" x14ac:dyDescent="0.3">
      <c r="G61">
        <v>1.06000000000001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EDA78-235C-4EC5-AC94-2A04695040FB}">
  <dimension ref="A6:H10"/>
  <sheetViews>
    <sheetView workbookViewId="0">
      <selection activeCell="G13" sqref="G13"/>
    </sheetView>
  </sheetViews>
  <sheetFormatPr defaultRowHeight="14.4" x14ac:dyDescent="0.3"/>
  <cols>
    <col min="1" max="5" width="8.88671875" style="34"/>
    <col min="6" max="6" width="39.88671875" style="34" customWidth="1"/>
    <col min="7" max="7" width="10" style="34" bestFit="1" customWidth="1"/>
    <col min="8" max="16384" width="8.88671875" style="34"/>
  </cols>
  <sheetData>
    <row r="6" spans="1:8" ht="25.8" x14ac:dyDescent="0.5">
      <c r="A6" s="209" t="s">
        <v>143</v>
      </c>
      <c r="B6" s="209"/>
      <c r="C6" s="209"/>
      <c r="D6" s="209"/>
      <c r="E6" s="209"/>
      <c r="F6" s="209"/>
      <c r="G6" s="209"/>
      <c r="H6" s="209"/>
    </row>
    <row r="7" spans="1:8" ht="25.8" x14ac:dyDescent="0.5">
      <c r="A7" s="51"/>
      <c r="B7" s="51"/>
      <c r="C7" s="51"/>
      <c r="D7" s="51"/>
      <c r="E7" s="51"/>
      <c r="F7" s="51"/>
      <c r="G7" s="51"/>
      <c r="H7" s="51"/>
    </row>
    <row r="8" spans="1:8" ht="25.8" x14ac:dyDescent="0.5">
      <c r="A8" s="208" t="s">
        <v>64</v>
      </c>
      <c r="B8" s="208"/>
      <c r="C8" s="208"/>
      <c r="D8" s="208"/>
      <c r="E8" s="208"/>
      <c r="F8" s="208"/>
      <c r="G8" s="70">
        <v>0.55000000000000004</v>
      </c>
      <c r="H8" s="99" t="s">
        <v>53</v>
      </c>
    </row>
    <row r="9" spans="1:8" ht="25.8" x14ac:dyDescent="0.5">
      <c r="A9" s="208" t="s">
        <v>142</v>
      </c>
      <c r="B9" s="208"/>
      <c r="C9" s="208"/>
      <c r="D9" s="208"/>
      <c r="E9" s="208"/>
      <c r="F9" s="208"/>
      <c r="G9" s="70">
        <v>10</v>
      </c>
      <c r="H9" s="99" t="s">
        <v>53</v>
      </c>
    </row>
    <row r="10" spans="1:8" ht="25.8" x14ac:dyDescent="0.5">
      <c r="A10" s="208" t="s">
        <v>64</v>
      </c>
      <c r="B10" s="208"/>
      <c r="C10" s="208"/>
      <c r="D10" s="208"/>
      <c r="E10" s="208"/>
      <c r="F10" s="208"/>
      <c r="G10" s="53">
        <f>(G8*0.2)+G9</f>
        <v>10.11</v>
      </c>
      <c r="H10" s="99" t="s">
        <v>53</v>
      </c>
    </row>
  </sheetData>
  <sheetProtection algorithmName="SHA-512" hashValue="DhCYojyr4q39QucysSveJZvNHkzVS4jA11ENpd1pe4AQI2VHlwr+aqyDCqnT9++EiIXxaKxGspXBrQNcQuqZNQ==" saltValue="K7zK6xh3VNrdlFwqhNoe/A==" spinCount="100000" sheet="1" objects="1" scenarios="1"/>
  <mergeCells count="4">
    <mergeCell ref="A8:F8"/>
    <mergeCell ref="A9:F9"/>
    <mergeCell ref="A10:F10"/>
    <mergeCell ref="A6:H6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5B82C-51B5-45B3-8357-D650AB50EAD1}">
  <dimension ref="D3:K11"/>
  <sheetViews>
    <sheetView workbookViewId="0">
      <selection activeCell="J5" sqref="J5"/>
    </sheetView>
  </sheetViews>
  <sheetFormatPr defaultRowHeight="25.8" x14ac:dyDescent="0.5"/>
  <cols>
    <col min="1" max="3" width="8.88671875" style="51"/>
    <col min="4" max="4" width="27.88671875" style="51" bestFit="1" customWidth="1"/>
    <col min="5" max="8" width="8.88671875" style="51"/>
    <col min="9" max="9" width="11.6640625" style="51" customWidth="1"/>
    <col min="10" max="10" width="13.77734375" style="51" bestFit="1" customWidth="1"/>
    <col min="11" max="16384" width="8.88671875" style="51"/>
  </cols>
  <sheetData>
    <row r="3" spans="4:11" x14ac:dyDescent="0.5">
      <c r="D3" s="209" t="s">
        <v>186</v>
      </c>
      <c r="E3" s="209"/>
      <c r="F3" s="209"/>
      <c r="G3" s="209"/>
      <c r="H3" s="209"/>
      <c r="I3" s="209"/>
      <c r="J3" s="209"/>
      <c r="K3" s="209"/>
    </row>
    <row r="4" spans="4:11" ht="6.6" customHeight="1" x14ac:dyDescent="0.5"/>
    <row r="5" spans="4:11" x14ac:dyDescent="0.5">
      <c r="D5" s="208" t="s">
        <v>183</v>
      </c>
      <c r="E5" s="208"/>
      <c r="F5" s="208"/>
      <c r="G5" s="208"/>
      <c r="H5" s="208"/>
      <c r="I5" s="208"/>
      <c r="J5" s="70">
        <v>1.006</v>
      </c>
      <c r="K5" s="99" t="s">
        <v>184</v>
      </c>
    </row>
    <row r="6" spans="4:11" x14ac:dyDescent="0.5">
      <c r="D6" s="210" t="s">
        <v>185</v>
      </c>
      <c r="E6" s="211"/>
      <c r="F6" s="211"/>
      <c r="G6" s="211"/>
      <c r="H6" s="211"/>
      <c r="I6" s="212"/>
      <c r="J6" s="53">
        <f>(J5*200)+8.3</f>
        <v>209.5</v>
      </c>
      <c r="K6" s="99" t="s">
        <v>137</v>
      </c>
    </row>
    <row r="7" spans="4:11" ht="43.8" customHeight="1" x14ac:dyDescent="0.5"/>
    <row r="8" spans="4:11" x14ac:dyDescent="0.5">
      <c r="D8" s="209" t="s">
        <v>187</v>
      </c>
      <c r="E8" s="209"/>
      <c r="F8" s="209"/>
      <c r="G8" s="209"/>
      <c r="H8" s="209"/>
      <c r="I8" s="209"/>
      <c r="J8" s="209"/>
      <c r="K8" s="209"/>
    </row>
    <row r="9" spans="4:11" ht="6" customHeight="1" x14ac:dyDescent="0.5"/>
    <row r="10" spans="4:11" x14ac:dyDescent="0.5">
      <c r="D10" s="208" t="s">
        <v>183</v>
      </c>
      <c r="E10" s="208"/>
      <c r="F10" s="208"/>
      <c r="G10" s="208"/>
      <c r="H10" s="208"/>
      <c r="I10" s="208"/>
      <c r="J10" s="70">
        <v>1.006</v>
      </c>
      <c r="K10" s="99" t="s">
        <v>184</v>
      </c>
    </row>
    <row r="11" spans="4:11" x14ac:dyDescent="0.5">
      <c r="D11" s="210" t="s">
        <v>185</v>
      </c>
      <c r="E11" s="211"/>
      <c r="F11" s="211"/>
      <c r="G11" s="211"/>
      <c r="H11" s="211"/>
      <c r="I11" s="212"/>
      <c r="J11" s="53">
        <f>(J10*200)+31.84</f>
        <v>233.04</v>
      </c>
      <c r="K11" s="99" t="s">
        <v>137</v>
      </c>
    </row>
  </sheetData>
  <sheetProtection algorithmName="SHA-512" hashValue="6vI40yJgkTYgLbJ1DACy7P2MrbABq3HWqQ7hcS01VQnPihS9D6FPt1XlkQe6TC3HNpAYi3X8RlS74/1N9BIk6w==" saltValue="MUA9hEhBzemC2ple1V2g8w==" spinCount="100000" sheet="1" objects="1" scenarios="1"/>
  <mergeCells count="6">
    <mergeCell ref="D11:I11"/>
    <mergeCell ref="D3:K3"/>
    <mergeCell ref="D5:I5"/>
    <mergeCell ref="D6:I6"/>
    <mergeCell ref="D8:K8"/>
    <mergeCell ref="D10:I10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127EFBA-5321-465B-89EB-0425FDE6F017}">
          <x14:formula1>
            <xm:f>DADOS!$G$1:$G$61</xm:f>
          </x14:formula1>
          <xm:sqref>J5 J10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Y34"/>
  <sheetViews>
    <sheetView topLeftCell="B1" zoomScaleNormal="100" workbookViewId="0"/>
  </sheetViews>
  <sheetFormatPr defaultRowHeight="14.4" x14ac:dyDescent="0.3"/>
  <cols>
    <col min="1" max="1" width="2.21875" style="34" hidden="1" customWidth="1"/>
    <col min="2" max="2" width="4.6640625" style="34" customWidth="1"/>
    <col min="3" max="3" width="9.33203125" style="34" customWidth="1"/>
    <col min="4" max="9" width="8.88671875" style="34"/>
    <col min="10" max="10" width="6.21875" style="34" customWidth="1"/>
    <col min="11" max="11" width="12.6640625" style="34" customWidth="1"/>
    <col min="12" max="12" width="8.88671875" style="34"/>
    <col min="13" max="13" width="6.77734375" style="34" customWidth="1"/>
    <col min="14" max="14" width="10.44140625" style="34" customWidth="1"/>
    <col min="15" max="15" width="8.88671875" style="34" customWidth="1"/>
    <col min="16" max="20" width="8.88671875" style="34"/>
    <col min="21" max="21" width="7.44140625" style="34" customWidth="1"/>
    <col min="22" max="23" width="8.88671875" style="34"/>
    <col min="24" max="24" width="5.77734375" style="34" customWidth="1"/>
    <col min="25" max="16384" width="8.88671875" style="34"/>
  </cols>
  <sheetData>
    <row r="1" spans="1:25" ht="14.4" customHeight="1" x14ac:dyDescent="0.3">
      <c r="A1" s="157"/>
      <c r="B1" s="214" t="s">
        <v>144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6"/>
      <c r="Y1" s="220"/>
    </row>
    <row r="2" spans="1:25" ht="14.4" customHeight="1" thickBot="1" x14ac:dyDescent="0.35">
      <c r="B2" s="217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9"/>
      <c r="Y2" s="220"/>
    </row>
    <row r="3" spans="1:25" ht="3" customHeight="1" thickBot="1" x14ac:dyDescent="0.35">
      <c r="B3" s="135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220"/>
    </row>
    <row r="4" spans="1:25" ht="1.8" customHeight="1" x14ac:dyDescent="0.3">
      <c r="Y4" s="220"/>
    </row>
    <row r="5" spans="1:25" ht="10.8" customHeight="1" x14ac:dyDescent="0.3">
      <c r="B5" s="213"/>
      <c r="C5" s="213"/>
      <c r="D5" s="213"/>
      <c r="E5" s="213"/>
      <c r="F5" s="213"/>
      <c r="G5" s="213"/>
      <c r="H5" s="213"/>
      <c r="I5" s="213"/>
      <c r="Y5" s="220"/>
    </row>
    <row r="6" spans="1:25" x14ac:dyDescent="0.3">
      <c r="B6" s="213"/>
      <c r="C6" s="213"/>
      <c r="D6" s="213"/>
      <c r="E6" s="213"/>
      <c r="F6" s="213"/>
      <c r="G6" s="213"/>
      <c r="H6" s="213"/>
      <c r="I6" s="213"/>
      <c r="Y6" s="220"/>
    </row>
    <row r="7" spans="1:25" x14ac:dyDescent="0.3">
      <c r="Y7" s="220"/>
    </row>
    <row r="8" spans="1:25" x14ac:dyDescent="0.3">
      <c r="Y8" s="220"/>
    </row>
    <row r="9" spans="1:25" x14ac:dyDescent="0.3">
      <c r="Y9" s="220"/>
    </row>
    <row r="10" spans="1:25" x14ac:dyDescent="0.3">
      <c r="Y10" s="220"/>
    </row>
    <row r="11" spans="1:25" x14ac:dyDescent="0.3">
      <c r="Y11" s="220"/>
    </row>
    <row r="12" spans="1:25" x14ac:dyDescent="0.3">
      <c r="Y12" s="220"/>
    </row>
    <row r="13" spans="1:25" x14ac:dyDescent="0.3">
      <c r="Y13" s="220"/>
    </row>
    <row r="14" spans="1:25" ht="16.8" customHeight="1" x14ac:dyDescent="0.3">
      <c r="Y14" s="220"/>
    </row>
    <row r="15" spans="1:25" ht="26.4" customHeight="1" x14ac:dyDescent="0.3">
      <c r="S15" s="34" t="s">
        <v>58</v>
      </c>
      <c r="Y15" s="220"/>
    </row>
    <row r="16" spans="1:25" x14ac:dyDescent="0.3">
      <c r="Y16" s="220"/>
    </row>
    <row r="17" spans="25:25" x14ac:dyDescent="0.3">
      <c r="Y17" s="220"/>
    </row>
    <row r="18" spans="25:25" x14ac:dyDescent="0.3">
      <c r="Y18" s="220"/>
    </row>
    <row r="19" spans="25:25" ht="15" customHeight="1" x14ac:dyDescent="0.3">
      <c r="Y19" s="220"/>
    </row>
    <row r="20" spans="25:25" ht="14.4" hidden="1" customHeight="1" x14ac:dyDescent="0.3">
      <c r="Y20" s="220"/>
    </row>
    <row r="21" spans="25:25" x14ac:dyDescent="0.3">
      <c r="Y21" s="220"/>
    </row>
    <row r="22" spans="25:25" x14ac:dyDescent="0.3">
      <c r="Y22" s="220"/>
    </row>
    <row r="23" spans="25:25" x14ac:dyDescent="0.3">
      <c r="Y23" s="220"/>
    </row>
    <row r="24" spans="25:25" ht="21.6" customHeight="1" x14ac:dyDescent="0.3">
      <c r="Y24" s="220"/>
    </row>
    <row r="25" spans="25:25" ht="22.8" customHeight="1" x14ac:dyDescent="0.3">
      <c r="Y25" s="220"/>
    </row>
    <row r="26" spans="25:25" x14ac:dyDescent="0.3">
      <c r="Y26" s="220"/>
    </row>
    <row r="27" spans="25:25" x14ac:dyDescent="0.3">
      <c r="Y27" s="220"/>
    </row>
    <row r="34" ht="3" customHeight="1" x14ac:dyDescent="0.3"/>
  </sheetData>
  <sheetProtection algorithmName="SHA-512" hashValue="WlJVWhllpDFCMe6b+8HKXaLuNfed38+KPWHzZBTAECRe3d3LKot/s0Fwca/xfrkOHXPM3+lc6WBNoLlDXVxlBA==" saltValue="Q0742U0NoBBkM9tYpBRaTw==" spinCount="100000" sheet="1" objects="1" scenarios="1"/>
  <mergeCells count="3">
    <mergeCell ref="B5:I6"/>
    <mergeCell ref="B1:X2"/>
    <mergeCell ref="Y1:Y27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A4501-656D-411B-8394-0B50AFD42B0C}">
  <dimension ref="D3:N15"/>
  <sheetViews>
    <sheetView workbookViewId="0">
      <selection activeCell="D9" sqref="D9:I14"/>
    </sheetView>
  </sheetViews>
  <sheetFormatPr defaultRowHeight="25.8" x14ac:dyDescent="0.5"/>
  <cols>
    <col min="1" max="3" width="8.88671875" style="51"/>
    <col min="4" max="4" width="27.88671875" style="51" bestFit="1" customWidth="1"/>
    <col min="5" max="8" width="8.88671875" style="51"/>
    <col min="9" max="9" width="11.6640625" style="51" customWidth="1"/>
    <col min="10" max="10" width="15.77734375" style="51" bestFit="1" customWidth="1"/>
    <col min="11" max="16384" width="8.88671875" style="51"/>
  </cols>
  <sheetData>
    <row r="3" spans="4:14" x14ac:dyDescent="0.5">
      <c r="D3" s="209" t="s">
        <v>195</v>
      </c>
      <c r="E3" s="209"/>
      <c r="F3" s="209"/>
      <c r="G3" s="209"/>
      <c r="H3" s="209"/>
      <c r="I3" s="209"/>
      <c r="J3" s="209"/>
      <c r="K3" s="209"/>
    </row>
    <row r="5" spans="4:14" x14ac:dyDescent="0.5">
      <c r="D5" s="208" t="s">
        <v>191</v>
      </c>
      <c r="E5" s="208"/>
      <c r="F5" s="208"/>
      <c r="G5" s="208"/>
      <c r="H5" s="208"/>
      <c r="I5" s="208"/>
      <c r="J5" s="100">
        <v>5.91</v>
      </c>
      <c r="K5" s="99" t="s">
        <v>40</v>
      </c>
    </row>
    <row r="6" spans="4:14" ht="26.4" thickBot="1" x14ac:dyDescent="0.55000000000000004">
      <c r="D6" s="208" t="s">
        <v>111</v>
      </c>
      <c r="E6" s="208"/>
      <c r="F6" s="208"/>
      <c r="G6" s="208"/>
      <c r="H6" s="208"/>
      <c r="I6" s="208"/>
      <c r="J6" s="100">
        <v>16660</v>
      </c>
      <c r="K6" s="99" t="s">
        <v>40</v>
      </c>
    </row>
    <row r="7" spans="4:14" ht="26.4" thickBot="1" x14ac:dyDescent="0.55000000000000004">
      <c r="D7" s="210" t="s">
        <v>192</v>
      </c>
      <c r="E7" s="211"/>
      <c r="F7" s="211"/>
      <c r="G7" s="211"/>
      <c r="H7" s="211"/>
      <c r="I7" s="212"/>
      <c r="J7" s="140">
        <f>(J5/J6)*1000</f>
        <v>0.35474189675870349</v>
      </c>
      <c r="K7" s="137" t="s">
        <v>40</v>
      </c>
      <c r="L7" s="98" t="s">
        <v>151</v>
      </c>
      <c r="M7" s="139">
        <f>J7*1000</f>
        <v>354.74189675870349</v>
      </c>
      <c r="N7" s="138" t="s">
        <v>137</v>
      </c>
    </row>
    <row r="8" spans="4:14" ht="25.8" customHeight="1" x14ac:dyDescent="0.5">
      <c r="J8" s="228" t="s">
        <v>193</v>
      </c>
      <c r="K8" s="229"/>
      <c r="M8" s="222" t="s">
        <v>194</v>
      </c>
      <c r="N8" s="223"/>
    </row>
    <row r="9" spans="4:14" ht="25.8" customHeight="1" x14ac:dyDescent="0.5">
      <c r="D9" s="221" t="s">
        <v>218</v>
      </c>
      <c r="E9" s="221"/>
      <c r="F9" s="221"/>
      <c r="G9" s="221"/>
      <c r="H9" s="221"/>
      <c r="I9" s="221"/>
      <c r="J9" s="230"/>
      <c r="K9" s="231"/>
      <c r="M9" s="224"/>
      <c r="N9" s="225"/>
    </row>
    <row r="10" spans="4:14" ht="26.4" customHeight="1" thickBot="1" x14ac:dyDescent="0.55000000000000004">
      <c r="D10" s="221"/>
      <c r="E10" s="221"/>
      <c r="F10" s="221"/>
      <c r="G10" s="221"/>
      <c r="H10" s="221"/>
      <c r="I10" s="221"/>
      <c r="J10" s="232"/>
      <c r="K10" s="233"/>
      <c r="M10" s="226"/>
      <c r="N10" s="227"/>
    </row>
    <row r="11" spans="4:14" ht="25.8" customHeight="1" x14ac:dyDescent="0.5">
      <c r="D11" s="221"/>
      <c r="E11" s="221"/>
      <c r="F11" s="221"/>
      <c r="G11" s="221"/>
      <c r="H11" s="221"/>
      <c r="I11" s="221"/>
    </row>
    <row r="12" spans="4:14" x14ac:dyDescent="0.5">
      <c r="D12" s="221"/>
      <c r="E12" s="221"/>
      <c r="F12" s="221"/>
      <c r="G12" s="221"/>
      <c r="H12" s="221"/>
      <c r="I12" s="221"/>
    </row>
    <row r="13" spans="4:14" x14ac:dyDescent="0.5">
      <c r="D13" s="221"/>
      <c r="E13" s="221"/>
      <c r="F13" s="221"/>
      <c r="G13" s="221"/>
      <c r="H13" s="221"/>
      <c r="I13" s="221"/>
    </row>
    <row r="14" spans="4:14" x14ac:dyDescent="0.5">
      <c r="D14" s="221"/>
      <c r="E14" s="221"/>
      <c r="F14" s="221"/>
      <c r="G14" s="221"/>
      <c r="H14" s="221"/>
      <c r="I14" s="221"/>
    </row>
    <row r="15" spans="4:14" x14ac:dyDescent="0.5">
      <c r="D15" s="158"/>
      <c r="E15" s="158"/>
      <c r="F15" s="158"/>
      <c r="G15" s="158"/>
      <c r="H15" s="158"/>
      <c r="I15" s="158"/>
    </row>
  </sheetData>
  <sheetProtection algorithmName="SHA-512" hashValue="FNNU4+2BuuLAs4xzQaqtW4Yq67LbFaqpfy9Vvr5tzdRFIrHs3GCiU6gH1Eoa78uJYr97fb+qLN1H9F72juXlAw==" saltValue="8vzxmZ47bmjyLjgjT1TWcw==" spinCount="100000" sheet="1" objects="1" scenarios="1"/>
  <mergeCells count="7">
    <mergeCell ref="D9:I14"/>
    <mergeCell ref="M8:N10"/>
    <mergeCell ref="D3:K3"/>
    <mergeCell ref="D5:I5"/>
    <mergeCell ref="D6:I6"/>
    <mergeCell ref="D7:I7"/>
    <mergeCell ref="J8:K10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24BE7-D4FD-4A11-8603-18DE3D12752F}">
  <dimension ref="D3:K8"/>
  <sheetViews>
    <sheetView workbookViewId="0">
      <selection activeCell="J7" sqref="J7"/>
    </sheetView>
  </sheetViews>
  <sheetFormatPr defaultRowHeight="25.8" x14ac:dyDescent="0.5"/>
  <cols>
    <col min="1" max="3" width="8.88671875" style="51"/>
    <col min="4" max="4" width="27.88671875" style="51" bestFit="1" customWidth="1"/>
    <col min="5" max="8" width="8.88671875" style="51"/>
    <col min="9" max="9" width="11.6640625" style="51" customWidth="1"/>
    <col min="10" max="10" width="13.77734375" style="51" bestFit="1" customWidth="1"/>
    <col min="11" max="16384" width="8.88671875" style="51"/>
  </cols>
  <sheetData>
    <row r="3" spans="4:11" x14ac:dyDescent="0.5">
      <c r="D3" s="209" t="s">
        <v>188</v>
      </c>
      <c r="E3" s="209"/>
      <c r="F3" s="209"/>
      <c r="G3" s="209"/>
      <c r="H3" s="209"/>
      <c r="I3" s="209"/>
      <c r="J3" s="209"/>
      <c r="K3" s="209"/>
    </row>
    <row r="4" spans="4:11" ht="6.6" customHeight="1" x14ac:dyDescent="0.5"/>
    <row r="5" spans="4:11" x14ac:dyDescent="0.5">
      <c r="D5" s="208" t="s">
        <v>189</v>
      </c>
      <c r="E5" s="208"/>
      <c r="F5" s="208"/>
      <c r="G5" s="208"/>
      <c r="H5" s="208"/>
      <c r="I5" s="208"/>
      <c r="J5" s="102">
        <v>20</v>
      </c>
      <c r="K5" s="99" t="s">
        <v>112</v>
      </c>
    </row>
    <row r="6" spans="4:11" x14ac:dyDescent="0.5">
      <c r="D6" s="210" t="s">
        <v>190</v>
      </c>
      <c r="E6" s="211"/>
      <c r="F6" s="211"/>
      <c r="G6" s="211"/>
      <c r="H6" s="211"/>
      <c r="I6" s="212"/>
      <c r="J6" s="105">
        <v>28</v>
      </c>
      <c r="K6" s="99" t="s">
        <v>137</v>
      </c>
    </row>
    <row r="7" spans="4:11" x14ac:dyDescent="0.5">
      <c r="D7" s="210" t="s">
        <v>3</v>
      </c>
      <c r="E7" s="211"/>
      <c r="F7" s="211"/>
      <c r="G7" s="211"/>
      <c r="H7" s="211"/>
      <c r="I7" s="212"/>
      <c r="J7" s="162">
        <f>J6/J5</f>
        <v>1.4</v>
      </c>
      <c r="K7" s="99" t="s">
        <v>184</v>
      </c>
    </row>
    <row r="8" spans="4:11" ht="43.8" customHeight="1" x14ac:dyDescent="0.5"/>
  </sheetData>
  <sheetProtection algorithmName="SHA-512" hashValue="MP2Y23bjC7Nzbb21/WqM7oqroMcy03AlfKOqRW9sWrDENCFB5Nod/kT24UDNcHVs3H5ORXfHr2K8Kq5fsdLh6w==" saltValue="Ue9YlhcPfQYyfRvZa0Ef8A==" spinCount="100000" sheet="1" objects="1" scenarios="1"/>
  <mergeCells count="4">
    <mergeCell ref="D3:K3"/>
    <mergeCell ref="D5:I5"/>
    <mergeCell ref="D7:I7"/>
    <mergeCell ref="D6:I6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36C54-B5E1-45C5-B3B4-0BFBBD1CE5C0}">
  <dimension ref="D3:K7"/>
  <sheetViews>
    <sheetView workbookViewId="0"/>
  </sheetViews>
  <sheetFormatPr defaultRowHeight="25.8" x14ac:dyDescent="0.5"/>
  <cols>
    <col min="1" max="3" width="8.88671875" style="51"/>
    <col min="4" max="4" width="27.88671875" style="51" bestFit="1" customWidth="1"/>
    <col min="5" max="8" width="8.88671875" style="51"/>
    <col min="9" max="9" width="11.6640625" style="51" customWidth="1"/>
    <col min="10" max="10" width="13.77734375" style="51" bestFit="1" customWidth="1"/>
    <col min="11" max="16384" width="8.88671875" style="51"/>
  </cols>
  <sheetData>
    <row r="3" spans="4:11" x14ac:dyDescent="0.5">
      <c r="D3" s="209" t="s">
        <v>153</v>
      </c>
      <c r="E3" s="209"/>
      <c r="F3" s="209"/>
      <c r="G3" s="209"/>
      <c r="H3" s="209"/>
      <c r="I3" s="209"/>
      <c r="J3" s="209"/>
      <c r="K3" s="209"/>
    </row>
    <row r="5" spans="4:11" x14ac:dyDescent="0.5">
      <c r="D5" s="208" t="s">
        <v>154</v>
      </c>
      <c r="E5" s="208"/>
      <c r="F5" s="208"/>
      <c r="G5" s="208"/>
      <c r="H5" s="208"/>
      <c r="I5" s="208"/>
      <c r="J5" s="70">
        <v>28</v>
      </c>
      <c r="K5" s="99" t="s">
        <v>53</v>
      </c>
    </row>
    <row r="6" spans="4:11" x14ac:dyDescent="0.5">
      <c r="D6" s="208" t="s">
        <v>155</v>
      </c>
      <c r="E6" s="208"/>
      <c r="F6" s="208"/>
      <c r="G6" s="208"/>
      <c r="H6" s="208"/>
      <c r="I6" s="208"/>
      <c r="J6" s="70">
        <v>1.84</v>
      </c>
      <c r="K6" s="99" t="s">
        <v>53</v>
      </c>
    </row>
    <row r="7" spans="4:11" x14ac:dyDescent="0.5">
      <c r="D7" s="210" t="s">
        <v>156</v>
      </c>
      <c r="E7" s="211"/>
      <c r="F7" s="211"/>
      <c r="G7" s="211"/>
      <c r="H7" s="211"/>
      <c r="I7" s="212"/>
      <c r="J7" s="53">
        <f>J5/J6</f>
        <v>15.217391304347826</v>
      </c>
      <c r="K7" s="99" t="s">
        <v>53</v>
      </c>
    </row>
  </sheetData>
  <sheetProtection algorithmName="SHA-512" hashValue="3p6F1bsz5/KoX3MlghfuALgR3OZ87OLh1Y66g8+64lZWZ+J76/ZV9ABfeuS8brXXhlPLmJkw8ptkUwkTzaCdzg==" saltValue="902YuJJMOX9+eWDJq9DM4g==" spinCount="100000" sheet="1" objects="1" scenarios="1"/>
  <mergeCells count="4">
    <mergeCell ref="D3:K3"/>
    <mergeCell ref="D5:I5"/>
    <mergeCell ref="D6:I6"/>
    <mergeCell ref="D7:I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36</vt:i4>
      </vt:variant>
    </vt:vector>
  </HeadingPairs>
  <TitlesOfParts>
    <vt:vector size="36" baseType="lpstr">
      <vt:lpstr>PRODUÇÃO 200 </vt:lpstr>
      <vt:lpstr>PRODUÇÃO LITRO </vt:lpstr>
      <vt:lpstr>abaixar brix</vt:lpstr>
      <vt:lpstr>BRIX CORRIGIDO</vt:lpstr>
      <vt:lpstr>PESO BRUTO</vt:lpstr>
      <vt:lpstr>MENU</vt:lpstr>
      <vt:lpstr>CORANTES</vt:lpstr>
      <vt:lpstr>DENSIDADE</vt:lpstr>
      <vt:lpstr>RATIO</vt:lpstr>
      <vt:lpstr>RATIO - BRIX </vt:lpstr>
      <vt:lpstr>RATIO - ACIDEZ</vt:lpstr>
      <vt:lpstr>Plan1</vt:lpstr>
      <vt:lpstr>ACIDEZ</vt:lpstr>
      <vt:lpstr>CÁLCULO DE SODA </vt:lpstr>
      <vt:lpstr>VITC</vt:lpstr>
      <vt:lpstr>SODA-ANTIGO</vt:lpstr>
      <vt:lpstr>SODA - DIVERSEY</vt:lpstr>
      <vt:lpstr>ACIDO - DIVERSEY</vt:lpstr>
      <vt:lpstr>ACIDO-ANTIGO</vt:lpstr>
      <vt:lpstr>VITAMINA C</vt:lpstr>
      <vt:lpstr>SABER PERDA DE BASE</vt:lpstr>
      <vt:lpstr>QNT DE AÇUCAR PUXAR</vt:lpstr>
      <vt:lpstr>AUMENTAR BRIX AÇÚCAR BATIDO </vt:lpstr>
      <vt:lpstr>previsao brix</vt:lpstr>
      <vt:lpstr>PREVISAO ACIDEZ</vt:lpstr>
      <vt:lpstr>TEMPO DE FINALIZAÇÃO (ok) </vt:lpstr>
      <vt:lpstr>AUMENTAR  ACIDEZ (ok)</vt:lpstr>
      <vt:lpstr>DIMINUIR ACIDEZ</vt:lpstr>
      <vt:lpstr>CORREÇÃO DE BRIX </vt:lpstr>
      <vt:lpstr>CONV - CRISTAL LIQ</vt:lpstr>
      <vt:lpstr>CORREÇÃO AÇÚCAR CRISTAL</vt:lpstr>
      <vt:lpstr>CONVERSAO LIQ - CRIS</vt:lpstr>
      <vt:lpstr>PESO LIQUIDO 200</vt:lpstr>
      <vt:lpstr>PESO LIQUIDO LITRO </vt:lpstr>
      <vt:lpstr>ZERAGEM DE EMBALAGEM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2022-03-03T20:15:58Z</dcterms:created>
  <dcterms:modified xsi:type="dcterms:W3CDTF">2025-03-01T12:04:17Z</dcterms:modified>
</cp:coreProperties>
</file>