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burnham/Desktop/"/>
    </mc:Choice>
  </mc:AlternateContent>
  <bookViews>
    <workbookView xWindow="4200" yWindow="460" windowWidth="21600" windowHeight="14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7" i="1" l="1"/>
  <c r="I51" i="1"/>
  <c r="AH29" i="1"/>
  <c r="AE29" i="1"/>
  <c r="BB33" i="1"/>
  <c r="BB29" i="1"/>
  <c r="AY29" i="1"/>
  <c r="AO29" i="1"/>
  <c r="BB32" i="1"/>
  <c r="BB31" i="1"/>
  <c r="AY32" i="1"/>
  <c r="BB30" i="1"/>
  <c r="AY30" i="1"/>
  <c r="BB28" i="1"/>
  <c r="BB16" i="1"/>
  <c r="BB15" i="1"/>
  <c r="BB12" i="1"/>
  <c r="BB14" i="1"/>
  <c r="BB13" i="1"/>
  <c r="BB11" i="1"/>
  <c r="BB10" i="1"/>
  <c r="BB9" i="1"/>
  <c r="BB8" i="1"/>
  <c r="AY22" i="1"/>
  <c r="AY23" i="1"/>
  <c r="AY24" i="1"/>
  <c r="AY21" i="1"/>
  <c r="AY16" i="1"/>
  <c r="AY17" i="1"/>
  <c r="AY18" i="1"/>
  <c r="AY19" i="1"/>
  <c r="AY20" i="1"/>
  <c r="AY15" i="1"/>
  <c r="AY9" i="1"/>
  <c r="AY10" i="1"/>
  <c r="AY11" i="1"/>
  <c r="AY12" i="1"/>
  <c r="AY13" i="1"/>
  <c r="AY14" i="1"/>
  <c r="AY8" i="1"/>
  <c r="AY31" i="1"/>
  <c r="AL8" i="1"/>
  <c r="AY28" i="1"/>
  <c r="AL24" i="1"/>
  <c r="AL15" i="1"/>
  <c r="AL16" i="1"/>
  <c r="AL17" i="1"/>
  <c r="AL18" i="1"/>
  <c r="AL19" i="1"/>
  <c r="AL20" i="1"/>
  <c r="AL21" i="1"/>
  <c r="AL22" i="1"/>
  <c r="AL23" i="1"/>
  <c r="AA50" i="1"/>
  <c r="AA49" i="1"/>
  <c r="AA26" i="1"/>
  <c r="P26" i="1"/>
  <c r="AA25" i="1"/>
  <c r="AA30" i="1"/>
  <c r="AA32" i="1"/>
  <c r="AA37" i="1"/>
  <c r="AA39" i="1"/>
  <c r="AA41" i="1"/>
  <c r="AA42" i="1"/>
  <c r="AA45" i="1"/>
  <c r="AA48" i="1"/>
  <c r="AA29" i="1"/>
  <c r="AA6" i="1"/>
  <c r="AA7" i="1"/>
  <c r="AA8" i="1"/>
  <c r="AA9" i="1"/>
  <c r="AA10" i="1"/>
  <c r="AA11" i="1"/>
  <c r="AA13" i="1"/>
  <c r="AA15" i="1"/>
  <c r="AA16" i="1"/>
  <c r="AA17" i="1"/>
  <c r="AA18" i="1"/>
  <c r="AA19" i="1"/>
  <c r="AA20" i="1"/>
  <c r="AA21" i="1"/>
  <c r="AA22" i="1"/>
  <c r="AA23" i="1"/>
  <c r="AA24" i="1"/>
  <c r="AA5" i="1"/>
  <c r="W48" i="1"/>
  <c r="W45" i="1"/>
  <c r="W42" i="1"/>
  <c r="W41" i="1"/>
  <c r="W39" i="1"/>
  <c r="W37" i="1"/>
  <c r="W32" i="1"/>
  <c r="W30" i="1"/>
  <c r="W29" i="1"/>
  <c r="W24" i="1"/>
  <c r="W23" i="1"/>
  <c r="W22" i="1"/>
  <c r="W21" i="1"/>
  <c r="W19" i="1"/>
  <c r="W18" i="1"/>
  <c r="W17" i="1"/>
  <c r="W16" i="1"/>
  <c r="W15" i="1"/>
  <c r="W13" i="1"/>
  <c r="W11" i="1"/>
  <c r="W10" i="1"/>
  <c r="W9" i="1"/>
  <c r="W8" i="1"/>
  <c r="W7" i="1"/>
  <c r="W6" i="1"/>
  <c r="W5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B52" i="1"/>
  <c r="M29" i="1"/>
  <c r="M30" i="1"/>
  <c r="M31" i="1"/>
  <c r="M32" i="1"/>
  <c r="M33" i="1"/>
  <c r="M36" i="1"/>
  <c r="M37" i="1"/>
  <c r="M38" i="1"/>
  <c r="M39" i="1"/>
  <c r="M41" i="1"/>
  <c r="M42" i="1"/>
  <c r="M44" i="1"/>
  <c r="M45" i="1"/>
  <c r="M46" i="1"/>
  <c r="M47" i="1"/>
  <c r="M48" i="1"/>
  <c r="I52" i="1"/>
  <c r="T29" i="1"/>
  <c r="T30" i="1"/>
  <c r="T32" i="1"/>
  <c r="T37" i="1"/>
  <c r="T39" i="1"/>
  <c r="T41" i="1"/>
  <c r="T42" i="1"/>
  <c r="T45" i="1"/>
  <c r="T48" i="1"/>
  <c r="P51" i="1"/>
  <c r="T5" i="1"/>
  <c r="T6" i="1"/>
  <c r="T7" i="1"/>
  <c r="T8" i="1"/>
  <c r="T9" i="1"/>
  <c r="T10" i="1"/>
  <c r="T11" i="1"/>
  <c r="T13" i="1"/>
  <c r="T15" i="1"/>
  <c r="T16" i="1"/>
  <c r="T17" i="1"/>
  <c r="T18" i="1"/>
  <c r="T19" i="1"/>
  <c r="T21" i="1"/>
  <c r="T22" i="1"/>
  <c r="T23" i="1"/>
  <c r="T2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I2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B2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I50" i="1"/>
  <c r="I26" i="1"/>
  <c r="B50" i="1"/>
  <c r="B26" i="1"/>
  <c r="P50" i="1"/>
  <c r="B51" i="1"/>
  <c r="AH23" i="1"/>
  <c r="AO1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O8" i="1"/>
  <c r="AO9" i="1"/>
  <c r="AO10" i="1"/>
  <c r="AO11" i="1"/>
  <c r="AO12" i="1"/>
  <c r="AO13" i="1"/>
  <c r="AO14" i="1"/>
  <c r="AO15" i="1"/>
  <c r="AL32" i="1"/>
  <c r="AL9" i="1"/>
  <c r="AL10" i="1"/>
  <c r="AL11" i="1"/>
  <c r="AL12" i="1"/>
  <c r="AL13" i="1"/>
  <c r="AL14" i="1"/>
  <c r="AE32" i="1"/>
  <c r="AL31" i="1"/>
  <c r="AE31" i="1"/>
  <c r="AL29" i="1"/>
  <c r="AO30" i="1"/>
  <c r="AL30" i="1"/>
  <c r="AH30" i="1"/>
  <c r="AE30" i="1"/>
  <c r="AO28" i="1"/>
  <c r="AL28" i="1"/>
  <c r="AE28" i="1"/>
  <c r="AH28" i="1"/>
  <c r="T49" i="1"/>
  <c r="T25" i="1"/>
  <c r="M49" i="1"/>
  <c r="M25" i="1"/>
  <c r="F49" i="1"/>
</calcChain>
</file>

<file path=xl/sharedStrings.xml><?xml version="1.0" encoding="utf-8"?>
<sst xmlns="http://schemas.openxmlformats.org/spreadsheetml/2006/main" count="461" uniqueCount="138">
  <si>
    <t>total Weight</t>
    <phoneticPr fontId="2" type="noConversion"/>
  </si>
  <si>
    <t>of supers (lb)</t>
    <phoneticPr fontId="2" type="noConversion"/>
  </si>
  <si>
    <t>dead</t>
    <phoneticPr fontId="2" type="noConversion"/>
  </si>
  <si>
    <t>**68.8</t>
    <phoneticPr fontId="2" type="noConversion"/>
  </si>
  <si>
    <t>2) 7/7/2016</t>
    <phoneticPr fontId="2" type="noConversion"/>
  </si>
  <si>
    <t>11.6 lb each</t>
    <phoneticPr fontId="2" type="noConversion"/>
  </si>
  <si>
    <t>9.4 lb each</t>
    <phoneticPr fontId="2" type="noConversion"/>
  </si>
  <si>
    <t>x</t>
    <phoneticPr fontId="2" type="noConversion"/>
  </si>
  <si>
    <t>x</t>
    <phoneticPr fontId="2" type="noConversion"/>
  </si>
  <si>
    <t>AVG</t>
    <phoneticPr fontId="2" type="noConversion"/>
  </si>
  <si>
    <t>AVG</t>
    <phoneticPr fontId="2" type="noConversion"/>
  </si>
  <si>
    <t>AVG</t>
    <phoneticPr fontId="2" type="noConversion"/>
  </si>
  <si>
    <t>AVG</t>
    <phoneticPr fontId="2" type="noConversion"/>
  </si>
  <si>
    <t>Biomass (lb)</t>
    <phoneticPr fontId="2" type="noConversion"/>
  </si>
  <si>
    <t>Colony change in weight from Tstep 1; 6/14/16</t>
    <phoneticPr fontId="2" type="noConversion"/>
  </si>
  <si>
    <t>Change in weight</t>
    <phoneticPr fontId="2" type="noConversion"/>
  </si>
  <si>
    <t>avg</t>
  </si>
  <si>
    <t>std error</t>
  </si>
  <si>
    <t>stdev</t>
  </si>
  <si>
    <t>Y1C1</t>
  </si>
  <si>
    <t>Y1C2</t>
  </si>
  <si>
    <t>Y1C3</t>
  </si>
  <si>
    <t>Y1C4</t>
  </si>
  <si>
    <t>Y1C5</t>
  </si>
  <si>
    <t>Y1C8</t>
  </si>
  <si>
    <t>Y1C9</t>
  </si>
  <si>
    <t>Time steps</t>
    <phoneticPr fontId="2" type="noConversion"/>
  </si>
  <si>
    <t>(lb)</t>
    <phoneticPr fontId="2" type="noConversion"/>
  </si>
  <si>
    <t>avg local wt</t>
    <phoneticPr fontId="2" type="noConversion"/>
  </si>
  <si>
    <t>avg CA wt</t>
    <phoneticPr fontId="2" type="noConversion"/>
  </si>
  <si>
    <t>Time steps</t>
    <phoneticPr fontId="2" type="noConversion"/>
  </si>
  <si>
    <t>days</t>
    <phoneticPr fontId="2" type="noConversion"/>
  </si>
  <si>
    <t>p value</t>
    <phoneticPr fontId="2" type="noConversion"/>
  </si>
  <si>
    <t>p value</t>
    <phoneticPr fontId="2" type="noConversion"/>
  </si>
  <si>
    <t>P value</t>
    <phoneticPr fontId="2" type="noConversion"/>
  </si>
  <si>
    <t>avg</t>
    <phoneticPr fontId="2" type="noConversion"/>
  </si>
  <si>
    <t>std error</t>
    <phoneticPr fontId="2" type="noConversion"/>
  </si>
  <si>
    <t>std error</t>
    <phoneticPr fontId="2" type="noConversion"/>
  </si>
  <si>
    <t>stdev</t>
    <phoneticPr fontId="2" type="noConversion"/>
  </si>
  <si>
    <t>p value a/c)</t>
    <phoneticPr fontId="2" type="noConversion"/>
  </si>
  <si>
    <t>p value (c/d)</t>
    <phoneticPr fontId="2" type="noConversion"/>
  </si>
  <si>
    <t>*p value (a/b)</t>
    <phoneticPr fontId="2" type="noConversion"/>
  </si>
  <si>
    <t>Y1C10</t>
  </si>
  <si>
    <t>Y2C1</t>
  </si>
  <si>
    <t>Y2C3</t>
  </si>
  <si>
    <t>Y2C4</t>
  </si>
  <si>
    <t>Y2C6</t>
  </si>
  <si>
    <t>Y2C7</t>
  </si>
  <si>
    <t>Y2C8</t>
  </si>
  <si>
    <t>Y2C9</t>
  </si>
  <si>
    <t>Y2C10</t>
  </si>
  <si>
    <t>Local</t>
    <phoneticPr fontId="2" type="noConversion"/>
  </si>
  <si>
    <t>2) 7/7/2016</t>
    <phoneticPr fontId="2" type="noConversion"/>
  </si>
  <si>
    <t>CA</t>
    <phoneticPr fontId="2" type="noConversion"/>
  </si>
  <si>
    <t>the sample size was knocked down because several of the colonies that werent growing were equalized at the beekeepers request. This affected out trend and P value.</t>
    <phoneticPr fontId="2" type="noConversion"/>
  </si>
  <si>
    <t>Only about  4 of the CA hives from Tstep 3 made any signicicant growth from tstep 2 (y2c3, y2c4 and y2c10).</t>
    <phoneticPr fontId="2" type="noConversion"/>
  </si>
  <si>
    <t>24 Days After 1st Measurement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</si>
  <si>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</si>
  <si>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</si>
  <si>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</si>
  <si>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</si>
  <si>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Y1L10*</t>
    <phoneticPr fontId="2" type="noConversion"/>
  </si>
  <si>
    <t>too weak 45</t>
    <phoneticPr fontId="2" type="noConversion"/>
  </si>
  <si>
    <t>3) 7/26/2016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</si>
  <si>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</si>
  <si>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</si>
  <si>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</si>
  <si>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</si>
  <si>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</si>
  <si>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</si>
  <si>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</si>
  <si>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Hive number</t>
    <phoneticPr fontId="2" type="noConversion"/>
  </si>
  <si>
    <t>1) 6/14/2016</t>
    <phoneticPr fontId="2" type="noConversion"/>
  </si>
  <si>
    <t>Y1L1</t>
    <phoneticPr fontId="2" type="noConversion"/>
  </si>
  <si>
    <t>Y1L2</t>
    <phoneticPr fontId="2" type="noConversion"/>
  </si>
  <si>
    <t>Y1L3</t>
    <phoneticPr fontId="2" type="noConversion"/>
  </si>
  <si>
    <t>Y1L4</t>
    <phoneticPr fontId="2" type="noConversion"/>
  </si>
  <si>
    <t>Y1L5</t>
    <phoneticPr fontId="2" type="noConversion"/>
  </si>
  <si>
    <t>Y1L6</t>
    <phoneticPr fontId="2" type="noConversion"/>
  </si>
  <si>
    <t>Y1L7</t>
    <phoneticPr fontId="2" type="noConversion"/>
  </si>
  <si>
    <t>Y1L8</t>
    <phoneticPr fontId="2" type="noConversion"/>
  </si>
  <si>
    <t>Y1L9</t>
    <phoneticPr fontId="2" type="noConversion"/>
  </si>
  <si>
    <t>Y1L10</t>
    <phoneticPr fontId="2" type="noConversion"/>
  </si>
  <si>
    <t>Y1C1</t>
    <phoneticPr fontId="2" type="noConversion"/>
  </si>
  <si>
    <t>Y1C2</t>
    <phoneticPr fontId="2" type="noConversion"/>
  </si>
  <si>
    <t>Y1C3</t>
    <phoneticPr fontId="2" type="noConversion"/>
  </si>
  <si>
    <t>Y1C4</t>
    <phoneticPr fontId="2" type="noConversion"/>
  </si>
  <si>
    <t>Y1C5</t>
    <phoneticPr fontId="2" type="noConversion"/>
  </si>
  <si>
    <t>Y1C6</t>
    <phoneticPr fontId="2" type="noConversion"/>
  </si>
  <si>
    <t>Y1C7</t>
    <phoneticPr fontId="2" type="noConversion"/>
  </si>
  <si>
    <t>p value 1 vs 2</t>
    <phoneticPr fontId="2" type="noConversion"/>
  </si>
  <si>
    <t>p value 2 vs 3</t>
    <phoneticPr fontId="2" type="noConversion"/>
  </si>
  <si>
    <t>p value 2 vs 3</t>
    <phoneticPr fontId="2" type="noConversion"/>
  </si>
  <si>
    <t>Y1C8</t>
    <phoneticPr fontId="2" type="noConversion"/>
  </si>
  <si>
    <t>Y1C9</t>
    <phoneticPr fontId="2" type="noConversion"/>
  </si>
  <si>
    <t>Y1C10</t>
    <phoneticPr fontId="2" type="noConversion"/>
  </si>
  <si>
    <t>Y2L1</t>
    <phoneticPr fontId="2" type="noConversion"/>
  </si>
  <si>
    <t>Y2L2</t>
    <phoneticPr fontId="2" type="noConversion"/>
  </si>
  <si>
    <t>Y2L3</t>
    <phoneticPr fontId="2" type="noConversion"/>
  </si>
  <si>
    <t>Y2L4</t>
    <phoneticPr fontId="2" type="noConversion"/>
  </si>
  <si>
    <t>Y2L5</t>
    <phoneticPr fontId="2" type="noConversion"/>
  </si>
  <si>
    <t>Y2L6</t>
    <phoneticPr fontId="2" type="noConversion"/>
  </si>
  <si>
    <t>Y2L7</t>
    <phoneticPr fontId="2" type="noConversion"/>
  </si>
  <si>
    <t>Y2L8</t>
    <phoneticPr fontId="2" type="noConversion"/>
  </si>
  <si>
    <t>Y2L9</t>
    <phoneticPr fontId="2" type="noConversion"/>
  </si>
  <si>
    <t>Y2L10</t>
    <phoneticPr fontId="2" type="noConversion"/>
  </si>
  <si>
    <t>Y2C1</t>
    <phoneticPr fontId="2" type="noConversion"/>
  </si>
  <si>
    <t>Y2C2</t>
    <phoneticPr fontId="2" type="noConversion"/>
  </si>
  <si>
    <t>Y2C3</t>
    <phoneticPr fontId="2" type="noConversion"/>
  </si>
  <si>
    <t>Y2C4</t>
    <phoneticPr fontId="2" type="noConversion"/>
  </si>
  <si>
    <t>Y2C5</t>
    <phoneticPr fontId="2" type="noConversion"/>
  </si>
  <si>
    <t>Y2C6</t>
    <phoneticPr fontId="2" type="noConversion"/>
  </si>
  <si>
    <t>Y2C7</t>
    <phoneticPr fontId="2" type="noConversion"/>
  </si>
  <si>
    <t>Y2C8</t>
    <phoneticPr fontId="2" type="noConversion"/>
  </si>
  <si>
    <t>Y2C9</t>
    <phoneticPr fontId="2" type="noConversion"/>
  </si>
  <si>
    <t>Y2C10</t>
    <phoneticPr fontId="2" type="noConversion"/>
  </si>
  <si>
    <t>weight lb</t>
    <phoneticPr fontId="2" type="noConversion"/>
  </si>
  <si>
    <t>Biomass (lb)</t>
    <phoneticPr fontId="2" type="noConversion"/>
  </si>
  <si>
    <t>of hives</t>
    <phoneticPr fontId="2" type="noConversion"/>
  </si>
  <si>
    <t>#deep supers</t>
    <phoneticPr fontId="2" type="noConversion"/>
  </si>
  <si>
    <t>#med supers</t>
    <phoneticPr fontId="2" type="noConversion"/>
  </si>
  <si>
    <t>4) 8/9/2016</t>
  </si>
  <si>
    <t>total Weight</t>
  </si>
  <si>
    <t>of supers (lb)</t>
  </si>
  <si>
    <t>x</t>
  </si>
  <si>
    <t>AVG</t>
  </si>
  <si>
    <t>STD ERROR</t>
  </si>
  <si>
    <t>P VALUE</t>
  </si>
  <si>
    <t>e</t>
  </si>
  <si>
    <t>f</t>
  </si>
  <si>
    <t>*p value (b/d)</t>
  </si>
  <si>
    <t>p value (e/f)</t>
  </si>
  <si>
    <t>*p value (f/d)</t>
  </si>
  <si>
    <t>p value e/c</t>
  </si>
  <si>
    <t>p value e/a</t>
  </si>
  <si>
    <t>43 Days After 1st Measurement</t>
  </si>
  <si>
    <t>57 Days After 1st Measurement</t>
  </si>
  <si>
    <t>p value f/b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</si>
</sst>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Colony Weight Over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Colonies</c:v>
          </c:tx>
          <c:invertIfNegative val="0"/>
          <c:errBars>
            <c:errBarType val="both"/>
            <c:errValType val="cust"/>
            <c:noEndCap val="0"/>
            <c:plus>
              <c:numRef>
                <c:f>(Sheet1!$AE$29,Sheet1!$AH$29,Sheet1!$AY$29)</c:f>
                <c:numCache>
                  <c:formatCode>General</c:formatCode>
                  <c:ptCount val="3"/>
                  <c:pt idx="0">
                    <c:v>2.12125795300105</c:v>
                  </c:pt>
                  <c:pt idx="1">
                    <c:v>1.686860990123371</c:v>
                  </c:pt>
                  <c:pt idx="2">
                    <c:v>4.583606262189412</c:v>
                  </c:pt>
                </c:numCache>
              </c:numRef>
            </c:plus>
            <c:minus>
              <c:numRef>
                <c:f>(Sheet1!$AE$29,Sheet1!$AH$29,Sheet1!$AY$29)</c:f>
                <c:numCache>
                  <c:formatCode>General</c:formatCode>
                  <c:ptCount val="3"/>
                  <c:pt idx="0">
                    <c:v>2.12125795300105</c:v>
                  </c:pt>
                  <c:pt idx="1">
                    <c:v>1.686860990123371</c:v>
                  </c:pt>
                  <c:pt idx="2">
                    <c:v>4.583606262189412</c:v>
                  </c:pt>
                </c:numCache>
              </c:numRef>
            </c:minus>
          </c:errBars>
          <c:cat>
            <c:strRef>
              <c:f>(Sheet1!$AQ$7,Sheet1!$AQ$8,Sheet1!$AQ$9)</c:f>
              <c:strCache>
                <c:ptCount val="3"/>
                <c:pt idx="0">
                  <c:v>24 Days After 1st Measurement</c:v>
                </c:pt>
                <c:pt idx="1">
                  <c:v>43 Days After 1st Measurement</c:v>
                </c:pt>
                <c:pt idx="2">
                  <c:v>57 Days After 1st Measurement</c:v>
                </c:pt>
              </c:strCache>
            </c:strRef>
          </c:cat>
          <c:val>
            <c:numRef>
              <c:f>Sheet1!$AS$7:$AU$7</c:f>
              <c:numCache>
                <c:formatCode>General</c:formatCode>
                <c:ptCount val="3"/>
                <c:pt idx="0">
                  <c:v>12.71</c:v>
                </c:pt>
                <c:pt idx="1">
                  <c:v>18.0</c:v>
                </c:pt>
                <c:pt idx="2">
                  <c:v>32.09</c:v>
                </c:pt>
              </c:numCache>
            </c:numRef>
          </c:val>
        </c:ser>
        <c:ser>
          <c:idx val="1"/>
          <c:order val="1"/>
          <c:tx>
            <c:v>CA Colonies</c:v>
          </c:tx>
          <c:invertIfNegative val="0"/>
          <c:errBars>
            <c:errBarType val="both"/>
            <c:errValType val="cust"/>
            <c:noEndCap val="0"/>
            <c:plus>
              <c:numRef>
                <c:f>(Sheet1!$AL$29,Sheet1!$AO$29,Sheet1!$BB$29)</c:f>
                <c:numCache>
                  <c:formatCode>General</c:formatCode>
                  <c:ptCount val="3"/>
                  <c:pt idx="0">
                    <c:v>3.355329386828906</c:v>
                  </c:pt>
                  <c:pt idx="1">
                    <c:v>5.300628893505623</c:v>
                  </c:pt>
                  <c:pt idx="2">
                    <c:v>5.739574552994561</c:v>
                  </c:pt>
                </c:numCache>
              </c:numRef>
            </c:plus>
            <c:minus>
              <c:numRef>
                <c:f>(Sheet1!$AL$29,Sheet1!$AO$29,Sheet1!$BB$29)</c:f>
                <c:numCache>
                  <c:formatCode>General</c:formatCode>
                  <c:ptCount val="3"/>
                  <c:pt idx="0">
                    <c:v>3.355329386828906</c:v>
                  </c:pt>
                  <c:pt idx="1">
                    <c:v>5.300628893505623</c:v>
                  </c:pt>
                  <c:pt idx="2">
                    <c:v>5.739574552994561</c:v>
                  </c:pt>
                </c:numCache>
              </c:numRef>
            </c:minus>
          </c:errBars>
          <c:cat>
            <c:strRef>
              <c:f>(Sheet1!$AQ$7,Sheet1!$AQ$8,Sheet1!$AQ$9)</c:f>
              <c:strCache>
                <c:ptCount val="3"/>
                <c:pt idx="0">
                  <c:v>24 Days After 1st Measurement</c:v>
                </c:pt>
                <c:pt idx="1">
                  <c:v>43 Days After 1st Measurement</c:v>
                </c:pt>
                <c:pt idx="2">
                  <c:v>57 Days After 1st Measurement</c:v>
                </c:pt>
              </c:strCache>
            </c:strRef>
          </c:cat>
          <c:val>
            <c:numRef>
              <c:f>Sheet1!$AS$8:$AU$8</c:f>
              <c:numCache>
                <c:formatCode>General</c:formatCode>
                <c:ptCount val="3"/>
                <c:pt idx="0">
                  <c:v>4.85</c:v>
                </c:pt>
                <c:pt idx="1">
                  <c:v>15.4</c:v>
                </c:pt>
                <c:pt idx="2">
                  <c:v>16.58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808832"/>
        <c:axId val="-2070743760"/>
      </c:barChart>
      <c:catAx>
        <c:axId val="-206580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0743760"/>
        <c:crosses val="autoZero"/>
        <c:auto val="1"/>
        <c:lblAlgn val="ctr"/>
        <c:lblOffset val="100"/>
        <c:noMultiLvlLbl val="0"/>
      </c:catAx>
      <c:valAx>
        <c:axId val="-207074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Colony Weight (lb)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80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Average Colony Weight over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 Colonies</c:v>
          </c:tx>
          <c:errBars>
            <c:errDir val="y"/>
            <c:errBarType val="both"/>
            <c:errValType val="cust"/>
            <c:noEndCap val="1"/>
            <c:plus>
              <c:numRef>
                <c:f>(Sheet1!$B$27,Sheet1!$I$27,Sheet1!$P$26,Sheet1!$AA$26)</c:f>
                <c:numCache>
                  <c:formatCode>General</c:formatCode>
                  <c:ptCount val="4"/>
                  <c:pt idx="0">
                    <c:v>0.916564496470629</c:v>
                  </c:pt>
                  <c:pt idx="1">
                    <c:v>2.849965306252893</c:v>
                  </c:pt>
                  <c:pt idx="2">
                    <c:v>3.85882801290988</c:v>
                  </c:pt>
                  <c:pt idx="3">
                    <c:v>5.869135076863712</c:v>
                  </c:pt>
                </c:numCache>
              </c:numRef>
            </c:plus>
            <c:minus>
              <c:numRef>
                <c:f>(Sheet1!$B$27,Sheet1!$I$27,Sheet1!$P$26,Sheet1!$AA$26)</c:f>
                <c:numCache>
                  <c:formatCode>General</c:formatCode>
                  <c:ptCount val="4"/>
                  <c:pt idx="0">
                    <c:v>0.916564496470629</c:v>
                  </c:pt>
                  <c:pt idx="1">
                    <c:v>2.849965306252893</c:v>
                  </c:pt>
                  <c:pt idx="2">
                    <c:v>3.85882801290988</c:v>
                  </c:pt>
                  <c:pt idx="3">
                    <c:v>5.869135076863712</c:v>
                  </c:pt>
                </c:numCache>
              </c:numRef>
            </c:minus>
          </c:errBars>
          <c:xVal>
            <c:numRef>
              <c:f>Sheet1!$AC$46:$AC$49</c:f>
              <c:numCache>
                <c:formatCode>General</c:formatCode>
                <c:ptCount val="4"/>
                <c:pt idx="0">
                  <c:v>11.0</c:v>
                </c:pt>
                <c:pt idx="1">
                  <c:v>35.0</c:v>
                </c:pt>
                <c:pt idx="2">
                  <c:v>54.0</c:v>
                </c:pt>
                <c:pt idx="3">
                  <c:v>68.0</c:v>
                </c:pt>
              </c:numCache>
            </c:numRef>
          </c:xVal>
          <c:yVal>
            <c:numRef>
              <c:f>Sheet1!$AD$46:$AD$50</c:f>
              <c:numCache>
                <c:formatCode>General</c:formatCode>
                <c:ptCount val="5"/>
                <c:pt idx="0">
                  <c:v>25.21</c:v>
                </c:pt>
                <c:pt idx="1">
                  <c:v>38.15</c:v>
                </c:pt>
                <c:pt idx="2">
                  <c:v>43.76</c:v>
                </c:pt>
                <c:pt idx="3">
                  <c:v>54.66</c:v>
                </c:pt>
              </c:numCache>
            </c:numRef>
          </c:yVal>
          <c:smooth val="1"/>
        </c:ser>
        <c:ser>
          <c:idx val="1"/>
          <c:order val="1"/>
          <c:tx>
            <c:v>CA Colonies</c:v>
          </c:tx>
          <c:errBars>
            <c:errDir val="y"/>
            <c:errBarType val="both"/>
            <c:errValType val="cust"/>
            <c:noEndCap val="1"/>
            <c:plus>
              <c:numRef>
                <c:f>(Sheet1!$B$52,Sheet1!$I$52,Sheet1!$P$51,Sheet1!$AA$50)</c:f>
                <c:numCache>
                  <c:formatCode>General</c:formatCode>
                  <c:ptCount val="4"/>
                  <c:pt idx="0">
                    <c:v>1.13964675967692</c:v>
                  </c:pt>
                  <c:pt idx="1">
                    <c:v>2.240142759587728</c:v>
                  </c:pt>
                  <c:pt idx="2">
                    <c:v>5.142524239666304</c:v>
                  </c:pt>
                  <c:pt idx="3">
                    <c:v>5.710916555268045</c:v>
                  </c:pt>
                </c:numCache>
              </c:numRef>
            </c:plus>
            <c:minus>
              <c:numRef>
                <c:f>(Sheet1!$B$52,Sheet1!$I$52,Sheet1!$P$51,Sheet1!$AA$50)</c:f>
                <c:numCache>
                  <c:formatCode>General</c:formatCode>
                  <c:ptCount val="4"/>
                  <c:pt idx="0">
                    <c:v>1.13964675967692</c:v>
                  </c:pt>
                  <c:pt idx="1">
                    <c:v>2.240142759587728</c:v>
                  </c:pt>
                  <c:pt idx="2">
                    <c:v>5.142524239666304</c:v>
                  </c:pt>
                  <c:pt idx="3">
                    <c:v>5.710916555268045</c:v>
                  </c:pt>
                </c:numCache>
              </c:numRef>
            </c:minus>
          </c:errBars>
          <c:xVal>
            <c:numRef>
              <c:f>Sheet1!$AF$45:$AF$49</c:f>
              <c:numCache>
                <c:formatCode>General</c:formatCode>
                <c:ptCount val="5"/>
                <c:pt idx="0">
                  <c:v>11.0</c:v>
                </c:pt>
                <c:pt idx="1">
                  <c:v>35.0</c:v>
                </c:pt>
                <c:pt idx="2">
                  <c:v>54.0</c:v>
                </c:pt>
                <c:pt idx="3">
                  <c:v>68.0</c:v>
                </c:pt>
              </c:numCache>
            </c:numRef>
          </c:xVal>
          <c:yVal>
            <c:numRef>
              <c:f>Sheet1!$AG$45:$AG$48</c:f>
              <c:numCache>
                <c:formatCode>General</c:formatCode>
                <c:ptCount val="4"/>
                <c:pt idx="0">
                  <c:v>23.43</c:v>
                </c:pt>
                <c:pt idx="1">
                  <c:v>27.86</c:v>
                </c:pt>
                <c:pt idx="2">
                  <c:v>39.93</c:v>
                </c:pt>
                <c:pt idx="3">
                  <c:v>40.69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092848"/>
        <c:axId val="-2073573104"/>
      </c:scatterChart>
      <c:valAx>
        <c:axId val="-207009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(after requeening)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73104"/>
        <c:crosses val="autoZero"/>
        <c:crossBetween val="midCat"/>
      </c:valAx>
      <c:valAx>
        <c:axId val="-207357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09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622300</xdr:colOff>
      <xdr:row>12</xdr:row>
      <xdr:rowOff>38100</xdr:rowOff>
    </xdr:from>
    <xdr:to>
      <xdr:col>47</xdr:col>
      <xdr:colOff>419100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812800</xdr:colOff>
      <xdr:row>49</xdr:row>
      <xdr:rowOff>139700</xdr:rowOff>
    </xdr:from>
    <xdr:to>
      <xdr:col>35</xdr:col>
      <xdr:colOff>622300</xdr:colOff>
      <xdr:row>91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3"/>
  <sheetViews>
    <sheetView tabSelected="1" topLeftCell="P3" workbookViewId="0">
      <selection activeCell="O46" sqref="O46:O47"/>
    </sheetView>
  </sheetViews>
  <sheetFormatPr baseColWidth="10" defaultRowHeight="13" x14ac:dyDescent="0.15"/>
  <cols>
    <col min="2" max="2" width="12.33203125" bestFit="1" customWidth="1"/>
  </cols>
  <sheetData>
    <row r="1" spans="1:54" x14ac:dyDescent="0.15">
      <c r="A1" s="1" t="s">
        <v>72</v>
      </c>
      <c r="H1" s="1" t="s">
        <v>4</v>
      </c>
      <c r="O1" s="1" t="s">
        <v>63</v>
      </c>
      <c r="V1" s="1" t="s">
        <v>121</v>
      </c>
    </row>
    <row r="2" spans="1:54" x14ac:dyDescent="0.15">
      <c r="A2" t="s">
        <v>71</v>
      </c>
      <c r="B2" t="s">
        <v>116</v>
      </c>
      <c r="C2" t="s">
        <v>119</v>
      </c>
      <c r="D2" t="s">
        <v>120</v>
      </c>
      <c r="E2" t="s">
        <v>0</v>
      </c>
      <c r="F2" t="s">
        <v>13</v>
      </c>
      <c r="H2" t="s">
        <v>71</v>
      </c>
      <c r="I2" t="s">
        <v>116</v>
      </c>
      <c r="J2" t="s">
        <v>119</v>
      </c>
      <c r="K2" t="s">
        <v>120</v>
      </c>
      <c r="L2" t="s">
        <v>0</v>
      </c>
      <c r="M2" t="s">
        <v>117</v>
      </c>
      <c r="O2" t="s">
        <v>71</v>
      </c>
      <c r="P2" t="s">
        <v>116</v>
      </c>
      <c r="Q2" t="s">
        <v>119</v>
      </c>
      <c r="R2" t="s">
        <v>120</v>
      </c>
      <c r="S2" t="s">
        <v>0</v>
      </c>
      <c r="T2" t="s">
        <v>117</v>
      </c>
      <c r="V2" t="s">
        <v>71</v>
      </c>
      <c r="W2" t="s">
        <v>116</v>
      </c>
      <c r="X2" t="s">
        <v>119</v>
      </c>
      <c r="Y2" t="s">
        <v>120</v>
      </c>
      <c r="Z2" t="s">
        <v>122</v>
      </c>
      <c r="AA2" t="s">
        <v>117</v>
      </c>
      <c r="AD2" t="s">
        <v>14</v>
      </c>
    </row>
    <row r="3" spans="1:54" x14ac:dyDescent="0.15">
      <c r="C3" t="s">
        <v>5</v>
      </c>
      <c r="D3" t="s">
        <v>6</v>
      </c>
      <c r="E3" t="s">
        <v>1</v>
      </c>
      <c r="F3" t="s">
        <v>118</v>
      </c>
      <c r="J3" t="s">
        <v>5</v>
      </c>
      <c r="K3" t="s">
        <v>6</v>
      </c>
      <c r="L3" t="s">
        <v>1</v>
      </c>
      <c r="M3" t="s">
        <v>118</v>
      </c>
      <c r="Q3" t="s">
        <v>5</v>
      </c>
      <c r="R3" t="s">
        <v>6</v>
      </c>
      <c r="S3" t="s">
        <v>1</v>
      </c>
      <c r="T3" t="s">
        <v>118</v>
      </c>
      <c r="X3" t="s">
        <v>5</v>
      </c>
      <c r="Y3" t="s">
        <v>6</v>
      </c>
      <c r="Z3" t="s">
        <v>123</v>
      </c>
      <c r="AA3" t="s">
        <v>118</v>
      </c>
    </row>
    <row r="4" spans="1:54" x14ac:dyDescent="0.15">
      <c r="AD4" s="1" t="s">
        <v>52</v>
      </c>
      <c r="AE4" t="s">
        <v>51</v>
      </c>
      <c r="AG4" s="1" t="s">
        <v>52</v>
      </c>
      <c r="AH4" t="s">
        <v>53</v>
      </c>
      <c r="AK4" s="1" t="s">
        <v>63</v>
      </c>
      <c r="AL4" t="s">
        <v>51</v>
      </c>
      <c r="AN4" s="1" t="s">
        <v>63</v>
      </c>
      <c r="AO4" t="s">
        <v>53</v>
      </c>
      <c r="AX4" s="1" t="s">
        <v>121</v>
      </c>
      <c r="AY4" t="s">
        <v>51</v>
      </c>
      <c r="BA4" s="1" t="s">
        <v>121</v>
      </c>
      <c r="BB4" t="s">
        <v>53</v>
      </c>
    </row>
    <row r="5" spans="1:54" x14ac:dyDescent="0.15">
      <c r="A5" t="s">
        <v>73</v>
      </c>
      <c r="B5">
        <v>49.4</v>
      </c>
      <c r="C5">
        <v>1</v>
      </c>
      <c r="D5">
        <v>1</v>
      </c>
      <c r="E5">
        <v>21</v>
      </c>
      <c r="F5">
        <f>B5-E5</f>
        <v>28.4</v>
      </c>
      <c r="H5" t="s">
        <v>73</v>
      </c>
      <c r="I5">
        <v>60</v>
      </c>
      <c r="J5">
        <v>1</v>
      </c>
      <c r="K5">
        <v>1</v>
      </c>
      <c r="L5">
        <v>21</v>
      </c>
      <c r="M5">
        <f>I5-L5</f>
        <v>39</v>
      </c>
      <c r="O5" t="s">
        <v>73</v>
      </c>
      <c r="P5">
        <v>64.400000000000006</v>
      </c>
      <c r="Q5">
        <v>1</v>
      </c>
      <c r="R5">
        <v>2</v>
      </c>
      <c r="S5">
        <v>30.4</v>
      </c>
      <c r="T5">
        <f>P5-S5</f>
        <v>34.000000000000007</v>
      </c>
      <c r="V5" t="s">
        <v>73</v>
      </c>
      <c r="W5">
        <f>15.6+24+32.2</f>
        <v>71.800000000000011</v>
      </c>
      <c r="X5">
        <v>1</v>
      </c>
      <c r="Y5">
        <v>2</v>
      </c>
      <c r="Z5">
        <v>30.4</v>
      </c>
      <c r="AA5">
        <f>W5-Z5</f>
        <v>41.400000000000013</v>
      </c>
      <c r="AD5" t="s">
        <v>71</v>
      </c>
      <c r="AE5" t="s">
        <v>15</v>
      </c>
      <c r="AG5" t="s">
        <v>71</v>
      </c>
      <c r="AH5" t="s">
        <v>15</v>
      </c>
      <c r="AK5" t="s">
        <v>71</v>
      </c>
      <c r="AL5" t="s">
        <v>15</v>
      </c>
      <c r="AN5" t="s">
        <v>71</v>
      </c>
      <c r="AO5" t="s">
        <v>15</v>
      </c>
      <c r="AX5" t="s">
        <v>71</v>
      </c>
      <c r="AY5" t="s">
        <v>15</v>
      </c>
      <c r="BA5" t="s">
        <v>71</v>
      </c>
      <c r="BB5" t="s">
        <v>15</v>
      </c>
    </row>
    <row r="6" spans="1:54" x14ac:dyDescent="0.15">
      <c r="A6" t="s">
        <v>74</v>
      </c>
      <c r="B6">
        <v>42.2</v>
      </c>
      <c r="C6">
        <v>1</v>
      </c>
      <c r="D6">
        <v>1</v>
      </c>
      <c r="E6">
        <v>21</v>
      </c>
      <c r="F6">
        <f t="shared" ref="F6:F24" si="0">B6-E6</f>
        <v>21.200000000000003</v>
      </c>
      <c r="H6" t="s">
        <v>74</v>
      </c>
      <c r="I6">
        <v>42</v>
      </c>
      <c r="J6">
        <v>1</v>
      </c>
      <c r="K6">
        <v>1</v>
      </c>
      <c r="L6">
        <v>21</v>
      </c>
      <c r="M6">
        <f t="shared" ref="M6:M24" si="1">I6-L6</f>
        <v>21</v>
      </c>
      <c r="O6" t="s">
        <v>74</v>
      </c>
      <c r="P6">
        <v>53</v>
      </c>
      <c r="Q6">
        <v>1</v>
      </c>
      <c r="R6">
        <v>2</v>
      </c>
      <c r="S6">
        <v>30.4</v>
      </c>
      <c r="T6">
        <f t="shared" ref="T6:T24" si="2">P6-S6</f>
        <v>22.6</v>
      </c>
      <c r="V6" t="s">
        <v>74</v>
      </c>
      <c r="W6">
        <f>21.8+23.2+25.6</f>
        <v>70.599999999999994</v>
      </c>
      <c r="X6">
        <v>1</v>
      </c>
      <c r="Y6">
        <v>2</v>
      </c>
      <c r="Z6">
        <v>30.4</v>
      </c>
      <c r="AA6">
        <f t="shared" ref="AA6:AA24" si="3">W6-Z6</f>
        <v>40.199999999999996</v>
      </c>
      <c r="AY6" t="s">
        <v>128</v>
      </c>
      <c r="BB6" t="s">
        <v>129</v>
      </c>
    </row>
    <row r="7" spans="1:54" x14ac:dyDescent="0.15">
      <c r="A7" t="s">
        <v>75</v>
      </c>
      <c r="B7">
        <v>45.2</v>
      </c>
      <c r="C7">
        <v>1</v>
      </c>
      <c r="D7">
        <v>1</v>
      </c>
      <c r="E7">
        <v>21</v>
      </c>
      <c r="F7">
        <f t="shared" si="0"/>
        <v>24.200000000000003</v>
      </c>
      <c r="H7" t="s">
        <v>75</v>
      </c>
      <c r="I7">
        <v>54</v>
      </c>
      <c r="J7">
        <v>1</v>
      </c>
      <c r="K7">
        <v>1</v>
      </c>
      <c r="L7">
        <v>21</v>
      </c>
      <c r="M7">
        <f t="shared" si="1"/>
        <v>33</v>
      </c>
      <c r="O7" t="s">
        <v>75</v>
      </c>
      <c r="P7">
        <v>67</v>
      </c>
      <c r="Q7">
        <v>1</v>
      </c>
      <c r="R7">
        <v>2</v>
      </c>
      <c r="S7">
        <v>30.4</v>
      </c>
      <c r="T7">
        <f t="shared" si="2"/>
        <v>36.6</v>
      </c>
      <c r="V7" t="s">
        <v>75</v>
      </c>
      <c r="W7">
        <f>16.6+26.2+36.6</f>
        <v>79.400000000000006</v>
      </c>
      <c r="X7">
        <v>1</v>
      </c>
      <c r="Y7">
        <v>2</v>
      </c>
      <c r="Z7">
        <v>30.4</v>
      </c>
      <c r="AA7">
        <f t="shared" si="3"/>
        <v>49.000000000000007</v>
      </c>
      <c r="AE7" t="s">
        <v>57</v>
      </c>
      <c r="AH7" t="s">
        <v>58</v>
      </c>
      <c r="AL7" t="s">
        <v>59</v>
      </c>
      <c r="AO7" t="s">
        <v>60</v>
      </c>
      <c r="AQ7" t="s">
        <v>56</v>
      </c>
      <c r="AS7">
        <v>12.71</v>
      </c>
      <c r="AT7">
        <v>18</v>
      </c>
      <c r="AU7">
        <v>32.090000000000003</v>
      </c>
    </row>
    <row r="8" spans="1:54" x14ac:dyDescent="0.15">
      <c r="A8" t="s">
        <v>76</v>
      </c>
      <c r="B8">
        <v>43.4</v>
      </c>
      <c r="C8">
        <v>1</v>
      </c>
      <c r="D8">
        <v>1</v>
      </c>
      <c r="E8">
        <v>21</v>
      </c>
      <c r="F8">
        <f t="shared" si="0"/>
        <v>22.4</v>
      </c>
      <c r="H8" t="s">
        <v>76</v>
      </c>
      <c r="I8">
        <v>43</v>
      </c>
      <c r="J8">
        <v>1</v>
      </c>
      <c r="K8">
        <v>1</v>
      </c>
      <c r="L8">
        <v>21</v>
      </c>
      <c r="M8">
        <f t="shared" si="1"/>
        <v>22</v>
      </c>
      <c r="O8" t="s">
        <v>76</v>
      </c>
      <c r="P8">
        <v>45</v>
      </c>
      <c r="Q8">
        <v>1</v>
      </c>
      <c r="R8">
        <v>1</v>
      </c>
      <c r="S8">
        <v>21</v>
      </c>
      <c r="T8">
        <f t="shared" si="2"/>
        <v>24</v>
      </c>
      <c r="V8" t="s">
        <v>76</v>
      </c>
      <c r="W8">
        <f>15.6+31.4</f>
        <v>47</v>
      </c>
      <c r="X8">
        <v>1</v>
      </c>
      <c r="Y8">
        <v>1</v>
      </c>
      <c r="Z8">
        <v>21</v>
      </c>
      <c r="AA8">
        <f t="shared" si="3"/>
        <v>26</v>
      </c>
      <c r="AD8" t="s">
        <v>73</v>
      </c>
      <c r="AE8">
        <f>M5-F5</f>
        <v>10.600000000000001</v>
      </c>
      <c r="AG8" t="s">
        <v>19</v>
      </c>
      <c r="AH8">
        <f>M29-F29</f>
        <v>12</v>
      </c>
      <c r="AK8" t="s">
        <v>73</v>
      </c>
      <c r="AL8">
        <f>T5-F5</f>
        <v>5.6000000000000085</v>
      </c>
      <c r="AN8" t="s">
        <v>19</v>
      </c>
      <c r="AO8">
        <f>T29-F29</f>
        <v>9.1999999999999957</v>
      </c>
      <c r="AQ8" t="s">
        <v>135</v>
      </c>
      <c r="AS8">
        <v>4.8499999999999996</v>
      </c>
      <c r="AT8">
        <v>15.4</v>
      </c>
      <c r="AU8">
        <v>16.579999999999998</v>
      </c>
      <c r="AX8" t="s">
        <v>73</v>
      </c>
      <c r="AY8">
        <f>AA5-F5</f>
        <v>13.000000000000014</v>
      </c>
      <c r="BA8" t="s">
        <v>19</v>
      </c>
      <c r="BB8">
        <f>AA29-F29</f>
        <v>3.9999999999999929</v>
      </c>
    </row>
    <row r="9" spans="1:54" x14ac:dyDescent="0.15">
      <c r="A9" t="s">
        <v>77</v>
      </c>
      <c r="B9">
        <v>52.6</v>
      </c>
      <c r="C9">
        <v>1</v>
      </c>
      <c r="D9">
        <v>1</v>
      </c>
      <c r="E9">
        <v>21</v>
      </c>
      <c r="F9">
        <f t="shared" si="0"/>
        <v>31.6</v>
      </c>
      <c r="H9" t="s">
        <v>77</v>
      </c>
      <c r="I9">
        <v>75.599999999999994</v>
      </c>
      <c r="J9">
        <v>1</v>
      </c>
      <c r="K9">
        <v>1</v>
      </c>
      <c r="L9">
        <v>21</v>
      </c>
      <c r="M9">
        <f t="shared" si="1"/>
        <v>54.599999999999994</v>
      </c>
      <c r="O9" t="s">
        <v>77</v>
      </c>
      <c r="P9">
        <v>92.2</v>
      </c>
      <c r="Q9">
        <v>1</v>
      </c>
      <c r="R9">
        <v>3</v>
      </c>
      <c r="S9">
        <v>39.799999999999997</v>
      </c>
      <c r="T9">
        <f t="shared" si="2"/>
        <v>52.400000000000006</v>
      </c>
      <c r="V9" t="s">
        <v>77</v>
      </c>
      <c r="W9">
        <f>19.8+23.2+36+36</f>
        <v>115</v>
      </c>
      <c r="X9">
        <v>1</v>
      </c>
      <c r="Y9">
        <v>3</v>
      </c>
      <c r="Z9">
        <v>39.799999999999997</v>
      </c>
      <c r="AA9">
        <f t="shared" si="3"/>
        <v>75.2</v>
      </c>
      <c r="AD9" t="s">
        <v>74</v>
      </c>
      <c r="AE9">
        <f t="shared" ref="AE9:AE16" si="4">M6-F6</f>
        <v>-0.20000000000000284</v>
      </c>
      <c r="AG9" t="s">
        <v>20</v>
      </c>
      <c r="AH9">
        <f t="shared" ref="AH9:AH12" si="5">M30-F30</f>
        <v>6.2000000000000028</v>
      </c>
      <c r="AK9" t="s">
        <v>74</v>
      </c>
      <c r="AL9">
        <f t="shared" ref="AL9:AL14" si="6">T6-F6</f>
        <v>1.3999999999999986</v>
      </c>
      <c r="AN9" t="s">
        <v>20</v>
      </c>
      <c r="AO9">
        <f>T30-F30</f>
        <v>6.8000000000000043</v>
      </c>
      <c r="AQ9" t="s">
        <v>136</v>
      </c>
      <c r="AX9" t="s">
        <v>74</v>
      </c>
      <c r="AY9">
        <f t="shared" ref="AY9:AY14" si="7">AA6-F6</f>
        <v>18.999999999999993</v>
      </c>
      <c r="BA9" t="s">
        <v>20</v>
      </c>
      <c r="BB9">
        <f>AA30-F30</f>
        <v>6.0000000000000071</v>
      </c>
    </row>
    <row r="10" spans="1:54" x14ac:dyDescent="0.15">
      <c r="A10" t="s">
        <v>78</v>
      </c>
      <c r="B10">
        <v>42.6</v>
      </c>
      <c r="C10">
        <v>1</v>
      </c>
      <c r="D10">
        <v>1</v>
      </c>
      <c r="E10">
        <v>21</v>
      </c>
      <c r="F10">
        <f t="shared" si="0"/>
        <v>21.6</v>
      </c>
      <c r="H10" t="s">
        <v>78</v>
      </c>
      <c r="I10">
        <v>45.6</v>
      </c>
      <c r="J10">
        <v>1</v>
      </c>
      <c r="K10">
        <v>1</v>
      </c>
      <c r="L10">
        <v>21</v>
      </c>
      <c r="M10">
        <f t="shared" si="1"/>
        <v>24.6</v>
      </c>
      <c r="O10" t="s">
        <v>78</v>
      </c>
      <c r="P10">
        <v>48.8</v>
      </c>
      <c r="Q10">
        <v>1</v>
      </c>
      <c r="R10">
        <v>1</v>
      </c>
      <c r="S10">
        <v>21</v>
      </c>
      <c r="T10">
        <f t="shared" si="2"/>
        <v>27.799999999999997</v>
      </c>
      <c r="V10" t="s">
        <v>78</v>
      </c>
      <c r="W10">
        <f>19.6+31.4</f>
        <v>51</v>
      </c>
      <c r="X10">
        <v>1</v>
      </c>
      <c r="Y10">
        <v>1</v>
      </c>
      <c r="Z10">
        <v>21</v>
      </c>
      <c r="AA10">
        <f t="shared" si="3"/>
        <v>30</v>
      </c>
      <c r="AD10" t="s">
        <v>75</v>
      </c>
      <c r="AE10">
        <f>M7-F7</f>
        <v>8.7999999999999972</v>
      </c>
      <c r="AG10" t="s">
        <v>21</v>
      </c>
      <c r="AH10">
        <f t="shared" si="5"/>
        <v>-1.4000000000000057</v>
      </c>
      <c r="AK10" t="s">
        <v>75</v>
      </c>
      <c r="AL10">
        <f t="shared" si="6"/>
        <v>12.399999999999999</v>
      </c>
      <c r="AN10" t="s">
        <v>22</v>
      </c>
      <c r="AO10">
        <f>T32-F32</f>
        <v>-0.39999999999999858</v>
      </c>
      <c r="AX10" t="s">
        <v>75</v>
      </c>
      <c r="AY10">
        <f t="shared" si="7"/>
        <v>24.800000000000004</v>
      </c>
      <c r="BA10" t="s">
        <v>22</v>
      </c>
      <c r="BB10">
        <f>AA32-F32</f>
        <v>-0.79999999999999716</v>
      </c>
    </row>
    <row r="11" spans="1:54" x14ac:dyDescent="0.15">
      <c r="A11" t="s">
        <v>79</v>
      </c>
      <c r="B11">
        <v>42.4</v>
      </c>
      <c r="C11">
        <v>1</v>
      </c>
      <c r="D11">
        <v>1</v>
      </c>
      <c r="E11">
        <v>21</v>
      </c>
      <c r="F11">
        <f t="shared" si="0"/>
        <v>21.4</v>
      </c>
      <c r="H11" t="s">
        <v>79</v>
      </c>
      <c r="I11">
        <v>58</v>
      </c>
      <c r="J11">
        <v>1</v>
      </c>
      <c r="K11">
        <v>1</v>
      </c>
      <c r="L11">
        <v>21</v>
      </c>
      <c r="M11">
        <f t="shared" si="1"/>
        <v>37</v>
      </c>
      <c r="O11" t="s">
        <v>79</v>
      </c>
      <c r="P11">
        <v>64.2</v>
      </c>
      <c r="Q11">
        <v>1</v>
      </c>
      <c r="R11">
        <v>2</v>
      </c>
      <c r="S11">
        <v>30.4</v>
      </c>
      <c r="T11">
        <f t="shared" si="2"/>
        <v>33.800000000000004</v>
      </c>
      <c r="V11" t="s">
        <v>79</v>
      </c>
      <c r="W11">
        <f>15+25+35.4</f>
        <v>75.400000000000006</v>
      </c>
      <c r="X11">
        <v>1</v>
      </c>
      <c r="Y11">
        <v>2</v>
      </c>
      <c r="Z11">
        <v>30.4</v>
      </c>
      <c r="AA11">
        <f t="shared" si="3"/>
        <v>45.000000000000007</v>
      </c>
      <c r="AD11" t="s">
        <v>76</v>
      </c>
      <c r="AE11">
        <f t="shared" si="4"/>
        <v>-0.39999999999999858</v>
      </c>
      <c r="AG11" t="s">
        <v>22</v>
      </c>
      <c r="AH11">
        <f t="shared" si="5"/>
        <v>4.2000000000000028</v>
      </c>
      <c r="AK11" t="s">
        <v>76</v>
      </c>
      <c r="AL11">
        <f t="shared" si="6"/>
        <v>1.6000000000000014</v>
      </c>
      <c r="AN11" t="s">
        <v>25</v>
      </c>
      <c r="AO11">
        <f>T37-F37</f>
        <v>12</v>
      </c>
      <c r="AX11" t="s">
        <v>76</v>
      </c>
      <c r="AY11">
        <f t="shared" si="7"/>
        <v>3.6000000000000014</v>
      </c>
      <c r="BA11" t="s">
        <v>25</v>
      </c>
      <c r="BB11">
        <f>AA32-F37</f>
        <v>11.200000000000003</v>
      </c>
    </row>
    <row r="12" spans="1:54" x14ac:dyDescent="0.15">
      <c r="A12" t="s">
        <v>80</v>
      </c>
      <c r="B12">
        <v>44.8</v>
      </c>
      <c r="C12">
        <v>1</v>
      </c>
      <c r="D12">
        <v>1</v>
      </c>
      <c r="E12">
        <v>21</v>
      </c>
      <c r="F12">
        <f t="shared" si="0"/>
        <v>23.799999999999997</v>
      </c>
      <c r="H12" t="s">
        <v>80</v>
      </c>
      <c r="I12">
        <v>58.6</v>
      </c>
      <c r="J12">
        <v>1</v>
      </c>
      <c r="K12">
        <v>1</v>
      </c>
      <c r="L12">
        <v>21</v>
      </c>
      <c r="M12">
        <f t="shared" si="1"/>
        <v>37.6</v>
      </c>
      <c r="O12" t="s">
        <v>80</v>
      </c>
      <c r="P12" t="s">
        <v>64</v>
      </c>
      <c r="Q12" t="s">
        <v>64</v>
      </c>
      <c r="R12" t="s">
        <v>64</v>
      </c>
      <c r="S12" t="s">
        <v>7</v>
      </c>
      <c r="V12" t="s">
        <v>80</v>
      </c>
      <c r="X12" t="s">
        <v>124</v>
      </c>
      <c r="Y12" t="s">
        <v>64</v>
      </c>
      <c r="AD12" t="s">
        <v>77</v>
      </c>
      <c r="AE12">
        <f t="shared" si="4"/>
        <v>22.999999999999993</v>
      </c>
      <c r="AG12" t="s">
        <v>23</v>
      </c>
      <c r="AH12">
        <f t="shared" si="5"/>
        <v>-3.6000000000000014</v>
      </c>
      <c r="AK12" t="s">
        <v>77</v>
      </c>
      <c r="AL12">
        <f t="shared" si="6"/>
        <v>20.800000000000004</v>
      </c>
      <c r="AN12" t="s">
        <v>43</v>
      </c>
      <c r="AO12">
        <f>T39-F39</f>
        <v>2.6000000000000014</v>
      </c>
      <c r="AX12" t="s">
        <v>77</v>
      </c>
      <c r="AY12">
        <f t="shared" si="7"/>
        <v>43.6</v>
      </c>
      <c r="BA12" t="s">
        <v>43</v>
      </c>
      <c r="BB12">
        <f>AA39-F39</f>
        <v>3.8000000000000043</v>
      </c>
    </row>
    <row r="13" spans="1:54" x14ac:dyDescent="0.15">
      <c r="A13" t="s">
        <v>81</v>
      </c>
      <c r="B13">
        <v>47.8</v>
      </c>
      <c r="C13">
        <v>1</v>
      </c>
      <c r="D13">
        <v>1</v>
      </c>
      <c r="E13">
        <v>21</v>
      </c>
      <c r="F13">
        <f t="shared" si="0"/>
        <v>26.799999999999997</v>
      </c>
      <c r="H13" t="s">
        <v>81</v>
      </c>
      <c r="I13">
        <v>58.2</v>
      </c>
      <c r="J13">
        <v>1</v>
      </c>
      <c r="K13">
        <v>1</v>
      </c>
      <c r="L13">
        <v>21</v>
      </c>
      <c r="M13">
        <f t="shared" si="1"/>
        <v>37.200000000000003</v>
      </c>
      <c r="O13" t="s">
        <v>81</v>
      </c>
      <c r="P13">
        <v>68.400000000000006</v>
      </c>
      <c r="Q13">
        <v>1</v>
      </c>
      <c r="R13">
        <v>2</v>
      </c>
      <c r="S13">
        <v>30.4</v>
      </c>
      <c r="T13">
        <f t="shared" si="2"/>
        <v>38.000000000000007</v>
      </c>
      <c r="V13" t="s">
        <v>81</v>
      </c>
      <c r="W13">
        <f>16+24.6+41.2</f>
        <v>81.800000000000011</v>
      </c>
      <c r="X13">
        <v>1</v>
      </c>
      <c r="Y13">
        <v>2</v>
      </c>
      <c r="Z13">
        <v>30.4</v>
      </c>
      <c r="AA13">
        <f t="shared" si="3"/>
        <v>51.400000000000013</v>
      </c>
      <c r="AD13" t="s">
        <v>78</v>
      </c>
      <c r="AE13">
        <f t="shared" si="4"/>
        <v>3</v>
      </c>
      <c r="AG13" t="s">
        <v>24</v>
      </c>
      <c r="AH13">
        <f>M36-F36</f>
        <v>-3.2000000000000028</v>
      </c>
      <c r="AK13" t="s">
        <v>78</v>
      </c>
      <c r="AL13">
        <f t="shared" si="6"/>
        <v>6.1999999999999957</v>
      </c>
      <c r="AN13" t="s">
        <v>44</v>
      </c>
      <c r="AO13">
        <f>T41-F41</f>
        <v>35.4</v>
      </c>
      <c r="AX13" t="s">
        <v>78</v>
      </c>
      <c r="AY13">
        <f t="shared" si="7"/>
        <v>8.3999999999999986</v>
      </c>
      <c r="BA13" t="s">
        <v>44</v>
      </c>
      <c r="BB13">
        <f>AA41-F41</f>
        <v>37.800000000000004</v>
      </c>
    </row>
    <row r="14" spans="1:54" x14ac:dyDescent="0.15">
      <c r="A14" t="s">
        <v>82</v>
      </c>
      <c r="B14">
        <v>41.8</v>
      </c>
      <c r="C14">
        <v>1</v>
      </c>
      <c r="D14">
        <v>1</v>
      </c>
      <c r="E14">
        <v>21</v>
      </c>
      <c r="F14">
        <f t="shared" si="0"/>
        <v>20.799999999999997</v>
      </c>
      <c r="H14" t="s">
        <v>61</v>
      </c>
      <c r="I14" t="s">
        <v>62</v>
      </c>
      <c r="J14">
        <v>1</v>
      </c>
      <c r="K14">
        <v>1</v>
      </c>
      <c r="L14">
        <v>21</v>
      </c>
      <c r="O14" t="s">
        <v>61</v>
      </c>
      <c r="P14" t="s">
        <v>69</v>
      </c>
      <c r="Q14" t="s">
        <v>7</v>
      </c>
      <c r="R14" t="s">
        <v>7</v>
      </c>
      <c r="S14" t="s">
        <v>7</v>
      </c>
      <c r="V14" t="s">
        <v>61</v>
      </c>
      <c r="X14" t="s">
        <v>124</v>
      </c>
      <c r="Y14" t="s">
        <v>124</v>
      </c>
      <c r="AD14" t="s">
        <v>79</v>
      </c>
      <c r="AE14">
        <f t="shared" si="4"/>
        <v>15.600000000000001</v>
      </c>
      <c r="AG14" t="s">
        <v>25</v>
      </c>
      <c r="AH14">
        <f>M37-F37</f>
        <v>10</v>
      </c>
      <c r="AK14" t="s">
        <v>79</v>
      </c>
      <c r="AL14">
        <f t="shared" si="6"/>
        <v>12.400000000000006</v>
      </c>
      <c r="AN14" t="s">
        <v>45</v>
      </c>
      <c r="AO14">
        <f>T42-F42</f>
        <v>22.400000000000006</v>
      </c>
      <c r="AX14" t="s">
        <v>79</v>
      </c>
      <c r="AY14">
        <f t="shared" si="7"/>
        <v>23.600000000000009</v>
      </c>
      <c r="BA14" t="s">
        <v>45</v>
      </c>
      <c r="BB14">
        <f>AA42-F42</f>
        <v>22.599999999999994</v>
      </c>
    </row>
    <row r="15" spans="1:54" x14ac:dyDescent="0.15">
      <c r="A15" t="s">
        <v>96</v>
      </c>
      <c r="B15">
        <v>41</v>
      </c>
      <c r="C15">
        <v>1</v>
      </c>
      <c r="D15">
        <v>1</v>
      </c>
      <c r="E15">
        <v>21</v>
      </c>
      <c r="F15">
        <f t="shared" si="0"/>
        <v>20</v>
      </c>
      <c r="H15" t="s">
        <v>96</v>
      </c>
      <c r="I15">
        <v>56.8</v>
      </c>
      <c r="J15">
        <v>1</v>
      </c>
      <c r="K15">
        <v>1</v>
      </c>
      <c r="L15">
        <v>21</v>
      </c>
      <c r="M15">
        <f t="shared" si="1"/>
        <v>35.799999999999997</v>
      </c>
      <c r="O15" t="s">
        <v>96</v>
      </c>
      <c r="P15">
        <v>95.4</v>
      </c>
      <c r="Q15">
        <v>1</v>
      </c>
      <c r="R15">
        <v>2</v>
      </c>
      <c r="S15">
        <v>30.4</v>
      </c>
      <c r="T15">
        <f t="shared" si="2"/>
        <v>65</v>
      </c>
      <c r="V15" t="s">
        <v>96</v>
      </c>
      <c r="W15">
        <f>25.6+41+42</f>
        <v>108.6</v>
      </c>
      <c r="X15">
        <v>1</v>
      </c>
      <c r="Y15">
        <v>2</v>
      </c>
      <c r="Z15">
        <v>30.4</v>
      </c>
      <c r="AA15">
        <f t="shared" si="3"/>
        <v>78.199999999999989</v>
      </c>
      <c r="AD15" t="s">
        <v>80</v>
      </c>
      <c r="AE15">
        <f t="shared" si="4"/>
        <v>13.800000000000004</v>
      </c>
      <c r="AG15" t="s">
        <v>42</v>
      </c>
      <c r="AH15">
        <f>M38-F38</f>
        <v>2.8000000000000043</v>
      </c>
      <c r="AK15" t="s">
        <v>81</v>
      </c>
      <c r="AL15">
        <f>T13-F13</f>
        <v>11.20000000000001</v>
      </c>
      <c r="AN15" t="s">
        <v>47</v>
      </c>
      <c r="AO15">
        <f>T45-F45</f>
        <v>4.8000000000000043</v>
      </c>
      <c r="AX15" t="s">
        <v>81</v>
      </c>
      <c r="AY15">
        <f>AA13-F13</f>
        <v>24.600000000000016</v>
      </c>
      <c r="BA15" t="s">
        <v>47</v>
      </c>
      <c r="BB15">
        <f>AA45-F45</f>
        <v>14.600000000000001</v>
      </c>
    </row>
    <row r="16" spans="1:54" x14ac:dyDescent="0.15">
      <c r="A16" t="s">
        <v>97</v>
      </c>
      <c r="B16">
        <v>48</v>
      </c>
      <c r="C16">
        <v>1</v>
      </c>
      <c r="D16">
        <v>1</v>
      </c>
      <c r="E16">
        <v>21</v>
      </c>
      <c r="F16">
        <f t="shared" si="0"/>
        <v>27</v>
      </c>
      <c r="H16" t="s">
        <v>97</v>
      </c>
      <c r="I16">
        <v>56</v>
      </c>
      <c r="J16">
        <v>1</v>
      </c>
      <c r="K16">
        <v>1</v>
      </c>
      <c r="L16">
        <v>21</v>
      </c>
      <c r="M16">
        <f t="shared" si="1"/>
        <v>35</v>
      </c>
      <c r="O16" t="s">
        <v>97</v>
      </c>
      <c r="P16">
        <v>86.2</v>
      </c>
      <c r="Q16">
        <v>1</v>
      </c>
      <c r="R16">
        <v>2</v>
      </c>
      <c r="S16">
        <v>30.4</v>
      </c>
      <c r="T16">
        <f t="shared" si="2"/>
        <v>55.800000000000004</v>
      </c>
      <c r="V16" t="s">
        <v>97</v>
      </c>
      <c r="W16">
        <f>25.6+41.4+48.6</f>
        <v>115.6</v>
      </c>
      <c r="X16">
        <v>1</v>
      </c>
      <c r="Y16">
        <v>2</v>
      </c>
      <c r="Z16">
        <v>30.4</v>
      </c>
      <c r="AA16">
        <f t="shared" si="3"/>
        <v>85.199999999999989</v>
      </c>
      <c r="AD16" t="s">
        <v>81</v>
      </c>
      <c r="AE16">
        <f t="shared" si="4"/>
        <v>10.400000000000006</v>
      </c>
      <c r="AG16" t="s">
        <v>43</v>
      </c>
      <c r="AH16">
        <f>M39-F39</f>
        <v>3.6000000000000014</v>
      </c>
      <c r="AK16" t="s">
        <v>96</v>
      </c>
      <c r="AL16">
        <f>T15-F15</f>
        <v>45</v>
      </c>
      <c r="AN16" t="s">
        <v>50</v>
      </c>
      <c r="AO16">
        <f>T48-F48</f>
        <v>45.8</v>
      </c>
      <c r="AX16" t="s">
        <v>96</v>
      </c>
      <c r="AY16">
        <f>AA15-F15</f>
        <v>58.199999999999989</v>
      </c>
      <c r="BA16" t="s">
        <v>50</v>
      </c>
      <c r="BB16">
        <f>AA48-F48</f>
        <v>50.000000000000014</v>
      </c>
    </row>
    <row r="17" spans="1:54" x14ac:dyDescent="0.15">
      <c r="A17" t="s">
        <v>98</v>
      </c>
      <c r="B17">
        <v>48.4</v>
      </c>
      <c r="C17">
        <v>1</v>
      </c>
      <c r="D17">
        <v>1</v>
      </c>
      <c r="E17">
        <v>21</v>
      </c>
      <c r="F17">
        <f t="shared" si="0"/>
        <v>27.4</v>
      </c>
      <c r="H17" t="s">
        <v>98</v>
      </c>
      <c r="I17">
        <v>49.6</v>
      </c>
      <c r="J17">
        <v>1</v>
      </c>
      <c r="K17">
        <v>1</v>
      </c>
      <c r="L17">
        <v>21</v>
      </c>
      <c r="M17">
        <f t="shared" si="1"/>
        <v>28.6</v>
      </c>
      <c r="O17" t="s">
        <v>98</v>
      </c>
      <c r="P17">
        <v>54.4</v>
      </c>
      <c r="Q17">
        <v>1</v>
      </c>
      <c r="R17">
        <v>1</v>
      </c>
      <c r="S17">
        <v>21</v>
      </c>
      <c r="T17">
        <f t="shared" si="2"/>
        <v>33.4</v>
      </c>
      <c r="V17" t="s">
        <v>98</v>
      </c>
      <c r="W17">
        <f>21.8+41.8</f>
        <v>63.599999999999994</v>
      </c>
      <c r="X17">
        <v>1</v>
      </c>
      <c r="Y17">
        <v>1</v>
      </c>
      <c r="Z17">
        <v>21</v>
      </c>
      <c r="AA17">
        <f t="shared" si="3"/>
        <v>42.599999999999994</v>
      </c>
      <c r="AD17" t="s">
        <v>96</v>
      </c>
      <c r="AE17">
        <f t="shared" ref="AE17:AE26" si="8">M15-F15</f>
        <v>15.799999999999997</v>
      </c>
      <c r="AG17" t="s">
        <v>44</v>
      </c>
      <c r="AH17">
        <f>M41-F41</f>
        <v>17.200000000000003</v>
      </c>
      <c r="AK17" t="s">
        <v>97</v>
      </c>
      <c r="AL17">
        <f>T16-F16</f>
        <v>28.800000000000004</v>
      </c>
      <c r="AX17" t="s">
        <v>97</v>
      </c>
      <c r="AY17">
        <f t="shared" ref="AY17:AY20" si="9">AA16-F16</f>
        <v>58.199999999999989</v>
      </c>
    </row>
    <row r="18" spans="1:54" x14ac:dyDescent="0.15">
      <c r="A18" t="s">
        <v>99</v>
      </c>
      <c r="B18">
        <v>54</v>
      </c>
      <c r="C18">
        <v>1</v>
      </c>
      <c r="D18">
        <v>1</v>
      </c>
      <c r="E18">
        <v>21</v>
      </c>
      <c r="F18">
        <f t="shared" si="0"/>
        <v>33</v>
      </c>
      <c r="H18" t="s">
        <v>99</v>
      </c>
      <c r="I18">
        <v>82</v>
      </c>
      <c r="J18">
        <v>1</v>
      </c>
      <c r="K18">
        <v>1</v>
      </c>
      <c r="L18">
        <v>21</v>
      </c>
      <c r="M18">
        <f t="shared" si="1"/>
        <v>61</v>
      </c>
      <c r="O18" t="s">
        <v>99</v>
      </c>
      <c r="P18">
        <v>81.599999999999994</v>
      </c>
      <c r="Q18">
        <v>1</v>
      </c>
      <c r="R18">
        <v>2</v>
      </c>
      <c r="S18">
        <v>30.4</v>
      </c>
      <c r="T18">
        <f t="shared" si="2"/>
        <v>51.199999999999996</v>
      </c>
      <c r="V18" t="s">
        <v>99</v>
      </c>
      <c r="W18">
        <f>34.8+40+47</f>
        <v>121.8</v>
      </c>
      <c r="X18">
        <v>1</v>
      </c>
      <c r="Y18">
        <v>2</v>
      </c>
      <c r="Z18">
        <v>30.4</v>
      </c>
      <c r="AA18">
        <f t="shared" si="3"/>
        <v>91.4</v>
      </c>
      <c r="AD18" t="s">
        <v>97</v>
      </c>
      <c r="AE18">
        <f t="shared" si="8"/>
        <v>8</v>
      </c>
      <c r="AG18" t="s">
        <v>45</v>
      </c>
      <c r="AH18">
        <f>M42-F42</f>
        <v>11.199999999999996</v>
      </c>
      <c r="AK18" t="s">
        <v>98</v>
      </c>
      <c r="AL18">
        <f>T17-F17</f>
        <v>6</v>
      </c>
      <c r="AX18" t="s">
        <v>98</v>
      </c>
      <c r="AY18">
        <f t="shared" si="9"/>
        <v>15.199999999999996</v>
      </c>
    </row>
    <row r="19" spans="1:54" x14ac:dyDescent="0.15">
      <c r="A19" t="s">
        <v>100</v>
      </c>
      <c r="B19">
        <v>47.6</v>
      </c>
      <c r="C19">
        <v>1</v>
      </c>
      <c r="D19">
        <v>1</v>
      </c>
      <c r="E19">
        <v>21</v>
      </c>
      <c r="F19">
        <f t="shared" si="0"/>
        <v>26.6</v>
      </c>
      <c r="H19" t="s">
        <v>100</v>
      </c>
      <c r="I19">
        <v>66.8</v>
      </c>
      <c r="J19">
        <v>1</v>
      </c>
      <c r="K19">
        <v>1</v>
      </c>
      <c r="L19">
        <v>21</v>
      </c>
      <c r="M19">
        <f t="shared" si="1"/>
        <v>45.8</v>
      </c>
      <c r="O19" t="s">
        <v>100</v>
      </c>
      <c r="P19">
        <v>75</v>
      </c>
      <c r="Q19">
        <v>1</v>
      </c>
      <c r="R19">
        <v>1</v>
      </c>
      <c r="S19">
        <v>21</v>
      </c>
      <c r="T19">
        <f t="shared" si="2"/>
        <v>54</v>
      </c>
      <c r="V19" t="s">
        <v>100</v>
      </c>
      <c r="W19">
        <f>32.6+52</f>
        <v>84.6</v>
      </c>
      <c r="X19">
        <v>1</v>
      </c>
      <c r="Y19">
        <v>1</v>
      </c>
      <c r="Z19">
        <v>21</v>
      </c>
      <c r="AA19">
        <f t="shared" si="3"/>
        <v>63.599999999999994</v>
      </c>
      <c r="AD19" t="s">
        <v>98</v>
      </c>
      <c r="AE19">
        <f t="shared" si="8"/>
        <v>1.2000000000000028</v>
      </c>
      <c r="AG19" t="s">
        <v>46</v>
      </c>
      <c r="AH19">
        <f>M44-F44</f>
        <v>1.1999999999999957</v>
      </c>
      <c r="AK19" t="s">
        <v>99</v>
      </c>
      <c r="AL19">
        <f>T18-F18</f>
        <v>18.199999999999996</v>
      </c>
      <c r="AX19" t="s">
        <v>99</v>
      </c>
      <c r="AY19">
        <f t="shared" si="9"/>
        <v>58.400000000000006</v>
      </c>
    </row>
    <row r="20" spans="1:54" x14ac:dyDescent="0.15">
      <c r="A20" t="s">
        <v>101</v>
      </c>
      <c r="B20">
        <v>42.4</v>
      </c>
      <c r="C20">
        <v>1</v>
      </c>
      <c r="D20">
        <v>1</v>
      </c>
      <c r="E20">
        <v>21</v>
      </c>
      <c r="F20">
        <f t="shared" si="0"/>
        <v>21.4</v>
      </c>
      <c r="H20" t="s">
        <v>101</v>
      </c>
      <c r="I20">
        <v>60.6</v>
      </c>
      <c r="J20">
        <v>1</v>
      </c>
      <c r="K20">
        <v>1</v>
      </c>
      <c r="L20">
        <v>21</v>
      </c>
      <c r="M20">
        <f t="shared" si="1"/>
        <v>39.6</v>
      </c>
      <c r="O20" t="s">
        <v>101</v>
      </c>
      <c r="P20" t="s">
        <v>64</v>
      </c>
      <c r="Q20">
        <v>1</v>
      </c>
      <c r="R20" t="s">
        <v>64</v>
      </c>
      <c r="V20" t="s">
        <v>101</v>
      </c>
      <c r="X20" t="s">
        <v>124</v>
      </c>
      <c r="Y20" t="s">
        <v>64</v>
      </c>
      <c r="AA20">
        <f t="shared" si="3"/>
        <v>0</v>
      </c>
      <c r="AD20" t="s">
        <v>99</v>
      </c>
      <c r="AE20">
        <f t="shared" si="8"/>
        <v>28</v>
      </c>
      <c r="AG20" t="s">
        <v>47</v>
      </c>
      <c r="AH20">
        <f>M45-F45</f>
        <v>-1.3999999999999986</v>
      </c>
      <c r="AK20" t="s">
        <v>100</v>
      </c>
      <c r="AL20">
        <f>T19-F19</f>
        <v>27.4</v>
      </c>
      <c r="AX20" t="s">
        <v>100</v>
      </c>
      <c r="AY20">
        <f t="shared" si="9"/>
        <v>36.999999999999993</v>
      </c>
    </row>
    <row r="21" spans="1:54" x14ac:dyDescent="0.15">
      <c r="A21" t="s">
        <v>102</v>
      </c>
      <c r="B21">
        <v>40.6</v>
      </c>
      <c r="C21">
        <v>1</v>
      </c>
      <c r="D21">
        <v>1</v>
      </c>
      <c r="E21">
        <v>21</v>
      </c>
      <c r="F21">
        <f t="shared" si="0"/>
        <v>19.600000000000001</v>
      </c>
      <c r="H21" t="s">
        <v>102</v>
      </c>
      <c r="I21">
        <v>46.6</v>
      </c>
      <c r="J21">
        <v>1</v>
      </c>
      <c r="K21">
        <v>1</v>
      </c>
      <c r="L21">
        <v>21</v>
      </c>
      <c r="M21">
        <f t="shared" si="1"/>
        <v>25.6</v>
      </c>
      <c r="O21" t="s">
        <v>102</v>
      </c>
      <c r="P21">
        <v>49.6</v>
      </c>
      <c r="Q21">
        <v>1</v>
      </c>
      <c r="R21">
        <v>1</v>
      </c>
      <c r="S21">
        <v>21</v>
      </c>
      <c r="T21">
        <f t="shared" si="2"/>
        <v>28.6</v>
      </c>
      <c r="V21" t="s">
        <v>102</v>
      </c>
      <c r="W21">
        <f>12.6+42.6</f>
        <v>55.2</v>
      </c>
      <c r="X21">
        <v>1</v>
      </c>
      <c r="Y21">
        <v>1</v>
      </c>
      <c r="Z21">
        <v>21</v>
      </c>
      <c r="AA21">
        <f t="shared" si="3"/>
        <v>34.200000000000003</v>
      </c>
      <c r="AD21" t="s">
        <v>100</v>
      </c>
      <c r="AE21">
        <f t="shared" si="8"/>
        <v>19.199999999999996</v>
      </c>
      <c r="AG21" t="s">
        <v>48</v>
      </c>
      <c r="AH21">
        <f>M46-F46</f>
        <v>3.4000000000000057</v>
      </c>
      <c r="AK21" t="s">
        <v>102</v>
      </c>
      <c r="AL21">
        <f>T21-F21</f>
        <v>9</v>
      </c>
      <c r="AX21" t="s">
        <v>102</v>
      </c>
      <c r="AY21">
        <f>AA21-F21</f>
        <v>14.600000000000001</v>
      </c>
    </row>
    <row r="22" spans="1:54" x14ac:dyDescent="0.15">
      <c r="A22" t="s">
        <v>103</v>
      </c>
      <c r="B22">
        <v>55</v>
      </c>
      <c r="C22">
        <v>1</v>
      </c>
      <c r="D22">
        <v>1</v>
      </c>
      <c r="E22">
        <v>21</v>
      </c>
      <c r="F22">
        <f t="shared" si="0"/>
        <v>34</v>
      </c>
      <c r="H22" t="s">
        <v>103</v>
      </c>
      <c r="I22">
        <v>88.2</v>
      </c>
      <c r="J22">
        <v>1</v>
      </c>
      <c r="K22">
        <v>1</v>
      </c>
      <c r="L22">
        <v>21</v>
      </c>
      <c r="M22">
        <f t="shared" si="1"/>
        <v>67.2</v>
      </c>
      <c r="O22" t="s">
        <v>103</v>
      </c>
      <c r="P22">
        <v>119.8</v>
      </c>
      <c r="Q22">
        <v>1</v>
      </c>
      <c r="R22">
        <v>3</v>
      </c>
      <c r="S22">
        <v>39.799999999999997</v>
      </c>
      <c r="T22">
        <f t="shared" si="2"/>
        <v>80</v>
      </c>
      <c r="V22" t="s">
        <v>103</v>
      </c>
      <c r="W22">
        <f>14.8+27.4+43.2+43.2</f>
        <v>128.60000000000002</v>
      </c>
      <c r="X22">
        <v>1</v>
      </c>
      <c r="Y22">
        <v>3</v>
      </c>
      <c r="Z22">
        <v>39.799999999999997</v>
      </c>
      <c r="AA22">
        <f t="shared" si="3"/>
        <v>88.800000000000026</v>
      </c>
      <c r="AD22" t="s">
        <v>101</v>
      </c>
      <c r="AE22">
        <f t="shared" si="8"/>
        <v>18.200000000000003</v>
      </c>
      <c r="AG22" t="s">
        <v>49</v>
      </c>
      <c r="AH22">
        <f>M47-F47</f>
        <v>-1.1999999999999957</v>
      </c>
      <c r="AK22" t="s">
        <v>103</v>
      </c>
      <c r="AL22">
        <f>T22-F22</f>
        <v>46</v>
      </c>
      <c r="AX22" t="s">
        <v>103</v>
      </c>
      <c r="AY22">
        <f t="shared" ref="AY22:AY24" si="10">AA22-F22</f>
        <v>54.800000000000026</v>
      </c>
    </row>
    <row r="23" spans="1:54" x14ac:dyDescent="0.15">
      <c r="A23" t="s">
        <v>104</v>
      </c>
      <c r="B23">
        <v>46.8</v>
      </c>
      <c r="C23">
        <v>1</v>
      </c>
      <c r="D23">
        <v>1</v>
      </c>
      <c r="E23">
        <v>21</v>
      </c>
      <c r="F23">
        <f t="shared" si="0"/>
        <v>25.799999999999997</v>
      </c>
      <c r="H23" t="s">
        <v>104</v>
      </c>
      <c r="I23">
        <v>56.6</v>
      </c>
      <c r="J23">
        <v>1</v>
      </c>
      <c r="K23">
        <v>1</v>
      </c>
      <c r="L23">
        <v>21</v>
      </c>
      <c r="M23">
        <f t="shared" si="1"/>
        <v>35.6</v>
      </c>
      <c r="O23" t="s">
        <v>104</v>
      </c>
      <c r="P23">
        <v>72.599999999999994</v>
      </c>
      <c r="Q23">
        <v>1</v>
      </c>
      <c r="R23">
        <v>1</v>
      </c>
      <c r="S23">
        <v>21</v>
      </c>
      <c r="T23">
        <f t="shared" si="2"/>
        <v>51.599999999999994</v>
      </c>
      <c r="V23" t="s">
        <v>104</v>
      </c>
      <c r="W23">
        <f>27.4+35+36.2</f>
        <v>98.6</v>
      </c>
      <c r="X23">
        <v>1</v>
      </c>
      <c r="Y23">
        <v>2</v>
      </c>
      <c r="Z23">
        <v>30.4</v>
      </c>
      <c r="AA23">
        <f t="shared" si="3"/>
        <v>68.199999999999989</v>
      </c>
      <c r="AD23" t="s">
        <v>102</v>
      </c>
      <c r="AE23">
        <f t="shared" si="8"/>
        <v>6</v>
      </c>
      <c r="AG23" t="s">
        <v>50</v>
      </c>
      <c r="AH23">
        <f>M48-F48</f>
        <v>16.600000000000001</v>
      </c>
      <c r="AK23" t="s">
        <v>104</v>
      </c>
      <c r="AL23">
        <f>T23-F23</f>
        <v>25.799999999999997</v>
      </c>
      <c r="AX23" t="s">
        <v>104</v>
      </c>
      <c r="AY23">
        <f t="shared" si="10"/>
        <v>42.399999999999991</v>
      </c>
    </row>
    <row r="24" spans="1:54" x14ac:dyDescent="0.15">
      <c r="A24" t="s">
        <v>105</v>
      </c>
      <c r="B24">
        <v>48.2</v>
      </c>
      <c r="C24">
        <v>1</v>
      </c>
      <c r="D24">
        <v>1</v>
      </c>
      <c r="E24">
        <v>21</v>
      </c>
      <c r="F24">
        <f t="shared" si="0"/>
        <v>27.200000000000003</v>
      </c>
      <c r="H24" t="s">
        <v>105</v>
      </c>
      <c r="I24">
        <v>65.599999999999994</v>
      </c>
      <c r="J24">
        <v>1</v>
      </c>
      <c r="K24">
        <v>1</v>
      </c>
      <c r="L24">
        <v>21</v>
      </c>
      <c r="M24">
        <f t="shared" si="1"/>
        <v>44.599999999999994</v>
      </c>
      <c r="O24" t="s">
        <v>105</v>
      </c>
      <c r="P24">
        <v>85.8</v>
      </c>
      <c r="Q24">
        <v>1</v>
      </c>
      <c r="R24">
        <v>2</v>
      </c>
      <c r="S24">
        <v>30.4</v>
      </c>
      <c r="T24">
        <f t="shared" si="2"/>
        <v>55.4</v>
      </c>
      <c r="V24" t="s">
        <v>105</v>
      </c>
      <c r="W24">
        <f>27.6+37.6+38.6</f>
        <v>103.80000000000001</v>
      </c>
      <c r="X24">
        <v>1</v>
      </c>
      <c r="Y24">
        <v>2</v>
      </c>
      <c r="Z24">
        <v>30.4</v>
      </c>
      <c r="AA24">
        <f t="shared" si="3"/>
        <v>73.400000000000006</v>
      </c>
      <c r="AD24" t="s">
        <v>103</v>
      </c>
      <c r="AE24">
        <f t="shared" si="8"/>
        <v>33.200000000000003</v>
      </c>
      <c r="AK24" t="s">
        <v>105</v>
      </c>
      <c r="AL24">
        <f>T24-F24</f>
        <v>28.199999999999996</v>
      </c>
      <c r="AX24" t="s">
        <v>105</v>
      </c>
      <c r="AY24">
        <f t="shared" si="10"/>
        <v>46.2</v>
      </c>
    </row>
    <row r="25" spans="1:54" x14ac:dyDescent="0.15">
      <c r="A25" t="s">
        <v>9</v>
      </c>
      <c r="F25">
        <f>AVERAGE(F5:F24)</f>
        <v>25.21</v>
      </c>
      <c r="H25" t="s">
        <v>11</v>
      </c>
      <c r="M25">
        <f>AVERAGE(M5:M13,M15:M24)</f>
        <v>38.14736842105264</v>
      </c>
      <c r="O25" t="s">
        <v>10</v>
      </c>
      <c r="T25">
        <f>AVERAGE(T5:T11,T13,T15:T19,T21:T24)</f>
        <v>43.776470588235298</v>
      </c>
      <c r="V25" t="s">
        <v>125</v>
      </c>
      <c r="AA25">
        <f>AVERAGE(AA5:AA24)</f>
        <v>54.655555555555559</v>
      </c>
      <c r="AD25" t="s">
        <v>104</v>
      </c>
      <c r="AE25">
        <f t="shared" si="8"/>
        <v>9.8000000000000043</v>
      </c>
    </row>
    <row r="26" spans="1:54" x14ac:dyDescent="0.15">
      <c r="A26" t="s">
        <v>90</v>
      </c>
      <c r="B26">
        <f>TTEST(F5:F24,M5:M24,1,2)</f>
        <v>4.5523306244366913E-5</v>
      </c>
      <c r="H26" t="s">
        <v>91</v>
      </c>
      <c r="I26">
        <f>TTEST(M5:M24,T5:T24,1,2)</f>
        <v>0.12118042639605729</v>
      </c>
      <c r="O26" t="s">
        <v>36</v>
      </c>
      <c r="P26">
        <f>(STDEV(T5:T24))/(SQRT(COUNT(T5:T24)))</f>
        <v>3.8588280129098798</v>
      </c>
      <c r="V26" t="s">
        <v>126</v>
      </c>
      <c r="AA26">
        <f>(STDEV(AA5:AA24))/(SQRT(COUNT(AA5:AA24)))</f>
        <v>5.8691350768637118</v>
      </c>
      <c r="AD26" t="s">
        <v>105</v>
      </c>
      <c r="AE26">
        <f t="shared" si="8"/>
        <v>17.399999999999991</v>
      </c>
    </row>
    <row r="27" spans="1:54" x14ac:dyDescent="0.15">
      <c r="A27" t="s">
        <v>36</v>
      </c>
      <c r="B27">
        <f>(STDEV(F5:F25))/(SQRT(COUNT(F5:F25)))</f>
        <v>0.91656449647062932</v>
      </c>
      <c r="H27" t="s">
        <v>36</v>
      </c>
      <c r="I27">
        <f>(STDEV(M5:M24))/(SQRT(COUNT(M5:M24)))</f>
        <v>2.8499653062528929</v>
      </c>
      <c r="V27" t="s">
        <v>127</v>
      </c>
      <c r="AA27">
        <f>TTEST(AA5:AA24,AA29:AA48,1,2)</f>
        <v>7.2208956080491646E-2</v>
      </c>
    </row>
    <row r="28" spans="1:54" x14ac:dyDescent="0.15">
      <c r="AD28" s="2" t="s">
        <v>35</v>
      </c>
      <c r="AE28" s="2">
        <f>AVERAGE(AE8:AE16,AE17:AE26)</f>
        <v>12.705263157894736</v>
      </c>
      <c r="AF28" s="2"/>
      <c r="AG28" s="2" t="s">
        <v>16</v>
      </c>
      <c r="AH28" s="2">
        <f>AVERAGE(AH8:AH12,AH13:AH16,AH17:AH18,AH19:AH23)</f>
        <v>4.8500000000000005</v>
      </c>
      <c r="AK28" s="2" t="s">
        <v>35</v>
      </c>
      <c r="AL28" s="2">
        <f>AVERAGE(AL8:AL24)</f>
        <v>18</v>
      </c>
      <c r="AM28" s="2"/>
      <c r="AN28" s="2" t="s">
        <v>16</v>
      </c>
      <c r="AO28" s="2">
        <f>AVERAGE(AO8:AO16)</f>
        <v>15.400000000000002</v>
      </c>
      <c r="AX28" s="2" t="s">
        <v>35</v>
      </c>
      <c r="AY28">
        <f>AVERAGE(AY8:AY24)</f>
        <v>32.094117647058823</v>
      </c>
      <c r="BA28" s="2" t="s">
        <v>16</v>
      </c>
      <c r="BB28">
        <f>AVERAGE(BB8:BB16)</f>
        <v>16.577777777777783</v>
      </c>
    </row>
    <row r="29" spans="1:54" x14ac:dyDescent="0.15">
      <c r="A29" t="s">
        <v>83</v>
      </c>
      <c r="B29">
        <v>47.2</v>
      </c>
      <c r="C29">
        <v>1</v>
      </c>
      <c r="D29">
        <v>1</v>
      </c>
      <c r="E29">
        <v>21</v>
      </c>
      <c r="F29">
        <f>B29-E29</f>
        <v>26.200000000000003</v>
      </c>
      <c r="H29" t="s">
        <v>83</v>
      </c>
      <c r="I29">
        <v>59.2</v>
      </c>
      <c r="J29">
        <v>1</v>
      </c>
      <c r="K29">
        <v>1</v>
      </c>
      <c r="L29">
        <v>21</v>
      </c>
      <c r="M29">
        <f>I29-L29</f>
        <v>38.200000000000003</v>
      </c>
      <c r="O29" t="s">
        <v>83</v>
      </c>
      <c r="P29">
        <v>65.8</v>
      </c>
      <c r="Q29">
        <v>1</v>
      </c>
      <c r="R29">
        <v>2</v>
      </c>
      <c r="S29">
        <v>30.4</v>
      </c>
      <c r="T29">
        <f>P29-S29</f>
        <v>35.4</v>
      </c>
      <c r="V29" t="s">
        <v>83</v>
      </c>
      <c r="W29">
        <f>9.8+16.4+34.4</f>
        <v>60.599999999999994</v>
      </c>
      <c r="X29">
        <v>1</v>
      </c>
      <c r="Y29">
        <v>2</v>
      </c>
      <c r="Z29">
        <v>30.4</v>
      </c>
      <c r="AA29">
        <f>W29-Z29</f>
        <v>30.199999999999996</v>
      </c>
      <c r="AD29" s="2" t="s">
        <v>37</v>
      </c>
      <c r="AE29" s="2">
        <f>(STDEV(AE8:AE26))/(SQRT(COUNT(AE8:AE26)))</f>
        <v>2.12125795300105</v>
      </c>
      <c r="AF29" s="2"/>
      <c r="AG29" s="2" t="s">
        <v>17</v>
      </c>
      <c r="AH29" s="2">
        <f>(STDEV(AH8:AH23))/(SQRT(COUNT(AH8:AH23)))</f>
        <v>1.6868609901233713</v>
      </c>
      <c r="AK29" s="2" t="s">
        <v>37</v>
      </c>
      <c r="AL29" s="2">
        <f>(STDEV(AL8:AL24))/(SQRT(COUNT(AL8:AL24)))</f>
        <v>3.3553293868289065</v>
      </c>
      <c r="AM29" s="2"/>
      <c r="AN29" s="2" t="s">
        <v>17</v>
      </c>
      <c r="AO29" s="2">
        <f>(STDEV(AO8:AO16))/(SQRT(COUNT(AO8:AO16)))</f>
        <v>5.3006288935056238</v>
      </c>
      <c r="AX29" s="2" t="s">
        <v>37</v>
      </c>
      <c r="AY29">
        <f>(STDEV(AY8:AY24))/(SQRT(COUNT(AY8:AY24)))</f>
        <v>4.583606262189412</v>
      </c>
      <c r="BA29" s="2" t="s">
        <v>17</v>
      </c>
      <c r="BB29">
        <f>(STDEV(BB8:BB16))/(SQRT(COUNT(BB8:BB16)))</f>
        <v>5.7395745529945614</v>
      </c>
    </row>
    <row r="30" spans="1:54" x14ac:dyDescent="0.15">
      <c r="A30" t="s">
        <v>84</v>
      </c>
      <c r="B30">
        <v>50.8</v>
      </c>
      <c r="C30">
        <v>1</v>
      </c>
      <c r="D30">
        <v>1</v>
      </c>
      <c r="E30">
        <v>21</v>
      </c>
      <c r="F30">
        <f t="shared" ref="F30:F48" si="11">B30-E30</f>
        <v>29.799999999999997</v>
      </c>
      <c r="H30" t="s">
        <v>84</v>
      </c>
      <c r="I30">
        <v>57</v>
      </c>
      <c r="J30">
        <v>1</v>
      </c>
      <c r="K30">
        <v>1</v>
      </c>
      <c r="L30">
        <v>21</v>
      </c>
      <c r="M30">
        <f t="shared" ref="M30:M48" si="12">I30-L30</f>
        <v>36</v>
      </c>
      <c r="O30" t="s">
        <v>84</v>
      </c>
      <c r="P30">
        <v>67</v>
      </c>
      <c r="Q30">
        <v>1</v>
      </c>
      <c r="R30">
        <v>2</v>
      </c>
      <c r="S30">
        <v>30.4</v>
      </c>
      <c r="T30">
        <f t="shared" ref="T30:T48" si="13">P30-S30</f>
        <v>36.6</v>
      </c>
      <c r="V30" t="s">
        <v>84</v>
      </c>
      <c r="W30">
        <f>11.4+24.8+30</f>
        <v>66.2</v>
      </c>
      <c r="X30">
        <v>1</v>
      </c>
      <c r="Y30">
        <v>2</v>
      </c>
      <c r="Z30">
        <v>30.4</v>
      </c>
      <c r="AA30">
        <f t="shared" ref="AA30:AA48" si="14">W30-Z30</f>
        <v>35.800000000000004</v>
      </c>
      <c r="AD30" s="2" t="s">
        <v>38</v>
      </c>
      <c r="AE30" s="2">
        <f>STDEV(AE8:AE26)</f>
        <v>9.2463490503135297</v>
      </c>
      <c r="AF30" s="2"/>
      <c r="AG30" s="2" t="s">
        <v>18</v>
      </c>
      <c r="AH30" s="2">
        <f>STDEV(AH8:AH23)</f>
        <v>6.7474439604934853</v>
      </c>
      <c r="AK30" s="2" t="s">
        <v>38</v>
      </c>
      <c r="AL30" s="2">
        <f>STDEV(AL8:AL24)</f>
        <v>13.83437747063452</v>
      </c>
      <c r="AM30" s="2"/>
      <c r="AN30" s="2" t="s">
        <v>18</v>
      </c>
      <c r="AO30" s="2">
        <f>STDEV(AO8:AO16)</f>
        <v>15.901886680516872</v>
      </c>
      <c r="AX30" s="2" t="s">
        <v>38</v>
      </c>
      <c r="AY30">
        <f>STDEV(AY8:AY24)</f>
        <v>18.898692765249503</v>
      </c>
      <c r="BA30" s="2" t="s">
        <v>18</v>
      </c>
      <c r="BB30">
        <f>STDEV(BB8:BB16)</f>
        <v>17.218723658983684</v>
      </c>
    </row>
    <row r="31" spans="1:54" x14ac:dyDescent="0.15">
      <c r="A31" t="s">
        <v>85</v>
      </c>
      <c r="B31">
        <v>35.200000000000003</v>
      </c>
      <c r="C31">
        <v>1</v>
      </c>
      <c r="D31">
        <v>1</v>
      </c>
      <c r="E31">
        <v>21</v>
      </c>
      <c r="F31">
        <f t="shared" si="11"/>
        <v>14.200000000000003</v>
      </c>
      <c r="H31" t="s">
        <v>85</v>
      </c>
      <c r="I31">
        <v>33.799999999999997</v>
      </c>
      <c r="J31">
        <v>1</v>
      </c>
      <c r="K31">
        <v>1</v>
      </c>
      <c r="L31">
        <v>21</v>
      </c>
      <c r="M31">
        <f t="shared" si="12"/>
        <v>12.799999999999997</v>
      </c>
      <c r="O31" t="s">
        <v>85</v>
      </c>
      <c r="P31" t="s">
        <v>64</v>
      </c>
      <c r="Q31" t="s">
        <v>67</v>
      </c>
      <c r="R31" t="s">
        <v>64</v>
      </c>
      <c r="V31" t="s">
        <v>85</v>
      </c>
      <c r="X31" t="s">
        <v>67</v>
      </c>
      <c r="Y31" t="s">
        <v>64</v>
      </c>
      <c r="AD31" s="2" t="s">
        <v>41</v>
      </c>
      <c r="AE31" s="2">
        <f>TTEST(AE8:AE26,AH8:AH23,1,2)</f>
        <v>4.0169600117747652E-3</v>
      </c>
      <c r="AF31" s="2"/>
      <c r="AG31" s="2"/>
      <c r="AH31" s="2"/>
      <c r="AK31" s="2" t="s">
        <v>40</v>
      </c>
      <c r="AL31" s="2">
        <f>TTEST(AL8:AL24,AO8:AO16,1,2)</f>
        <v>0.3343348727586285</v>
      </c>
      <c r="AM31" s="2"/>
      <c r="AN31" s="2"/>
      <c r="AO31" s="2"/>
      <c r="AX31" s="2" t="s">
        <v>131</v>
      </c>
      <c r="AY31">
        <f>TTEST(AY8:AY24,BB8:BB16,1,2)</f>
        <v>2.5690917268237842E-2</v>
      </c>
      <c r="BA31" s="2" t="s">
        <v>133</v>
      </c>
      <c r="BB31">
        <f>TTEST(AY8:AY24,AL8:AL24,1,2)</f>
        <v>9.2697930199617216E-3</v>
      </c>
    </row>
    <row r="32" spans="1:54" x14ac:dyDescent="0.15">
      <c r="A32" t="s">
        <v>86</v>
      </c>
      <c r="B32">
        <v>48.8</v>
      </c>
      <c r="C32">
        <v>1</v>
      </c>
      <c r="D32">
        <v>1</v>
      </c>
      <c r="E32">
        <v>21</v>
      </c>
      <c r="F32">
        <f t="shared" si="11"/>
        <v>27.799999999999997</v>
      </c>
      <c r="H32" t="s">
        <v>86</v>
      </c>
      <c r="I32">
        <v>53</v>
      </c>
      <c r="J32">
        <v>1</v>
      </c>
      <c r="K32">
        <v>1</v>
      </c>
      <c r="L32">
        <v>21</v>
      </c>
      <c r="M32">
        <f t="shared" si="12"/>
        <v>32</v>
      </c>
      <c r="O32" t="s">
        <v>86</v>
      </c>
      <c r="P32">
        <v>57.8</v>
      </c>
      <c r="Q32">
        <v>1</v>
      </c>
      <c r="R32">
        <v>2</v>
      </c>
      <c r="S32">
        <v>30.4</v>
      </c>
      <c r="T32">
        <f t="shared" si="13"/>
        <v>27.4</v>
      </c>
      <c r="V32" t="s">
        <v>86</v>
      </c>
      <c r="W32">
        <f>10.2+16.8+30.4</f>
        <v>57.4</v>
      </c>
      <c r="X32">
        <v>1</v>
      </c>
      <c r="Y32">
        <v>2</v>
      </c>
      <c r="Z32">
        <v>30.4</v>
      </c>
      <c r="AA32">
        <f t="shared" si="14"/>
        <v>27</v>
      </c>
      <c r="AD32" s="2" t="s">
        <v>39</v>
      </c>
      <c r="AE32" s="2">
        <f>TTEST(AE8:AE26,AL8:AL24,1,2)</f>
        <v>9.0869535641577195E-2</v>
      </c>
      <c r="AF32" s="2"/>
      <c r="AG32" s="2"/>
      <c r="AH32" s="2"/>
      <c r="AK32" s="2" t="s">
        <v>130</v>
      </c>
      <c r="AL32" s="2">
        <f>TTEST(AH8:AH23,AO8:AO16,1,2)</f>
        <v>1.4335333480989861E-2</v>
      </c>
      <c r="AM32" s="2"/>
      <c r="AN32" s="2"/>
      <c r="AO32" s="2"/>
      <c r="AX32" s="2" t="s">
        <v>132</v>
      </c>
      <c r="AY32">
        <f>TTEST(BB8:BB16,AO8:AO16,1,2)</f>
        <v>0.44102842781099821</v>
      </c>
      <c r="BA32" s="2" t="s">
        <v>134</v>
      </c>
      <c r="BB32">
        <f>TTEST(AY8:AY24,AE8:AE26,1,2)</f>
        <v>1.7333194583624544E-4</v>
      </c>
    </row>
    <row r="33" spans="1:54" x14ac:dyDescent="0.15">
      <c r="A33" t="s">
        <v>87</v>
      </c>
      <c r="B33">
        <v>43</v>
      </c>
      <c r="C33">
        <v>1</v>
      </c>
      <c r="D33">
        <v>1</v>
      </c>
      <c r="E33">
        <v>21</v>
      </c>
      <c r="F33">
        <f t="shared" si="11"/>
        <v>22</v>
      </c>
      <c r="H33" t="s">
        <v>87</v>
      </c>
      <c r="I33">
        <v>39.4</v>
      </c>
      <c r="J33">
        <v>1</v>
      </c>
      <c r="K33">
        <v>1</v>
      </c>
      <c r="L33">
        <v>21</v>
      </c>
      <c r="M33">
        <f t="shared" si="12"/>
        <v>18.399999999999999</v>
      </c>
      <c r="O33" t="s">
        <v>87</v>
      </c>
      <c r="P33" t="s">
        <v>64</v>
      </c>
      <c r="Q33" t="s">
        <v>64</v>
      </c>
      <c r="R33" t="s">
        <v>65</v>
      </c>
      <c r="V33" t="s">
        <v>87</v>
      </c>
      <c r="X33" t="s">
        <v>64</v>
      </c>
      <c r="Y33" t="s">
        <v>65</v>
      </c>
      <c r="AM33" t="s">
        <v>54</v>
      </c>
      <c r="BA33" s="2" t="s">
        <v>137</v>
      </c>
      <c r="BB33">
        <f>TTEST(BB8:BB16,AH8:AH23,1,2)</f>
        <v>1.1347240459670878E-2</v>
      </c>
    </row>
    <row r="34" spans="1:54" x14ac:dyDescent="0.15">
      <c r="A34" t="s">
        <v>88</v>
      </c>
      <c r="B34">
        <v>49.6</v>
      </c>
      <c r="C34">
        <v>1</v>
      </c>
      <c r="D34">
        <v>1</v>
      </c>
      <c r="E34">
        <v>21</v>
      </c>
      <c r="F34">
        <f t="shared" si="11"/>
        <v>28.6</v>
      </c>
      <c r="H34" t="s">
        <v>88</v>
      </c>
      <c r="I34" t="s">
        <v>2</v>
      </c>
      <c r="J34">
        <v>1</v>
      </c>
      <c r="K34">
        <v>1</v>
      </c>
      <c r="L34">
        <v>21</v>
      </c>
      <c r="O34" t="s">
        <v>88</v>
      </c>
      <c r="P34" t="s">
        <v>70</v>
      </c>
      <c r="Q34" t="s">
        <v>64</v>
      </c>
      <c r="R34" t="s">
        <v>66</v>
      </c>
      <c r="V34" t="s">
        <v>88</v>
      </c>
      <c r="X34" t="s">
        <v>64</v>
      </c>
      <c r="Y34" t="s">
        <v>66</v>
      </c>
      <c r="AM34" t="s">
        <v>55</v>
      </c>
    </row>
    <row r="35" spans="1:54" x14ac:dyDescent="0.15">
      <c r="A35" t="s">
        <v>89</v>
      </c>
      <c r="B35">
        <v>42.8</v>
      </c>
      <c r="C35">
        <v>1</v>
      </c>
      <c r="D35">
        <v>1</v>
      </c>
      <c r="E35">
        <v>21</v>
      </c>
      <c r="F35">
        <f t="shared" si="11"/>
        <v>21.799999999999997</v>
      </c>
      <c r="H35" t="s">
        <v>89</v>
      </c>
      <c r="I35" t="s">
        <v>2</v>
      </c>
      <c r="J35">
        <v>1</v>
      </c>
      <c r="K35">
        <v>1</v>
      </c>
      <c r="L35">
        <v>21</v>
      </c>
      <c r="O35" t="s">
        <v>89</v>
      </c>
      <c r="P35" t="s">
        <v>64</v>
      </c>
      <c r="Q35" t="s">
        <v>64</v>
      </c>
      <c r="R35" t="s">
        <v>64</v>
      </c>
      <c r="V35" t="s">
        <v>89</v>
      </c>
      <c r="X35" t="s">
        <v>64</v>
      </c>
      <c r="Y35" t="s">
        <v>64</v>
      </c>
    </row>
    <row r="36" spans="1:54" x14ac:dyDescent="0.15">
      <c r="A36" t="s">
        <v>93</v>
      </c>
      <c r="B36">
        <v>46.6</v>
      </c>
      <c r="C36">
        <v>1</v>
      </c>
      <c r="D36">
        <v>1</v>
      </c>
      <c r="E36">
        <v>21</v>
      </c>
      <c r="F36">
        <f t="shared" si="11"/>
        <v>25.6</v>
      </c>
      <c r="H36" t="s">
        <v>93</v>
      </c>
      <c r="I36">
        <v>43.4</v>
      </c>
      <c r="J36">
        <v>1</v>
      </c>
      <c r="K36">
        <v>1</v>
      </c>
      <c r="L36">
        <v>21</v>
      </c>
      <c r="M36">
        <f t="shared" si="12"/>
        <v>22.4</v>
      </c>
      <c r="O36" t="s">
        <v>93</v>
      </c>
      <c r="P36" t="s">
        <v>64</v>
      </c>
      <c r="Q36" t="s">
        <v>64</v>
      </c>
      <c r="R36" t="s">
        <v>64</v>
      </c>
      <c r="V36" t="s">
        <v>93</v>
      </c>
      <c r="X36" t="s">
        <v>64</v>
      </c>
      <c r="Y36" t="s">
        <v>64</v>
      </c>
    </row>
    <row r="37" spans="1:54" x14ac:dyDescent="0.15">
      <c r="A37" t="s">
        <v>94</v>
      </c>
      <c r="B37">
        <v>36.799999999999997</v>
      </c>
      <c r="C37">
        <v>1</v>
      </c>
      <c r="D37">
        <v>1</v>
      </c>
      <c r="E37">
        <v>21</v>
      </c>
      <c r="F37">
        <f t="shared" si="11"/>
        <v>15.799999999999997</v>
      </c>
      <c r="H37" t="s">
        <v>94</v>
      </c>
      <c r="I37">
        <v>46.8</v>
      </c>
      <c r="J37">
        <v>1</v>
      </c>
      <c r="K37">
        <v>1</v>
      </c>
      <c r="L37">
        <v>21</v>
      </c>
      <c r="M37">
        <f t="shared" si="12"/>
        <v>25.799999999999997</v>
      </c>
      <c r="O37" t="s">
        <v>94</v>
      </c>
      <c r="P37">
        <v>48.8</v>
      </c>
      <c r="Q37">
        <v>1</v>
      </c>
      <c r="R37">
        <v>1</v>
      </c>
      <c r="S37">
        <v>21</v>
      </c>
      <c r="T37">
        <f t="shared" si="13"/>
        <v>27.799999999999997</v>
      </c>
      <c r="V37" t="s">
        <v>94</v>
      </c>
      <c r="W37">
        <f>18.4+25.8</f>
        <v>44.2</v>
      </c>
      <c r="X37">
        <v>1</v>
      </c>
      <c r="Y37">
        <v>1</v>
      </c>
      <c r="Z37">
        <v>21</v>
      </c>
      <c r="AA37">
        <f t="shared" si="14"/>
        <v>23.200000000000003</v>
      </c>
    </row>
    <row r="38" spans="1:54" x14ac:dyDescent="0.15">
      <c r="A38" t="s">
        <v>95</v>
      </c>
      <c r="B38">
        <v>36.799999999999997</v>
      </c>
      <c r="C38">
        <v>1</v>
      </c>
      <c r="D38">
        <v>1</v>
      </c>
      <c r="E38">
        <v>21</v>
      </c>
      <c r="F38">
        <f t="shared" si="11"/>
        <v>15.799999999999997</v>
      </c>
      <c r="H38" t="s">
        <v>95</v>
      </c>
      <c r="I38">
        <v>39.6</v>
      </c>
      <c r="J38">
        <v>1</v>
      </c>
      <c r="K38">
        <v>1</v>
      </c>
      <c r="L38">
        <v>21</v>
      </c>
      <c r="M38">
        <f t="shared" si="12"/>
        <v>18.600000000000001</v>
      </c>
      <c r="O38" t="s">
        <v>95</v>
      </c>
      <c r="P38" t="s">
        <v>64</v>
      </c>
      <c r="Q38" t="s">
        <v>64</v>
      </c>
      <c r="R38" t="s">
        <v>64</v>
      </c>
      <c r="V38" t="s">
        <v>95</v>
      </c>
      <c r="X38" t="s">
        <v>64</v>
      </c>
      <c r="Y38" t="s">
        <v>64</v>
      </c>
    </row>
    <row r="39" spans="1:54" x14ac:dyDescent="0.15">
      <c r="A39" t="s">
        <v>106</v>
      </c>
      <c r="B39">
        <v>53</v>
      </c>
      <c r="C39">
        <v>1</v>
      </c>
      <c r="D39">
        <v>1</v>
      </c>
      <c r="E39">
        <v>21</v>
      </c>
      <c r="F39">
        <f t="shared" si="11"/>
        <v>32</v>
      </c>
      <c r="H39" t="s">
        <v>106</v>
      </c>
      <c r="I39">
        <v>56.6</v>
      </c>
      <c r="J39">
        <v>1</v>
      </c>
      <c r="K39">
        <v>1</v>
      </c>
      <c r="L39">
        <v>21</v>
      </c>
      <c r="M39">
        <f t="shared" si="12"/>
        <v>35.6</v>
      </c>
      <c r="O39" t="s">
        <v>106</v>
      </c>
      <c r="P39">
        <v>65</v>
      </c>
      <c r="Q39">
        <v>1</v>
      </c>
      <c r="R39">
        <v>2</v>
      </c>
      <c r="S39">
        <v>30.4</v>
      </c>
      <c r="T39">
        <f t="shared" si="13"/>
        <v>34.6</v>
      </c>
      <c r="V39" t="s">
        <v>106</v>
      </c>
      <c r="W39">
        <f>11+19.2+36</f>
        <v>66.2</v>
      </c>
      <c r="X39">
        <v>1</v>
      </c>
      <c r="Y39">
        <v>2</v>
      </c>
      <c r="Z39">
        <v>30.4</v>
      </c>
      <c r="AA39">
        <f t="shared" si="14"/>
        <v>35.800000000000004</v>
      </c>
    </row>
    <row r="40" spans="1:54" x14ac:dyDescent="0.15">
      <c r="A40" t="s">
        <v>107</v>
      </c>
      <c r="B40">
        <v>41.8</v>
      </c>
      <c r="C40">
        <v>1</v>
      </c>
      <c r="D40">
        <v>1</v>
      </c>
      <c r="E40">
        <v>21</v>
      </c>
      <c r="F40">
        <f t="shared" si="11"/>
        <v>20.799999999999997</v>
      </c>
      <c r="H40" t="s">
        <v>107</v>
      </c>
      <c r="I40" t="s">
        <v>3</v>
      </c>
      <c r="J40">
        <v>1</v>
      </c>
      <c r="K40">
        <v>1</v>
      </c>
      <c r="L40">
        <v>21</v>
      </c>
      <c r="O40" t="s">
        <v>107</v>
      </c>
      <c r="P40" t="s">
        <v>64</v>
      </c>
      <c r="Q40" t="s">
        <v>68</v>
      </c>
      <c r="R40" t="s">
        <v>64</v>
      </c>
      <c r="V40" t="s">
        <v>107</v>
      </c>
      <c r="X40" t="s">
        <v>68</v>
      </c>
      <c r="Y40" t="s">
        <v>64</v>
      </c>
    </row>
    <row r="41" spans="1:54" x14ac:dyDescent="0.15">
      <c r="A41" t="s">
        <v>108</v>
      </c>
      <c r="B41">
        <v>44.8</v>
      </c>
      <c r="C41">
        <v>1</v>
      </c>
      <c r="D41">
        <v>1</v>
      </c>
      <c r="E41">
        <v>21</v>
      </c>
      <c r="F41">
        <f t="shared" si="11"/>
        <v>23.799999999999997</v>
      </c>
      <c r="H41" t="s">
        <v>108</v>
      </c>
      <c r="I41">
        <v>62</v>
      </c>
      <c r="J41">
        <v>1</v>
      </c>
      <c r="K41">
        <v>1</v>
      </c>
      <c r="L41">
        <v>21</v>
      </c>
      <c r="M41">
        <f t="shared" si="12"/>
        <v>41</v>
      </c>
      <c r="O41" t="s">
        <v>108</v>
      </c>
      <c r="P41">
        <v>89.6</v>
      </c>
      <c r="Q41">
        <v>1</v>
      </c>
      <c r="R41">
        <v>2</v>
      </c>
      <c r="S41">
        <v>30.4</v>
      </c>
      <c r="T41">
        <f t="shared" si="13"/>
        <v>59.199999999999996</v>
      </c>
      <c r="V41" t="s">
        <v>108</v>
      </c>
      <c r="W41">
        <f>26+34.6+31.4</f>
        <v>92</v>
      </c>
      <c r="X41">
        <v>1</v>
      </c>
      <c r="Y41">
        <v>2</v>
      </c>
      <c r="Z41">
        <v>30.4</v>
      </c>
      <c r="AA41">
        <f t="shared" si="14"/>
        <v>61.6</v>
      </c>
    </row>
    <row r="42" spans="1:54" x14ac:dyDescent="0.15">
      <c r="A42" t="s">
        <v>109</v>
      </c>
      <c r="B42">
        <v>37.6</v>
      </c>
      <c r="C42">
        <v>1</v>
      </c>
      <c r="D42">
        <v>1</v>
      </c>
      <c r="E42">
        <v>21</v>
      </c>
      <c r="F42">
        <f t="shared" si="11"/>
        <v>16.600000000000001</v>
      </c>
      <c r="H42" t="s">
        <v>109</v>
      </c>
      <c r="I42">
        <v>48.8</v>
      </c>
      <c r="J42">
        <v>1</v>
      </c>
      <c r="K42">
        <v>1</v>
      </c>
      <c r="L42">
        <v>21</v>
      </c>
      <c r="M42">
        <f t="shared" si="12"/>
        <v>27.799999999999997</v>
      </c>
      <c r="O42" t="s">
        <v>109</v>
      </c>
      <c r="P42">
        <v>69.400000000000006</v>
      </c>
      <c r="Q42">
        <v>1</v>
      </c>
      <c r="R42">
        <v>2</v>
      </c>
      <c r="S42">
        <v>30.4</v>
      </c>
      <c r="T42">
        <f t="shared" si="13"/>
        <v>39.000000000000007</v>
      </c>
      <c r="V42" t="s">
        <v>109</v>
      </c>
      <c r="W42">
        <f>10.4+26.2+33</f>
        <v>69.599999999999994</v>
      </c>
      <c r="X42">
        <v>1</v>
      </c>
      <c r="Y42">
        <v>2</v>
      </c>
      <c r="Z42">
        <v>30.4</v>
      </c>
      <c r="AA42">
        <f t="shared" si="14"/>
        <v>39.199999999999996</v>
      </c>
    </row>
    <row r="43" spans="1:54" x14ac:dyDescent="0.15">
      <c r="A43" t="s">
        <v>110</v>
      </c>
      <c r="B43">
        <v>50.2</v>
      </c>
      <c r="C43">
        <v>1</v>
      </c>
      <c r="D43">
        <v>1</v>
      </c>
      <c r="E43">
        <v>21</v>
      </c>
      <c r="F43">
        <f t="shared" si="11"/>
        <v>29.200000000000003</v>
      </c>
      <c r="H43" t="s">
        <v>110</v>
      </c>
      <c r="I43" t="s">
        <v>2</v>
      </c>
      <c r="J43">
        <v>1</v>
      </c>
      <c r="K43">
        <v>1</v>
      </c>
      <c r="L43">
        <v>21</v>
      </c>
      <c r="O43" t="s">
        <v>110</v>
      </c>
      <c r="P43" t="s">
        <v>2</v>
      </c>
      <c r="Q43" t="s">
        <v>7</v>
      </c>
      <c r="R43" t="s">
        <v>64</v>
      </c>
      <c r="S43" t="s">
        <v>7</v>
      </c>
      <c r="V43" t="s">
        <v>110</v>
      </c>
      <c r="X43" t="s">
        <v>124</v>
      </c>
      <c r="Y43" t="s">
        <v>124</v>
      </c>
    </row>
    <row r="44" spans="1:54" x14ac:dyDescent="0.15">
      <c r="A44" t="s">
        <v>111</v>
      </c>
      <c r="B44">
        <v>47.2</v>
      </c>
      <c r="C44">
        <v>1</v>
      </c>
      <c r="D44">
        <v>1</v>
      </c>
      <c r="E44">
        <v>21</v>
      </c>
      <c r="F44">
        <f t="shared" si="11"/>
        <v>26.200000000000003</v>
      </c>
      <c r="H44" t="s">
        <v>111</v>
      </c>
      <c r="I44">
        <v>48.4</v>
      </c>
      <c r="J44">
        <v>1</v>
      </c>
      <c r="K44">
        <v>1</v>
      </c>
      <c r="L44">
        <v>21</v>
      </c>
      <c r="M44">
        <f t="shared" si="12"/>
        <v>27.4</v>
      </c>
      <c r="O44" t="s">
        <v>111</v>
      </c>
      <c r="P44" t="s">
        <v>64</v>
      </c>
      <c r="Q44">
        <v>1</v>
      </c>
      <c r="R44">
        <v>1</v>
      </c>
      <c r="S44">
        <v>21</v>
      </c>
      <c r="V44" t="s">
        <v>111</v>
      </c>
      <c r="X44" t="s">
        <v>124</v>
      </c>
      <c r="Y44" t="s">
        <v>124</v>
      </c>
      <c r="AC44" t="s">
        <v>30</v>
      </c>
      <c r="AD44" t="s">
        <v>28</v>
      </c>
      <c r="AF44" t="s">
        <v>26</v>
      </c>
      <c r="AG44" t="s">
        <v>29</v>
      </c>
    </row>
    <row r="45" spans="1:54" x14ac:dyDescent="0.15">
      <c r="A45" t="s">
        <v>112</v>
      </c>
      <c r="B45">
        <v>43.8</v>
      </c>
      <c r="C45">
        <v>1</v>
      </c>
      <c r="D45">
        <v>1</v>
      </c>
      <c r="E45">
        <v>21</v>
      </c>
      <c r="F45">
        <f t="shared" si="11"/>
        <v>22.799999999999997</v>
      </c>
      <c r="H45" t="s">
        <v>112</v>
      </c>
      <c r="I45">
        <v>42.4</v>
      </c>
      <c r="J45">
        <v>1</v>
      </c>
      <c r="K45">
        <v>1</v>
      </c>
      <c r="L45">
        <v>21</v>
      </c>
      <c r="M45">
        <f t="shared" si="12"/>
        <v>21.4</v>
      </c>
      <c r="O45" t="s">
        <v>112</v>
      </c>
      <c r="P45">
        <v>48.6</v>
      </c>
      <c r="Q45">
        <v>1</v>
      </c>
      <c r="R45">
        <v>1</v>
      </c>
      <c r="S45">
        <v>21</v>
      </c>
      <c r="T45">
        <f t="shared" si="13"/>
        <v>27.6</v>
      </c>
      <c r="V45" t="s">
        <v>112</v>
      </c>
      <c r="W45">
        <f>25.6+32.8</f>
        <v>58.4</v>
      </c>
      <c r="X45">
        <v>1</v>
      </c>
      <c r="Y45">
        <v>1</v>
      </c>
      <c r="Z45">
        <v>21</v>
      </c>
      <c r="AA45">
        <f t="shared" si="14"/>
        <v>37.4</v>
      </c>
      <c r="AC45" t="s">
        <v>31</v>
      </c>
      <c r="AD45" t="s">
        <v>27</v>
      </c>
      <c r="AF45">
        <v>11</v>
      </c>
      <c r="AG45">
        <v>23.43</v>
      </c>
    </row>
    <row r="46" spans="1:54" x14ac:dyDescent="0.15">
      <c r="A46" t="s">
        <v>113</v>
      </c>
      <c r="B46">
        <v>44.8</v>
      </c>
      <c r="C46">
        <v>1</v>
      </c>
      <c r="D46">
        <v>1</v>
      </c>
      <c r="E46">
        <v>21</v>
      </c>
      <c r="F46">
        <f t="shared" si="11"/>
        <v>23.799999999999997</v>
      </c>
      <c r="H46" t="s">
        <v>113</v>
      </c>
      <c r="I46">
        <v>48.2</v>
      </c>
      <c r="J46">
        <v>1</v>
      </c>
      <c r="K46">
        <v>1</v>
      </c>
      <c r="L46">
        <v>21</v>
      </c>
      <c r="M46">
        <f t="shared" si="12"/>
        <v>27.200000000000003</v>
      </c>
      <c r="O46" t="s">
        <v>113</v>
      </c>
      <c r="P46" t="s">
        <v>64</v>
      </c>
      <c r="Q46" t="s">
        <v>7</v>
      </c>
      <c r="R46" t="s">
        <v>7</v>
      </c>
      <c r="S46" t="s">
        <v>7</v>
      </c>
      <c r="V46" t="s">
        <v>113</v>
      </c>
      <c r="X46" t="s">
        <v>124</v>
      </c>
      <c r="Y46" t="s">
        <v>124</v>
      </c>
      <c r="AC46">
        <v>11</v>
      </c>
      <c r="AD46">
        <v>25.21</v>
      </c>
      <c r="AF46">
        <v>35</v>
      </c>
      <c r="AG46">
        <v>27.86</v>
      </c>
    </row>
    <row r="47" spans="1:54" x14ac:dyDescent="0.15">
      <c r="A47" t="s">
        <v>114</v>
      </c>
      <c r="B47">
        <v>40.799999999999997</v>
      </c>
      <c r="C47">
        <v>1</v>
      </c>
      <c r="D47">
        <v>1</v>
      </c>
      <c r="E47">
        <v>21</v>
      </c>
      <c r="F47">
        <f t="shared" si="11"/>
        <v>19.799999999999997</v>
      </c>
      <c r="H47" t="s">
        <v>114</v>
      </c>
      <c r="I47">
        <v>39.6</v>
      </c>
      <c r="J47">
        <v>1</v>
      </c>
      <c r="K47">
        <v>1</v>
      </c>
      <c r="L47">
        <v>21</v>
      </c>
      <c r="M47">
        <f t="shared" si="12"/>
        <v>18.600000000000001</v>
      </c>
      <c r="O47" t="s">
        <v>114</v>
      </c>
      <c r="P47" t="s">
        <v>64</v>
      </c>
      <c r="Q47" t="s">
        <v>8</v>
      </c>
      <c r="R47" t="s">
        <v>7</v>
      </c>
      <c r="S47" t="s">
        <v>7</v>
      </c>
      <c r="V47" t="s">
        <v>114</v>
      </c>
      <c r="X47" t="s">
        <v>124</v>
      </c>
      <c r="Y47" t="s">
        <v>124</v>
      </c>
      <c r="AC47">
        <v>35</v>
      </c>
      <c r="AD47">
        <v>38.15</v>
      </c>
      <c r="AF47">
        <v>54</v>
      </c>
      <c r="AG47">
        <v>39.93</v>
      </c>
    </row>
    <row r="48" spans="1:54" x14ac:dyDescent="0.15">
      <c r="A48" t="s">
        <v>115</v>
      </c>
      <c r="B48">
        <v>47</v>
      </c>
      <c r="C48">
        <v>1</v>
      </c>
      <c r="D48">
        <v>1</v>
      </c>
      <c r="E48">
        <v>21</v>
      </c>
      <c r="F48">
        <f t="shared" si="11"/>
        <v>26</v>
      </c>
      <c r="H48" t="s">
        <v>115</v>
      </c>
      <c r="I48">
        <v>63.6</v>
      </c>
      <c r="J48">
        <v>1</v>
      </c>
      <c r="K48">
        <v>1</v>
      </c>
      <c r="L48">
        <v>21</v>
      </c>
      <c r="M48">
        <f t="shared" si="12"/>
        <v>42.6</v>
      </c>
      <c r="O48" t="s">
        <v>115</v>
      </c>
      <c r="P48">
        <v>111.6</v>
      </c>
      <c r="Q48">
        <v>1</v>
      </c>
      <c r="R48">
        <v>3</v>
      </c>
      <c r="S48">
        <v>39.799999999999997</v>
      </c>
      <c r="T48">
        <f t="shared" si="13"/>
        <v>71.8</v>
      </c>
      <c r="V48" t="s">
        <v>115</v>
      </c>
      <c r="W48">
        <f>15.6+27.4+39.4+33.4</f>
        <v>115.80000000000001</v>
      </c>
      <c r="X48">
        <v>1</v>
      </c>
      <c r="Y48">
        <v>3</v>
      </c>
      <c r="Z48">
        <v>39.799999999999997</v>
      </c>
      <c r="AA48">
        <f t="shared" si="14"/>
        <v>76.000000000000014</v>
      </c>
      <c r="AC48">
        <v>54</v>
      </c>
      <c r="AD48" s="3">
        <v>43.76</v>
      </c>
      <c r="AF48">
        <v>68</v>
      </c>
      <c r="AG48">
        <v>40.69</v>
      </c>
    </row>
    <row r="49" spans="1:30" x14ac:dyDescent="0.15">
      <c r="A49" t="s">
        <v>10</v>
      </c>
      <c r="F49">
        <f>AVERAGE(F29:F48)</f>
        <v>23.43</v>
      </c>
      <c r="H49" t="s">
        <v>12</v>
      </c>
      <c r="M49">
        <f>AVERAGE(M29:M33,M36:M39,M41:M42,M44:M48)</f>
        <v>27.862500000000001</v>
      </c>
      <c r="O49" t="s">
        <v>10</v>
      </c>
      <c r="T49">
        <f>AVERAGE(T29:T30,T32,T37,T39,T41:T42,T45,T48)</f>
        <v>39.933333333333337</v>
      </c>
      <c r="V49" t="s">
        <v>16</v>
      </c>
      <c r="AA49">
        <f>AVERAGE(AA29:AA48)</f>
        <v>40.68888888888889</v>
      </c>
      <c r="AC49">
        <v>68</v>
      </c>
      <c r="AD49" s="4">
        <v>54.66</v>
      </c>
    </row>
    <row r="50" spans="1:30" x14ac:dyDescent="0.15">
      <c r="A50" t="s">
        <v>90</v>
      </c>
      <c r="B50">
        <f>TTEST(F29:F48,M29:M48,1,2)</f>
        <v>3.5053611583796683E-2</v>
      </c>
      <c r="H50" t="s">
        <v>92</v>
      </c>
      <c r="I50">
        <f>TTEST(M29:M48,T29:T48,1,2)</f>
        <v>1.017595881349324E-2</v>
      </c>
      <c r="O50" t="s">
        <v>34</v>
      </c>
      <c r="P50">
        <f>TTEST(T5:T24,T29:T48,1,2)</f>
        <v>0.27973241498719453</v>
      </c>
      <c r="V50" t="s">
        <v>17</v>
      </c>
      <c r="AA50">
        <f>(STDEV(AA29:AA48))/(SQRT(COUNT(AA29:AA48)))</f>
        <v>5.710916555268045</v>
      </c>
    </row>
    <row r="51" spans="1:30" x14ac:dyDescent="0.15">
      <c r="A51" t="s">
        <v>32</v>
      </c>
      <c r="B51">
        <f>TTEST(F5:F24,F29:F48,1,2)</f>
        <v>0.12019178271836194</v>
      </c>
      <c r="H51" t="s">
        <v>33</v>
      </c>
      <c r="I51">
        <f>TTEST(M5:M24,M29:M48,1,2)</f>
        <v>4.6887261104862242E-3</v>
      </c>
      <c r="O51" t="s">
        <v>36</v>
      </c>
      <c r="P51">
        <f>(STDEV(T29:T48))/(SQRT(COUNT(T29:T48)))</f>
        <v>5.1425242396663045</v>
      </c>
    </row>
    <row r="52" spans="1:30" x14ac:dyDescent="0.15">
      <c r="A52" t="s">
        <v>36</v>
      </c>
      <c r="B52">
        <f>(STDEV(F29:F48))/(SQRT(COUNT(F29:F48)))</f>
        <v>1.1396467596769202</v>
      </c>
      <c r="H52" t="s">
        <v>36</v>
      </c>
      <c r="I52">
        <f>(STDEV(M29:M48))/(SQRT(COUNT(M29:M48)))</f>
        <v>2.2401427595877279</v>
      </c>
    </row>
    <row r="59" spans="1:30" x14ac:dyDescent="0.15">
      <c r="A59" s="2"/>
    </row>
    <row r="73" spans="1:2" x14ac:dyDescent="0.15">
      <c r="A73" s="2"/>
      <c r="B73" s="2"/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Burnham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Burnham</dc:creator>
  <cp:lastModifiedBy>Microsoft Office User</cp:lastModifiedBy>
  <dcterms:created xsi:type="dcterms:W3CDTF">2016-07-26T20:13:49Z</dcterms:created>
  <dcterms:modified xsi:type="dcterms:W3CDTF">2016-08-19T15:41:04Z</dcterms:modified>
</cp:coreProperties>
</file>