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padamc\Dropbox\Courses\311 Spring 2025\Module 4 Energy Economics\"/>
    </mc:Choice>
  </mc:AlternateContent>
  <xr:revisionPtr revIDLastSave="0" documentId="8_{C5A34731-F0B9-4D6D-88D1-2903C54FC56E}" xr6:coauthVersionLast="47" xr6:coauthVersionMax="47" xr10:uidLastSave="{00000000-0000-0000-0000-000000000000}"/>
  <bookViews>
    <workbookView xWindow="0" yWindow="0" windowWidth="28800" windowHeight="12225" firstSheet="8" activeTab="8" xr2:uid="{94FF7421-9F94-436F-9052-3A0A9808EE6C}"/>
  </bookViews>
  <sheets>
    <sheet name="Energy Information" sheetId="1" r:id="rId1"/>
    <sheet name="LCC Template" sheetId="4" r:id="rId2"/>
    <sheet name="Furnace" sheetId="17" r:id="rId3"/>
    <sheet name="Electric Vehicle (18000 Miles)" sheetId="7" r:id="rId4"/>
    <sheet name="Electric Vehicle (8000 Miles)" sheetId="18" r:id="rId5"/>
    <sheet name="Air Conditioner" sheetId="10" r:id="rId6"/>
    <sheet name="Insulation" sheetId="15" r:id="rId7"/>
    <sheet name="PVs" sheetId="16" r:id="rId8"/>
    <sheet name="Heat Pump" sheetId="12" r:id="rId9"/>
    <sheet name="Hot Water Heater" sheetId="6" r:id="rId10"/>
  </sheets>
  <externalReferences>
    <externalReference r:id="rId11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12" l="1"/>
  <c r="X8" i="12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V28" i="6"/>
  <c r="U2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X8" i="6"/>
  <c r="V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8" i="6"/>
  <c r="Y9" i="12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I29" i="10"/>
  <c r="H29" i="10"/>
  <c r="U12" i="12"/>
  <c r="V12" i="12"/>
  <c r="X9" i="12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M12" i="12"/>
  <c r="H15" i="12"/>
  <c r="B39" i="12"/>
  <c r="B40" i="12"/>
  <c r="B34" i="15"/>
  <c r="B36" i="15"/>
  <c r="B35" i="15"/>
  <c r="O6" i="12"/>
  <c r="U7" i="12" s="1"/>
  <c r="I10" i="10"/>
  <c r="H10" i="10"/>
  <c r="I15" i="10"/>
  <c r="H15" i="10"/>
  <c r="B43" i="10"/>
  <c r="R20" i="18"/>
  <c r="Q20" i="18"/>
  <c r="B44" i="7"/>
  <c r="B44" i="10"/>
  <c r="G10" i="10"/>
  <c r="AE8" i="10"/>
  <c r="AE9" i="10" s="1"/>
  <c r="AD8" i="10"/>
  <c r="B42" i="7"/>
  <c r="B43" i="7"/>
  <c r="I16" i="18"/>
  <c r="H16" i="18"/>
  <c r="G16" i="18"/>
  <c r="B44" i="18"/>
  <c r="B43" i="18"/>
  <c r="B42" i="18"/>
  <c r="I16" i="7"/>
  <c r="H16" i="7"/>
  <c r="G16" i="7"/>
  <c r="B36" i="18"/>
  <c r="B40" i="18" s="1"/>
  <c r="I35" i="18"/>
  <c r="H35" i="18"/>
  <c r="G35" i="18"/>
  <c r="B35" i="18"/>
  <c r="B39" i="18" s="1"/>
  <c r="B34" i="18"/>
  <c r="B38" i="18" s="1"/>
  <c r="S28" i="18"/>
  <c r="AB27" i="18"/>
  <c r="AA27" i="18"/>
  <c r="Z27" i="18"/>
  <c r="AB26" i="18"/>
  <c r="AA26" i="18"/>
  <c r="Z26" i="18"/>
  <c r="AB25" i="18"/>
  <c r="AA25" i="18"/>
  <c r="AE25" i="18" s="1"/>
  <c r="Z25" i="18"/>
  <c r="AD25" i="18" s="1"/>
  <c r="AB24" i="18"/>
  <c r="AA24" i="18"/>
  <c r="AE24" i="18" s="1"/>
  <c r="Z24" i="18"/>
  <c r="AD24" i="18" s="1"/>
  <c r="AB23" i="18"/>
  <c r="AA23" i="18"/>
  <c r="AE23" i="18" s="1"/>
  <c r="Z23" i="18"/>
  <c r="AD23" i="18" s="1"/>
  <c r="X22" i="18"/>
  <c r="V22" i="18"/>
  <c r="T22" i="18"/>
  <c r="P22" i="18"/>
  <c r="O22" i="18"/>
  <c r="N22" i="18"/>
  <c r="X21" i="18"/>
  <c r="V21" i="18"/>
  <c r="T21" i="18"/>
  <c r="P21" i="18"/>
  <c r="O21" i="18"/>
  <c r="N21" i="18"/>
  <c r="X20" i="18"/>
  <c r="V20" i="18"/>
  <c r="T20" i="18"/>
  <c r="P20" i="18"/>
  <c r="O20" i="18"/>
  <c r="N20" i="18"/>
  <c r="I20" i="18"/>
  <c r="X19" i="18"/>
  <c r="V19" i="18"/>
  <c r="T19" i="18"/>
  <c r="P19" i="18"/>
  <c r="O19" i="18"/>
  <c r="N19" i="18"/>
  <c r="X18" i="18"/>
  <c r="V18" i="18"/>
  <c r="T18" i="18"/>
  <c r="P18" i="18"/>
  <c r="O18" i="18"/>
  <c r="N18" i="18"/>
  <c r="X17" i="18"/>
  <c r="V17" i="18"/>
  <c r="T17" i="18"/>
  <c r="P17" i="18"/>
  <c r="O17" i="18"/>
  <c r="N17" i="18"/>
  <c r="X16" i="18"/>
  <c r="V16" i="18"/>
  <c r="T16" i="18"/>
  <c r="P16" i="18"/>
  <c r="O16" i="18"/>
  <c r="N16" i="18"/>
  <c r="X15" i="18"/>
  <c r="V15" i="18"/>
  <c r="T15" i="18"/>
  <c r="P15" i="18"/>
  <c r="O15" i="18"/>
  <c r="N15" i="18"/>
  <c r="I15" i="18"/>
  <c r="H15" i="18"/>
  <c r="G15" i="18"/>
  <c r="X14" i="18"/>
  <c r="V14" i="18"/>
  <c r="T14" i="18"/>
  <c r="P14" i="18"/>
  <c r="O14" i="18"/>
  <c r="N14" i="18"/>
  <c r="X13" i="18"/>
  <c r="V13" i="18"/>
  <c r="T13" i="18"/>
  <c r="P13" i="18"/>
  <c r="O13" i="18"/>
  <c r="N13" i="18"/>
  <c r="X12" i="18"/>
  <c r="V12" i="18"/>
  <c r="T12" i="18"/>
  <c r="R28" i="18"/>
  <c r="H20" i="18" s="1"/>
  <c r="Q28" i="18"/>
  <c r="G20" i="18" s="1"/>
  <c r="P12" i="18"/>
  <c r="O12" i="18"/>
  <c r="N12" i="18"/>
  <c r="X11" i="18"/>
  <c r="V11" i="18"/>
  <c r="T11" i="18"/>
  <c r="P11" i="18"/>
  <c r="O11" i="18"/>
  <c r="N11" i="18"/>
  <c r="X10" i="18"/>
  <c r="V10" i="18"/>
  <c r="T10" i="18"/>
  <c r="P10" i="18"/>
  <c r="O10" i="18"/>
  <c r="N10" i="18"/>
  <c r="I10" i="18"/>
  <c r="I36" i="18" s="1"/>
  <c r="I54" i="18" s="1"/>
  <c r="H10" i="18"/>
  <c r="H36" i="18" s="1"/>
  <c r="H54" i="18" s="1"/>
  <c r="G10" i="18"/>
  <c r="G36" i="18" s="1"/>
  <c r="G54" i="18" s="1"/>
  <c r="X9" i="18"/>
  <c r="V9" i="18"/>
  <c r="T9" i="18"/>
  <c r="P9" i="18"/>
  <c r="O9" i="18"/>
  <c r="N9" i="18"/>
  <c r="B9" i="18"/>
  <c r="X8" i="18"/>
  <c r="V8" i="18"/>
  <c r="T8" i="18"/>
  <c r="P8" i="18"/>
  <c r="O8" i="18"/>
  <c r="N8" i="18"/>
  <c r="B8" i="18"/>
  <c r="S7" i="18"/>
  <c r="R7" i="18"/>
  <c r="Q7" i="18"/>
  <c r="B7" i="18"/>
  <c r="B6" i="18"/>
  <c r="AF7" i="17"/>
  <c r="AE7" i="17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8" i="12"/>
  <c r="B6" i="12"/>
  <c r="B7" i="12"/>
  <c r="W7" i="12"/>
  <c r="Y7" i="12" s="1"/>
  <c r="B8" i="12"/>
  <c r="B9" i="12"/>
  <c r="I10" i="12"/>
  <c r="H11" i="12"/>
  <c r="H12" i="12"/>
  <c r="I18" i="12"/>
  <c r="I20" i="12"/>
  <c r="I22" i="12"/>
  <c r="V23" i="12"/>
  <c r="W23" i="12"/>
  <c r="V24" i="12"/>
  <c r="W24" i="12"/>
  <c r="V25" i="12"/>
  <c r="W25" i="12"/>
  <c r="V26" i="12"/>
  <c r="W26" i="12"/>
  <c r="V27" i="12"/>
  <c r="W27" i="12"/>
  <c r="I28" i="12"/>
  <c r="M28" i="12"/>
  <c r="G18" i="12" s="1"/>
  <c r="N28" i="12"/>
  <c r="H20" i="12" s="1"/>
  <c r="B31" i="12"/>
  <c r="B33" i="12"/>
  <c r="B35" i="12"/>
  <c r="B46" i="12" s="1"/>
  <c r="H35" i="12"/>
  <c r="B33" i="6"/>
  <c r="B35" i="6"/>
  <c r="B39" i="6"/>
  <c r="B42" i="12"/>
  <c r="B36" i="6"/>
  <c r="B37" i="6"/>
  <c r="Y8" i="6" s="1"/>
  <c r="O15" i="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9" i="16"/>
  <c r="V8" i="16"/>
  <c r="T7" i="16"/>
  <c r="S7" i="16"/>
  <c r="N7" i="16"/>
  <c r="M7" i="16"/>
  <c r="L7" i="16"/>
  <c r="K7" i="16"/>
  <c r="H22" i="16"/>
  <c r="H20" i="16"/>
  <c r="H18" i="16"/>
  <c r="G18" i="16"/>
  <c r="G20" i="16"/>
  <c r="L22" i="16"/>
  <c r="O23" i="16"/>
  <c r="O24" i="16"/>
  <c r="O25" i="16"/>
  <c r="O26" i="16"/>
  <c r="O27" i="16"/>
  <c r="H13" i="16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Z9" i="10"/>
  <c r="AA9" i="10"/>
  <c r="AB9" i="10"/>
  <c r="Z10" i="10"/>
  <c r="AA10" i="10"/>
  <c r="AB10" i="10"/>
  <c r="Z11" i="10"/>
  <c r="AA11" i="10"/>
  <c r="AB11" i="10"/>
  <c r="Z12" i="10"/>
  <c r="AA12" i="10"/>
  <c r="AB12" i="10"/>
  <c r="Z13" i="10"/>
  <c r="AA13" i="10"/>
  <c r="AB13" i="10"/>
  <c r="Z14" i="10"/>
  <c r="AA14" i="10"/>
  <c r="AB14" i="10"/>
  <c r="Z15" i="10"/>
  <c r="AA15" i="10"/>
  <c r="AB15" i="10"/>
  <c r="Z16" i="10"/>
  <c r="AA16" i="10"/>
  <c r="AB16" i="10"/>
  <c r="Z17" i="10"/>
  <c r="AA17" i="10"/>
  <c r="AB17" i="10"/>
  <c r="Z18" i="10"/>
  <c r="AA18" i="10"/>
  <c r="AB18" i="10"/>
  <c r="Z19" i="10"/>
  <c r="AA19" i="10"/>
  <c r="AB19" i="10"/>
  <c r="Z20" i="10"/>
  <c r="AA20" i="10"/>
  <c r="AB20" i="10"/>
  <c r="Z21" i="10"/>
  <c r="AA21" i="10"/>
  <c r="AB21" i="10"/>
  <c r="Z22" i="10"/>
  <c r="AA22" i="10"/>
  <c r="AB22" i="10"/>
  <c r="AB8" i="10"/>
  <c r="AA8" i="10"/>
  <c r="Z8" i="10"/>
  <c r="AD9" i="10"/>
  <c r="AD10" i="10" s="1"/>
  <c r="AD11" i="10" s="1"/>
  <c r="AD12" i="10" s="1"/>
  <c r="AD13" i="10" s="1"/>
  <c r="AD14" i="10" s="1"/>
  <c r="AD15" i="10" s="1"/>
  <c r="AD16" i="10" s="1"/>
  <c r="AD17" i="10" s="1"/>
  <c r="AD18" i="10" s="1"/>
  <c r="AD19" i="10" s="1"/>
  <c r="AD20" i="10" s="1"/>
  <c r="AD21" i="10" s="1"/>
  <c r="AD22" i="10" s="1"/>
  <c r="AE7" i="10"/>
  <c r="AD7" i="10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H8" i="15"/>
  <c r="AJ8" i="17"/>
  <c r="AH9" i="15"/>
  <c r="AJ9" i="17"/>
  <c r="AI7" i="15"/>
  <c r="AH7" i="15"/>
  <c r="AE7" i="15"/>
  <c r="AF7" i="15"/>
  <c r="AD7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8" i="15"/>
  <c r="B33" i="15"/>
  <c r="H15" i="15"/>
  <c r="H11" i="15"/>
  <c r="H10" i="15"/>
  <c r="B9" i="15"/>
  <c r="I11" i="15"/>
  <c r="I15" i="15"/>
  <c r="AD23" i="15"/>
  <c r="AE23" i="15"/>
  <c r="AF23" i="15"/>
  <c r="AD24" i="15"/>
  <c r="AE24" i="15"/>
  <c r="AF24" i="15"/>
  <c r="AD25" i="15"/>
  <c r="AE25" i="15"/>
  <c r="AF25" i="15"/>
  <c r="AD26" i="15"/>
  <c r="AE26" i="15"/>
  <c r="AF26" i="15"/>
  <c r="AD27" i="15"/>
  <c r="AE27" i="15"/>
  <c r="AF27" i="15"/>
  <c r="J28" i="15"/>
  <c r="K28" i="15"/>
  <c r="P28" i="15"/>
  <c r="Q28" i="15"/>
  <c r="R28" i="15"/>
  <c r="S28" i="15"/>
  <c r="T28" i="15"/>
  <c r="U28" i="15"/>
  <c r="V28" i="15"/>
  <c r="W28" i="15"/>
  <c r="X28" i="15"/>
  <c r="B6" i="1"/>
  <c r="B6" i="4"/>
  <c r="B33" i="10"/>
  <c r="Q17" i="7"/>
  <c r="Q12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G10" i="7"/>
  <c r="G15" i="7"/>
  <c r="I15" i="7"/>
  <c r="I10" i="7"/>
  <c r="H35" i="10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8" i="16"/>
  <c r="B39" i="10"/>
  <c r="B37" i="10"/>
  <c r="B30" i="16"/>
  <c r="O6" i="16"/>
  <c r="B6" i="17"/>
  <c r="O22" i="7"/>
  <c r="O12" i="7"/>
  <c r="O17" i="7"/>
  <c r="R17" i="7"/>
  <c r="R12" i="7"/>
  <c r="S7" i="7"/>
  <c r="R7" i="7"/>
  <c r="Q7" i="7"/>
  <c r="B9" i="16"/>
  <c r="B8" i="16"/>
  <c r="B7" i="16"/>
  <c r="B6" i="16"/>
  <c r="B6" i="15"/>
  <c r="B7" i="15"/>
  <c r="B8" i="15"/>
  <c r="I20" i="10"/>
  <c r="H20" i="10"/>
  <c r="I18" i="10"/>
  <c r="H18" i="10"/>
  <c r="G20" i="10"/>
  <c r="G18" i="10"/>
  <c r="Z7" i="10"/>
  <c r="AA7" i="10"/>
  <c r="AB7" i="10"/>
  <c r="X6" i="10"/>
  <c r="S7" i="10"/>
  <c r="V6" i="10"/>
  <c r="R7" i="10"/>
  <c r="T6" i="10"/>
  <c r="Q7" i="10"/>
  <c r="P7" i="10"/>
  <c r="N7" i="10"/>
  <c r="O7" i="10"/>
  <c r="B35" i="10"/>
  <c r="B30" i="10"/>
  <c r="AE23" i="7"/>
  <c r="AE24" i="7"/>
  <c r="AE25" i="7"/>
  <c r="AD23" i="7"/>
  <c r="AD24" i="7"/>
  <c r="AD25" i="7"/>
  <c r="S7" i="6"/>
  <c r="B7" i="7"/>
  <c r="B8" i="7"/>
  <c r="O8" i="7"/>
  <c r="B9" i="7"/>
  <c r="O9" i="7"/>
  <c r="O10" i="7"/>
  <c r="O11" i="7"/>
  <c r="O13" i="7"/>
  <c r="O14" i="7"/>
  <c r="H15" i="7"/>
  <c r="H10" i="7" s="1"/>
  <c r="O15" i="7"/>
  <c r="O16" i="7"/>
  <c r="O18" i="7"/>
  <c r="O19" i="7"/>
  <c r="O20" i="7"/>
  <c r="O21" i="7"/>
  <c r="Z23" i="7"/>
  <c r="AA23" i="7"/>
  <c r="AB23" i="7"/>
  <c r="Z24" i="7"/>
  <c r="AA24" i="7"/>
  <c r="AB24" i="7"/>
  <c r="Z25" i="7"/>
  <c r="AA25" i="7"/>
  <c r="AB25" i="7"/>
  <c r="Z26" i="7"/>
  <c r="AA26" i="7"/>
  <c r="AB26" i="7"/>
  <c r="Z27" i="7"/>
  <c r="AA27" i="7"/>
  <c r="AB27" i="7"/>
  <c r="N28" i="7"/>
  <c r="G18" i="7" s="1"/>
  <c r="O28" i="7"/>
  <c r="H18" i="7" s="1"/>
  <c r="P28" i="7"/>
  <c r="I18" i="7" s="1"/>
  <c r="Q28" i="7"/>
  <c r="G20" i="7" s="1"/>
  <c r="R28" i="7"/>
  <c r="H20" i="7" s="1"/>
  <c r="S28" i="7"/>
  <c r="I20" i="7" s="1"/>
  <c r="B36" i="7"/>
  <c r="B40" i="7" s="1"/>
  <c r="B35" i="7"/>
  <c r="B39" i="7" s="1"/>
  <c r="B34" i="7"/>
  <c r="B38" i="7" s="1"/>
  <c r="B7" i="17"/>
  <c r="B41" i="17"/>
  <c r="AD28" i="17"/>
  <c r="AC28" i="17"/>
  <c r="AB28" i="17"/>
  <c r="AA28" i="17"/>
  <c r="V28" i="17"/>
  <c r="U28" i="17"/>
  <c r="T28" i="17"/>
  <c r="S28" i="17"/>
  <c r="R28" i="17"/>
  <c r="Q28" i="17"/>
  <c r="P28" i="17"/>
  <c r="O28" i="17"/>
  <c r="J28" i="17"/>
  <c r="I28" i="17"/>
  <c r="H20" i="17"/>
  <c r="G20" i="17"/>
  <c r="H18" i="17"/>
  <c r="G18" i="17"/>
  <c r="H13" i="17"/>
  <c r="G13" i="17"/>
  <c r="H12" i="17"/>
  <c r="G12" i="17"/>
  <c r="H11" i="17"/>
  <c r="G11" i="17"/>
  <c r="H10" i="17"/>
  <c r="G10" i="17"/>
  <c r="B9" i="17"/>
  <c r="B8" i="17"/>
  <c r="X8" i="17" s="1"/>
  <c r="T7" i="17"/>
  <c r="S7" i="17"/>
  <c r="P7" i="17"/>
  <c r="O7" i="17"/>
  <c r="B6" i="10"/>
  <c r="B6" i="7"/>
  <c r="G36" i="16"/>
  <c r="G54" i="16" s="1"/>
  <c r="H35" i="16"/>
  <c r="G35" i="16"/>
  <c r="R28" i="16"/>
  <c r="Q28" i="16"/>
  <c r="O28" i="16"/>
  <c r="N28" i="16"/>
  <c r="M28" i="16"/>
  <c r="L28" i="16"/>
  <c r="K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K36" i="15"/>
  <c r="K54" i="15" s="1"/>
  <c r="J36" i="15"/>
  <c r="J54" i="15" s="1"/>
  <c r="K35" i="15"/>
  <c r="J35" i="15"/>
  <c r="I35" i="15"/>
  <c r="H35" i="15"/>
  <c r="H36" i="15"/>
  <c r="H54" i="15" s="1"/>
  <c r="I36" i="10"/>
  <c r="I54" i="10" s="1"/>
  <c r="H36" i="10"/>
  <c r="H54" i="10" s="1"/>
  <c r="G36" i="10"/>
  <c r="G54" i="10" s="1"/>
  <c r="I35" i="10"/>
  <c r="G35" i="10"/>
  <c r="S28" i="10"/>
  <c r="R28" i="10"/>
  <c r="Q28" i="10"/>
  <c r="P28" i="10"/>
  <c r="O28" i="10"/>
  <c r="N28" i="10"/>
  <c r="AB27" i="10"/>
  <c r="AA27" i="10"/>
  <c r="Z27" i="10"/>
  <c r="AB26" i="10"/>
  <c r="AA26" i="10"/>
  <c r="Z26" i="10"/>
  <c r="AB25" i="10"/>
  <c r="AA25" i="10"/>
  <c r="Z25" i="10"/>
  <c r="AB24" i="10"/>
  <c r="AA24" i="10"/>
  <c r="Z24" i="10"/>
  <c r="AB23" i="10"/>
  <c r="AA23" i="10"/>
  <c r="Z23" i="10"/>
  <c r="B9" i="10"/>
  <c r="B7" i="10"/>
  <c r="I36" i="7"/>
  <c r="I54" i="7" s="1"/>
  <c r="H36" i="7"/>
  <c r="H54" i="7" s="1"/>
  <c r="G36" i="7"/>
  <c r="G54" i="7" s="1"/>
  <c r="I35" i="7"/>
  <c r="H35" i="7"/>
  <c r="G35" i="7"/>
  <c r="AA7" i="6"/>
  <c r="AF7" i="6"/>
  <c r="AB7" i="6"/>
  <c r="T7" i="6"/>
  <c r="P7" i="6"/>
  <c r="O7" i="6"/>
  <c r="G10" i="6"/>
  <c r="H10" i="6"/>
  <c r="J36" i="6"/>
  <c r="J54" i="6" s="1"/>
  <c r="I36" i="6"/>
  <c r="I54" i="6" s="1"/>
  <c r="H36" i="6"/>
  <c r="H54" i="6" s="1"/>
  <c r="G36" i="6"/>
  <c r="G54" i="6" s="1"/>
  <c r="J35" i="6"/>
  <c r="I35" i="6"/>
  <c r="H35" i="6"/>
  <c r="G35" i="6"/>
  <c r="T28" i="6"/>
  <c r="H20" i="6" s="1"/>
  <c r="S28" i="6"/>
  <c r="G20" i="6" s="1"/>
  <c r="R28" i="6"/>
  <c r="Q28" i="6"/>
  <c r="P28" i="6"/>
  <c r="H18" i="6" s="1"/>
  <c r="O28" i="6"/>
  <c r="J28" i="6"/>
  <c r="I28" i="6"/>
  <c r="G18" i="6"/>
  <c r="B9" i="6"/>
  <c r="B7" i="6"/>
  <c r="B6" i="6"/>
  <c r="AH27" i="4"/>
  <c r="AG27" i="4"/>
  <c r="AF27" i="4"/>
  <c r="AE27" i="4"/>
  <c r="AH26" i="4"/>
  <c r="AG26" i="4"/>
  <c r="AF26" i="4"/>
  <c r="AE26" i="4"/>
  <c r="AH25" i="4"/>
  <c r="AG25" i="4"/>
  <c r="AF25" i="4"/>
  <c r="AE25" i="4"/>
  <c r="AH24" i="4"/>
  <c r="AG24" i="4"/>
  <c r="AF24" i="4"/>
  <c r="AE24" i="4"/>
  <c r="AH23" i="4"/>
  <c r="AG23" i="4"/>
  <c r="AF23" i="4"/>
  <c r="AE23" i="4"/>
  <c r="AH22" i="4"/>
  <c r="AG22" i="4"/>
  <c r="AF22" i="4"/>
  <c r="AE22" i="4"/>
  <c r="AH21" i="4"/>
  <c r="AG21" i="4"/>
  <c r="AF21" i="4"/>
  <c r="AE21" i="4"/>
  <c r="AH20" i="4"/>
  <c r="AG20" i="4"/>
  <c r="AF20" i="4"/>
  <c r="AE20" i="4"/>
  <c r="AH19" i="4"/>
  <c r="AG19" i="4"/>
  <c r="AF19" i="4"/>
  <c r="AE19" i="4"/>
  <c r="AH18" i="4"/>
  <c r="AG18" i="4"/>
  <c r="AF18" i="4"/>
  <c r="AE18" i="4"/>
  <c r="AH17" i="4"/>
  <c r="AG17" i="4"/>
  <c r="AF17" i="4"/>
  <c r="AE17" i="4"/>
  <c r="AH16" i="4"/>
  <c r="AG16" i="4"/>
  <c r="AF16" i="4"/>
  <c r="AE16" i="4"/>
  <c r="AH15" i="4"/>
  <c r="AG15" i="4"/>
  <c r="AF15" i="4"/>
  <c r="AE15" i="4"/>
  <c r="AH14" i="4"/>
  <c r="AG14" i="4"/>
  <c r="AF14" i="4"/>
  <c r="AE14" i="4"/>
  <c r="AH13" i="4"/>
  <c r="AG13" i="4"/>
  <c r="AF13" i="4"/>
  <c r="AE13" i="4"/>
  <c r="AH12" i="4"/>
  <c r="AG12" i="4"/>
  <c r="AF12" i="4"/>
  <c r="AE12" i="4"/>
  <c r="AH11" i="4"/>
  <c r="AG11" i="4"/>
  <c r="AF11" i="4"/>
  <c r="AE11" i="4"/>
  <c r="AH10" i="4"/>
  <c r="AG10" i="4"/>
  <c r="AF10" i="4"/>
  <c r="AE10" i="4"/>
  <c r="AH9" i="4"/>
  <c r="AG9" i="4"/>
  <c r="AF9" i="4"/>
  <c r="AE9" i="4"/>
  <c r="AH8" i="4"/>
  <c r="AG8" i="4"/>
  <c r="AF8" i="4"/>
  <c r="AE8" i="4"/>
  <c r="AD28" i="4"/>
  <c r="AC28" i="4"/>
  <c r="AB28" i="4"/>
  <c r="AA28" i="4"/>
  <c r="Z28" i="4"/>
  <c r="Y28" i="4"/>
  <c r="X28" i="4"/>
  <c r="V28" i="4"/>
  <c r="U28" i="4"/>
  <c r="T28" i="4"/>
  <c r="S28" i="4"/>
  <c r="R28" i="4"/>
  <c r="Q28" i="4"/>
  <c r="P28" i="4"/>
  <c r="J36" i="4"/>
  <c r="J54" i="4" s="1"/>
  <c r="I36" i="4"/>
  <c r="I54" i="4" s="1"/>
  <c r="H36" i="4"/>
  <c r="H54" i="4" s="1"/>
  <c r="G36" i="4"/>
  <c r="G54" i="4" s="1"/>
  <c r="J35" i="4"/>
  <c r="I35" i="4"/>
  <c r="H35" i="4"/>
  <c r="G35" i="4"/>
  <c r="G22" i="4"/>
  <c r="W28" i="4"/>
  <c r="G20" i="4"/>
  <c r="O28" i="4"/>
  <c r="G18" i="4" s="1"/>
  <c r="J28" i="4"/>
  <c r="I28" i="4"/>
  <c r="H28" i="4"/>
  <c r="B9" i="4"/>
  <c r="B7" i="4"/>
  <c r="B12" i="1"/>
  <c r="H10" i="12" l="1"/>
  <c r="O9" i="12"/>
  <c r="P9" i="12" s="1"/>
  <c r="U9" i="12" s="1"/>
  <c r="O10" i="12"/>
  <c r="P10" i="12" s="1"/>
  <c r="U10" i="12" s="1"/>
  <c r="O11" i="12"/>
  <c r="P11" i="12" s="1"/>
  <c r="U11" i="12" s="1"/>
  <c r="O12" i="12"/>
  <c r="P12" i="12" s="1"/>
  <c r="O13" i="12"/>
  <c r="P13" i="12" s="1"/>
  <c r="U13" i="12" s="1"/>
  <c r="O14" i="12"/>
  <c r="P14" i="12" s="1"/>
  <c r="U14" i="12" s="1"/>
  <c r="O15" i="12"/>
  <c r="P15" i="12" s="1"/>
  <c r="U15" i="12" s="1"/>
  <c r="O16" i="12"/>
  <c r="P16" i="12" s="1"/>
  <c r="U16" i="12" s="1"/>
  <c r="O17" i="12"/>
  <c r="P17" i="12" s="1"/>
  <c r="U17" i="12" s="1"/>
  <c r="O18" i="12"/>
  <c r="P18" i="12" s="1"/>
  <c r="U18" i="12" s="1"/>
  <c r="O19" i="12"/>
  <c r="P19" i="12" s="1"/>
  <c r="U19" i="12" s="1"/>
  <c r="O20" i="12"/>
  <c r="P20" i="12" s="1"/>
  <c r="U20" i="12" s="1"/>
  <c r="O21" i="12"/>
  <c r="P21" i="12" s="1"/>
  <c r="U21" i="12" s="1"/>
  <c r="O22" i="12"/>
  <c r="P22" i="12" s="1"/>
  <c r="U22" i="12" s="1"/>
  <c r="O8" i="12"/>
  <c r="AE8" i="7"/>
  <c r="AE9" i="7" s="1"/>
  <c r="AE10" i="7" s="1"/>
  <c r="AE11" i="7" s="1"/>
  <c r="AE12" i="7" s="1"/>
  <c r="AE13" i="7" s="1"/>
  <c r="AE14" i="7" s="1"/>
  <c r="AE15" i="7" s="1"/>
  <c r="AE16" i="7" s="1"/>
  <c r="AE17" i="7" s="1"/>
  <c r="AE18" i="7" s="1"/>
  <c r="AE19" i="7" s="1"/>
  <c r="AE20" i="7" s="1"/>
  <c r="AE21" i="7" s="1"/>
  <c r="AE22" i="7" s="1"/>
  <c r="AD8" i="7"/>
  <c r="AD9" i="7" s="1"/>
  <c r="N28" i="18"/>
  <c r="G18" i="18" s="1"/>
  <c r="O28" i="18"/>
  <c r="H18" i="18" s="1"/>
  <c r="P28" i="18"/>
  <c r="I18" i="18" s="1"/>
  <c r="T28" i="18"/>
  <c r="U8" i="18"/>
  <c r="V28" i="18"/>
  <c r="W8" i="18"/>
  <c r="X28" i="18"/>
  <c r="Y8" i="18"/>
  <c r="U9" i="18"/>
  <c r="Z9" i="18" s="1"/>
  <c r="W9" i="18"/>
  <c r="AA9" i="18" s="1"/>
  <c r="Y9" i="18"/>
  <c r="AB9" i="18" s="1"/>
  <c r="U10" i="18"/>
  <c r="Z10" i="18" s="1"/>
  <c r="W10" i="18"/>
  <c r="AA10" i="18" s="1"/>
  <c r="Y10" i="18"/>
  <c r="AB10" i="18" s="1"/>
  <c r="U11" i="18"/>
  <c r="Z11" i="18" s="1"/>
  <c r="W11" i="18"/>
  <c r="AA11" i="18" s="1"/>
  <c r="Y11" i="18"/>
  <c r="AB11" i="18" s="1"/>
  <c r="U12" i="18"/>
  <c r="Z12" i="18" s="1"/>
  <c r="W12" i="18"/>
  <c r="AA12" i="18" s="1"/>
  <c r="Y12" i="18"/>
  <c r="AB12" i="18" s="1"/>
  <c r="U13" i="18"/>
  <c r="Z13" i="18" s="1"/>
  <c r="W13" i="18"/>
  <c r="AA13" i="18" s="1"/>
  <c r="Y13" i="18"/>
  <c r="AB13" i="18" s="1"/>
  <c r="U14" i="18"/>
  <c r="Z14" i="18" s="1"/>
  <c r="W14" i="18"/>
  <c r="AA14" i="18" s="1"/>
  <c r="Y14" i="18"/>
  <c r="AB14" i="18" s="1"/>
  <c r="U15" i="18"/>
  <c r="Z15" i="18" s="1"/>
  <c r="W15" i="18"/>
  <c r="AA15" i="18" s="1"/>
  <c r="Y15" i="18"/>
  <c r="AB15" i="18" s="1"/>
  <c r="U16" i="18"/>
  <c r="Z16" i="18" s="1"/>
  <c r="W16" i="18"/>
  <c r="AA16" i="18" s="1"/>
  <c r="Y16" i="18"/>
  <c r="AB16" i="18" s="1"/>
  <c r="U17" i="18"/>
  <c r="Z17" i="18" s="1"/>
  <c r="W17" i="18"/>
  <c r="AA17" i="18" s="1"/>
  <c r="Y17" i="18"/>
  <c r="AB17" i="18" s="1"/>
  <c r="U18" i="18"/>
  <c r="Z18" i="18" s="1"/>
  <c r="W18" i="18"/>
  <c r="AA18" i="18" s="1"/>
  <c r="Y18" i="18"/>
  <c r="AB18" i="18" s="1"/>
  <c r="U19" i="18"/>
  <c r="Z19" i="18" s="1"/>
  <c r="W19" i="18"/>
  <c r="AA19" i="18" s="1"/>
  <c r="Y19" i="18"/>
  <c r="AB19" i="18" s="1"/>
  <c r="U20" i="18"/>
  <c r="Z20" i="18" s="1"/>
  <c r="W20" i="18"/>
  <c r="AA20" i="18" s="1"/>
  <c r="Y20" i="18"/>
  <c r="AB20" i="18" s="1"/>
  <c r="U21" i="18"/>
  <c r="Z21" i="18" s="1"/>
  <c r="W21" i="18"/>
  <c r="AA21" i="18" s="1"/>
  <c r="Y21" i="18"/>
  <c r="AB21" i="18" s="1"/>
  <c r="U22" i="18"/>
  <c r="Z22" i="18" s="1"/>
  <c r="W22" i="18"/>
  <c r="AA22" i="18" s="1"/>
  <c r="Y22" i="18"/>
  <c r="AB22" i="18" s="1"/>
  <c r="W28" i="12"/>
  <c r="Q8" i="12"/>
  <c r="R8" i="12" s="1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B41" i="12"/>
  <c r="B47" i="12" s="1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B41" i="6"/>
  <c r="B40" i="6"/>
  <c r="P23" i="16"/>
  <c r="S23" i="16" s="1"/>
  <c r="P24" i="16"/>
  <c r="S24" i="16" s="1"/>
  <c r="P25" i="16"/>
  <c r="S25" i="16" s="1"/>
  <c r="P26" i="16"/>
  <c r="S26" i="16" s="1"/>
  <c r="P27" i="16"/>
  <c r="S27" i="16" s="1"/>
  <c r="B31" i="16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Y8" i="15"/>
  <c r="AD8" i="15" s="1"/>
  <c r="Y22" i="15"/>
  <c r="AD22" i="15" s="1"/>
  <c r="Y21" i="15"/>
  <c r="AD21" i="15" s="1"/>
  <c r="Y20" i="15"/>
  <c r="AD20" i="15" s="1"/>
  <c r="Y19" i="15"/>
  <c r="AD19" i="15" s="1"/>
  <c r="Y18" i="15"/>
  <c r="AD18" i="15" s="1"/>
  <c r="Y17" i="15"/>
  <c r="AD17" i="15" s="1"/>
  <c r="Y16" i="15"/>
  <c r="AD16" i="15" s="1"/>
  <c r="Y15" i="15"/>
  <c r="AD15" i="15" s="1"/>
  <c r="Y14" i="15"/>
  <c r="AD14" i="15" s="1"/>
  <c r="Y13" i="15"/>
  <c r="AD13" i="15" s="1"/>
  <c r="Y12" i="15"/>
  <c r="AD12" i="15" s="1"/>
  <c r="Y11" i="15"/>
  <c r="AD11" i="15" s="1"/>
  <c r="Y10" i="15"/>
  <c r="AD10" i="15" s="1"/>
  <c r="Y9" i="15"/>
  <c r="AD9" i="15" s="1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8" i="15"/>
  <c r="I10" i="15"/>
  <c r="P9" i="16"/>
  <c r="S9" i="16" s="1"/>
  <c r="P10" i="16"/>
  <c r="S10" i="16" s="1"/>
  <c r="P11" i="16"/>
  <c r="S11" i="16" s="1"/>
  <c r="P12" i="16"/>
  <c r="S12" i="16" s="1"/>
  <c r="P13" i="16"/>
  <c r="S13" i="16" s="1"/>
  <c r="P14" i="16"/>
  <c r="S14" i="16" s="1"/>
  <c r="P15" i="16"/>
  <c r="S15" i="16" s="1"/>
  <c r="P16" i="16"/>
  <c r="S16" i="16" s="1"/>
  <c r="P17" i="16"/>
  <c r="S17" i="16" s="1"/>
  <c r="P18" i="16"/>
  <c r="S18" i="16" s="1"/>
  <c r="P19" i="16"/>
  <c r="S19" i="16" s="1"/>
  <c r="P20" i="16"/>
  <c r="S20" i="16" s="1"/>
  <c r="P21" i="16"/>
  <c r="S21" i="16" s="1"/>
  <c r="P22" i="16"/>
  <c r="S22" i="16" s="1"/>
  <c r="P8" i="16"/>
  <c r="X22" i="7"/>
  <c r="Y22" i="7" s="1"/>
  <c r="X21" i="7"/>
  <c r="Y21" i="7" s="1"/>
  <c r="X20" i="7"/>
  <c r="Y20" i="7" s="1"/>
  <c r="X19" i="7"/>
  <c r="Y19" i="7" s="1"/>
  <c r="X18" i="7"/>
  <c r="Y18" i="7" s="1"/>
  <c r="X17" i="7"/>
  <c r="Y17" i="7" s="1"/>
  <c r="X16" i="7"/>
  <c r="Y16" i="7" s="1"/>
  <c r="X15" i="7"/>
  <c r="Y15" i="7" s="1"/>
  <c r="X14" i="7"/>
  <c r="Y14" i="7" s="1"/>
  <c r="X13" i="7"/>
  <c r="Y13" i="7" s="1"/>
  <c r="X12" i="7"/>
  <c r="Y12" i="7" s="1"/>
  <c r="X11" i="7"/>
  <c r="Y11" i="7" s="1"/>
  <c r="X10" i="7"/>
  <c r="Y10" i="7" s="1"/>
  <c r="X9" i="7"/>
  <c r="Y9" i="7" s="1"/>
  <c r="X8" i="7"/>
  <c r="Y8" i="7" s="1"/>
  <c r="T22" i="7"/>
  <c r="U22" i="7" s="1"/>
  <c r="T21" i="7"/>
  <c r="U21" i="7" s="1"/>
  <c r="T20" i="7"/>
  <c r="U20" i="7" s="1"/>
  <c r="T19" i="7"/>
  <c r="U19" i="7" s="1"/>
  <c r="T18" i="7"/>
  <c r="U18" i="7" s="1"/>
  <c r="T17" i="7"/>
  <c r="U17" i="7" s="1"/>
  <c r="T16" i="7"/>
  <c r="U16" i="7" s="1"/>
  <c r="T15" i="7"/>
  <c r="U15" i="7" s="1"/>
  <c r="T14" i="7"/>
  <c r="U14" i="7" s="1"/>
  <c r="T13" i="7"/>
  <c r="U13" i="7" s="1"/>
  <c r="T12" i="7"/>
  <c r="U12" i="7" s="1"/>
  <c r="T11" i="7"/>
  <c r="U11" i="7" s="1"/>
  <c r="T10" i="7"/>
  <c r="U10" i="7" s="1"/>
  <c r="T9" i="7"/>
  <c r="U9" i="7" s="1"/>
  <c r="T8" i="7"/>
  <c r="U8" i="7" s="1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B45" i="17"/>
  <c r="B8" i="4"/>
  <c r="B8" i="10"/>
  <c r="B8" i="6"/>
  <c r="Z8" i="6" s="1"/>
  <c r="B43" i="17"/>
  <c r="B42" i="17"/>
  <c r="AJ8" i="4"/>
  <c r="AJ9" i="4" s="1"/>
  <c r="AJ10" i="4" s="1"/>
  <c r="AJ11" i="4" s="1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K8" i="4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L8" i="4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G28" i="4"/>
  <c r="O28" i="12" l="1"/>
  <c r="P8" i="12"/>
  <c r="Y28" i="18"/>
  <c r="I22" i="18" s="1"/>
  <c r="I28" i="18" s="1"/>
  <c r="AB8" i="18"/>
  <c r="W28" i="18"/>
  <c r="H22" i="18" s="1"/>
  <c r="H28" i="18" s="1"/>
  <c r="AA8" i="18"/>
  <c r="U28" i="18"/>
  <c r="G22" i="18" s="1"/>
  <c r="G28" i="18" s="1"/>
  <c r="Z8" i="18"/>
  <c r="B48" i="12"/>
  <c r="S8" i="12"/>
  <c r="S9" i="12"/>
  <c r="T9" i="12" s="1"/>
  <c r="S10" i="12"/>
  <c r="T10" i="12" s="1"/>
  <c r="S11" i="12"/>
  <c r="T11" i="12" s="1"/>
  <c r="S12" i="12"/>
  <c r="T12" i="12" s="1"/>
  <c r="S13" i="12"/>
  <c r="T13" i="12" s="1"/>
  <c r="S14" i="12"/>
  <c r="T14" i="12" s="1"/>
  <c r="S15" i="12"/>
  <c r="T15" i="12" s="1"/>
  <c r="S16" i="12"/>
  <c r="T16" i="12" s="1"/>
  <c r="S17" i="12"/>
  <c r="T17" i="12" s="1"/>
  <c r="S18" i="12"/>
  <c r="T18" i="12" s="1"/>
  <c r="S19" i="12"/>
  <c r="T19" i="12" s="1"/>
  <c r="S20" i="12"/>
  <c r="T20" i="12" s="1"/>
  <c r="S21" i="12"/>
  <c r="T21" i="12" s="1"/>
  <c r="S22" i="12"/>
  <c r="T22" i="12" s="1"/>
  <c r="H36" i="12"/>
  <c r="H54" i="12" s="1"/>
  <c r="R22" i="12"/>
  <c r="V22" i="12" s="1"/>
  <c r="R21" i="12"/>
  <c r="V21" i="12" s="1"/>
  <c r="R20" i="12"/>
  <c r="V20" i="12" s="1"/>
  <c r="R19" i="12"/>
  <c r="V19" i="12" s="1"/>
  <c r="R18" i="12"/>
  <c r="V18" i="12" s="1"/>
  <c r="R17" i="12"/>
  <c r="V17" i="12" s="1"/>
  <c r="R16" i="12"/>
  <c r="V16" i="12" s="1"/>
  <c r="R15" i="12"/>
  <c r="V15" i="12" s="1"/>
  <c r="R14" i="12"/>
  <c r="V14" i="12" s="1"/>
  <c r="R13" i="12"/>
  <c r="V13" i="12" s="1"/>
  <c r="R12" i="12"/>
  <c r="R11" i="12"/>
  <c r="V11" i="12" s="1"/>
  <c r="R10" i="12"/>
  <c r="V10" i="12" s="1"/>
  <c r="R9" i="12"/>
  <c r="V9" i="12" s="1"/>
  <c r="Q28" i="12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AA20" i="6"/>
  <c r="AA21" i="6"/>
  <c r="AA22" i="6"/>
  <c r="Y20" i="6"/>
  <c r="Z20" i="6" s="1"/>
  <c r="AB20" i="6" s="1"/>
  <c r="Y21" i="6"/>
  <c r="Z21" i="6" s="1"/>
  <c r="AB21" i="6" s="1"/>
  <c r="Y22" i="6"/>
  <c r="Z22" i="6" s="1"/>
  <c r="AB22" i="6" s="1"/>
  <c r="Y9" i="6"/>
  <c r="Z9" i="6" s="1"/>
  <c r="AB9" i="6" s="1"/>
  <c r="Y10" i="6"/>
  <c r="Z10" i="6" s="1"/>
  <c r="AB10" i="6" s="1"/>
  <c r="Y11" i="6"/>
  <c r="Z11" i="6" s="1"/>
  <c r="AB11" i="6" s="1"/>
  <c r="Y12" i="6"/>
  <c r="Z12" i="6" s="1"/>
  <c r="AB12" i="6" s="1"/>
  <c r="Y13" i="6"/>
  <c r="Z13" i="6" s="1"/>
  <c r="AB13" i="6" s="1"/>
  <c r="Y14" i="6"/>
  <c r="Z14" i="6" s="1"/>
  <c r="AB14" i="6" s="1"/>
  <c r="Y15" i="6"/>
  <c r="Z15" i="6" s="1"/>
  <c r="AB15" i="6" s="1"/>
  <c r="Y16" i="6"/>
  <c r="Z16" i="6" s="1"/>
  <c r="AB16" i="6" s="1"/>
  <c r="Y17" i="6"/>
  <c r="Z17" i="6" s="1"/>
  <c r="AB17" i="6" s="1"/>
  <c r="Y18" i="6"/>
  <c r="Z18" i="6" s="1"/>
  <c r="AB18" i="6" s="1"/>
  <c r="Y19" i="6"/>
  <c r="Z19" i="6" s="1"/>
  <c r="AB19" i="6" s="1"/>
  <c r="B37" i="16"/>
  <c r="B38" i="16" s="1"/>
  <c r="H11" i="16" s="1"/>
  <c r="H10" i="16" s="1"/>
  <c r="Y28" i="15"/>
  <c r="G22" i="15" s="1"/>
  <c r="G28" i="15" s="1"/>
  <c r="AA22" i="15"/>
  <c r="AE22" i="15" s="1"/>
  <c r="AA21" i="15"/>
  <c r="AE21" i="15" s="1"/>
  <c r="AA20" i="15"/>
  <c r="AE20" i="15" s="1"/>
  <c r="AA19" i="15"/>
  <c r="AE19" i="15" s="1"/>
  <c r="AA18" i="15"/>
  <c r="AE18" i="15" s="1"/>
  <c r="AA17" i="15"/>
  <c r="AE17" i="15" s="1"/>
  <c r="AA16" i="15"/>
  <c r="AE16" i="15" s="1"/>
  <c r="AA15" i="15"/>
  <c r="AE15" i="15" s="1"/>
  <c r="AA14" i="15"/>
  <c r="AE14" i="15" s="1"/>
  <c r="AA13" i="15"/>
  <c r="AE13" i="15" s="1"/>
  <c r="AA12" i="15"/>
  <c r="AE12" i="15" s="1"/>
  <c r="AA11" i="15"/>
  <c r="AE11" i="15" s="1"/>
  <c r="AA10" i="15"/>
  <c r="AE10" i="15" s="1"/>
  <c r="AA9" i="15"/>
  <c r="AE9" i="15" s="1"/>
  <c r="AA8" i="15"/>
  <c r="AE8" i="15" s="1"/>
  <c r="Z28" i="15"/>
  <c r="AC8" i="15"/>
  <c r="AF8" i="15" s="1"/>
  <c r="AI8" i="15" s="1"/>
  <c r="AB28" i="15"/>
  <c r="AC22" i="15"/>
  <c r="AF22" i="15" s="1"/>
  <c r="AC21" i="15"/>
  <c r="AF21" i="15" s="1"/>
  <c r="AC20" i="15"/>
  <c r="AF20" i="15" s="1"/>
  <c r="AC19" i="15"/>
  <c r="AF19" i="15" s="1"/>
  <c r="AC18" i="15"/>
  <c r="AF18" i="15" s="1"/>
  <c r="AC17" i="15"/>
  <c r="AF17" i="15" s="1"/>
  <c r="AC16" i="15"/>
  <c r="AF16" i="15" s="1"/>
  <c r="AC15" i="15"/>
  <c r="AF15" i="15" s="1"/>
  <c r="AC14" i="15"/>
  <c r="AF14" i="15" s="1"/>
  <c r="AC13" i="15"/>
  <c r="AF13" i="15" s="1"/>
  <c r="AC12" i="15"/>
  <c r="AF12" i="15" s="1"/>
  <c r="AC11" i="15"/>
  <c r="AF11" i="15" s="1"/>
  <c r="AC10" i="15"/>
  <c r="AF10" i="15" s="1"/>
  <c r="AC9" i="15"/>
  <c r="AF9" i="15" s="1"/>
  <c r="I36" i="15"/>
  <c r="I54" i="15" s="1"/>
  <c r="P28" i="16"/>
  <c r="G22" i="16" s="1"/>
  <c r="G28" i="16" s="1"/>
  <c r="S8" i="16"/>
  <c r="W28" i="6"/>
  <c r="AA9" i="6"/>
  <c r="AA10" i="6"/>
  <c r="AA11" i="6"/>
  <c r="AA12" i="6"/>
  <c r="AA13" i="6"/>
  <c r="AA14" i="6"/>
  <c r="AA15" i="6"/>
  <c r="AA16" i="6"/>
  <c r="AA17" i="6"/>
  <c r="AA18" i="6"/>
  <c r="AA19" i="6"/>
  <c r="B40" i="10"/>
  <c r="B41" i="10"/>
  <c r="AB8" i="7"/>
  <c r="X2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W8" i="7"/>
  <c r="V2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Z8" i="7"/>
  <c r="T28" i="7"/>
  <c r="X28" i="6"/>
  <c r="G22" i="6" s="1"/>
  <c r="G28" i="6" s="1"/>
  <c r="W22" i="17"/>
  <c r="X22" i="17" s="1"/>
  <c r="AE22" i="17" s="1"/>
  <c r="W21" i="17"/>
  <c r="X21" i="17" s="1"/>
  <c r="AE21" i="17" s="1"/>
  <c r="W20" i="17"/>
  <c r="X20" i="17" s="1"/>
  <c r="AE20" i="17" s="1"/>
  <c r="W19" i="17"/>
  <c r="X19" i="17" s="1"/>
  <c r="AE19" i="17" s="1"/>
  <c r="W18" i="17"/>
  <c r="X18" i="17" s="1"/>
  <c r="AE18" i="17" s="1"/>
  <c r="W17" i="17"/>
  <c r="X17" i="17" s="1"/>
  <c r="AE17" i="17" s="1"/>
  <c r="W16" i="17"/>
  <c r="X16" i="17" s="1"/>
  <c r="AE16" i="17" s="1"/>
  <c r="W15" i="17"/>
  <c r="X15" i="17" s="1"/>
  <c r="AE15" i="17" s="1"/>
  <c r="W14" i="17"/>
  <c r="X14" i="17" s="1"/>
  <c r="AE14" i="17" s="1"/>
  <c r="W13" i="17"/>
  <c r="X13" i="17" s="1"/>
  <c r="AE13" i="17" s="1"/>
  <c r="W12" i="17"/>
  <c r="X12" i="17" s="1"/>
  <c r="AE12" i="17" s="1"/>
  <c r="W11" i="17"/>
  <c r="X11" i="17" s="1"/>
  <c r="AE11" i="17" s="1"/>
  <c r="W10" i="17"/>
  <c r="X10" i="17" s="1"/>
  <c r="AE10" i="17" s="1"/>
  <c r="W9" i="17"/>
  <c r="X9" i="17" s="1"/>
  <c r="AE9" i="17" s="1"/>
  <c r="W8" i="17"/>
  <c r="Y22" i="17"/>
  <c r="Z22" i="17" s="1"/>
  <c r="AF22" i="17" s="1"/>
  <c r="Y21" i="17"/>
  <c r="Z21" i="17" s="1"/>
  <c r="AF21" i="17" s="1"/>
  <c r="Y20" i="17"/>
  <c r="Z20" i="17" s="1"/>
  <c r="AF20" i="17" s="1"/>
  <c r="Y19" i="17"/>
  <c r="Z19" i="17" s="1"/>
  <c r="AF19" i="17" s="1"/>
  <c r="Y18" i="17"/>
  <c r="Z18" i="17" s="1"/>
  <c r="AF18" i="17" s="1"/>
  <c r="Y17" i="17"/>
  <c r="Z17" i="17" s="1"/>
  <c r="AF17" i="17" s="1"/>
  <c r="Y16" i="17"/>
  <c r="Z16" i="17" s="1"/>
  <c r="AF16" i="17" s="1"/>
  <c r="Y15" i="17"/>
  <c r="Z15" i="17" s="1"/>
  <c r="AF15" i="17" s="1"/>
  <c r="Y14" i="17"/>
  <c r="Z14" i="17" s="1"/>
  <c r="AF14" i="17" s="1"/>
  <c r="Y13" i="17"/>
  <c r="Z13" i="17" s="1"/>
  <c r="AF13" i="17" s="1"/>
  <c r="Y12" i="17"/>
  <c r="Z12" i="17" s="1"/>
  <c r="AF12" i="17" s="1"/>
  <c r="Y11" i="17"/>
  <c r="Z11" i="17" s="1"/>
  <c r="AF11" i="17" s="1"/>
  <c r="Y10" i="17"/>
  <c r="Z10" i="17" s="1"/>
  <c r="AF10" i="17" s="1"/>
  <c r="Y9" i="17"/>
  <c r="Z9" i="17" s="1"/>
  <c r="AF9" i="17" s="1"/>
  <c r="Y8" i="17"/>
  <c r="P28" i="12" l="1"/>
  <c r="G22" i="12" s="1"/>
  <c r="G28" i="12" s="1"/>
  <c r="U8" i="12"/>
  <c r="AI9" i="15"/>
  <c r="AI10" i="15" s="1"/>
  <c r="AI11" i="15" s="1"/>
  <c r="AI12" i="15" s="1"/>
  <c r="AI13" i="15" s="1"/>
  <c r="AI14" i="15" s="1"/>
  <c r="AI15" i="15" s="1"/>
  <c r="AI16" i="15" s="1"/>
  <c r="AI17" i="15" s="1"/>
  <c r="AI18" i="15" s="1"/>
  <c r="AI19" i="15" s="1"/>
  <c r="AI20" i="15" s="1"/>
  <c r="AI21" i="15" s="1"/>
  <c r="AI22" i="15" s="1"/>
  <c r="AE8" i="18"/>
  <c r="AE9" i="18" s="1"/>
  <c r="AE10" i="18" s="1"/>
  <c r="AE11" i="18" s="1"/>
  <c r="AE12" i="18" s="1"/>
  <c r="AE13" i="18" s="1"/>
  <c r="AE14" i="18" s="1"/>
  <c r="AE15" i="18" s="1"/>
  <c r="AE16" i="18" s="1"/>
  <c r="AE17" i="18" s="1"/>
  <c r="AE18" i="18" s="1"/>
  <c r="AE19" i="18" s="1"/>
  <c r="AE20" i="18" s="1"/>
  <c r="AE21" i="18" s="1"/>
  <c r="AE22" i="18" s="1"/>
  <c r="AD8" i="18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I29" i="18"/>
  <c r="H29" i="18"/>
  <c r="AD27" i="18" s="1"/>
  <c r="R28" i="12"/>
  <c r="T8" i="12"/>
  <c r="S28" i="12"/>
  <c r="AA8" i="6"/>
  <c r="Y28" i="6"/>
  <c r="H36" i="16"/>
  <c r="H54" i="16" s="1"/>
  <c r="H28" i="16"/>
  <c r="AA28" i="15"/>
  <c r="H22" i="15" s="1"/>
  <c r="H28" i="15" s="1"/>
  <c r="AC28" i="15"/>
  <c r="I22" i="15" s="1"/>
  <c r="I28" i="15" s="1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8" i="10"/>
  <c r="X9" i="10"/>
  <c r="Y9" i="10" s="1"/>
  <c r="X10" i="10"/>
  <c r="Y10" i="10" s="1"/>
  <c r="X11" i="10"/>
  <c r="Y11" i="10" s="1"/>
  <c r="X12" i="10"/>
  <c r="Y12" i="10" s="1"/>
  <c r="X13" i="10"/>
  <c r="Y13" i="10" s="1"/>
  <c r="X14" i="10"/>
  <c r="Y14" i="10" s="1"/>
  <c r="X15" i="10"/>
  <c r="Y15" i="10" s="1"/>
  <c r="X16" i="10"/>
  <c r="Y16" i="10" s="1"/>
  <c r="X17" i="10"/>
  <c r="Y17" i="10" s="1"/>
  <c r="X18" i="10"/>
  <c r="Y18" i="10" s="1"/>
  <c r="X19" i="10"/>
  <c r="Y19" i="10" s="1"/>
  <c r="X20" i="10"/>
  <c r="Y20" i="10" s="1"/>
  <c r="X21" i="10"/>
  <c r="Y21" i="10" s="1"/>
  <c r="X22" i="10"/>
  <c r="Y22" i="10" s="1"/>
  <c r="X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8" i="10"/>
  <c r="U28" i="7"/>
  <c r="G22" i="7" s="1"/>
  <c r="G28" i="7" s="1"/>
  <c r="AA8" i="7"/>
  <c r="W28" i="7"/>
  <c r="H22" i="7" s="1"/>
  <c r="Y28" i="7"/>
  <c r="I22" i="7" s="1"/>
  <c r="Y28" i="17"/>
  <c r="Z8" i="17"/>
  <c r="W28" i="17"/>
  <c r="T28" i="12" l="1"/>
  <c r="V8" i="12"/>
  <c r="H22" i="12"/>
  <c r="H28" i="12" s="1"/>
  <c r="AB8" i="6"/>
  <c r="Z28" i="6"/>
  <c r="H22" i="6" s="1"/>
  <c r="H28" i="6" s="1"/>
  <c r="I28" i="7"/>
  <c r="I29" i="7" s="1"/>
  <c r="H28" i="7"/>
  <c r="AD10" i="7"/>
  <c r="AD11" i="7" s="1"/>
  <c r="AD12" i="7" s="1"/>
  <c r="AD13" i="7" s="1"/>
  <c r="AD14" i="7" s="1"/>
  <c r="AD15" i="7" s="1"/>
  <c r="AD16" i="7" s="1"/>
  <c r="AD17" i="7" s="1"/>
  <c r="AD18" i="7" s="1"/>
  <c r="AD19" i="7" s="1"/>
  <c r="AD20" i="7" s="1"/>
  <c r="AD21" i="7" s="1"/>
  <c r="AD22" i="7" s="1"/>
  <c r="H29" i="7"/>
  <c r="AD27" i="7" s="1"/>
  <c r="W8" i="10"/>
  <c r="V28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Y8" i="10"/>
  <c r="Y28" i="10" s="1"/>
  <c r="I22" i="10" s="1"/>
  <c r="I28" i="10" s="1"/>
  <c r="X28" i="10"/>
  <c r="U8" i="10"/>
  <c r="T28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B46" i="17"/>
  <c r="X28" i="17"/>
  <c r="AE8" i="17"/>
  <c r="B47" i="17"/>
  <c r="Z28" i="17"/>
  <c r="H22" i="17" s="1"/>
  <c r="H28" i="17" s="1"/>
  <c r="AF8" i="17"/>
  <c r="V28" i="12" l="1"/>
  <c r="W28" i="10"/>
  <c r="U28" i="10"/>
  <c r="G22" i="10" s="1"/>
  <c r="G28" i="10" s="1"/>
  <c r="H22" i="10"/>
  <c r="H28" i="10" s="1"/>
  <c r="G22" i="17"/>
  <c r="G28" i="17" s="1"/>
  <c r="AJ10" i="17"/>
  <c r="H29" i="17"/>
  <c r="AJ11" i="17" l="1"/>
  <c r="AJ12" i="17" s="1"/>
  <c r="AJ13" i="17" s="1"/>
  <c r="AJ14" i="17" s="1"/>
  <c r="AJ15" i="17" s="1"/>
  <c r="AJ16" i="17" s="1"/>
  <c r="AJ17" i="17" s="1"/>
  <c r="AJ18" i="17" s="1"/>
  <c r="AJ19" i="17" s="1"/>
  <c r="AJ20" i="17" s="1"/>
  <c r="AJ21" i="17" s="1"/>
  <c r="AJ22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Papadakis, Maria C - papadamc</author>
  </authors>
  <commentList>
    <comment ref="N7" authorId="0" shapeId="0" xr:uid="{F0884496-2CF3-44AD-9DFD-AFD3741471C5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These numbers are "N", the increment of time. For our projects, they represent years. (As in the end of the year.)
</t>
        </r>
      </text>
    </comment>
    <comment ref="G9" authorId="0" shapeId="0" xr:uid="{A5424A74-8CB8-4805-9456-2C03F70DE1C2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H9" authorId="0" shapeId="0" xr:uid="{E02E6722-80C2-4727-8875-EE8F7602B0D2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I9" authorId="0" shapeId="0" xr:uid="{D6931B89-91FB-41C7-BDEF-77ED5C5865B7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J9" authorId="0" shapeId="0" xr:uid="{FE8DE7E4-4DD1-42A6-BD0F-8BC1E2417773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A12" authorId="0" shapeId="0" xr:uid="{FF2D3423-F70B-4DE3-8AE8-E87E4BDA7DBC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List the periodic costs here and note which option they are for and what 
type (e.g., M&amp;R or R). You will point to these in the cash flow tables.</t>
        </r>
      </text>
    </comment>
    <comment ref="F25" authorId="0" shapeId="0" xr:uid="{E1F1E0AD-922E-477B-B665-B40002E45C87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Salvage should be entered as a negative cost, because it is revenue. Otherwise the LCC total formula will not work correctly.
</t>
        </r>
      </text>
    </comment>
    <comment ref="G35" authorId="0" shapeId="0" xr:uid="{EC929F1A-FEFF-43CA-9135-C4003AEDD5B2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H35" authorId="0" shapeId="0" xr:uid="{28256666-BC33-4C0D-AFFD-5304268D11A7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I35" authorId="0" shapeId="0" xr:uid="{0BD56BBD-0AAC-4754-8DBC-CDAC55D07C12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J35" authorId="0" shapeId="0" xr:uid="{083E274C-783F-4566-94AC-D297671F317B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F51" authorId="0" shapeId="0" xr:uid="{7B4191FE-34F2-4429-AAF5-34D1F4BE9C08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Salvage should be entered as a negative cost, because it is revenue. Otherwise the LCC total formula will not work correctly.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Papadakis, Maria C - papadamc</author>
  </authors>
  <commentList>
    <comment ref="N7" authorId="0" shapeId="0" xr:uid="{3A6D8FFA-667F-4CCA-9BFD-13DF4CE2E8AD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These numbers are "N", the increment of time. For our projects, they represent years. (As in the end of the year.)
</t>
        </r>
      </text>
    </comment>
    <comment ref="G9" authorId="0" shapeId="0" xr:uid="{E049381A-2FD0-445A-863C-EBBFEB52E206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H9" authorId="0" shapeId="0" xr:uid="{43FC80F1-AF82-4C6B-AF0C-BFB9CDCDD564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I9" authorId="0" shapeId="0" xr:uid="{DC7B7E97-131E-4079-A763-D2E193F34B71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J9" authorId="0" shapeId="0" xr:uid="{79CAAE0A-58DE-4AA3-A328-8FD7625D5815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F11" authorId="0" shapeId="0" xr:uid="{F843875D-CCD6-470F-9858-CD0A33541BAA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Labor and equipment
</t>
        </r>
      </text>
    </comment>
    <comment ref="A12" authorId="0" shapeId="0" xr:uid="{A121F974-A645-49EA-B637-F31B3770CF4A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List the periodic costs here and note which option they are for and what 
type (e.g., M&amp;R or R). You will point to these in the cash flow tables.</t>
        </r>
      </text>
    </comment>
    <comment ref="F25" authorId="0" shapeId="0" xr:uid="{7548B3D8-6F98-48B8-8C90-5AED4A8F3030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Salvage should be entered as a negative cost, because it is revenue. Otherwise the LCC total formula will not work correctly.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Papadakis, Maria C - papadamc</author>
    <author>Chizmadia, Alex Powell - chizmaap</author>
  </authors>
  <commentList>
    <comment ref="M7" authorId="0" shapeId="0" xr:uid="{8C48237C-E929-467F-9C4B-095648261ECA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These numbers are "N", the increment of time. For our projects, they represent years. (As in the end of the year.)
</t>
        </r>
      </text>
    </comment>
    <comment ref="N7" authorId="0" shapeId="0" xr:uid="{E9A266A0-6BBF-4BF5-99F5-A4395A54E42A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O7" authorId="0" shapeId="0" xr:uid="{D79B34E0-3EE1-487E-B84E-66470BC8B82E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P7" authorId="0" shapeId="0" xr:uid="{9038170E-8136-4FAF-AE55-2C4854B487EF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Z7" authorId="0" shapeId="0" xr:uid="{C28F7EA8-B2D7-43EE-A7A7-E58839BECCE4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AA7" authorId="0" shapeId="0" xr:uid="{0E4D5771-72F2-4E7A-AE09-3DACC2A1F98E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AB7" authorId="0" shapeId="0" xr:uid="{C73981CE-1C2A-48F4-A4C6-DD418E5E95EC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AD7" authorId="0" shapeId="0" xr:uid="{6BAE5870-0074-4A81-B3D6-9FA0C1437A10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AE7" authorId="0" shapeId="0" xr:uid="{CC4E7AB6-E95C-4605-B479-33190DDBCF7F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AF7" authorId="0" shapeId="0" xr:uid="{B00D7CE7-B046-4AE8-B1C8-32D166FD7F88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G9" authorId="0" shapeId="0" xr:uid="{5903D41D-8B8C-402A-91A0-05B19D80D460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H9" authorId="0" shapeId="0" xr:uid="{7A43540C-D7D9-4A19-AB3F-96D79BAF2E35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I9" authorId="0" shapeId="0" xr:uid="{5242496A-D310-43C9-A7E8-84BF96150B81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A12" authorId="0" shapeId="0" xr:uid="{97672733-175B-4B63-9849-7F564D615A96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List the periodic costs here and note which option they are for and what 
type (e.g., M&amp;R or R). You will point to these in the cash flow tables.</t>
        </r>
      </text>
    </comment>
    <comment ref="B15" authorId="1" shapeId="0" xr:uid="{EED15426-596C-4943-B912-84D2B94EFF60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$75 a month
</t>
        </r>
      </text>
    </comment>
    <comment ref="B16" authorId="1" shapeId="0" xr:uid="{AEA3E791-CFC6-4B5A-8AFA-C18D1E81B9BD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$215 monthly
</t>
        </r>
      </text>
    </comment>
    <comment ref="B17" authorId="1" shapeId="0" xr:uid="{5CEE0FB2-14A3-4117-8908-6EFC0F0A453B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$120 monthly
</t>
        </r>
      </text>
    </comment>
    <comment ref="B18" authorId="1" shapeId="0" xr:uid="{4206A8B8-FC91-461D-97CC-23107921D0EB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$120 monthly
</t>
        </r>
      </text>
    </comment>
    <comment ref="B19" authorId="1" shapeId="0" xr:uid="{008F75AF-6A29-4899-B577-B15775AA29F6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Estimated around 100,000 miles. also 5.55 years going 18,000 miles annually in primary car
</t>
        </r>
      </text>
    </comment>
    <comment ref="B20" authorId="1" shapeId="0" xr:uid="{A0EFD6EC-5D72-4451-9A63-04A501BB147A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Estimated around 100,000 miles. also 5.55 years going 18,000 miles annually in primary car
</t>
        </r>
      </text>
    </comment>
    <comment ref="F25" authorId="0" shapeId="0" xr:uid="{C158DC6E-A703-458F-AC33-B6730ACE3F37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Salvage should be entered as a negative cost, because it is revenue. Otherwise the LCC total formula will not work correctly.
</t>
        </r>
      </text>
    </comment>
    <comment ref="H29" authorId="1" shapeId="0" xr:uid="{4F61734E-9087-4CBA-97E0-8200FF8C1A88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this should match the final payback year
</t>
        </r>
      </text>
    </comment>
    <comment ref="G35" authorId="0" shapeId="0" xr:uid="{190AA8AB-D5FC-44DE-A5A4-2154F54FDCA6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H35" authorId="0" shapeId="0" xr:uid="{4BC02EDE-97B5-4571-BA02-D85A2584E558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I35" authorId="0" shapeId="0" xr:uid="{641A1AC5-361B-44B2-8750-7FA8F01143A8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F51" authorId="0" shapeId="0" xr:uid="{9EAA5615-90C5-4D1E-85FE-B76EC8498E97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Salvage should be entered as a negative cost, because it is revenue. Otherwise the LCC total formula will not work correctly.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Papadakis, Maria C - papadamc</author>
    <author>Chizmadia, Alex Powell - chizmaap</author>
  </authors>
  <commentList>
    <comment ref="M7" authorId="0" shapeId="0" xr:uid="{B74E71CB-C347-4057-B9D9-C1E25432F8B8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These numbers are "N", the increment of time. For our projects, they represent years. (As in the end of the year.)
</t>
        </r>
      </text>
    </comment>
    <comment ref="N7" authorId="0" shapeId="0" xr:uid="{0C864B0A-0C93-4ADC-8700-3EB03FA9FB0D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O7" authorId="0" shapeId="0" xr:uid="{945CFE73-0CE6-41B7-8020-82F43813C4E3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P7" authorId="0" shapeId="0" xr:uid="{3266AF80-BD7C-4432-B113-B638C4B42B06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Z7" authorId="0" shapeId="0" xr:uid="{8B1436C5-C58C-4F04-BB89-9804FA0E71D8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AA7" authorId="0" shapeId="0" xr:uid="{9ECA8BCC-E906-4211-A5E7-6E6BF28FAB91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AB7" authorId="0" shapeId="0" xr:uid="{D4CC6F19-FE2A-4A31-B711-78469F4B8879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AD7" authorId="0" shapeId="0" xr:uid="{A3080453-D496-4FD5-A33A-5040C3CA7C0C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AE7" authorId="0" shapeId="0" xr:uid="{5CE88CF1-0F34-48E4-8DDC-93F65CD24A2C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AF7" authorId="0" shapeId="0" xr:uid="{64FB1EA9-8346-40BF-AA1D-F78B3B3FE5CE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G9" authorId="0" shapeId="0" xr:uid="{1C0AF8EA-C11F-4AF3-AA65-B6F0295C13F4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H9" authorId="0" shapeId="0" xr:uid="{FF2C92AA-4264-4406-822D-50F48CA8E1AA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I9" authorId="0" shapeId="0" xr:uid="{6DD49035-66C5-4786-8853-7163AE61B9C8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A12" authorId="0" shapeId="0" xr:uid="{C4BE84D5-0280-446A-8F5E-3489445D6635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List the periodic costs here and note which option they are for and what 
type (e.g., M&amp;R or R). You will point to these in the cash flow tables.</t>
        </r>
      </text>
    </comment>
    <comment ref="B15" authorId="1" shapeId="0" xr:uid="{24466D50-48B1-46CD-8E86-E72A27E3245F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$75 a month
</t>
        </r>
      </text>
    </comment>
    <comment ref="B16" authorId="1" shapeId="0" xr:uid="{035FE602-299D-4306-9861-D1A64CABA97B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$215 monthly
</t>
        </r>
      </text>
    </comment>
    <comment ref="B17" authorId="1" shapeId="0" xr:uid="{35E2FF2C-1437-4C36-9D51-799264802A08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$120 monthly
</t>
        </r>
      </text>
    </comment>
    <comment ref="B18" authorId="1" shapeId="0" xr:uid="{2B9E40EC-F493-4718-978F-A5A9B8F2D81D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$120 monthly
</t>
        </r>
      </text>
    </comment>
    <comment ref="B19" authorId="1" shapeId="0" xr:uid="{BB0A9B55-0A11-4407-8FDB-5B13E7763D06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Estimated around 100,000 miles. also 5.55 years going 18,000 miles annually in primary car
</t>
        </r>
      </text>
    </comment>
    <comment ref="B20" authorId="1" shapeId="0" xr:uid="{74C3F46E-1917-4F65-BFB3-4883C1D46CF4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Estimated around 100,000 miles. also 5.55 years going 18,000 miles annually in primary car
</t>
        </r>
      </text>
    </comment>
    <comment ref="F25" authorId="0" shapeId="0" xr:uid="{F4090FDB-46A4-4AB3-9DA1-4F67951C42EC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Salvage should be entered as a negative cost, because it is revenue. Otherwise the LCC total formula will not work correctly.
</t>
        </r>
      </text>
    </comment>
    <comment ref="H29" authorId="1" shapeId="0" xr:uid="{0863799E-0443-4067-B522-7630C397F7E9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this should match the final payback year
</t>
        </r>
      </text>
    </comment>
    <comment ref="G35" authorId="0" shapeId="0" xr:uid="{37D0AA73-CA28-4FA6-969F-49088FEE7967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H35" authorId="0" shapeId="0" xr:uid="{09FA735D-8DF0-4F2A-A6E3-8978C2668E06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I35" authorId="0" shapeId="0" xr:uid="{7E3FE96A-77C4-4EAD-AE57-023B7D86BC0B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F51" authorId="0" shapeId="0" xr:uid="{0DCFBD27-4697-44DA-869A-D5EA75077EAA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Salvage should be entered as a negative cost, because it is revenue. Otherwise the LCC total formula will not work correctly.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Papadakis, Maria C - papadamc</author>
    <author>Chizmadia, Alex Powell - chizmaap</author>
  </authors>
  <commentList>
    <comment ref="M7" authorId="0" shapeId="0" xr:uid="{E55A4AC3-145D-4177-A282-452E53842030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These numbers are "N", the increment of time. For our projects, they represent years. (As in the end of the year.)
</t>
        </r>
      </text>
    </comment>
    <comment ref="G9" authorId="0" shapeId="0" xr:uid="{24B7305F-8276-4BB9-B66A-BEF0B722C5B4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H9" authorId="0" shapeId="0" xr:uid="{73D06ADA-785A-42A2-9F2B-370AD859D5C9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I9" authorId="0" shapeId="0" xr:uid="{476F2DA5-0B83-4760-9079-15CD26E807AF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G10" authorId="1" shapeId="0" xr:uid="{3C0E599C-5C35-4A87-A06B-80F3FAF23BEE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Includes cost and installation for all units
</t>
        </r>
      </text>
    </comment>
    <comment ref="A12" authorId="0" shapeId="0" xr:uid="{0F83824B-14B0-4068-BA9C-5828BEE70F0A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List the periodic costs here and note which option they are for and what 
type (e.g., M&amp;R or R). You will point to these in the cash flow tables.</t>
        </r>
      </text>
    </comment>
    <comment ref="A13" authorId="1" shapeId="0" xr:uid="{87EE3394-A17C-490E-8713-FDB35A036428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14.3 Seer does not meet tax credit because to be eligible must be SEER2 &gt; 16
</t>
        </r>
      </text>
    </comment>
    <comment ref="F25" authorId="0" shapeId="0" xr:uid="{86A5B3AA-9E61-44F8-BF26-CAE96148D578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Salvage should be entered as a negative cost, because it is revenue. Otherwise the LCC total formula will not work correctly.
</t>
        </r>
      </text>
    </comment>
    <comment ref="G35" authorId="0" shapeId="0" xr:uid="{09155F9C-0C0F-44E0-9D5F-B2A041EF1AAE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H35" authorId="0" shapeId="0" xr:uid="{E1C6E4F3-9764-4AB7-B40D-56E89201B379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I35" authorId="0" shapeId="0" xr:uid="{2E633AF0-78B3-4FC3-A077-F1E70707DBDD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A39" authorId="1" shapeId="0" xr:uid="{681327D7-ABDB-4995-9F1A-E3467B9423A4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</t>
        </r>
      </text>
    </comment>
    <comment ref="B43" authorId="1" shapeId="0" xr:uid="{B24BA823-81B3-414F-8792-5D5EFADE86EC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Energy Tax Credit is 30% of sales but capped at $600
</t>
        </r>
      </text>
    </comment>
    <comment ref="F51" authorId="0" shapeId="0" xr:uid="{5E4D2997-2759-43FA-BB0E-796279D6A24C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Salvage should be entered as a negative cost, because it is revenue. Otherwise the LCC total formula will not work correctly.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Papadakis, Maria C - papadamc</author>
    <author>Chizmadia, Alex Powell - chizmaap</author>
  </authors>
  <commentList>
    <comment ref="O7" authorId="0" shapeId="0" xr:uid="{19A37E80-A321-4EB7-A54A-9CA66713625A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These numbers are "N", the increment of time. For our projects, they represent years. (As in the end of the year.)
</t>
        </r>
      </text>
    </comment>
    <comment ref="G9" authorId="0" shapeId="0" xr:uid="{9509AEBB-FFDA-416E-B289-D691204BAF2C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H9" authorId="0" shapeId="0" xr:uid="{46123C7E-4FF8-41D6-8174-957C9EEE247E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I9" authorId="0" shapeId="0" xr:uid="{A5B2903F-6C77-4EB2-B350-2937590EA116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J9" authorId="0" shapeId="0" xr:uid="{484D1260-6E3B-422E-A32D-BAFF2D1109E9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K9" authorId="0" shapeId="0" xr:uid="{91D0AD13-3CA4-4825-888E-2C4EB9657DEA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H10" authorId="1" shapeId="0" xr:uid="{6B18AC5B-511B-44BE-95F7-6A193861E8E0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2640.00?
IN PAPS SHEET
</t>
        </r>
      </text>
    </comment>
    <comment ref="I10" authorId="1" shapeId="0" xr:uid="{FE6483CD-19AC-4796-9856-B7D09FED8683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2640.00?
IN PAPS SHEET
</t>
        </r>
      </text>
    </comment>
    <comment ref="A12" authorId="0" shapeId="0" xr:uid="{EEF058D7-69F3-4D93-B61E-546D1D87D9AD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List the periodic costs here and note which option they are for and what 
type (e.g., M&amp;R or R). You will point to these in the cash flow tables.</t>
        </r>
      </text>
    </comment>
    <comment ref="F25" authorId="0" shapeId="0" xr:uid="{9465A771-5B02-40A1-951F-E212EBE9EBA6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Salvage should be entered as a negative cost, because it is revenue. Otherwise the LCC total formula will not work correctly.
</t>
        </r>
      </text>
    </comment>
    <comment ref="H35" authorId="0" shapeId="0" xr:uid="{D0F7E28C-07D3-41E6-A4D0-9F5442F3038B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I35" authorId="0" shapeId="0" xr:uid="{32497118-7527-448F-BBBA-12F274E3609F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J35" authorId="0" shapeId="0" xr:uid="{8B20D355-3514-4E2A-8601-F2AAF5BBE03C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K35" authorId="0" shapeId="0" xr:uid="{D858E8BC-69A5-4D65-955F-4E4F95891F44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F51" authorId="0" shapeId="0" xr:uid="{7564208B-7E29-49F8-AAE0-915F6281C53C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Salvage should be entered as a negative cost, because it is revenue. Otherwise the LCC total formula will not work correctly.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Papadakis, Maria C - papadamc</author>
  </authors>
  <commentList>
    <comment ref="J7" authorId="0" shapeId="0" xr:uid="{0F26DCF6-A707-42F4-BC80-4A128FB26FAD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These numbers are "N", the increment of time. For our projects, they represent years. (As in the end of the year.)
</t>
        </r>
      </text>
    </comment>
    <comment ref="G9" authorId="0" shapeId="0" xr:uid="{3586E1C9-7E54-4148-A1CF-30BD430D475E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H9" authorId="0" shapeId="0" xr:uid="{33417A15-0EDE-441A-A502-B82F7C94CE61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A12" authorId="0" shapeId="0" xr:uid="{9647D525-7266-417C-A355-8C4340E834C0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List the periodic costs here and note which option they are for and what 
type (e.g., M&amp;R or R). You will point to these in the cash flow tables.</t>
        </r>
      </text>
    </comment>
    <comment ref="F25" authorId="0" shapeId="0" xr:uid="{6471B2E0-51AA-45B6-B4D6-A010938B3A92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Salvage should be entered as a negative cost, because it is revenue. Otherwise the LCC total formula will not work correctly.
</t>
        </r>
      </text>
    </comment>
    <comment ref="G35" authorId="0" shapeId="0" xr:uid="{AD26CB25-6554-4C23-B89D-E638DF76508B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H35" authorId="0" shapeId="0" xr:uid="{5E41D6E6-A26F-4996-A19D-CA148A762594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F51" authorId="0" shapeId="0" xr:uid="{19C8E394-B71B-4AD9-B06E-FAE85CCD9B3D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Salvage should be entered as a negative cost, because it is revenue. Otherwise the LCC total formula will not work correctly.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Papadakis, Maria C - papadamc</author>
    <author>Chizmadia, Alex Powell - chizmaap</author>
  </authors>
  <commentList>
    <comment ref="L7" authorId="0" shapeId="0" xr:uid="{E1353CEF-551E-4F9A-9A63-43D755C4157E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These numbers are "N", the increment of time. For our projects, they represent years. (As in the end of the year.)
</t>
        </r>
      </text>
    </comment>
    <comment ref="H9" authorId="0" shapeId="0" xr:uid="{8DB8F916-06BB-4EFD-8D7E-4A68D1C04F0A}">
      <text>
        <r>
          <rPr>
            <b/>
            <sz val="9"/>
            <color rgb="FF000000"/>
            <rFont val="Tahoma"/>
            <family val="2"/>
          </rPr>
          <t>Papadakis, Maria C - papadamc: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Rename the generic "option" to the equipment it represents.</t>
        </r>
      </text>
    </comment>
    <comment ref="A12" authorId="0" shapeId="0" xr:uid="{C121BEED-9275-41EB-8043-7C31A735CA61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List the periodic costs here and note which option they are for and what 
type (e.g., M&amp;R or R). You will point to these in the cash flow tables.</t>
        </r>
      </text>
    </comment>
    <comment ref="B13" authorId="1" shapeId="0" xr:uid="{920D47B9-F51E-44BF-9E16-7EF80BFB5510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Includes equipment and installation labor
</t>
        </r>
      </text>
    </comment>
    <comment ref="F25" authorId="0" shapeId="0" xr:uid="{C22CF651-BEF8-4A24-8E43-81205AA00B61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Salvage should be entered as a negative cost, because it is revenue. Otherwise the LCC total formula will not work correctly.
</t>
        </r>
      </text>
    </comment>
    <comment ref="H35" authorId="0" shapeId="0" xr:uid="{1F6CA0C5-D8E4-4A91-BAEF-C00B9AEAD13A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F51" authorId="0" shapeId="0" xr:uid="{8EB76EE5-C834-4CE6-B6AE-127D6918254A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Salvage should be entered as a negative cost, because it is revenue. Otherwise the LCC total formula will not work correctly.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Papadakis, Maria C - papadamc</author>
    <author>Chizmadia, Alex Powell - chizmaap</author>
  </authors>
  <commentList>
    <comment ref="N7" authorId="0" shapeId="0" xr:uid="{A3FA2BF2-AC4D-42E5-8DEE-FCCC0F942CAF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These numbers are "N", the increment of time. For our projects, they represent years. (As in the end of the year.)
</t>
        </r>
      </text>
    </comment>
    <comment ref="G9" authorId="0" shapeId="0" xr:uid="{437F20CE-A634-490E-BFCC-38142764CC44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H9" authorId="0" shapeId="0" xr:uid="{0F6BAB62-C07A-429E-9AC0-B246303ECD1D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I9" authorId="0" shapeId="0" xr:uid="{9F57F505-558E-4881-A751-EF49CCBA3B8A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J9" authorId="0" shapeId="0" xr:uid="{7D531173-7C72-407C-A69A-3D8E3B1A481F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H11" authorId="1" shapeId="0" xr:uid="{2C012589-AC6D-408E-AE00-0FE92E50AB4C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Add notes in cell if Labor &amp; Equipment is combined
</t>
        </r>
      </text>
    </comment>
    <comment ref="A12" authorId="0" shapeId="0" xr:uid="{9DF8C486-F972-44AD-8B79-A2B6DFA88F79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List the periodic costs here and note which option they are for and what 
type (e.g., M&amp;R or R). You will point to these in the cash flow tables.</t>
        </r>
      </text>
    </comment>
    <comment ref="F25" authorId="0" shapeId="0" xr:uid="{94CADF28-ADA2-461B-A55A-17D1F87A3353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Salvage should be entered as a negative cost, because it is revenue. Otherwise the LCC total formula will not work correctly.
</t>
        </r>
      </text>
    </comment>
    <comment ref="B33" authorId="1" shapeId="0" xr:uid="{46D39E09-FB08-4059-B81C-590BE8EC3475}">
      <text>
        <r>
          <rPr>
            <sz val="11"/>
            <color theme="1"/>
            <rFont val="Calibri"/>
            <family val="2"/>
            <scheme val="minor"/>
          </rPr>
          <t xml:space="preserve">Chizmadia, Alex Powell - chizmaap:
Note in Original Document they use 14 therms per month for hot water
</t>
        </r>
      </text>
    </comment>
    <comment ref="G35" authorId="0" shapeId="0" xr:uid="{F6EA91F6-BF68-4844-83C8-2DF8AED2E169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H35" authorId="0" shapeId="0" xr:uid="{645B8D1F-691E-4F2D-930B-3B9280726EF2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I35" authorId="0" shapeId="0" xr:uid="{2854B8DC-68CE-477B-B44B-D4852AAD8198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J35" authorId="0" shapeId="0" xr:uid="{01367EA4-AD78-45BF-B9AB-89C7A28EAEC6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Rename the generic "option" to the equipment it represents.</t>
        </r>
      </text>
    </comment>
    <comment ref="F51" authorId="0" shapeId="0" xr:uid="{FACB0A1C-C465-469D-AF68-CF50B495406D}">
      <text>
        <r>
          <rPr>
            <b/>
            <sz val="9"/>
            <color indexed="81"/>
            <rFont val="Tahoma"/>
            <family val="2"/>
          </rPr>
          <t>Papadakis, Maria C - papadamc:</t>
        </r>
        <r>
          <rPr>
            <sz val="9"/>
            <color indexed="81"/>
            <rFont val="Tahoma"/>
            <family val="2"/>
          </rPr>
          <t xml:space="preserve">
Salvage should be entered as a negative cost, because it is revenue. Otherwise the LCC total formula will not work correctly.
</t>
        </r>
      </text>
    </comment>
  </commentList>
</comments>
</file>

<file path=xl/sharedStrings.xml><?xml version="1.0" encoding="utf-8"?>
<sst xmlns="http://schemas.openxmlformats.org/spreadsheetml/2006/main" count="834" uniqueCount="227">
  <si>
    <t>Electric Utility: Harrisonburg Electric Commission (HEC)</t>
  </si>
  <si>
    <t>HEC Homepage</t>
  </si>
  <si>
    <t>Electricity rate per kWh</t>
  </si>
  <si>
    <t>Fuel cost adjustment per kWh</t>
  </si>
  <si>
    <t>Total cost per kWh</t>
  </si>
  <si>
    <t>Electricity escalation rate</t>
  </si>
  <si>
    <t>Gas Utility: Columbia Gas of Virginia</t>
  </si>
  <si>
    <t>Columbia Gas homepage</t>
  </si>
  <si>
    <t>Gas rate per therm</t>
  </si>
  <si>
    <t>Gas cost adjustment per therm</t>
  </si>
  <si>
    <t>Gas escalation rate</t>
  </si>
  <si>
    <t>Database of State Incentives for Renewable Energy</t>
  </si>
  <si>
    <t>DSIRE Homepage</t>
  </si>
  <si>
    <t>You might need to edit formulas/pointers in this cash flow table based on the nature of the analysis.</t>
  </si>
  <si>
    <t>Givens &amp; assumptions</t>
  </si>
  <si>
    <t>These life cycle cost tables require you to enter some formulas.</t>
  </si>
  <si>
    <t>SIMPLE CASH FLOW TABLE</t>
  </si>
  <si>
    <t>Life cycle period (years)</t>
  </si>
  <si>
    <t>You might also need to edit formulas/pointers based on the nature of the analysis.</t>
  </si>
  <si>
    <t>Maintenance &amp; Repair</t>
  </si>
  <si>
    <t>Replacement</t>
  </si>
  <si>
    <t xml:space="preserve">Energy </t>
  </si>
  <si>
    <t>Cost of electricity (kWh)</t>
  </si>
  <si>
    <t>Option 1</t>
  </si>
  <si>
    <t>Option 2</t>
  </si>
  <si>
    <t>Option 3</t>
  </si>
  <si>
    <t>Option 4</t>
  </si>
  <si>
    <t>Total Simple Yearly Costs</t>
  </si>
  <si>
    <t>Payback Period vs. Option 1</t>
  </si>
  <si>
    <t>SIMPLE LIFE CYCLE COST TABLE</t>
  </si>
  <si>
    <t>Time</t>
  </si>
  <si>
    <t>Energy Used</t>
  </si>
  <si>
    <t>Energy Cost</t>
  </si>
  <si>
    <t xml:space="preserve">Cost of gas (therm) </t>
  </si>
  <si>
    <t>Purchase and Installation</t>
  </si>
  <si>
    <t xml:space="preserve">    Equipment</t>
  </si>
  <si>
    <t>Periodic Costs</t>
  </si>
  <si>
    <t>Cost</t>
  </si>
  <si>
    <t>In Year(s)</t>
  </si>
  <si>
    <t xml:space="preserve">    Labor</t>
  </si>
  <si>
    <t xml:space="preserve">    Other cost A</t>
  </si>
  <si>
    <t xml:space="preserve">    Other cost B</t>
  </si>
  <si>
    <t xml:space="preserve">     Incentive A</t>
  </si>
  <si>
    <t xml:space="preserve">     Incentive B</t>
  </si>
  <si>
    <t>Maintenance and Repair</t>
  </si>
  <si>
    <t>Energy</t>
  </si>
  <si>
    <t>End-of-Life</t>
  </si>
  <si>
    <t xml:space="preserve">     Salvage</t>
  </si>
  <si>
    <t xml:space="preserve">     Disposal</t>
  </si>
  <si>
    <t>TOTAL LCC</t>
  </si>
  <si>
    <t>Total</t>
  </si>
  <si>
    <t>DISCOUNTED LIFE CYCLE COST TABLE</t>
  </si>
  <si>
    <t>90 AFUE</t>
  </si>
  <si>
    <t>95 AFUE</t>
  </si>
  <si>
    <t>Payback Period vs. 90 AFUE
(Cumulative Savings)</t>
  </si>
  <si>
    <t xml:space="preserve">    Removal of old furnace</t>
  </si>
  <si>
    <t xml:space="preserve">    Columbia Gas Rebate</t>
  </si>
  <si>
    <t>Assume M&amp;R, R the same for both options</t>
  </si>
  <si>
    <t>No periodic costs</t>
  </si>
  <si>
    <t>Other Givens &amp;Assumptions</t>
  </si>
  <si>
    <t>Current furnace efficiency</t>
  </si>
  <si>
    <t>AFUE</t>
  </si>
  <si>
    <t>Net Savings v. Option #1</t>
  </si>
  <si>
    <t xml:space="preserve">Current furnace energy use </t>
  </si>
  <si>
    <t>therms</t>
  </si>
  <si>
    <t>Payback year</t>
  </si>
  <si>
    <t>None</t>
  </si>
  <si>
    <t>Option 1 efficiency</t>
  </si>
  <si>
    <t>Option 2 efficiency</t>
  </si>
  <si>
    <t>Option 1 cost installed</t>
  </si>
  <si>
    <t>cost</t>
  </si>
  <si>
    <t>Option 2 cost installed</t>
  </si>
  <si>
    <t>Removal of old furnace, both options</t>
  </si>
  <si>
    <t>Federal EE tax credit only for 97 AFUE furnaces</t>
  </si>
  <si>
    <t>Columbia Gas Rebates</t>
  </si>
  <si>
    <r>
      <t xml:space="preserve">Furnace </t>
    </r>
    <r>
      <rPr>
        <sz val="11"/>
        <color theme="1"/>
        <rFont val="Calibri"/>
        <family val="2"/>
      </rPr>
      <t>≥</t>
    </r>
    <r>
      <rPr>
        <sz val="8.6"/>
        <color theme="1"/>
        <rFont val="Calibri"/>
        <family val="2"/>
      </rPr>
      <t xml:space="preserve"> 90 AFUE</t>
    </r>
  </si>
  <si>
    <t>rebate</t>
  </si>
  <si>
    <r>
      <t xml:space="preserve">Furnace </t>
    </r>
    <r>
      <rPr>
        <sz val="11"/>
        <color theme="1"/>
        <rFont val="Calibri"/>
        <family val="2"/>
      </rPr>
      <t>≥</t>
    </r>
    <r>
      <rPr>
        <sz val="8.6"/>
        <color theme="1"/>
        <rFont val="Calibri"/>
        <family val="2"/>
      </rPr>
      <t xml:space="preserve"> 95 AFUE</t>
    </r>
  </si>
  <si>
    <t>Home heating load [current energy use X current AFUE]</t>
  </si>
  <si>
    <t>Annual energy use, 90 AFUE</t>
  </si>
  <si>
    <t>Annual energy use, 95 AFUE</t>
  </si>
  <si>
    <t>Current annual cost of energy for 80 AFUE furnace</t>
  </si>
  <si>
    <t>Annual cost of energy AFUE 90</t>
  </si>
  <si>
    <t>Annual cost of energy AFUE 95</t>
  </si>
  <si>
    <t>Mainaince and repair</t>
  </si>
  <si>
    <t>Nissan Leaf S (2022)</t>
  </si>
  <si>
    <t>Chevrolet Bolt LT (2023)</t>
  </si>
  <si>
    <t>Tesla Model 3 (2020)</t>
  </si>
  <si>
    <t>Payback Period vs.Nissan Leaf S</t>
  </si>
  <si>
    <t>Honda Civic Oil Change</t>
  </si>
  <si>
    <t>Yearly</t>
  </si>
  <si>
    <t>Honda Civic Repair</t>
  </si>
  <si>
    <t>Honda Yearly Auto Insurance</t>
  </si>
  <si>
    <t>Civic Sale</t>
  </si>
  <si>
    <t>Tesla Yearly Auto Insurace</t>
  </si>
  <si>
    <t>Clean Car Tex Credit</t>
  </si>
  <si>
    <t>Chevrolet Bolt Yearly Auto Insurance</t>
  </si>
  <si>
    <t>Nissan Leaf S Yearly Auto Insurance</t>
  </si>
  <si>
    <t>Chevrolet Bolt Battery Replacement</t>
  </si>
  <si>
    <t>Nissan Leaf S Battery Replacement</t>
  </si>
  <si>
    <t>Nissan Leaf S Price</t>
  </si>
  <si>
    <t xml:space="preserve">Chevrolet Bolt LT </t>
  </si>
  <si>
    <t>Tesla Model 3</t>
  </si>
  <si>
    <t>MPGe</t>
  </si>
  <si>
    <t>Net Savings</t>
  </si>
  <si>
    <t>Nissan Leaf S</t>
  </si>
  <si>
    <t>Miles driven Annual for primary car</t>
  </si>
  <si>
    <t>miles</t>
  </si>
  <si>
    <t>Sale of the Honda Civic</t>
  </si>
  <si>
    <t>One Gallon of Gaseline to kWh</t>
  </si>
  <si>
    <t>kWh</t>
  </si>
  <si>
    <t>kWh/mile for Tesla Model 3</t>
  </si>
  <si>
    <t>kWh/mile</t>
  </si>
  <si>
    <t>kWh/mile for Chevrolet Bolt LT</t>
  </si>
  <si>
    <t>kWh/mile for Nissan Leaf S</t>
  </si>
  <si>
    <t>Annual Energy Use for Tesla Model 3</t>
  </si>
  <si>
    <t>kWh/year</t>
  </si>
  <si>
    <t>Annual Energy Use for Chevrolet Bolt LT</t>
  </si>
  <si>
    <t>Annual Energy Use for Nissan Leaf S</t>
  </si>
  <si>
    <t>Nissan Leaf S Used Clean Car Tax Credit</t>
  </si>
  <si>
    <t>$</t>
  </si>
  <si>
    <t>Maintaince and Repair</t>
  </si>
  <si>
    <t xml:space="preserve">Energy     </t>
  </si>
  <si>
    <t>Total Simpluy Yearly Costs</t>
  </si>
  <si>
    <t>Payback Period vs. 14.3 Seer2</t>
  </si>
  <si>
    <t>14.3 SEER2</t>
  </si>
  <si>
    <t>EnergyStarSEER2 16.2</t>
  </si>
  <si>
    <t>SEER 18.0</t>
  </si>
  <si>
    <t>14.3 SEER2 P&amp;I</t>
  </si>
  <si>
    <t>Energy Star SEER2 16.2 P&amp;I</t>
  </si>
  <si>
    <t>Seer 18.0</t>
  </si>
  <si>
    <t>Tax Credit</t>
  </si>
  <si>
    <t>Annual kWh usage with current system</t>
  </si>
  <si>
    <t>kwh</t>
  </si>
  <si>
    <t>Annual wh Usage with current system</t>
  </si>
  <si>
    <t>wh</t>
  </si>
  <si>
    <t>14.3 SEER2 Rating</t>
  </si>
  <si>
    <t>SEER2 Rating</t>
  </si>
  <si>
    <t>Energy Star SEER2 Rating</t>
  </si>
  <si>
    <t>A SEER 18.0</t>
  </si>
  <si>
    <t>Current system SEER Rating</t>
  </si>
  <si>
    <t xml:space="preserve">Annual Cooling Load with current system </t>
  </si>
  <si>
    <t>BTU/Year</t>
  </si>
  <si>
    <t xml:space="preserve">Annual Electricity Use for 14.3 SEER2 </t>
  </si>
  <si>
    <t>kwh/year</t>
  </si>
  <si>
    <t>Annual Electricity Use for Energy Star SEER2 16.2</t>
  </si>
  <si>
    <t>Annual Electricity Use for A SEER 18.0</t>
  </si>
  <si>
    <t>Energy Star SEER2 Tax Credit</t>
  </si>
  <si>
    <t>SEER 18.0 Tax Credit</t>
  </si>
  <si>
    <t xml:space="preserve">Eligible tax Credit </t>
  </si>
  <si>
    <t>reduced by 127.2 therms/yr, total of 512 therms yr</t>
  </si>
  <si>
    <t>R13, AFUE 80</t>
  </si>
  <si>
    <t>R38, AFUE 80</t>
  </si>
  <si>
    <t>R38, AFUE95</t>
  </si>
  <si>
    <t>Payback Period vs. R13</t>
  </si>
  <si>
    <t>R49, AFUE 80</t>
  </si>
  <si>
    <t>R49, AFUE95</t>
  </si>
  <si>
    <t>R38 Batt Insulation (per bag)</t>
  </si>
  <si>
    <t>Manufacture Rebate (per bag)</t>
  </si>
  <si>
    <t>New Furnance Efficiency</t>
  </si>
  <si>
    <t>Total Heating Fuel Savings from R38 Insulation</t>
  </si>
  <si>
    <t>Therms</t>
  </si>
  <si>
    <t>Total Annual Heating Fuel with R38 Insulation</t>
  </si>
  <si>
    <t>Total Annual Heating Fuel with R38 Insulation &amp; 95 AFUE</t>
  </si>
  <si>
    <t>Solar PV System</t>
  </si>
  <si>
    <t>Payback Period vs. Grid Connected Electricity</t>
  </si>
  <si>
    <t>Solar Panels</t>
  </si>
  <si>
    <t>Grid Connected Electricity</t>
  </si>
  <si>
    <t>Inverted Replacement</t>
  </si>
  <si>
    <t>Net Meter Converted</t>
  </si>
  <si>
    <t>Cost per watt</t>
  </si>
  <si>
    <t>$/w</t>
  </si>
  <si>
    <t xml:space="preserve">Total electric need </t>
  </si>
  <si>
    <t>Kw</t>
  </si>
  <si>
    <t>Watts needed</t>
  </si>
  <si>
    <t>w</t>
  </si>
  <si>
    <t>Total cost of equipment</t>
  </si>
  <si>
    <t>energy use yearl</t>
  </si>
  <si>
    <t>HEC Meter</t>
  </si>
  <si>
    <t>Tax Credit for PV System</t>
  </si>
  <si>
    <t>Credit</t>
  </si>
  <si>
    <t>Money Saved from Tax Credit</t>
  </si>
  <si>
    <t>New Total Cost of PV System</t>
  </si>
  <si>
    <t>RHEEM RP18AZ COOLING</t>
  </si>
  <si>
    <t>RHEEM RP18AZ HEATING</t>
  </si>
  <si>
    <t>Payback Period vs. OG System</t>
  </si>
  <si>
    <t>Current System</t>
  </si>
  <si>
    <t>RHEEM RP18AZ Total</t>
  </si>
  <si>
    <t xml:space="preserve">RHEEM RP18AZ </t>
  </si>
  <si>
    <t>Current System (SEER 13 Air Condtioner &amp; 80 AFUE Furnance)</t>
  </si>
  <si>
    <t>RHEEM RP18AZ</t>
  </si>
  <si>
    <t>95 AFUE Furnance &amp; SEER2 16.2 Air Conditioner</t>
  </si>
  <si>
    <t>Disposal (AC/Furnace)</t>
  </si>
  <si>
    <t xml:space="preserve">Ductwork Labor </t>
  </si>
  <si>
    <t>Ductwork Modification</t>
  </si>
  <si>
    <t>Upgrade Electrical Panel</t>
  </si>
  <si>
    <t>Likely Repairs to Current Furnance and Air</t>
  </si>
  <si>
    <t>Current Furnance Electricity Use</t>
  </si>
  <si>
    <t>Kwh</t>
  </si>
  <si>
    <t>Annual Home Heating Load</t>
  </si>
  <si>
    <t xml:space="preserve">Annual Home Heating Load </t>
  </si>
  <si>
    <t>BTU/year</t>
  </si>
  <si>
    <t>Annual Home Heating Load kwh</t>
  </si>
  <si>
    <t>RHEEM RP16AZ SEER2 Rating</t>
  </si>
  <si>
    <t>RHEEM RP16AZ HSPF2 Rating</t>
  </si>
  <si>
    <t>HSPF2</t>
  </si>
  <si>
    <t>Annual Electricity Use for RHEEM SEER2 Cooling</t>
  </si>
  <si>
    <t>Annual Electricity Use for RHEEM SEER2 Heating</t>
  </si>
  <si>
    <t xml:space="preserve">Total Annual Electricity Use for RHEEM SEER2 </t>
  </si>
  <si>
    <t>Eligible Tax Credit</t>
  </si>
  <si>
    <t>OG SYSTEM</t>
  </si>
  <si>
    <t>55-Gallon Tank</t>
  </si>
  <si>
    <t>50-Gallon Heat Pump</t>
  </si>
  <si>
    <t>50-Gallon Tank</t>
  </si>
  <si>
    <t xml:space="preserve">    Labor (Installation)</t>
  </si>
  <si>
    <t>50 Gallon Tank Repair</t>
  </si>
  <si>
    <t xml:space="preserve">    Cost to Remove old Furnance</t>
  </si>
  <si>
    <t>50 Gallon Tank Universal Energy Factor (UEF)</t>
  </si>
  <si>
    <t>UEF</t>
  </si>
  <si>
    <t>50 Gallon Heat Pump Universal Energy Factor (UEF)</t>
  </si>
  <si>
    <t xml:space="preserve">Current Water Heater UEF </t>
  </si>
  <si>
    <t>Current Water Heater Energy Use (annual)</t>
  </si>
  <si>
    <t>Home Heating Load</t>
  </si>
  <si>
    <t>Annual Energy Use 50 Gal Tank</t>
  </si>
  <si>
    <t>Annual Energy Use 50 Gal Heat Pump</t>
  </si>
  <si>
    <t>Home Heating Load kwh</t>
  </si>
  <si>
    <t xml:space="preserve">Annual Energy Use 50 Gal Tank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</si>
</sst>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_(&quot;$&quot;* #,##0.00000_);_(&quot;$&quot;* \(#,##0.00000\);_(&quot;$&quot;* &quot;-&quot;??_);_(@_)"/>
    <numFmt numFmtId="166" formatCode="0.000"/>
    <numFmt numFmtId="167" formatCode="0.0000"/>
    <numFmt numFmtId="168" formatCode="_(&quot;$&quot;* #,##0_);_(&quot;$&quot;* \(#,##0\);_(&quot;$&quot;* &quot;-&quot;??_);_(@_)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8.6"/>
      <color theme="1"/>
      <name val="Calibri"/>
      <family val="2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4">
    <xf numFmtId="0" fontId="0" fillId="0" borderId="0" xfId="0"/>
    <xf numFmtId="165" fontId="5" fillId="2" borderId="1" xfId="2" applyNumberFormat="1" applyFont="1" applyFill="1" applyBorder="1" applyAlignment="1">
      <alignment wrapText="1"/>
    </xf>
    <xf numFmtId="164" fontId="5" fillId="2" borderId="2" xfId="2" applyNumberFormat="1" applyFont="1" applyFill="1" applyBorder="1" applyAlignment="1">
      <alignment wrapText="1"/>
    </xf>
    <xf numFmtId="164" fontId="5" fillId="3" borderId="3" xfId="2" applyNumberFormat="1" applyFont="1" applyFill="1" applyBorder="1" applyAlignment="1">
      <alignment wrapText="1"/>
    </xf>
    <xf numFmtId="0" fontId="6" fillId="4" borderId="1" xfId="3" applyFont="1" applyFill="1" applyBorder="1" applyAlignment="1">
      <alignment horizontal="center" vertical="center" wrapText="1"/>
    </xf>
    <xf numFmtId="165" fontId="5" fillId="7" borderId="1" xfId="2" applyNumberFormat="1" applyFont="1" applyFill="1" applyBorder="1" applyAlignment="1">
      <alignment wrapText="1"/>
    </xf>
    <xf numFmtId="164" fontId="5" fillId="7" borderId="2" xfId="2" applyNumberFormat="1" applyFont="1" applyFill="1" applyBorder="1" applyAlignment="1">
      <alignment wrapText="1"/>
    </xf>
    <xf numFmtId="164" fontId="5" fillId="8" borderId="3" xfId="2" applyNumberFormat="1" applyFont="1" applyFill="1" applyBorder="1" applyAlignment="1">
      <alignment wrapText="1"/>
    </xf>
    <xf numFmtId="0" fontId="0" fillId="0" borderId="1" xfId="0" applyBorder="1"/>
    <xf numFmtId="166" fontId="4" fillId="2" borderId="1" xfId="3" applyNumberFormat="1" applyFont="1" applyFill="1" applyBorder="1" applyAlignment="1">
      <alignment wrapText="1"/>
    </xf>
    <xf numFmtId="166" fontId="0" fillId="7" borderId="1" xfId="0" applyNumberFormat="1" applyFill="1" applyBorder="1"/>
    <xf numFmtId="164" fontId="0" fillId="5" borderId="1" xfId="2" applyNumberFormat="1" applyFont="1" applyFill="1" applyBorder="1" applyAlignment="1">
      <alignment horizontal="right"/>
    </xf>
    <xf numFmtId="167" fontId="0" fillId="2" borderId="1" xfId="0" applyNumberFormat="1" applyFill="1" applyBorder="1" applyAlignment="1">
      <alignment horizontal="right"/>
    </xf>
    <xf numFmtId="164" fontId="0" fillId="6" borderId="1" xfId="2" applyNumberFormat="1" applyFont="1" applyFill="1" applyBorder="1" applyAlignment="1">
      <alignment horizontal="right"/>
    </xf>
    <xf numFmtId="167" fontId="0" fillId="7" borderId="1" xfId="0" applyNumberFormat="1" applyFill="1" applyBorder="1" applyAlignment="1">
      <alignment horizontal="right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/>
    <xf numFmtId="0" fontId="2" fillId="7" borderId="1" xfId="0" applyFont="1" applyFill="1" applyBorder="1"/>
    <xf numFmtId="0" fontId="2" fillId="2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9" fillId="12" borderId="1" xfId="0" applyFont="1" applyFill="1" applyBorder="1"/>
    <xf numFmtId="0" fontId="2" fillId="0" borderId="1" xfId="0" applyFont="1" applyBorder="1" applyAlignment="1">
      <alignment horizontal="center"/>
    </xf>
    <xf numFmtId="0" fontId="10" fillId="0" borderId="0" xfId="0" applyFont="1"/>
    <xf numFmtId="44" fontId="0" fillId="9" borderId="1" xfId="2" applyFont="1" applyFill="1" applyBorder="1"/>
    <xf numFmtId="44" fontId="0" fillId="0" borderId="1" xfId="2" applyFont="1" applyBorder="1"/>
    <xf numFmtId="44" fontId="0" fillId="0" borderId="0" xfId="2" applyFont="1"/>
    <xf numFmtId="44" fontId="0" fillId="7" borderId="1" xfId="2" applyFont="1" applyFill="1" applyBorder="1"/>
    <xf numFmtId="44" fontId="0" fillId="2" borderId="1" xfId="2" applyFont="1" applyFill="1" applyBorder="1"/>
    <xf numFmtId="44" fontId="0" fillId="10" borderId="1" xfId="2" applyFont="1" applyFill="1" applyBorder="1"/>
    <xf numFmtId="44" fontId="0" fillId="11" borderId="1" xfId="2" applyFont="1" applyFill="1" applyBorder="1"/>
    <xf numFmtId="44" fontId="0" fillId="0" borderId="0" xfId="2" applyFont="1" applyBorder="1"/>
    <xf numFmtId="0" fontId="9" fillId="13" borderId="1" xfId="0" applyFont="1" applyFill="1" applyBorder="1" applyAlignment="1">
      <alignment horizontal="left"/>
    </xf>
    <xf numFmtId="44" fontId="2" fillId="0" borderId="1" xfId="2" applyFont="1" applyBorder="1" applyAlignment="1">
      <alignment horizontal="center"/>
    </xf>
    <xf numFmtId="0" fontId="11" fillId="0" borderId="0" xfId="0" applyFont="1" applyAlignment="1">
      <alignment horizontal="right"/>
    </xf>
    <xf numFmtId="0" fontId="12" fillId="0" borderId="0" xfId="0" applyFont="1"/>
    <xf numFmtId="44" fontId="0" fillId="0" borderId="0" xfId="2" applyFont="1" applyFill="1" applyBorder="1"/>
    <xf numFmtId="43" fontId="0" fillId="0" borderId="1" xfId="1" applyFont="1" applyBorder="1"/>
    <xf numFmtId="44" fontId="0" fillId="17" borderId="1" xfId="0" applyNumberFormat="1" applyFill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2" fontId="0" fillId="0" borderId="1" xfId="2" applyNumberFormat="1" applyFont="1" applyBorder="1"/>
    <xf numFmtId="44" fontId="0" fillId="9" borderId="1" xfId="2" applyFont="1" applyFill="1" applyBorder="1" applyAlignment="1">
      <alignment wrapText="1"/>
    </xf>
    <xf numFmtId="0" fontId="2" fillId="0" borderId="8" xfId="0" applyFont="1" applyBorder="1" applyAlignment="1">
      <alignment horizontal="center"/>
    </xf>
    <xf numFmtId="6" fontId="0" fillId="0" borderId="1" xfId="2" applyNumberFormat="1" applyFont="1" applyBorder="1"/>
    <xf numFmtId="0" fontId="0" fillId="18" borderId="1" xfId="0" applyFill="1" applyBorder="1"/>
    <xf numFmtId="44" fontId="0" fillId="18" borderId="1" xfId="2" applyFont="1" applyFill="1" applyBorder="1"/>
    <xf numFmtId="43" fontId="0" fillId="18" borderId="1" xfId="1" applyFont="1" applyFill="1" applyBorder="1"/>
    <xf numFmtId="0" fontId="0" fillId="18" borderId="0" xfId="0" applyFill="1"/>
    <xf numFmtId="44" fontId="0" fillId="18" borderId="1" xfId="0" applyNumberFormat="1" applyFill="1" applyBorder="1"/>
    <xf numFmtId="0" fontId="9" fillId="19" borderId="1" xfId="0" applyFont="1" applyFill="1" applyBorder="1"/>
    <xf numFmtId="0" fontId="2" fillId="19" borderId="1" xfId="0" applyFont="1" applyFill="1" applyBorder="1" applyAlignment="1">
      <alignment horizontal="right"/>
    </xf>
    <xf numFmtId="0" fontId="0" fillId="19" borderId="1" xfId="0" applyFill="1" applyBorder="1"/>
    <xf numFmtId="2" fontId="0" fillId="0" borderId="1" xfId="0" applyNumberFormat="1" applyBorder="1"/>
    <xf numFmtId="0" fontId="2" fillId="0" borderId="0" xfId="0" applyFont="1" applyAlignment="1">
      <alignment horizontal="right"/>
    </xf>
    <xf numFmtId="44" fontId="15" fillId="0" borderId="0" xfId="0" applyNumberFormat="1" applyFont="1"/>
    <xf numFmtId="168" fontId="0" fillId="0" borderId="1" xfId="2" applyNumberFormat="1" applyFont="1" applyBorder="1"/>
    <xf numFmtId="0" fontId="2" fillId="0" borderId="0" xfId="0" applyFont="1" applyAlignment="1">
      <alignment horizontal="center"/>
    </xf>
    <xf numFmtId="0" fontId="3" fillId="0" borderId="1" xfId="3" applyBorder="1"/>
    <xf numFmtId="6" fontId="0" fillId="0" borderId="1" xfId="0" applyNumberFormat="1" applyBorder="1"/>
    <xf numFmtId="169" fontId="0" fillId="0" borderId="1" xfId="0" applyNumberFormat="1" applyBorder="1"/>
    <xf numFmtId="0" fontId="2" fillId="0" borderId="0" xfId="0" applyFont="1"/>
    <xf numFmtId="44" fontId="0" fillId="0" borderId="1" xfId="0" applyNumberFormat="1" applyBorder="1"/>
    <xf numFmtId="167" fontId="0" fillId="0" borderId="1" xfId="2" applyNumberFormat="1" applyFont="1" applyBorder="1"/>
    <xf numFmtId="0" fontId="18" fillId="0" borderId="1" xfId="3" applyFont="1" applyBorder="1"/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18" fillId="0" borderId="1" xfId="3" applyFont="1" applyBorder="1" applyAlignment="1">
      <alignment wrapText="1"/>
    </xf>
    <xf numFmtId="44" fontId="0" fillId="17" borderId="1" xfId="0" applyNumberFormat="1" applyFill="1" applyBorder="1" applyAlignment="1">
      <alignment horizontal="center" wrapText="1"/>
    </xf>
    <xf numFmtId="44" fontId="0" fillId="0" borderId="0" xfId="0" applyNumberFormat="1"/>
    <xf numFmtId="0" fontId="0" fillId="0" borderId="0" xfId="0" applyAlignment="1">
      <alignment wrapText="1"/>
    </xf>
    <xf numFmtId="43" fontId="0" fillId="0" borderId="1" xfId="0" applyNumberFormat="1" applyBorder="1"/>
    <xf numFmtId="0" fontId="2" fillId="16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44" fontId="2" fillId="9" borderId="1" xfId="0" applyNumberFormat="1" applyFont="1" applyFill="1" applyBorder="1"/>
    <xf numFmtId="44" fontId="2" fillId="10" borderId="1" xfId="0" applyNumberFormat="1" applyFont="1" applyFill="1" applyBorder="1"/>
    <xf numFmtId="44" fontId="2" fillId="0" borderId="1" xfId="0" applyNumberFormat="1" applyFont="1" applyBorder="1" applyAlignment="1">
      <alignment horizontal="right"/>
    </xf>
    <xf numFmtId="44" fontId="2" fillId="0" borderId="1" xfId="0" applyNumberFormat="1" applyFont="1" applyBorder="1" applyAlignment="1">
      <alignment horizontal="center"/>
    </xf>
    <xf numFmtId="44" fontId="0" fillId="17" borderId="1" xfId="0" applyNumberFormat="1" applyFill="1" applyBorder="1" applyAlignment="1">
      <alignment wrapText="1"/>
    </xf>
    <xf numFmtId="44" fontId="0" fillId="9" borderId="4" xfId="2" applyFont="1" applyFill="1" applyBorder="1"/>
    <xf numFmtId="0" fontId="0" fillId="0" borderId="13" xfId="0" applyBorder="1"/>
    <xf numFmtId="0" fontId="0" fillId="0" borderId="13" xfId="0" applyBorder="1" applyAlignment="1">
      <alignment wrapText="1"/>
    </xf>
    <xf numFmtId="44" fontId="0" fillId="0" borderId="13" xfId="0" applyNumberFormat="1" applyBorder="1"/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9" borderId="4" xfId="0" applyFont="1" applyFill="1" applyBorder="1"/>
    <xf numFmtId="0" fontId="0" fillId="0" borderId="4" xfId="0" applyBorder="1"/>
    <xf numFmtId="0" fontId="0" fillId="0" borderId="4" xfId="0" applyBorder="1" applyAlignment="1">
      <alignment wrapText="1"/>
    </xf>
    <xf numFmtId="0" fontId="2" fillId="0" borderId="15" xfId="0" applyFont="1" applyBorder="1" applyAlignment="1">
      <alignment horizontal="center"/>
    </xf>
    <xf numFmtId="0" fontId="2" fillId="7" borderId="4" xfId="0" applyFont="1" applyFill="1" applyBorder="1"/>
    <xf numFmtId="0" fontId="2" fillId="2" borderId="4" xfId="0" applyFont="1" applyFill="1" applyBorder="1"/>
    <xf numFmtId="0" fontId="2" fillId="10" borderId="4" xfId="0" applyFont="1" applyFill="1" applyBorder="1"/>
    <xf numFmtId="0" fontId="2" fillId="11" borderId="4" xfId="0" applyFont="1" applyFill="1" applyBorder="1"/>
    <xf numFmtId="0" fontId="2" fillId="0" borderId="4" xfId="0" applyFont="1" applyBorder="1" applyAlignment="1">
      <alignment horizontal="right"/>
    </xf>
    <xf numFmtId="44" fontId="0" fillId="9" borderId="15" xfId="2" applyFont="1" applyFill="1" applyBorder="1"/>
    <xf numFmtId="44" fontId="0" fillId="0" borderId="15" xfId="2" applyFont="1" applyBorder="1"/>
    <xf numFmtId="44" fontId="0" fillId="7" borderId="5" xfId="2" applyFont="1" applyFill="1" applyBorder="1"/>
    <xf numFmtId="44" fontId="0" fillId="2" borderId="5" xfId="2" applyFont="1" applyFill="1" applyBorder="1"/>
    <xf numFmtId="44" fontId="0" fillId="10" borderId="5" xfId="2" applyFont="1" applyFill="1" applyBorder="1"/>
    <xf numFmtId="44" fontId="0" fillId="11" borderId="5" xfId="2" applyFont="1" applyFill="1" applyBorder="1"/>
    <xf numFmtId="44" fontId="0" fillId="0" borderId="5" xfId="2" applyFont="1" applyBorder="1"/>
    <xf numFmtId="44" fontId="2" fillId="9" borderId="13" xfId="0" applyNumberFormat="1" applyFont="1" applyFill="1" applyBorder="1"/>
    <xf numFmtId="44" fontId="0" fillId="0" borderId="13" xfId="0" applyNumberFormat="1" applyBorder="1" applyAlignment="1">
      <alignment wrapText="1"/>
    </xf>
    <xf numFmtId="44" fontId="2" fillId="7" borderId="13" xfId="0" applyNumberFormat="1" applyFont="1" applyFill="1" applyBorder="1"/>
    <xf numFmtId="44" fontId="2" fillId="2" borderId="13" xfId="0" applyNumberFormat="1" applyFont="1" applyFill="1" applyBorder="1"/>
    <xf numFmtId="44" fontId="2" fillId="10" borderId="13" xfId="0" applyNumberFormat="1" applyFont="1" applyFill="1" applyBorder="1"/>
    <xf numFmtId="44" fontId="2" fillId="11" borderId="13" xfId="0" applyNumberFormat="1" applyFont="1" applyFill="1" applyBorder="1"/>
    <xf numFmtId="0" fontId="0" fillId="0" borderId="16" xfId="0" applyBorder="1" applyAlignment="1">
      <alignment wrapText="1"/>
    </xf>
    <xf numFmtId="43" fontId="0" fillId="0" borderId="1" xfId="2" applyNumberFormat="1" applyFont="1" applyBorder="1"/>
    <xf numFmtId="0" fontId="2" fillId="16" borderId="4" xfId="0" applyFont="1" applyFill="1" applyBorder="1"/>
    <xf numFmtId="0" fontId="2" fillId="16" borderId="15" xfId="0" applyFont="1" applyFill="1" applyBorder="1"/>
    <xf numFmtId="0" fontId="2" fillId="1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15" borderId="4" xfId="0" applyFont="1" applyFill="1" applyBorder="1" applyAlignment="1">
      <alignment horizontal="center" wrapText="1"/>
    </xf>
    <xf numFmtId="0" fontId="2" fillId="15" borderId="5" xfId="0" applyFont="1" applyFill="1" applyBorder="1" applyAlignment="1">
      <alignment horizontal="center" wrapText="1"/>
    </xf>
    <xf numFmtId="0" fontId="2" fillId="16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14" borderId="4" xfId="0" applyFont="1" applyFill="1" applyBorder="1" applyAlignment="1">
      <alignment horizontal="center"/>
    </xf>
    <xf numFmtId="0" fontId="2" fillId="14" borderId="1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center"/>
    </xf>
    <xf numFmtId="44" fontId="2" fillId="0" borderId="1" xfId="0" applyNumberFormat="1" applyFont="1" applyBorder="1" applyAlignment="1">
      <alignment wrapText="1"/>
    </xf>
    <xf numFmtId="44" fontId="0" fillId="0" borderId="1" xfId="2" applyNumberFormat="1" applyFont="1" applyBorder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muedu-my.sharepoint.com/personal/chizmaap_dukes_jmu_edu/Documents/Smith%20Jones%20Furnace%20LCC.xlsx" TargetMode="External"/><Relationship Id="rId1" Type="http://schemas.openxmlformats.org/officeDocument/2006/relationships/externalLinkPath" Target="Smith%20Jones%20Furnace%20LC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VALt-m-_xE6-J7dsza3ra9fW1zK7WaJPjL4xyFDLWRi8olMVuj5iSo9qcU9iopxb" itemId="01Y4HCJNARTSVCH3XC4BHIF4V6XP6JMX34">
      <xxl21:absoluteUrl r:id="rId2"/>
    </xxl21:alternateUrls>
    <sheetNames>
      <sheetName val="Energy Information"/>
      <sheetName val="LCC Template"/>
      <sheetName val="Furnace"/>
    </sheetNames>
    <sheetDataSet>
      <sheetData sheetId="0">
        <row r="7">
          <cell r="B7">
            <v>0</v>
          </cell>
        </row>
        <row r="12">
          <cell r="B12">
            <v>1.4815</v>
          </cell>
        </row>
        <row r="13">
          <cell r="B13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sireusa.org/" TargetMode="External"/><Relationship Id="rId2" Type="http://schemas.openxmlformats.org/officeDocument/2006/relationships/hyperlink" Target="https://www.columbiagasva.com/" TargetMode="External"/><Relationship Id="rId1" Type="http://schemas.openxmlformats.org/officeDocument/2006/relationships/hyperlink" Target="https://www.harrisonburgelectric.com/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columbiagasva.com/energy-efficiency/for-your-home/available-rebate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C92B-FCF6-487D-8103-62A35FE3D881}">
  <dimension ref="A3:B15"/>
  <sheetViews>
    <sheetView workbookViewId="0">
      <selection activeCell="B6" sqref="B6"/>
    </sheetView>
  </sheetViews>
  <sheetFormatPr defaultRowHeight="15"/>
  <cols>
    <col min="1" max="1" width="28.85546875" customWidth="1"/>
    <col min="2" max="2" width="14.42578125" customWidth="1"/>
    <col min="3" max="3" width="13.5703125" customWidth="1"/>
  </cols>
  <sheetData>
    <row r="3" spans="1:2" ht="30">
      <c r="A3" s="17" t="s">
        <v>0</v>
      </c>
      <c r="B3" s="4" t="s">
        <v>1</v>
      </c>
    </row>
    <row r="4" spans="1:2">
      <c r="A4" s="17" t="s">
        <v>2</v>
      </c>
      <c r="B4" s="1">
        <v>9.5000000000000001E-2</v>
      </c>
    </row>
    <row r="5" spans="1:2">
      <c r="A5" s="17" t="s">
        <v>3</v>
      </c>
      <c r="B5" s="2">
        <v>1.4999999999999999E-2</v>
      </c>
    </row>
    <row r="6" spans="1:2" ht="15.75" thickTop="1">
      <c r="A6" s="17" t="s">
        <v>4</v>
      </c>
      <c r="B6" s="3">
        <f>+B4+B5</f>
        <v>0.11</v>
      </c>
    </row>
    <row r="7" spans="1:2">
      <c r="A7" s="17" t="s">
        <v>5</v>
      </c>
      <c r="B7" s="9">
        <v>0</v>
      </c>
    </row>
    <row r="8" spans="1:2">
      <c r="A8" s="16"/>
    </row>
    <row r="9" spans="1:2" ht="30">
      <c r="A9" s="17" t="s">
        <v>6</v>
      </c>
      <c r="B9" s="4" t="s">
        <v>7</v>
      </c>
    </row>
    <row r="10" spans="1:2">
      <c r="A10" s="17" t="s">
        <v>8</v>
      </c>
      <c r="B10" s="5">
        <v>1.4815</v>
      </c>
    </row>
    <row r="11" spans="1:2">
      <c r="A11" s="17" t="s">
        <v>9</v>
      </c>
      <c r="B11" s="6">
        <v>0</v>
      </c>
    </row>
    <row r="12" spans="1:2" ht="15.75" thickTop="1">
      <c r="A12" s="18"/>
      <c r="B12" s="7">
        <f>+B10+B11</f>
        <v>1.4815</v>
      </c>
    </row>
    <row r="13" spans="1:2">
      <c r="A13" s="17" t="s">
        <v>10</v>
      </c>
      <c r="B13" s="10">
        <v>0</v>
      </c>
    </row>
    <row r="14" spans="1:2">
      <c r="A14" s="15"/>
    </row>
    <row r="15" spans="1:2" ht="30">
      <c r="A15" s="17" t="s">
        <v>11</v>
      </c>
      <c r="B15" s="4" t="s">
        <v>12</v>
      </c>
    </row>
  </sheetData>
  <hyperlinks>
    <hyperlink ref="B3" r:id="rId1" xr:uid="{F2C0BB7E-06CE-4E8C-8158-1BE979AD2152}"/>
    <hyperlink ref="B9" r:id="rId2" xr:uid="{3CD672B8-AC01-4F52-81D3-74256A314371}"/>
    <hyperlink ref="B15" r:id="rId3" xr:uid="{718BC22B-744E-4D3D-AECA-A5A7F460AC7C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78CAF-65F5-41F8-8443-E674E34BC2CF}">
  <dimension ref="A2:AH55"/>
  <sheetViews>
    <sheetView topLeftCell="Y9" zoomScale="78" zoomScaleNormal="78" workbookViewId="0">
      <selection activeCell="AF11" sqref="AF11"/>
    </sheetView>
  </sheetViews>
  <sheetFormatPr defaultRowHeight="15"/>
  <cols>
    <col min="1" max="1" width="31.42578125" customWidth="1"/>
    <col min="2" max="2" width="19.5703125" customWidth="1"/>
    <col min="3" max="5" width="11.140625" customWidth="1"/>
    <col min="6" max="6" width="32.85546875" customWidth="1"/>
    <col min="7" max="7" width="14.28515625" customWidth="1"/>
    <col min="8" max="8" width="13.85546875" customWidth="1"/>
    <col min="9" max="10" width="13.5703125" customWidth="1"/>
    <col min="15" max="15" width="24.7109375" customWidth="1"/>
    <col min="16" max="16" width="25" customWidth="1"/>
    <col min="17" max="18" width="13.7109375" customWidth="1"/>
    <col min="19" max="21" width="23.85546875" customWidth="1"/>
    <col min="22" max="22" width="23.85546875" style="74" customWidth="1"/>
    <col min="23" max="27" width="13.7109375" customWidth="1"/>
    <col min="28" max="28" width="25.140625" customWidth="1"/>
    <col min="29" max="29" width="13" customWidth="1"/>
    <col min="30" max="30" width="13.5703125" customWidth="1"/>
    <col min="31" max="31" width="6.140625" customWidth="1"/>
    <col min="32" max="32" width="20.5703125" customWidth="1"/>
    <col min="33" max="34" width="13.7109375" customWidth="1"/>
  </cols>
  <sheetData>
    <row r="2" spans="1:34">
      <c r="O2" s="27" t="s">
        <v>13</v>
      </c>
    </row>
    <row r="3" spans="1:34">
      <c r="P3" s="27"/>
      <c r="Q3" s="27"/>
    </row>
    <row r="4" spans="1:34" ht="21">
      <c r="A4" s="25" t="s">
        <v>14</v>
      </c>
      <c r="F4" s="27" t="s">
        <v>15</v>
      </c>
      <c r="O4" s="39" t="s">
        <v>16</v>
      </c>
    </row>
    <row r="5" spans="1:34" ht="21" customHeight="1">
      <c r="A5" s="19" t="s">
        <v>17</v>
      </c>
      <c r="B5" s="8">
        <v>15</v>
      </c>
      <c r="F5" s="27" t="s">
        <v>18</v>
      </c>
      <c r="O5" s="119" t="s">
        <v>19</v>
      </c>
      <c r="P5" s="119"/>
      <c r="Q5" s="119"/>
      <c r="R5" s="119"/>
      <c r="S5" s="118" t="s">
        <v>20</v>
      </c>
      <c r="T5" s="118"/>
      <c r="U5" s="90"/>
      <c r="V5" s="151"/>
      <c r="W5" s="117" t="s">
        <v>21</v>
      </c>
      <c r="X5" s="117"/>
      <c r="Y5" s="117"/>
      <c r="Z5" s="117"/>
      <c r="AA5" s="120"/>
      <c r="AB5" s="121"/>
      <c r="AC5" s="121"/>
      <c r="AD5" s="121"/>
    </row>
    <row r="6" spans="1:34" ht="24.75" customHeight="1">
      <c r="A6" s="19" t="s">
        <v>22</v>
      </c>
      <c r="B6" s="11">
        <f>+'Energy Information'!$B$6</f>
        <v>0.11</v>
      </c>
      <c r="O6" s="119"/>
      <c r="P6" s="119"/>
      <c r="Q6" s="119"/>
      <c r="R6" s="119"/>
      <c r="S6" s="118"/>
      <c r="T6" s="118"/>
      <c r="U6" s="124" t="s">
        <v>210</v>
      </c>
      <c r="V6" s="125"/>
      <c r="W6" s="124" t="s">
        <v>211</v>
      </c>
      <c r="X6" s="125"/>
      <c r="Y6" s="124" t="s">
        <v>212</v>
      </c>
      <c r="Z6" s="125"/>
      <c r="AA6" s="122" t="s">
        <v>27</v>
      </c>
      <c r="AB6" s="122"/>
      <c r="AC6" s="122"/>
      <c r="AD6" s="122"/>
      <c r="AF6" s="123" t="s">
        <v>28</v>
      </c>
      <c r="AG6" s="123"/>
      <c r="AH6" s="123"/>
    </row>
    <row r="7" spans="1:34" ht="18.75" customHeight="1">
      <c r="A7" s="19" t="s">
        <v>5</v>
      </c>
      <c r="B7" s="12">
        <f>+'Energy Information'!$B$7</f>
        <v>0</v>
      </c>
      <c r="F7" s="126" t="s">
        <v>29</v>
      </c>
      <c r="G7" s="127"/>
      <c r="H7" s="127"/>
      <c r="I7" s="127"/>
      <c r="J7" s="127"/>
      <c r="N7" s="19" t="s">
        <v>30</v>
      </c>
      <c r="O7" s="43" t="str">
        <f>+$G$9</f>
        <v>50-Gallon Tank</v>
      </c>
      <c r="P7" s="44" t="str">
        <f>+$H$9</f>
        <v>50-Gallon Heat Pump</v>
      </c>
      <c r="Q7" s="26"/>
      <c r="R7" s="26"/>
      <c r="S7" s="44" t="str">
        <f>+$G$9</f>
        <v>50-Gallon Tank</v>
      </c>
      <c r="T7" s="45" t="str">
        <f>+$H$9</f>
        <v>50-Gallon Heat Pump</v>
      </c>
      <c r="U7" s="45" t="s">
        <v>31</v>
      </c>
      <c r="V7" s="152" t="s">
        <v>32</v>
      </c>
      <c r="W7" s="26" t="s">
        <v>31</v>
      </c>
      <c r="X7" s="26" t="s">
        <v>32</v>
      </c>
      <c r="Y7" s="26" t="s">
        <v>31</v>
      </c>
      <c r="Z7" s="26" t="s">
        <v>32</v>
      </c>
      <c r="AA7" s="44" t="str">
        <f>+$G$9</f>
        <v>50-Gallon Tank</v>
      </c>
      <c r="AB7" s="45" t="str">
        <f>+$H$9</f>
        <v>50-Gallon Heat Pump</v>
      </c>
      <c r="AC7" s="26"/>
      <c r="AD7" s="26"/>
      <c r="AF7" s="44" t="str">
        <f>+$H$9</f>
        <v>50-Gallon Heat Pump</v>
      </c>
      <c r="AG7" s="26" t="s">
        <v>25</v>
      </c>
      <c r="AH7" s="26" t="s">
        <v>26</v>
      </c>
    </row>
    <row r="8" spans="1:34">
      <c r="A8" s="19" t="s">
        <v>33</v>
      </c>
      <c r="B8" s="13">
        <f>+'Energy Information'!$B$12</f>
        <v>1.4815</v>
      </c>
      <c r="N8" s="8">
        <v>1</v>
      </c>
      <c r="O8" s="29"/>
      <c r="P8" s="29"/>
      <c r="Q8" s="29"/>
      <c r="R8" s="29"/>
      <c r="S8" s="29"/>
      <c r="T8" s="29"/>
      <c r="U8" s="114">
        <f>+$B$33</f>
        <v>168</v>
      </c>
      <c r="V8" s="153">
        <f>+$B$33*$B$8</f>
        <v>248.892</v>
      </c>
      <c r="W8" s="41">
        <f>+$B$36</f>
        <v>111.99999999999999</v>
      </c>
      <c r="X8" s="29">
        <f>+$W$8*$B$8</f>
        <v>165.928</v>
      </c>
      <c r="Y8" s="41">
        <f>+$B$37</f>
        <v>26.845360824742269</v>
      </c>
      <c r="Z8" s="29">
        <f>+Y8*$B$8</f>
        <v>39.771402061855675</v>
      </c>
      <c r="AA8" s="34">
        <f>+O8+S8+X8</f>
        <v>165.928</v>
      </c>
      <c r="AB8" s="34">
        <f>+P8+T8+Z8</f>
        <v>39.771402061855675</v>
      </c>
      <c r="AC8" s="34"/>
      <c r="AD8" s="34"/>
      <c r="AF8" s="42">
        <f>+(E10-$H$10)+($V$8-AB8)</f>
        <v>-2065.8794020618557</v>
      </c>
      <c r="AG8" s="42"/>
      <c r="AH8" s="42"/>
    </row>
    <row r="9" spans="1:34" ht="30.75">
      <c r="A9" s="19" t="s">
        <v>10</v>
      </c>
      <c r="B9" s="14">
        <f>+'Energy Information'!$B$13</f>
        <v>0</v>
      </c>
      <c r="G9" s="43" t="s">
        <v>213</v>
      </c>
      <c r="H9" s="43" t="s">
        <v>212</v>
      </c>
      <c r="I9" s="26" t="s">
        <v>25</v>
      </c>
      <c r="J9" s="26" t="s">
        <v>26</v>
      </c>
      <c r="N9" s="8">
        <v>2</v>
      </c>
      <c r="O9" s="29"/>
      <c r="P9" s="29"/>
      <c r="Q9" s="29"/>
      <c r="R9" s="29"/>
      <c r="S9" s="29"/>
      <c r="T9" s="29"/>
      <c r="U9" s="114">
        <f t="shared" ref="U9:U22" si="0">+$B$33</f>
        <v>168</v>
      </c>
      <c r="V9" s="153">
        <f t="shared" ref="V9:V22" si="1">+$B$33*$B$8</f>
        <v>248.892</v>
      </c>
      <c r="W9" s="41">
        <f t="shared" ref="W9:W22" si="2">+$B$36</f>
        <v>111.99999999999999</v>
      </c>
      <c r="X9" s="29">
        <f t="shared" ref="X9:X22" si="3">+$W$8*$B$8</f>
        <v>165.928</v>
      </c>
      <c r="Y9" s="41">
        <f t="shared" ref="Y9:Y22" si="4">+$B$37</f>
        <v>26.845360824742269</v>
      </c>
      <c r="Z9" s="29">
        <f t="shared" ref="Z9:Z19" si="5">+Y9*$B$8</f>
        <v>39.771402061855675</v>
      </c>
      <c r="AA9" s="34">
        <f>+O9+S9+X9</f>
        <v>165.928</v>
      </c>
      <c r="AB9" s="34">
        <f>+P9+T9+Z9</f>
        <v>39.771402061855675</v>
      </c>
      <c r="AC9" s="34"/>
      <c r="AD9" s="34"/>
      <c r="AF9" s="42">
        <f>+AF8+(V9-AB8)</f>
        <v>-1856.7588041237113</v>
      </c>
      <c r="AG9" s="42"/>
      <c r="AH9" s="42"/>
    </row>
    <row r="10" spans="1:34">
      <c r="F10" s="20" t="s">
        <v>34</v>
      </c>
      <c r="G10" s="28">
        <f>SUM(G11:G13)</f>
        <v>1219</v>
      </c>
      <c r="H10" s="28">
        <f>SUM(H11:H14)</f>
        <v>2275</v>
      </c>
      <c r="I10" s="28"/>
      <c r="J10" s="28"/>
      <c r="N10" s="8">
        <v>3</v>
      </c>
      <c r="O10" s="29"/>
      <c r="P10" s="29"/>
      <c r="Q10" s="29"/>
      <c r="R10" s="29"/>
      <c r="S10" s="29"/>
      <c r="T10" s="29"/>
      <c r="U10" s="114">
        <f t="shared" si="0"/>
        <v>168</v>
      </c>
      <c r="V10" s="153">
        <f t="shared" si="1"/>
        <v>248.892</v>
      </c>
      <c r="W10" s="41">
        <f t="shared" si="2"/>
        <v>111.99999999999999</v>
      </c>
      <c r="X10" s="29">
        <f t="shared" si="3"/>
        <v>165.928</v>
      </c>
      <c r="Y10" s="41">
        <f t="shared" si="4"/>
        <v>26.845360824742269</v>
      </c>
      <c r="Z10" s="29">
        <f t="shared" si="5"/>
        <v>39.771402061855675</v>
      </c>
      <c r="AA10" s="34">
        <f>+O10+S10+X10</f>
        <v>165.928</v>
      </c>
      <c r="AB10" s="34">
        <f>+P10+T10+Z10</f>
        <v>39.771402061855675</v>
      </c>
      <c r="AC10" s="34"/>
      <c r="AD10" s="34"/>
      <c r="AF10" s="42">
        <f>+AF9+(V10-AB9)</f>
        <v>-1647.638206185567</v>
      </c>
      <c r="AG10" s="42"/>
      <c r="AH10" s="42"/>
    </row>
    <row r="11" spans="1:34">
      <c r="F11" s="8" t="s">
        <v>35</v>
      </c>
      <c r="G11" s="29">
        <v>569</v>
      </c>
      <c r="H11" s="29">
        <v>1500</v>
      </c>
      <c r="I11" s="29"/>
      <c r="J11" s="29"/>
      <c r="N11" s="8">
        <v>4</v>
      </c>
      <c r="O11" s="29"/>
      <c r="P11" s="29"/>
      <c r="Q11" s="29"/>
      <c r="R11" s="29"/>
      <c r="S11" s="29"/>
      <c r="T11" s="29"/>
      <c r="U11" s="114">
        <f t="shared" si="0"/>
        <v>168</v>
      </c>
      <c r="V11" s="153">
        <f t="shared" si="1"/>
        <v>248.892</v>
      </c>
      <c r="W11" s="41">
        <f t="shared" si="2"/>
        <v>111.99999999999999</v>
      </c>
      <c r="X11" s="29">
        <f t="shared" si="3"/>
        <v>165.928</v>
      </c>
      <c r="Y11" s="41">
        <f t="shared" si="4"/>
        <v>26.845360824742269</v>
      </c>
      <c r="Z11" s="29">
        <f t="shared" si="5"/>
        <v>39.771402061855675</v>
      </c>
      <c r="AA11" s="34">
        <f>+O11+S11+X11</f>
        <v>165.928</v>
      </c>
      <c r="AB11" s="34">
        <f>+P11+T11+Z11</f>
        <v>39.771402061855675</v>
      </c>
      <c r="AC11" s="34"/>
      <c r="AD11" s="34"/>
      <c r="AF11" s="42">
        <f t="shared" ref="AF10:AF22" si="6">+AF10+(V11-AB10)</f>
        <v>-1438.5176082474227</v>
      </c>
      <c r="AG11" s="42"/>
      <c r="AH11" s="42"/>
    </row>
    <row r="12" spans="1:34" ht="18.75">
      <c r="A12" s="36" t="s">
        <v>36</v>
      </c>
      <c r="B12" s="37" t="s">
        <v>37</v>
      </c>
      <c r="C12" s="26" t="s">
        <v>38</v>
      </c>
      <c r="F12" s="8" t="s">
        <v>214</v>
      </c>
      <c r="G12" s="29">
        <v>500</v>
      </c>
      <c r="H12" s="29">
        <v>625</v>
      </c>
      <c r="I12" s="29"/>
      <c r="J12" s="29"/>
      <c r="N12" s="8">
        <v>5</v>
      </c>
      <c r="O12" s="29"/>
      <c r="P12" s="29"/>
      <c r="Q12" s="29"/>
      <c r="R12" s="29"/>
      <c r="S12" s="29"/>
      <c r="T12" s="29"/>
      <c r="U12" s="114">
        <f t="shared" si="0"/>
        <v>168</v>
      </c>
      <c r="V12" s="153">
        <f t="shared" si="1"/>
        <v>248.892</v>
      </c>
      <c r="W12" s="41">
        <f t="shared" si="2"/>
        <v>111.99999999999999</v>
      </c>
      <c r="X12" s="29">
        <f t="shared" si="3"/>
        <v>165.928</v>
      </c>
      <c r="Y12" s="41">
        <f t="shared" si="4"/>
        <v>26.845360824742269</v>
      </c>
      <c r="Z12" s="29">
        <f t="shared" si="5"/>
        <v>39.771402061855675</v>
      </c>
      <c r="AA12" s="34">
        <f>+O12+S12+X12</f>
        <v>165.928</v>
      </c>
      <c r="AB12" s="34">
        <f>+P12+T12+Z12</f>
        <v>39.771402061855675</v>
      </c>
      <c r="AC12" s="34"/>
      <c r="AD12" s="34"/>
      <c r="AF12" s="42">
        <f t="shared" si="6"/>
        <v>-1229.3970103092784</v>
      </c>
      <c r="AG12" s="42"/>
      <c r="AH12" s="42"/>
    </row>
    <row r="13" spans="1:34">
      <c r="A13" s="8" t="s">
        <v>215</v>
      </c>
      <c r="B13" s="29">
        <v>230</v>
      </c>
      <c r="C13" s="8">
        <v>8</v>
      </c>
      <c r="F13" s="8" t="s">
        <v>216</v>
      </c>
      <c r="G13" s="29">
        <v>150</v>
      </c>
      <c r="H13" s="29">
        <v>150</v>
      </c>
      <c r="I13" s="29"/>
      <c r="J13" s="29"/>
      <c r="N13" s="8">
        <v>6</v>
      </c>
      <c r="O13" s="29"/>
      <c r="P13" s="29"/>
      <c r="Q13" s="29"/>
      <c r="R13" s="29"/>
      <c r="S13" s="29"/>
      <c r="T13" s="29"/>
      <c r="U13" s="114">
        <f t="shared" si="0"/>
        <v>168</v>
      </c>
      <c r="V13" s="153">
        <f t="shared" si="1"/>
        <v>248.892</v>
      </c>
      <c r="W13" s="41">
        <f t="shared" si="2"/>
        <v>111.99999999999999</v>
      </c>
      <c r="X13" s="29">
        <f t="shared" si="3"/>
        <v>165.928</v>
      </c>
      <c r="Y13" s="41">
        <f t="shared" si="4"/>
        <v>26.845360824742269</v>
      </c>
      <c r="Z13" s="29">
        <f t="shared" si="5"/>
        <v>39.771402061855675</v>
      </c>
      <c r="AA13" s="34">
        <f>+O13+S13+X13</f>
        <v>165.928</v>
      </c>
      <c r="AB13" s="34">
        <f>+P13+T13+Z13</f>
        <v>39.771402061855675</v>
      </c>
      <c r="AC13" s="34"/>
      <c r="AD13" s="34"/>
      <c r="AF13" s="42">
        <f t="shared" si="6"/>
        <v>-1020.276412371134</v>
      </c>
      <c r="AG13" s="42"/>
      <c r="AH13" s="42"/>
    </row>
    <row r="14" spans="1:34">
      <c r="A14" s="8"/>
      <c r="B14" s="46"/>
      <c r="C14" s="8"/>
      <c r="F14" s="8"/>
      <c r="G14" s="29"/>
      <c r="H14" s="29"/>
      <c r="I14" s="29"/>
      <c r="J14" s="29"/>
      <c r="N14" s="8">
        <v>7</v>
      </c>
      <c r="O14" s="29"/>
      <c r="P14" s="29"/>
      <c r="Q14" s="29"/>
      <c r="R14" s="29"/>
      <c r="S14" s="29"/>
      <c r="T14" s="29"/>
      <c r="U14" s="114">
        <f t="shared" si="0"/>
        <v>168</v>
      </c>
      <c r="V14" s="153">
        <f t="shared" si="1"/>
        <v>248.892</v>
      </c>
      <c r="W14" s="41">
        <f t="shared" si="2"/>
        <v>111.99999999999999</v>
      </c>
      <c r="X14" s="29">
        <f t="shared" si="3"/>
        <v>165.928</v>
      </c>
      <c r="Y14" s="41">
        <f t="shared" si="4"/>
        <v>26.845360824742269</v>
      </c>
      <c r="Z14" s="29">
        <f t="shared" si="5"/>
        <v>39.771402061855675</v>
      </c>
      <c r="AA14" s="34">
        <f>+O14+S14+X14</f>
        <v>165.928</v>
      </c>
      <c r="AB14" s="34">
        <f>+P14+T14+Z14</f>
        <v>39.771402061855675</v>
      </c>
      <c r="AC14" s="34"/>
      <c r="AD14" s="34"/>
      <c r="AF14" s="42">
        <f t="shared" si="6"/>
        <v>-811.1558144329897</v>
      </c>
      <c r="AG14" s="42"/>
      <c r="AH14" s="42"/>
    </row>
    <row r="15" spans="1:34">
      <c r="A15" s="8"/>
      <c r="B15" s="46"/>
      <c r="C15" s="8"/>
      <c r="F15" s="8"/>
      <c r="G15" s="29"/>
      <c r="H15" s="29"/>
      <c r="I15" s="29"/>
      <c r="J15" s="29"/>
      <c r="N15" s="8">
        <v>8</v>
      </c>
      <c r="O15" s="29">
        <f>+B13</f>
        <v>230</v>
      </c>
      <c r="P15" s="29"/>
      <c r="Q15" s="29"/>
      <c r="R15" s="29"/>
      <c r="S15" s="29"/>
      <c r="T15" s="29"/>
      <c r="U15" s="114">
        <f t="shared" si="0"/>
        <v>168</v>
      </c>
      <c r="V15" s="153">
        <f t="shared" si="1"/>
        <v>248.892</v>
      </c>
      <c r="W15" s="41">
        <f t="shared" si="2"/>
        <v>111.99999999999999</v>
      </c>
      <c r="X15" s="29">
        <f t="shared" si="3"/>
        <v>165.928</v>
      </c>
      <c r="Y15" s="41">
        <f t="shared" si="4"/>
        <v>26.845360824742269</v>
      </c>
      <c r="Z15" s="29">
        <f t="shared" si="5"/>
        <v>39.771402061855675</v>
      </c>
      <c r="AA15" s="34">
        <f>+O15+S15+X15</f>
        <v>395.928</v>
      </c>
      <c r="AB15" s="34">
        <f>+P15+T15+Z15</f>
        <v>39.771402061855675</v>
      </c>
      <c r="AC15" s="34"/>
      <c r="AD15" s="34"/>
      <c r="AF15" s="42">
        <f t="shared" si="6"/>
        <v>-602.03521649484537</v>
      </c>
      <c r="AG15" s="42"/>
      <c r="AH15" s="42"/>
    </row>
    <row r="16" spans="1:34">
      <c r="A16" s="8"/>
      <c r="B16" s="29"/>
      <c r="C16" s="8"/>
      <c r="F16" s="8"/>
      <c r="G16" s="29"/>
      <c r="H16" s="29"/>
      <c r="I16" s="29"/>
      <c r="J16" s="29"/>
      <c r="N16" s="8">
        <v>9</v>
      </c>
      <c r="O16" s="29"/>
      <c r="P16" s="29"/>
      <c r="Q16" s="29"/>
      <c r="R16" s="29"/>
      <c r="S16" s="29"/>
      <c r="T16" s="29"/>
      <c r="U16" s="114">
        <f t="shared" si="0"/>
        <v>168</v>
      </c>
      <c r="V16" s="153">
        <f t="shared" si="1"/>
        <v>248.892</v>
      </c>
      <c r="W16" s="41">
        <f t="shared" si="2"/>
        <v>111.99999999999999</v>
      </c>
      <c r="X16" s="29">
        <f t="shared" si="3"/>
        <v>165.928</v>
      </c>
      <c r="Y16" s="41">
        <f t="shared" si="4"/>
        <v>26.845360824742269</v>
      </c>
      <c r="Z16" s="29">
        <f t="shared" si="5"/>
        <v>39.771402061855675</v>
      </c>
      <c r="AA16" s="34">
        <f>+O16+S16+X16</f>
        <v>165.928</v>
      </c>
      <c r="AB16" s="34">
        <f>+P16+T16+Z16</f>
        <v>39.771402061855675</v>
      </c>
      <c r="AC16" s="34"/>
      <c r="AD16" s="34"/>
      <c r="AF16" s="42">
        <f t="shared" si="6"/>
        <v>-392.91461855670104</v>
      </c>
      <c r="AG16" s="42"/>
      <c r="AH16" s="42"/>
    </row>
    <row r="17" spans="1:34">
      <c r="A17" s="8"/>
      <c r="B17" s="29"/>
      <c r="C17" s="8"/>
      <c r="G17" s="30"/>
      <c r="H17" s="30"/>
      <c r="I17" s="30"/>
      <c r="J17" s="30"/>
      <c r="N17" s="8">
        <v>10</v>
      </c>
      <c r="O17" s="29"/>
      <c r="P17" s="29"/>
      <c r="Q17" s="29"/>
      <c r="R17" s="29"/>
      <c r="S17" s="29"/>
      <c r="T17" s="29"/>
      <c r="U17" s="114">
        <f t="shared" si="0"/>
        <v>168</v>
      </c>
      <c r="V17" s="153">
        <f t="shared" si="1"/>
        <v>248.892</v>
      </c>
      <c r="W17" s="41">
        <f t="shared" si="2"/>
        <v>111.99999999999999</v>
      </c>
      <c r="X17" s="29">
        <f t="shared" si="3"/>
        <v>165.928</v>
      </c>
      <c r="Y17" s="41">
        <f t="shared" si="4"/>
        <v>26.845360824742269</v>
      </c>
      <c r="Z17" s="29">
        <f t="shared" si="5"/>
        <v>39.771402061855675</v>
      </c>
      <c r="AA17" s="34">
        <f>+O17+S17+X17</f>
        <v>165.928</v>
      </c>
      <c r="AB17" s="34">
        <f>+P17+T17+Z17</f>
        <v>39.771402061855675</v>
      </c>
      <c r="AC17" s="34"/>
      <c r="AD17" s="34"/>
      <c r="AF17" s="42">
        <f t="shared" si="6"/>
        <v>-183.79402061855671</v>
      </c>
      <c r="AG17" s="42"/>
      <c r="AH17" s="42"/>
    </row>
    <row r="18" spans="1:34">
      <c r="A18" s="8"/>
      <c r="B18" s="29"/>
      <c r="C18" s="8"/>
      <c r="F18" s="21" t="s">
        <v>44</v>
      </c>
      <c r="G18" s="31">
        <f>+O28</f>
        <v>230</v>
      </c>
      <c r="H18" s="31">
        <f>+P28</f>
        <v>0</v>
      </c>
      <c r="I18" s="31"/>
      <c r="J18" s="31"/>
      <c r="N18" s="8">
        <v>11</v>
      </c>
      <c r="O18" s="29"/>
      <c r="P18" s="29"/>
      <c r="Q18" s="29"/>
      <c r="R18" s="29"/>
      <c r="S18" s="29"/>
      <c r="T18" s="29"/>
      <c r="U18" s="114">
        <f t="shared" si="0"/>
        <v>168</v>
      </c>
      <c r="V18" s="153">
        <f t="shared" si="1"/>
        <v>248.892</v>
      </c>
      <c r="W18" s="41">
        <f t="shared" si="2"/>
        <v>111.99999999999999</v>
      </c>
      <c r="X18" s="29">
        <f t="shared" si="3"/>
        <v>165.928</v>
      </c>
      <c r="Y18" s="41">
        <f t="shared" si="4"/>
        <v>26.845360824742269</v>
      </c>
      <c r="Z18" s="29">
        <f t="shared" si="5"/>
        <v>39.771402061855675</v>
      </c>
      <c r="AA18" s="34">
        <f>+O18+S18+X18</f>
        <v>165.928</v>
      </c>
      <c r="AB18" s="34">
        <f>+P18+T18+Z18</f>
        <v>39.771402061855675</v>
      </c>
      <c r="AC18" s="34"/>
      <c r="AD18" s="34"/>
      <c r="AF18" s="42">
        <f t="shared" si="6"/>
        <v>25.326577319587614</v>
      </c>
      <c r="AG18" s="42"/>
      <c r="AH18" s="42"/>
    </row>
    <row r="19" spans="1:34">
      <c r="A19" s="8"/>
      <c r="B19" s="29"/>
      <c r="C19" s="8"/>
      <c r="G19" s="30"/>
      <c r="H19" s="30"/>
      <c r="I19" s="30"/>
      <c r="J19" s="30"/>
      <c r="N19" s="8">
        <v>12</v>
      </c>
      <c r="O19" s="29"/>
      <c r="P19" s="29"/>
      <c r="Q19" s="29"/>
      <c r="R19" s="29"/>
      <c r="S19" s="29"/>
      <c r="T19" s="29"/>
      <c r="U19" s="114">
        <f t="shared" si="0"/>
        <v>168</v>
      </c>
      <c r="V19" s="153">
        <f t="shared" si="1"/>
        <v>248.892</v>
      </c>
      <c r="W19" s="41">
        <f t="shared" si="2"/>
        <v>111.99999999999999</v>
      </c>
      <c r="X19" s="29">
        <f t="shared" si="3"/>
        <v>165.928</v>
      </c>
      <c r="Y19" s="41">
        <f t="shared" si="4"/>
        <v>26.845360824742269</v>
      </c>
      <c r="Z19" s="29">
        <f t="shared" si="5"/>
        <v>39.771402061855675</v>
      </c>
      <c r="AA19" s="34">
        <f>+O19+S19+X19</f>
        <v>165.928</v>
      </c>
      <c r="AB19" s="34">
        <f>+P19+T19+Z19</f>
        <v>39.771402061855675</v>
      </c>
      <c r="AC19" s="34"/>
      <c r="AD19" s="34"/>
      <c r="AF19" s="42">
        <f t="shared" si="6"/>
        <v>234.44717525773194</v>
      </c>
      <c r="AG19" s="42"/>
      <c r="AH19" s="42"/>
    </row>
    <row r="20" spans="1:34">
      <c r="A20" s="8"/>
      <c r="B20" s="29"/>
      <c r="C20" s="8"/>
      <c r="F20" s="22" t="s">
        <v>20</v>
      </c>
      <c r="G20" s="32">
        <f>+S28</f>
        <v>0</v>
      </c>
      <c r="H20" s="32">
        <f>+T28</f>
        <v>0</v>
      </c>
      <c r="I20" s="32"/>
      <c r="J20" s="32"/>
      <c r="N20" s="8">
        <v>13</v>
      </c>
      <c r="O20" s="29"/>
      <c r="P20" s="29"/>
      <c r="Q20" s="29"/>
      <c r="R20" s="29"/>
      <c r="S20" s="29"/>
      <c r="T20" s="29"/>
      <c r="U20" s="114">
        <f t="shared" si="0"/>
        <v>168</v>
      </c>
      <c r="V20" s="153">
        <f t="shared" si="1"/>
        <v>248.892</v>
      </c>
      <c r="W20" s="41">
        <f t="shared" si="2"/>
        <v>111.99999999999999</v>
      </c>
      <c r="X20" s="29">
        <f t="shared" si="3"/>
        <v>165.928</v>
      </c>
      <c r="Y20" s="41">
        <f t="shared" si="4"/>
        <v>26.845360824742269</v>
      </c>
      <c r="Z20" s="29">
        <f t="shared" ref="Z20:Z22" si="7">+Y20*$B$8</f>
        <v>39.771402061855675</v>
      </c>
      <c r="AA20" s="34">
        <f t="shared" ref="AA20:AA22" si="8">+O20+S20+X20</f>
        <v>165.928</v>
      </c>
      <c r="AB20" s="34">
        <f t="shared" ref="AB20:AB22" si="9">+P20+T20+Z20</f>
        <v>39.771402061855675</v>
      </c>
      <c r="AC20" s="34"/>
      <c r="AD20" s="34"/>
      <c r="AF20" s="42">
        <f t="shared" si="6"/>
        <v>443.56777319587627</v>
      </c>
      <c r="AG20" s="42"/>
      <c r="AH20" s="42"/>
    </row>
    <row r="21" spans="1:34">
      <c r="A21" s="8"/>
      <c r="B21" s="29"/>
      <c r="C21" s="8"/>
      <c r="G21" s="30"/>
      <c r="H21" s="30"/>
      <c r="I21" s="30"/>
      <c r="J21" s="30"/>
      <c r="N21" s="8">
        <v>14</v>
      </c>
      <c r="O21" s="29"/>
      <c r="P21" s="29"/>
      <c r="Q21" s="29"/>
      <c r="R21" s="29"/>
      <c r="S21" s="29"/>
      <c r="T21" s="29"/>
      <c r="U21" s="114">
        <f t="shared" si="0"/>
        <v>168</v>
      </c>
      <c r="V21" s="153">
        <f t="shared" si="1"/>
        <v>248.892</v>
      </c>
      <c r="W21" s="41">
        <f t="shared" si="2"/>
        <v>111.99999999999999</v>
      </c>
      <c r="X21" s="29">
        <f t="shared" si="3"/>
        <v>165.928</v>
      </c>
      <c r="Y21" s="41">
        <f t="shared" si="4"/>
        <v>26.845360824742269</v>
      </c>
      <c r="Z21" s="29">
        <f t="shared" si="7"/>
        <v>39.771402061855675</v>
      </c>
      <c r="AA21" s="34">
        <f t="shared" si="8"/>
        <v>165.928</v>
      </c>
      <c r="AB21" s="34">
        <f t="shared" si="9"/>
        <v>39.771402061855675</v>
      </c>
      <c r="AC21" s="34"/>
      <c r="AD21" s="34"/>
      <c r="AF21" s="42">
        <f t="shared" si="6"/>
        <v>652.6883711340206</v>
      </c>
      <c r="AG21" s="42"/>
      <c r="AH21" s="42"/>
    </row>
    <row r="22" spans="1:34">
      <c r="A22" s="8"/>
      <c r="B22" s="29"/>
      <c r="C22" s="8"/>
      <c r="F22" s="23" t="s">
        <v>45</v>
      </c>
      <c r="G22" s="33">
        <f>+X28</f>
        <v>2488.9199999999992</v>
      </c>
      <c r="H22" s="33">
        <f>+Z28</f>
        <v>596.57103092783518</v>
      </c>
      <c r="I22" s="33"/>
      <c r="J22" s="33"/>
      <c r="N22" s="8">
        <v>15</v>
      </c>
      <c r="O22" s="29"/>
      <c r="P22" s="29"/>
      <c r="Q22" s="29"/>
      <c r="R22" s="29"/>
      <c r="S22" s="29"/>
      <c r="T22" s="29"/>
      <c r="U22" s="114">
        <f t="shared" si="0"/>
        <v>168</v>
      </c>
      <c r="V22" s="153">
        <f t="shared" si="1"/>
        <v>248.892</v>
      </c>
      <c r="W22" s="41">
        <f t="shared" si="2"/>
        <v>111.99999999999999</v>
      </c>
      <c r="X22" s="29">
        <f t="shared" si="3"/>
        <v>165.928</v>
      </c>
      <c r="Y22" s="41">
        <f t="shared" si="4"/>
        <v>26.845360824742269</v>
      </c>
      <c r="Z22" s="29">
        <f t="shared" si="7"/>
        <v>39.771402061855675</v>
      </c>
      <c r="AA22" s="34">
        <f t="shared" si="8"/>
        <v>165.928</v>
      </c>
      <c r="AB22" s="34">
        <f t="shared" si="9"/>
        <v>39.771402061855675</v>
      </c>
      <c r="AC22" s="34"/>
      <c r="AD22" s="34"/>
      <c r="AF22" s="42">
        <f t="shared" si="6"/>
        <v>861.80896907216493</v>
      </c>
      <c r="AG22" s="42"/>
      <c r="AH22" s="42"/>
    </row>
    <row r="23" spans="1:34">
      <c r="A23" s="8"/>
      <c r="B23" s="29"/>
      <c r="C23" s="8"/>
      <c r="G23" s="30"/>
      <c r="H23" s="30"/>
      <c r="I23" s="30"/>
      <c r="J23" s="30"/>
      <c r="N23" s="8"/>
      <c r="O23" s="29"/>
      <c r="P23" s="29"/>
      <c r="Q23" s="29"/>
      <c r="R23" s="29"/>
      <c r="S23" s="29"/>
      <c r="T23" s="29"/>
      <c r="U23" s="29"/>
      <c r="V23" s="153"/>
      <c r="W23" s="41"/>
      <c r="X23" s="29"/>
      <c r="Y23" s="41"/>
      <c r="Z23" s="29"/>
      <c r="AA23" s="34"/>
      <c r="AB23" s="34"/>
      <c r="AC23" s="34"/>
      <c r="AD23" s="34"/>
      <c r="AF23" s="42"/>
      <c r="AG23" s="42"/>
      <c r="AH23" s="42"/>
    </row>
    <row r="24" spans="1:34">
      <c r="A24" s="8"/>
      <c r="B24" s="29"/>
      <c r="C24" s="8"/>
      <c r="F24" s="24" t="s">
        <v>46</v>
      </c>
      <c r="G24" s="34">
        <v>0</v>
      </c>
      <c r="H24" s="34">
        <v>0</v>
      </c>
      <c r="I24" s="34"/>
      <c r="J24" s="34"/>
      <c r="N24" s="8"/>
      <c r="O24" s="29"/>
      <c r="P24" s="29"/>
      <c r="Q24" s="29"/>
      <c r="R24" s="29"/>
      <c r="S24" s="29"/>
      <c r="T24" s="29"/>
      <c r="U24" s="29"/>
      <c r="V24" s="153"/>
      <c r="W24" s="41"/>
      <c r="X24" s="29"/>
      <c r="Y24" s="41"/>
      <c r="Z24" s="29"/>
      <c r="AA24" s="34"/>
      <c r="AB24" s="34"/>
      <c r="AC24" s="34"/>
      <c r="AD24" s="34"/>
      <c r="AF24" s="42"/>
      <c r="AG24" s="42"/>
      <c r="AH24" s="42"/>
    </row>
    <row r="25" spans="1:34">
      <c r="A25" s="8"/>
      <c r="B25" s="29"/>
      <c r="C25" s="8"/>
      <c r="F25" s="8" t="s">
        <v>47</v>
      </c>
      <c r="G25" s="29"/>
      <c r="H25" s="29"/>
      <c r="I25" s="29"/>
      <c r="J25" s="29"/>
      <c r="N25" s="8"/>
      <c r="O25" s="29"/>
      <c r="P25" s="29"/>
      <c r="Q25" s="29"/>
      <c r="R25" s="29"/>
      <c r="S25" s="29"/>
      <c r="T25" s="29"/>
      <c r="U25" s="29"/>
      <c r="V25" s="153"/>
      <c r="W25" s="41"/>
      <c r="X25" s="29"/>
      <c r="Y25" s="41"/>
      <c r="Z25" s="29"/>
      <c r="AA25" s="34"/>
      <c r="AB25" s="34"/>
      <c r="AC25" s="34"/>
      <c r="AD25" s="34"/>
      <c r="AF25" s="42"/>
      <c r="AG25" s="42"/>
      <c r="AH25" s="42"/>
    </row>
    <row r="26" spans="1:34">
      <c r="F26" s="8" t="s">
        <v>48</v>
      </c>
      <c r="G26" s="29"/>
      <c r="H26" s="29"/>
      <c r="I26" s="29"/>
      <c r="J26" s="29"/>
      <c r="N26" s="8"/>
      <c r="O26" s="29"/>
      <c r="P26" s="29"/>
      <c r="Q26" s="29"/>
      <c r="R26" s="29"/>
      <c r="S26" s="29"/>
      <c r="T26" s="29"/>
      <c r="U26" s="29"/>
      <c r="V26" s="153"/>
      <c r="W26" s="41"/>
      <c r="X26" s="29"/>
      <c r="Y26" s="41"/>
      <c r="Z26" s="29"/>
      <c r="AA26" s="34"/>
      <c r="AB26" s="34"/>
      <c r="AC26" s="34"/>
      <c r="AD26" s="34"/>
      <c r="AF26" s="42"/>
      <c r="AG26" s="42"/>
      <c r="AH26" s="42"/>
    </row>
    <row r="27" spans="1:34">
      <c r="G27" s="35"/>
      <c r="H27" s="35"/>
      <c r="I27" s="35"/>
      <c r="J27" s="35"/>
      <c r="N27" s="8"/>
      <c r="O27" s="29"/>
      <c r="P27" s="29"/>
      <c r="Q27" s="29"/>
      <c r="R27" s="29"/>
      <c r="S27" s="29"/>
      <c r="T27" s="29"/>
      <c r="U27" s="29"/>
      <c r="V27" s="153"/>
      <c r="W27" s="41"/>
      <c r="X27" s="29"/>
      <c r="Y27" s="41"/>
      <c r="Z27" s="29"/>
      <c r="AA27" s="34"/>
      <c r="AB27" s="34"/>
      <c r="AC27" s="34"/>
      <c r="AD27" s="34"/>
      <c r="AF27" s="42"/>
      <c r="AG27" s="42"/>
      <c r="AH27" s="42"/>
    </row>
    <row r="28" spans="1:34" ht="18.75">
      <c r="A28" s="55" t="s">
        <v>59</v>
      </c>
      <c r="B28" s="56"/>
      <c r="C28" s="57"/>
      <c r="F28" s="19" t="s">
        <v>49</v>
      </c>
      <c r="G28" s="29">
        <f>+G24+G22+G20+G18+G10</f>
        <v>3937.9199999999992</v>
      </c>
      <c r="H28" s="29">
        <f t="shared" ref="H28:J28" si="10">+H24+H22+H20+H18+H10</f>
        <v>2871.5710309278352</v>
      </c>
      <c r="I28" s="29">
        <f t="shared" si="10"/>
        <v>0</v>
      </c>
      <c r="J28" s="29">
        <f t="shared" si="10"/>
        <v>0</v>
      </c>
      <c r="N28" s="38" t="s">
        <v>50</v>
      </c>
      <c r="O28" s="29">
        <f>SUM(O8:O27)</f>
        <v>230</v>
      </c>
      <c r="P28" s="29">
        <f t="shared" ref="P28:Z28" si="11">SUM(P8:P27)</f>
        <v>0</v>
      </c>
      <c r="Q28" s="29">
        <f t="shared" si="11"/>
        <v>0</v>
      </c>
      <c r="R28" s="29">
        <f t="shared" si="11"/>
        <v>0</v>
      </c>
      <c r="S28" s="29">
        <f t="shared" si="11"/>
        <v>0</v>
      </c>
      <c r="T28" s="29">
        <f t="shared" si="11"/>
        <v>0</v>
      </c>
      <c r="U28" s="114">
        <f>SUM(U8:U22)</f>
        <v>2520</v>
      </c>
      <c r="V28" s="153">
        <f>SUM(V8:V22)</f>
        <v>3733.3799999999992</v>
      </c>
      <c r="W28" s="41">
        <f t="shared" si="11"/>
        <v>1679.9999999999998</v>
      </c>
      <c r="X28" s="29">
        <f t="shared" si="11"/>
        <v>2488.9199999999992</v>
      </c>
      <c r="Y28" s="41">
        <f t="shared" si="11"/>
        <v>402.68041237113403</v>
      </c>
      <c r="Z28" s="29">
        <f t="shared" si="11"/>
        <v>596.57103092783518</v>
      </c>
      <c r="AA28" s="35"/>
      <c r="AB28" s="40"/>
    </row>
    <row r="29" spans="1:34" ht="30.75">
      <c r="A29" s="71" t="s">
        <v>217</v>
      </c>
      <c r="B29" s="58">
        <v>0.93</v>
      </c>
      <c r="C29" s="8" t="s">
        <v>218</v>
      </c>
    </row>
    <row r="30" spans="1:34" ht="30.75">
      <c r="A30" s="71" t="s">
        <v>219</v>
      </c>
      <c r="B30" s="8">
        <v>3.88</v>
      </c>
      <c r="C30" s="8" t="s">
        <v>218</v>
      </c>
    </row>
    <row r="31" spans="1:34">
      <c r="A31" s="8"/>
      <c r="B31" s="58"/>
      <c r="C31" s="8"/>
    </row>
    <row r="32" spans="1:34">
      <c r="A32" s="8" t="s">
        <v>220</v>
      </c>
      <c r="B32" s="8">
        <v>0.62</v>
      </c>
      <c r="C32" s="8" t="s">
        <v>218</v>
      </c>
    </row>
    <row r="33" spans="1:10" ht="30.75">
      <c r="A33" s="71" t="s">
        <v>221</v>
      </c>
      <c r="B33" s="8">
        <f>14*12</f>
        <v>168</v>
      </c>
      <c r="C33" s="8" t="s">
        <v>64</v>
      </c>
      <c r="F33" s="126" t="s">
        <v>51</v>
      </c>
      <c r="G33" s="127"/>
      <c r="H33" s="127"/>
      <c r="I33" s="127"/>
      <c r="J33" s="127"/>
    </row>
    <row r="34" spans="1:10">
      <c r="A34" s="8"/>
      <c r="B34" s="46"/>
      <c r="C34" s="8"/>
    </row>
    <row r="35" spans="1:10">
      <c r="A35" s="8" t="s">
        <v>222</v>
      </c>
      <c r="B35" s="46">
        <f>B33*B32</f>
        <v>104.16</v>
      </c>
      <c r="C35" s="8" t="s">
        <v>161</v>
      </c>
      <c r="G35" s="26" t="str">
        <f>+G9</f>
        <v>50-Gallon Tank</v>
      </c>
      <c r="H35" s="26" t="str">
        <f>+H9</f>
        <v>50-Gallon Heat Pump</v>
      </c>
      <c r="I35" s="26" t="str">
        <f>+I9</f>
        <v>Option 3</v>
      </c>
      <c r="J35" s="26" t="str">
        <f>+J9</f>
        <v>Option 4</v>
      </c>
    </row>
    <row r="36" spans="1:10">
      <c r="A36" s="8" t="s">
        <v>223</v>
      </c>
      <c r="B36" s="58">
        <f>$B$35/B29</f>
        <v>111.99999999999999</v>
      </c>
      <c r="C36" s="8" t="s">
        <v>161</v>
      </c>
      <c r="F36" s="20" t="s">
        <v>34</v>
      </c>
      <c r="G36" s="28">
        <f>+G10</f>
        <v>1219</v>
      </c>
      <c r="H36" s="28">
        <f t="shared" ref="H36:J36" si="12">+H10</f>
        <v>2275</v>
      </c>
      <c r="I36" s="28">
        <f t="shared" si="12"/>
        <v>0</v>
      </c>
      <c r="J36" s="28">
        <f t="shared" si="12"/>
        <v>0</v>
      </c>
    </row>
    <row r="37" spans="1:10" ht="30.75">
      <c r="A37" s="72" t="s">
        <v>224</v>
      </c>
      <c r="B37" s="58">
        <f>$B$35/B30</f>
        <v>26.845360824742269</v>
      </c>
      <c r="C37" s="8" t="s">
        <v>161</v>
      </c>
      <c r="F37" s="8" t="s">
        <v>35</v>
      </c>
      <c r="G37" s="29"/>
      <c r="H37" s="29"/>
      <c r="I37" s="29"/>
      <c r="J37" s="29"/>
    </row>
    <row r="38" spans="1:10">
      <c r="A38" s="8"/>
      <c r="B38" s="64"/>
      <c r="C38" s="8"/>
      <c r="F38" s="8" t="s">
        <v>39</v>
      </c>
      <c r="G38" s="29"/>
      <c r="H38" s="29"/>
      <c r="I38" s="29"/>
      <c r="J38" s="29"/>
    </row>
    <row r="39" spans="1:10">
      <c r="A39" s="8" t="s">
        <v>225</v>
      </c>
      <c r="B39" s="76">
        <f>+B35*29.3</f>
        <v>3051.8879999999999</v>
      </c>
      <c r="C39" s="8" t="s">
        <v>198</v>
      </c>
      <c r="F39" s="8" t="s">
        <v>40</v>
      </c>
      <c r="G39" s="29"/>
      <c r="H39" s="29"/>
      <c r="I39" s="29"/>
      <c r="J39" s="29"/>
    </row>
    <row r="40" spans="1:10">
      <c r="A40" s="8" t="s">
        <v>226</v>
      </c>
      <c r="B40" s="76">
        <f>B39/B29</f>
        <v>3281.6</v>
      </c>
      <c r="C40" s="8" t="s">
        <v>133</v>
      </c>
      <c r="F40" s="8" t="s">
        <v>41</v>
      </c>
      <c r="G40" s="29"/>
      <c r="H40" s="29"/>
      <c r="I40" s="29"/>
      <c r="J40" s="29"/>
    </row>
    <row r="41" spans="1:10" ht="30.75">
      <c r="A41" s="71" t="s">
        <v>224</v>
      </c>
      <c r="B41" s="76">
        <f>+B39/B30</f>
        <v>786.56907216494847</v>
      </c>
      <c r="C41" s="8" t="s">
        <v>133</v>
      </c>
      <c r="F41" s="8" t="s">
        <v>42</v>
      </c>
      <c r="G41" s="29"/>
      <c r="H41" s="29"/>
      <c r="I41" s="29"/>
      <c r="J41" s="29"/>
    </row>
    <row r="42" spans="1:10">
      <c r="A42" s="8"/>
      <c r="B42" s="65"/>
      <c r="C42" s="8"/>
      <c r="F42" s="8" t="s">
        <v>43</v>
      </c>
      <c r="G42" s="29"/>
      <c r="H42" s="29"/>
      <c r="I42" s="29"/>
      <c r="J42" s="29"/>
    </row>
    <row r="43" spans="1:10">
      <c r="A43" s="8"/>
      <c r="B43" s="65"/>
      <c r="C43" s="8"/>
      <c r="G43" s="30"/>
      <c r="H43" s="30"/>
      <c r="I43" s="30"/>
      <c r="J43" s="30"/>
    </row>
    <row r="44" spans="1:10">
      <c r="A44" s="8"/>
      <c r="B44" s="8"/>
      <c r="C44" s="8"/>
      <c r="F44" s="21" t="s">
        <v>44</v>
      </c>
      <c r="G44" s="31"/>
      <c r="H44" s="31"/>
      <c r="I44" s="31"/>
      <c r="J44" s="31"/>
    </row>
    <row r="45" spans="1:10">
      <c r="A45" s="8"/>
      <c r="B45" s="67"/>
      <c r="C45" s="8"/>
      <c r="G45" s="30"/>
      <c r="H45" s="30"/>
      <c r="I45" s="30"/>
      <c r="J45" s="30"/>
    </row>
    <row r="46" spans="1:10">
      <c r="A46" s="8"/>
      <c r="B46" s="67"/>
      <c r="C46" s="8"/>
      <c r="F46" s="22" t="s">
        <v>20</v>
      </c>
      <c r="G46" s="32"/>
      <c r="H46" s="32"/>
      <c r="I46" s="32"/>
      <c r="J46" s="32"/>
    </row>
    <row r="47" spans="1:10">
      <c r="A47" s="8"/>
      <c r="B47" s="67"/>
      <c r="C47" s="8"/>
      <c r="G47" s="30"/>
      <c r="H47" s="30"/>
      <c r="I47" s="30"/>
      <c r="J47" s="30"/>
    </row>
    <row r="48" spans="1:10">
      <c r="A48" s="8"/>
      <c r="B48" s="8"/>
      <c r="C48" s="8"/>
      <c r="F48" s="23" t="s">
        <v>45</v>
      </c>
      <c r="G48" s="33"/>
      <c r="H48" s="33"/>
      <c r="I48" s="33"/>
      <c r="J48" s="33"/>
    </row>
    <row r="49" spans="1:10">
      <c r="A49" s="8"/>
      <c r="B49" s="8"/>
      <c r="C49" s="8"/>
      <c r="G49" s="30"/>
      <c r="H49" s="30"/>
      <c r="I49" s="30"/>
      <c r="J49" s="30"/>
    </row>
    <row r="50" spans="1:10">
      <c r="A50" s="8"/>
      <c r="B50" s="8"/>
      <c r="C50" s="8"/>
      <c r="F50" s="24" t="s">
        <v>46</v>
      </c>
      <c r="G50" s="34"/>
      <c r="H50" s="34"/>
      <c r="I50" s="34"/>
      <c r="J50" s="34"/>
    </row>
    <row r="51" spans="1:10">
      <c r="A51" s="8"/>
      <c r="B51" s="8"/>
      <c r="C51" s="8"/>
      <c r="F51" s="8" t="s">
        <v>47</v>
      </c>
      <c r="G51" s="29"/>
      <c r="H51" s="29"/>
      <c r="I51" s="29"/>
      <c r="J51" s="29"/>
    </row>
    <row r="52" spans="1:10">
      <c r="A52" s="8"/>
      <c r="B52" s="8"/>
      <c r="C52" s="8"/>
      <c r="F52" s="8" t="s">
        <v>48</v>
      </c>
      <c r="G52" s="29"/>
      <c r="H52" s="29"/>
      <c r="I52" s="29"/>
      <c r="J52" s="29"/>
    </row>
    <row r="53" spans="1:10">
      <c r="A53" s="8"/>
      <c r="B53" s="8"/>
      <c r="C53" s="8"/>
      <c r="G53" s="35"/>
      <c r="H53" s="35"/>
      <c r="I53" s="35"/>
      <c r="J53" s="35"/>
    </row>
    <row r="54" spans="1:10">
      <c r="A54" s="8"/>
      <c r="B54" s="8"/>
      <c r="C54" s="8"/>
      <c r="F54" s="19" t="s">
        <v>49</v>
      </c>
      <c r="G54" s="29">
        <f>+G50+G48+G46+G44+G36</f>
        <v>1219</v>
      </c>
      <c r="H54" s="29">
        <f t="shared" ref="H54:J54" si="13">+H50+H48+H46+H44+H36</f>
        <v>2275</v>
      </c>
      <c r="I54" s="29">
        <f t="shared" si="13"/>
        <v>0</v>
      </c>
      <c r="J54" s="29">
        <f t="shared" si="13"/>
        <v>0</v>
      </c>
    </row>
    <row r="55" spans="1:10">
      <c r="A55" s="8"/>
      <c r="B55" s="8"/>
      <c r="C55" s="8"/>
    </row>
  </sheetData>
  <mergeCells count="11">
    <mergeCell ref="AF6:AH6"/>
    <mergeCell ref="F7:J7"/>
    <mergeCell ref="F33:J33"/>
    <mergeCell ref="O5:R6"/>
    <mergeCell ref="S5:T6"/>
    <mergeCell ref="W5:Z5"/>
    <mergeCell ref="AA5:AD5"/>
    <mergeCell ref="W6:X6"/>
    <mergeCell ref="Y6:Z6"/>
    <mergeCell ref="AA6:AD6"/>
    <mergeCell ref="U6:V6"/>
  </mergeCell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B4F3-BD3C-4DB6-8C55-A825697B4E50}">
  <dimension ref="A2:AL54"/>
  <sheetViews>
    <sheetView zoomScale="78" zoomScaleNormal="78" workbookViewId="0">
      <selection activeCell="D10" sqref="D10"/>
    </sheetView>
  </sheetViews>
  <sheetFormatPr defaultRowHeight="15"/>
  <cols>
    <col min="1" max="1" width="31.42578125" customWidth="1"/>
    <col min="2" max="2" width="11.42578125" customWidth="1"/>
    <col min="3" max="5" width="11.140625" customWidth="1"/>
    <col min="6" max="6" width="32.85546875" customWidth="1"/>
    <col min="7" max="7" width="14.28515625" customWidth="1"/>
    <col min="8" max="8" width="13.85546875" customWidth="1"/>
    <col min="9" max="10" width="13.5703125" customWidth="1"/>
    <col min="15" max="32" width="13.7109375" customWidth="1"/>
    <col min="33" max="33" width="13" customWidth="1"/>
    <col min="34" max="34" width="13.5703125" customWidth="1"/>
    <col min="35" max="35" width="6.140625" customWidth="1"/>
    <col min="36" max="38" width="13.7109375" customWidth="1"/>
  </cols>
  <sheetData>
    <row r="2" spans="1:38">
      <c r="O2" s="27" t="s">
        <v>13</v>
      </c>
    </row>
    <row r="3" spans="1:38">
      <c r="P3" s="27"/>
      <c r="Q3" s="27"/>
    </row>
    <row r="4" spans="1:38" ht="21">
      <c r="A4" s="25" t="s">
        <v>14</v>
      </c>
      <c r="F4" s="27" t="s">
        <v>15</v>
      </c>
      <c r="O4" s="39" t="s">
        <v>16</v>
      </c>
    </row>
    <row r="5" spans="1:38" ht="21" customHeight="1">
      <c r="A5" s="19" t="s">
        <v>17</v>
      </c>
      <c r="B5" s="8"/>
      <c r="F5" s="27" t="s">
        <v>18</v>
      </c>
      <c r="O5" s="119" t="s">
        <v>19</v>
      </c>
      <c r="P5" s="119"/>
      <c r="Q5" s="119"/>
      <c r="R5" s="119"/>
      <c r="S5" s="118" t="s">
        <v>20</v>
      </c>
      <c r="T5" s="118"/>
      <c r="U5" s="118"/>
      <c r="V5" s="118"/>
      <c r="W5" s="117" t="s">
        <v>21</v>
      </c>
      <c r="X5" s="117"/>
      <c r="Y5" s="117"/>
      <c r="Z5" s="117"/>
      <c r="AA5" s="117"/>
      <c r="AB5" s="117"/>
      <c r="AC5" s="117"/>
      <c r="AD5" s="117"/>
      <c r="AE5" s="120"/>
      <c r="AF5" s="121"/>
      <c r="AG5" s="121"/>
      <c r="AH5" s="121"/>
    </row>
    <row r="6" spans="1:38" ht="24.75" customHeight="1">
      <c r="A6" s="19" t="s">
        <v>22</v>
      </c>
      <c r="B6" s="11">
        <f>+'Energy Information'!$B$6</f>
        <v>0.11</v>
      </c>
      <c r="O6" s="119"/>
      <c r="P6" s="119"/>
      <c r="Q6" s="119"/>
      <c r="R6" s="119"/>
      <c r="S6" s="118"/>
      <c r="T6" s="118"/>
      <c r="U6" s="118"/>
      <c r="V6" s="118"/>
      <c r="W6" s="124" t="s">
        <v>23</v>
      </c>
      <c r="X6" s="125"/>
      <c r="Y6" s="124" t="s">
        <v>24</v>
      </c>
      <c r="Z6" s="125"/>
      <c r="AA6" s="128" t="s">
        <v>25</v>
      </c>
      <c r="AB6" s="129"/>
      <c r="AC6" s="124" t="s">
        <v>26</v>
      </c>
      <c r="AD6" s="125"/>
      <c r="AE6" s="122" t="s">
        <v>27</v>
      </c>
      <c r="AF6" s="122"/>
      <c r="AG6" s="122"/>
      <c r="AH6" s="122"/>
      <c r="AJ6" s="123" t="s">
        <v>28</v>
      </c>
      <c r="AK6" s="123"/>
      <c r="AL6" s="123"/>
    </row>
    <row r="7" spans="1:38" ht="18.75" customHeight="1">
      <c r="A7" s="19" t="s">
        <v>5</v>
      </c>
      <c r="B7" s="12">
        <f>+'Energy Information'!$B$7</f>
        <v>0</v>
      </c>
      <c r="F7" s="126" t="s">
        <v>29</v>
      </c>
      <c r="G7" s="127"/>
      <c r="H7" s="127"/>
      <c r="I7" s="127"/>
      <c r="J7" s="127"/>
      <c r="N7" s="19" t="s">
        <v>30</v>
      </c>
      <c r="O7" s="26" t="s">
        <v>23</v>
      </c>
      <c r="P7" s="26" t="s">
        <v>24</v>
      </c>
      <c r="Q7" s="26" t="s">
        <v>25</v>
      </c>
      <c r="R7" s="26" t="s">
        <v>26</v>
      </c>
      <c r="S7" s="26" t="s">
        <v>23</v>
      </c>
      <c r="T7" s="26" t="s">
        <v>24</v>
      </c>
      <c r="U7" s="26" t="s">
        <v>25</v>
      </c>
      <c r="V7" s="26" t="s">
        <v>26</v>
      </c>
      <c r="W7" s="26" t="s">
        <v>31</v>
      </c>
      <c r="X7" s="26" t="s">
        <v>32</v>
      </c>
      <c r="Y7" s="26" t="s">
        <v>31</v>
      </c>
      <c r="Z7" s="26" t="s">
        <v>32</v>
      </c>
      <c r="AA7" s="26" t="s">
        <v>31</v>
      </c>
      <c r="AB7" s="26" t="s">
        <v>32</v>
      </c>
      <c r="AC7" s="26" t="s">
        <v>31</v>
      </c>
      <c r="AD7" s="26" t="s">
        <v>32</v>
      </c>
      <c r="AE7" s="26" t="s">
        <v>23</v>
      </c>
      <c r="AF7" s="26" t="s">
        <v>24</v>
      </c>
      <c r="AG7" s="26" t="s">
        <v>25</v>
      </c>
      <c r="AH7" s="26" t="s">
        <v>26</v>
      </c>
      <c r="AJ7" s="26" t="s">
        <v>24</v>
      </c>
      <c r="AK7" s="26" t="s">
        <v>25</v>
      </c>
      <c r="AL7" s="26" t="s">
        <v>26</v>
      </c>
    </row>
    <row r="8" spans="1:38">
      <c r="A8" s="19" t="s">
        <v>33</v>
      </c>
      <c r="B8" s="13">
        <f>+'Energy Information'!$B$12</f>
        <v>1.4815</v>
      </c>
      <c r="N8" s="8">
        <v>1</v>
      </c>
      <c r="O8" s="29"/>
      <c r="P8" s="29"/>
      <c r="Q8" s="29"/>
      <c r="R8" s="29"/>
      <c r="S8" s="29"/>
      <c r="T8" s="29"/>
      <c r="U8" s="29"/>
      <c r="V8" s="29"/>
      <c r="W8" s="41"/>
      <c r="X8" s="29"/>
      <c r="Y8" s="41"/>
      <c r="Z8" s="29"/>
      <c r="AA8" s="41"/>
      <c r="AB8" s="29"/>
      <c r="AC8" s="41"/>
      <c r="AD8" s="29"/>
      <c r="AE8" s="34">
        <f>+O8+S8+X8</f>
        <v>0</v>
      </c>
      <c r="AF8" s="34">
        <f t="shared" ref="AF8:AF27" si="0">+P8+T8+Y8</f>
        <v>0</v>
      </c>
      <c r="AG8" s="34">
        <f t="shared" ref="AG8:AG27" si="1">+Q8+U8+Z8</f>
        <v>0</v>
      </c>
      <c r="AH8" s="34">
        <f t="shared" ref="AH8:AH27" si="2">+R8+V8+AA8</f>
        <v>0</v>
      </c>
      <c r="AJ8" s="42">
        <f>+(H10-$G$10)-(AF8-$AE$8)</f>
        <v>0</v>
      </c>
      <c r="AK8" s="42">
        <f t="shared" ref="AK8:AL8" si="3">+(I10-$G$10)-(AG8-$AE$8)</f>
        <v>0</v>
      </c>
      <c r="AL8" s="42">
        <f t="shared" si="3"/>
        <v>0</v>
      </c>
    </row>
    <row r="9" spans="1:38">
      <c r="A9" s="19" t="s">
        <v>10</v>
      </c>
      <c r="B9" s="14">
        <f>+'Energy Information'!$B$13</f>
        <v>0</v>
      </c>
      <c r="G9" s="26" t="s">
        <v>23</v>
      </c>
      <c r="H9" s="26" t="s">
        <v>24</v>
      </c>
      <c r="I9" s="26" t="s">
        <v>25</v>
      </c>
      <c r="J9" s="26" t="s">
        <v>26</v>
      </c>
      <c r="N9" s="8">
        <v>2</v>
      </c>
      <c r="O9" s="29"/>
      <c r="P9" s="29"/>
      <c r="Q9" s="29"/>
      <c r="R9" s="29"/>
      <c r="S9" s="29"/>
      <c r="T9" s="29"/>
      <c r="U9" s="29"/>
      <c r="V9" s="29"/>
      <c r="W9" s="41"/>
      <c r="X9" s="29"/>
      <c r="Y9" s="41"/>
      <c r="Z9" s="29"/>
      <c r="AA9" s="41"/>
      <c r="AB9" s="29"/>
      <c r="AC9" s="41"/>
      <c r="AD9" s="29"/>
      <c r="AE9" s="34">
        <f t="shared" ref="AE9:AE27" si="4">+O9+S9+X9</f>
        <v>0</v>
      </c>
      <c r="AF9" s="34">
        <f t="shared" si="0"/>
        <v>0</v>
      </c>
      <c r="AG9" s="34">
        <f t="shared" si="1"/>
        <v>0</v>
      </c>
      <c r="AH9" s="34">
        <f t="shared" si="2"/>
        <v>0</v>
      </c>
      <c r="AJ9" s="42">
        <f>+AJ8-(AF9-$AE9)</f>
        <v>0</v>
      </c>
      <c r="AK9" s="42">
        <f t="shared" ref="AK9:AK27" si="5">+AK8-(AG9-$AE9)</f>
        <v>0</v>
      </c>
      <c r="AL9" s="42">
        <f t="shared" ref="AL9:AL27" si="6">+AL8-(AH9-$AE9)</f>
        <v>0</v>
      </c>
    </row>
    <row r="10" spans="1:38">
      <c r="F10" s="20" t="s">
        <v>34</v>
      </c>
      <c r="G10" s="28"/>
      <c r="H10" s="28"/>
      <c r="I10" s="28"/>
      <c r="J10" s="28"/>
      <c r="N10" s="8">
        <v>3</v>
      </c>
      <c r="O10" s="29"/>
      <c r="P10" s="29"/>
      <c r="Q10" s="29"/>
      <c r="R10" s="29"/>
      <c r="S10" s="29"/>
      <c r="T10" s="29"/>
      <c r="U10" s="29"/>
      <c r="V10" s="29"/>
      <c r="W10" s="41"/>
      <c r="X10" s="29"/>
      <c r="Y10" s="41"/>
      <c r="Z10" s="29"/>
      <c r="AA10" s="41"/>
      <c r="AB10" s="29"/>
      <c r="AC10" s="41"/>
      <c r="AD10" s="29"/>
      <c r="AE10" s="34">
        <f t="shared" si="4"/>
        <v>0</v>
      </c>
      <c r="AF10" s="34">
        <f t="shared" si="0"/>
        <v>0</v>
      </c>
      <c r="AG10" s="34">
        <f t="shared" si="1"/>
        <v>0</v>
      </c>
      <c r="AH10" s="34">
        <f t="shared" si="2"/>
        <v>0</v>
      </c>
      <c r="AJ10" s="42">
        <f t="shared" ref="AJ10:AJ27" si="7">+AJ9-(AF10-$AE10)</f>
        <v>0</v>
      </c>
      <c r="AK10" s="42">
        <f t="shared" si="5"/>
        <v>0</v>
      </c>
      <c r="AL10" s="42">
        <f t="shared" si="6"/>
        <v>0</v>
      </c>
    </row>
    <row r="11" spans="1:38">
      <c r="F11" s="8" t="s">
        <v>35</v>
      </c>
      <c r="G11" s="29"/>
      <c r="H11" s="29"/>
      <c r="I11" s="29"/>
      <c r="J11" s="29"/>
      <c r="N11" s="8">
        <v>4</v>
      </c>
      <c r="O11" s="29"/>
      <c r="P11" s="29"/>
      <c r="Q11" s="29"/>
      <c r="R11" s="29"/>
      <c r="S11" s="29"/>
      <c r="T11" s="29"/>
      <c r="U11" s="29"/>
      <c r="V11" s="29"/>
      <c r="W11" s="41"/>
      <c r="X11" s="29"/>
      <c r="Y11" s="41"/>
      <c r="Z11" s="29"/>
      <c r="AA11" s="41"/>
      <c r="AB11" s="29"/>
      <c r="AC11" s="41"/>
      <c r="AD11" s="29"/>
      <c r="AE11" s="34">
        <f t="shared" si="4"/>
        <v>0</v>
      </c>
      <c r="AF11" s="34">
        <f t="shared" si="0"/>
        <v>0</v>
      </c>
      <c r="AG11" s="34">
        <f t="shared" si="1"/>
        <v>0</v>
      </c>
      <c r="AH11" s="34">
        <f t="shared" si="2"/>
        <v>0</v>
      </c>
      <c r="AJ11" s="42">
        <f t="shared" si="7"/>
        <v>0</v>
      </c>
      <c r="AK11" s="42">
        <f t="shared" si="5"/>
        <v>0</v>
      </c>
      <c r="AL11" s="42">
        <f t="shared" si="6"/>
        <v>0</v>
      </c>
    </row>
    <row r="12" spans="1:38" ht="18.75">
      <c r="A12" s="36" t="s">
        <v>36</v>
      </c>
      <c r="B12" s="37" t="s">
        <v>37</v>
      </c>
      <c r="C12" s="26" t="s">
        <v>38</v>
      </c>
      <c r="F12" s="8" t="s">
        <v>39</v>
      </c>
      <c r="G12" s="29"/>
      <c r="H12" s="29"/>
      <c r="I12" s="29"/>
      <c r="J12" s="29"/>
      <c r="N12" s="8">
        <v>5</v>
      </c>
      <c r="O12" s="29"/>
      <c r="P12" s="29"/>
      <c r="Q12" s="29"/>
      <c r="R12" s="29"/>
      <c r="S12" s="29"/>
      <c r="T12" s="29"/>
      <c r="U12" s="29"/>
      <c r="V12" s="29"/>
      <c r="W12" s="41"/>
      <c r="X12" s="29"/>
      <c r="Y12" s="41"/>
      <c r="Z12" s="29"/>
      <c r="AA12" s="41"/>
      <c r="AB12" s="29"/>
      <c r="AC12" s="41"/>
      <c r="AD12" s="29"/>
      <c r="AE12" s="34">
        <f t="shared" si="4"/>
        <v>0</v>
      </c>
      <c r="AF12" s="34">
        <f t="shared" si="0"/>
        <v>0</v>
      </c>
      <c r="AG12" s="34">
        <f t="shared" si="1"/>
        <v>0</v>
      </c>
      <c r="AH12" s="34">
        <f t="shared" si="2"/>
        <v>0</v>
      </c>
      <c r="AJ12" s="42">
        <f t="shared" si="7"/>
        <v>0</v>
      </c>
      <c r="AK12" s="42">
        <f t="shared" si="5"/>
        <v>0</v>
      </c>
      <c r="AL12" s="42">
        <f t="shared" si="6"/>
        <v>0</v>
      </c>
    </row>
    <row r="13" spans="1:38">
      <c r="A13" s="8"/>
      <c r="B13" s="29"/>
      <c r="C13" s="8"/>
      <c r="F13" s="8" t="s">
        <v>40</v>
      </c>
      <c r="G13" s="29"/>
      <c r="H13" s="29"/>
      <c r="I13" s="29"/>
      <c r="J13" s="29"/>
      <c r="N13" s="8">
        <v>6</v>
      </c>
      <c r="O13" s="29"/>
      <c r="P13" s="29"/>
      <c r="Q13" s="29"/>
      <c r="R13" s="29"/>
      <c r="S13" s="29"/>
      <c r="T13" s="29"/>
      <c r="U13" s="29"/>
      <c r="V13" s="29"/>
      <c r="W13" s="41"/>
      <c r="X13" s="29"/>
      <c r="Y13" s="41"/>
      <c r="Z13" s="29"/>
      <c r="AA13" s="41"/>
      <c r="AB13" s="29"/>
      <c r="AC13" s="41"/>
      <c r="AD13" s="29"/>
      <c r="AE13" s="34">
        <f t="shared" si="4"/>
        <v>0</v>
      </c>
      <c r="AF13" s="34">
        <f t="shared" si="0"/>
        <v>0</v>
      </c>
      <c r="AG13" s="34">
        <f t="shared" si="1"/>
        <v>0</v>
      </c>
      <c r="AH13" s="34">
        <f t="shared" si="2"/>
        <v>0</v>
      </c>
      <c r="AJ13" s="42">
        <f t="shared" si="7"/>
        <v>0</v>
      </c>
      <c r="AK13" s="42">
        <f t="shared" si="5"/>
        <v>0</v>
      </c>
      <c r="AL13" s="42">
        <f t="shared" si="6"/>
        <v>0</v>
      </c>
    </row>
    <row r="14" spans="1:38">
      <c r="A14" s="8"/>
      <c r="B14" s="29"/>
      <c r="C14" s="8"/>
      <c r="F14" s="8" t="s">
        <v>41</v>
      </c>
      <c r="G14" s="29"/>
      <c r="H14" s="29"/>
      <c r="I14" s="29"/>
      <c r="J14" s="29"/>
      <c r="N14" s="8">
        <v>7</v>
      </c>
      <c r="O14" s="29"/>
      <c r="P14" s="29"/>
      <c r="Q14" s="29"/>
      <c r="R14" s="29"/>
      <c r="S14" s="29"/>
      <c r="T14" s="29"/>
      <c r="U14" s="29"/>
      <c r="V14" s="29"/>
      <c r="W14" s="41"/>
      <c r="X14" s="29"/>
      <c r="Y14" s="41"/>
      <c r="Z14" s="29"/>
      <c r="AA14" s="41"/>
      <c r="AB14" s="29"/>
      <c r="AC14" s="41"/>
      <c r="AD14" s="29"/>
      <c r="AE14" s="34">
        <f t="shared" si="4"/>
        <v>0</v>
      </c>
      <c r="AF14" s="34">
        <f t="shared" si="0"/>
        <v>0</v>
      </c>
      <c r="AG14" s="34">
        <f t="shared" si="1"/>
        <v>0</v>
      </c>
      <c r="AH14" s="34">
        <f t="shared" si="2"/>
        <v>0</v>
      </c>
      <c r="AJ14" s="42">
        <f t="shared" si="7"/>
        <v>0</v>
      </c>
      <c r="AK14" s="42">
        <f t="shared" si="5"/>
        <v>0</v>
      </c>
      <c r="AL14" s="42">
        <f t="shared" si="6"/>
        <v>0</v>
      </c>
    </row>
    <row r="15" spans="1:38">
      <c r="A15" s="8"/>
      <c r="B15" s="29"/>
      <c r="C15" s="8"/>
      <c r="F15" s="8" t="s">
        <v>42</v>
      </c>
      <c r="G15" s="29"/>
      <c r="H15" s="29"/>
      <c r="I15" s="29"/>
      <c r="J15" s="29"/>
      <c r="N15" s="8">
        <v>8</v>
      </c>
      <c r="O15" s="29"/>
      <c r="P15" s="29"/>
      <c r="Q15" s="29"/>
      <c r="R15" s="29"/>
      <c r="S15" s="29"/>
      <c r="T15" s="29"/>
      <c r="U15" s="29"/>
      <c r="V15" s="29"/>
      <c r="W15" s="41"/>
      <c r="X15" s="29"/>
      <c r="Y15" s="41"/>
      <c r="Z15" s="29"/>
      <c r="AA15" s="41"/>
      <c r="AB15" s="29"/>
      <c r="AC15" s="41"/>
      <c r="AD15" s="29"/>
      <c r="AE15" s="34">
        <f t="shared" si="4"/>
        <v>0</v>
      </c>
      <c r="AF15" s="34">
        <f t="shared" si="0"/>
        <v>0</v>
      </c>
      <c r="AG15" s="34">
        <f t="shared" si="1"/>
        <v>0</v>
      </c>
      <c r="AH15" s="34">
        <f t="shared" si="2"/>
        <v>0</v>
      </c>
      <c r="AJ15" s="42">
        <f t="shared" si="7"/>
        <v>0</v>
      </c>
      <c r="AK15" s="42">
        <f t="shared" si="5"/>
        <v>0</v>
      </c>
      <c r="AL15" s="42">
        <f t="shared" si="6"/>
        <v>0</v>
      </c>
    </row>
    <row r="16" spans="1:38">
      <c r="A16" s="8"/>
      <c r="B16" s="29"/>
      <c r="C16" s="8"/>
      <c r="F16" s="8" t="s">
        <v>43</v>
      </c>
      <c r="G16" s="29"/>
      <c r="H16" s="29"/>
      <c r="I16" s="29"/>
      <c r="J16" s="29"/>
      <c r="N16" s="8">
        <v>9</v>
      </c>
      <c r="O16" s="29"/>
      <c r="P16" s="29"/>
      <c r="Q16" s="29"/>
      <c r="R16" s="29"/>
      <c r="S16" s="29"/>
      <c r="T16" s="29"/>
      <c r="U16" s="29"/>
      <c r="V16" s="29"/>
      <c r="W16" s="41"/>
      <c r="X16" s="29"/>
      <c r="Y16" s="41"/>
      <c r="Z16" s="29"/>
      <c r="AA16" s="41"/>
      <c r="AB16" s="29"/>
      <c r="AC16" s="41"/>
      <c r="AD16" s="29"/>
      <c r="AE16" s="34">
        <f t="shared" si="4"/>
        <v>0</v>
      </c>
      <c r="AF16" s="34">
        <f t="shared" si="0"/>
        <v>0</v>
      </c>
      <c r="AG16" s="34">
        <f t="shared" si="1"/>
        <v>0</v>
      </c>
      <c r="AH16" s="34">
        <f t="shared" si="2"/>
        <v>0</v>
      </c>
      <c r="AJ16" s="42">
        <f t="shared" si="7"/>
        <v>0</v>
      </c>
      <c r="AK16" s="42">
        <f t="shared" si="5"/>
        <v>0</v>
      </c>
      <c r="AL16" s="42">
        <f t="shared" si="6"/>
        <v>0</v>
      </c>
    </row>
    <row r="17" spans="1:38">
      <c r="A17" s="8"/>
      <c r="B17" s="29"/>
      <c r="C17" s="8"/>
      <c r="G17" s="30"/>
      <c r="H17" s="30"/>
      <c r="I17" s="30"/>
      <c r="J17" s="30"/>
      <c r="N17" s="8">
        <v>10</v>
      </c>
      <c r="O17" s="29"/>
      <c r="P17" s="29"/>
      <c r="Q17" s="29"/>
      <c r="R17" s="29"/>
      <c r="S17" s="29"/>
      <c r="T17" s="29"/>
      <c r="U17" s="29"/>
      <c r="V17" s="29"/>
      <c r="W17" s="41"/>
      <c r="X17" s="29"/>
      <c r="Y17" s="41"/>
      <c r="Z17" s="29"/>
      <c r="AA17" s="41"/>
      <c r="AB17" s="29"/>
      <c r="AC17" s="41"/>
      <c r="AD17" s="29"/>
      <c r="AE17" s="34">
        <f t="shared" si="4"/>
        <v>0</v>
      </c>
      <c r="AF17" s="34">
        <f t="shared" si="0"/>
        <v>0</v>
      </c>
      <c r="AG17" s="34">
        <f t="shared" si="1"/>
        <v>0</v>
      </c>
      <c r="AH17" s="34">
        <f t="shared" si="2"/>
        <v>0</v>
      </c>
      <c r="AJ17" s="42">
        <f t="shared" si="7"/>
        <v>0</v>
      </c>
      <c r="AK17" s="42">
        <f t="shared" si="5"/>
        <v>0</v>
      </c>
      <c r="AL17" s="42">
        <f t="shared" si="6"/>
        <v>0</v>
      </c>
    </row>
    <row r="18" spans="1:38">
      <c r="A18" s="8"/>
      <c r="B18" s="29"/>
      <c r="C18" s="8"/>
      <c r="F18" s="21" t="s">
        <v>44</v>
      </c>
      <c r="G18" s="31">
        <f>+O28</f>
        <v>0</v>
      </c>
      <c r="H18" s="31"/>
      <c r="I18" s="31"/>
      <c r="J18" s="31"/>
      <c r="N18" s="8">
        <v>11</v>
      </c>
      <c r="O18" s="29"/>
      <c r="P18" s="29"/>
      <c r="Q18" s="29"/>
      <c r="R18" s="29"/>
      <c r="S18" s="29"/>
      <c r="T18" s="29"/>
      <c r="U18" s="29"/>
      <c r="V18" s="29"/>
      <c r="W18" s="41"/>
      <c r="X18" s="29"/>
      <c r="Y18" s="41"/>
      <c r="Z18" s="29"/>
      <c r="AA18" s="41"/>
      <c r="AB18" s="29"/>
      <c r="AC18" s="41"/>
      <c r="AD18" s="29"/>
      <c r="AE18" s="34">
        <f t="shared" si="4"/>
        <v>0</v>
      </c>
      <c r="AF18" s="34">
        <f t="shared" si="0"/>
        <v>0</v>
      </c>
      <c r="AG18" s="34">
        <f t="shared" si="1"/>
        <v>0</v>
      </c>
      <c r="AH18" s="34">
        <f t="shared" si="2"/>
        <v>0</v>
      </c>
      <c r="AJ18" s="42">
        <f t="shared" si="7"/>
        <v>0</v>
      </c>
      <c r="AK18" s="42">
        <f t="shared" si="5"/>
        <v>0</v>
      </c>
      <c r="AL18" s="42">
        <f t="shared" si="6"/>
        <v>0</v>
      </c>
    </row>
    <row r="19" spans="1:38">
      <c r="A19" s="8"/>
      <c r="B19" s="29"/>
      <c r="C19" s="8"/>
      <c r="G19" s="30"/>
      <c r="H19" s="30"/>
      <c r="I19" s="30"/>
      <c r="J19" s="30"/>
      <c r="N19" s="8">
        <v>12</v>
      </c>
      <c r="O19" s="29"/>
      <c r="P19" s="29"/>
      <c r="Q19" s="29"/>
      <c r="R19" s="29"/>
      <c r="S19" s="29"/>
      <c r="T19" s="29"/>
      <c r="U19" s="29"/>
      <c r="V19" s="29"/>
      <c r="W19" s="41"/>
      <c r="X19" s="29"/>
      <c r="Y19" s="41"/>
      <c r="Z19" s="29"/>
      <c r="AA19" s="41"/>
      <c r="AB19" s="29"/>
      <c r="AC19" s="41"/>
      <c r="AD19" s="29"/>
      <c r="AE19" s="34">
        <f t="shared" si="4"/>
        <v>0</v>
      </c>
      <c r="AF19" s="34">
        <f t="shared" si="0"/>
        <v>0</v>
      </c>
      <c r="AG19" s="34">
        <f t="shared" si="1"/>
        <v>0</v>
      </c>
      <c r="AH19" s="34">
        <f t="shared" si="2"/>
        <v>0</v>
      </c>
      <c r="AJ19" s="42">
        <f t="shared" si="7"/>
        <v>0</v>
      </c>
      <c r="AK19" s="42">
        <f t="shared" si="5"/>
        <v>0</v>
      </c>
      <c r="AL19" s="42">
        <f t="shared" si="6"/>
        <v>0</v>
      </c>
    </row>
    <row r="20" spans="1:38">
      <c r="A20" s="8"/>
      <c r="B20" s="29"/>
      <c r="C20" s="8"/>
      <c r="F20" s="22" t="s">
        <v>20</v>
      </c>
      <c r="G20" s="32">
        <f>+S28</f>
        <v>0</v>
      </c>
      <c r="H20" s="32"/>
      <c r="I20" s="32"/>
      <c r="J20" s="32"/>
      <c r="N20" s="8">
        <v>13</v>
      </c>
      <c r="O20" s="29"/>
      <c r="P20" s="29"/>
      <c r="Q20" s="29"/>
      <c r="R20" s="29"/>
      <c r="S20" s="29"/>
      <c r="T20" s="29"/>
      <c r="U20" s="29"/>
      <c r="V20" s="29"/>
      <c r="W20" s="41"/>
      <c r="X20" s="29"/>
      <c r="Y20" s="41"/>
      <c r="Z20" s="29"/>
      <c r="AA20" s="41"/>
      <c r="AB20" s="29"/>
      <c r="AC20" s="41"/>
      <c r="AD20" s="29"/>
      <c r="AE20" s="34">
        <f t="shared" si="4"/>
        <v>0</v>
      </c>
      <c r="AF20" s="34">
        <f t="shared" si="0"/>
        <v>0</v>
      </c>
      <c r="AG20" s="34">
        <f t="shared" si="1"/>
        <v>0</v>
      </c>
      <c r="AH20" s="34">
        <f t="shared" si="2"/>
        <v>0</v>
      </c>
      <c r="AJ20" s="42">
        <f t="shared" si="7"/>
        <v>0</v>
      </c>
      <c r="AK20" s="42">
        <f t="shared" si="5"/>
        <v>0</v>
      </c>
      <c r="AL20" s="42">
        <f t="shared" si="6"/>
        <v>0</v>
      </c>
    </row>
    <row r="21" spans="1:38">
      <c r="A21" s="8"/>
      <c r="B21" s="29"/>
      <c r="C21" s="8"/>
      <c r="G21" s="30"/>
      <c r="H21" s="30"/>
      <c r="I21" s="30"/>
      <c r="J21" s="30"/>
      <c r="N21" s="8">
        <v>14</v>
      </c>
      <c r="O21" s="29"/>
      <c r="P21" s="29"/>
      <c r="Q21" s="29"/>
      <c r="R21" s="29"/>
      <c r="S21" s="29"/>
      <c r="T21" s="29"/>
      <c r="U21" s="29"/>
      <c r="V21" s="29"/>
      <c r="W21" s="41"/>
      <c r="X21" s="29"/>
      <c r="Y21" s="41"/>
      <c r="Z21" s="29"/>
      <c r="AA21" s="41"/>
      <c r="AB21" s="29"/>
      <c r="AC21" s="41"/>
      <c r="AD21" s="29"/>
      <c r="AE21" s="34">
        <f t="shared" si="4"/>
        <v>0</v>
      </c>
      <c r="AF21" s="34">
        <f t="shared" si="0"/>
        <v>0</v>
      </c>
      <c r="AG21" s="34">
        <f t="shared" si="1"/>
        <v>0</v>
      </c>
      <c r="AH21" s="34">
        <f t="shared" si="2"/>
        <v>0</v>
      </c>
      <c r="AJ21" s="42">
        <f t="shared" si="7"/>
        <v>0</v>
      </c>
      <c r="AK21" s="42">
        <f t="shared" si="5"/>
        <v>0</v>
      </c>
      <c r="AL21" s="42">
        <f t="shared" si="6"/>
        <v>0</v>
      </c>
    </row>
    <row r="22" spans="1:38">
      <c r="A22" s="8"/>
      <c r="B22" s="29"/>
      <c r="C22" s="8"/>
      <c r="F22" s="23" t="s">
        <v>45</v>
      </c>
      <c r="G22" s="33">
        <f>+AB28</f>
        <v>0</v>
      </c>
      <c r="H22" s="33"/>
      <c r="I22" s="33"/>
      <c r="J22" s="33"/>
      <c r="N22" s="8">
        <v>15</v>
      </c>
      <c r="O22" s="29"/>
      <c r="P22" s="29"/>
      <c r="Q22" s="29"/>
      <c r="R22" s="29"/>
      <c r="S22" s="29"/>
      <c r="T22" s="29"/>
      <c r="U22" s="29"/>
      <c r="V22" s="29"/>
      <c r="W22" s="41"/>
      <c r="X22" s="29"/>
      <c r="Y22" s="41"/>
      <c r="Z22" s="29"/>
      <c r="AA22" s="41"/>
      <c r="AB22" s="29"/>
      <c r="AC22" s="41"/>
      <c r="AD22" s="29"/>
      <c r="AE22" s="34">
        <f t="shared" si="4"/>
        <v>0</v>
      </c>
      <c r="AF22" s="34">
        <f t="shared" si="0"/>
        <v>0</v>
      </c>
      <c r="AG22" s="34">
        <f t="shared" si="1"/>
        <v>0</v>
      </c>
      <c r="AH22" s="34">
        <f t="shared" si="2"/>
        <v>0</v>
      </c>
      <c r="AJ22" s="42">
        <f t="shared" si="7"/>
        <v>0</v>
      </c>
      <c r="AK22" s="42">
        <f t="shared" si="5"/>
        <v>0</v>
      </c>
      <c r="AL22" s="42">
        <f t="shared" si="6"/>
        <v>0</v>
      </c>
    </row>
    <row r="23" spans="1:38">
      <c r="A23" s="8"/>
      <c r="B23" s="29"/>
      <c r="C23" s="8"/>
      <c r="G23" s="30"/>
      <c r="H23" s="30"/>
      <c r="I23" s="30"/>
      <c r="J23" s="30"/>
      <c r="N23" s="8">
        <v>16</v>
      </c>
      <c r="O23" s="29"/>
      <c r="P23" s="29"/>
      <c r="Q23" s="29"/>
      <c r="R23" s="29"/>
      <c r="S23" s="29"/>
      <c r="T23" s="29"/>
      <c r="U23" s="29"/>
      <c r="V23" s="29"/>
      <c r="W23" s="41"/>
      <c r="X23" s="29"/>
      <c r="Y23" s="41"/>
      <c r="Z23" s="29"/>
      <c r="AA23" s="41"/>
      <c r="AB23" s="29"/>
      <c r="AC23" s="41"/>
      <c r="AD23" s="29"/>
      <c r="AE23" s="34">
        <f t="shared" si="4"/>
        <v>0</v>
      </c>
      <c r="AF23" s="34">
        <f t="shared" si="0"/>
        <v>0</v>
      </c>
      <c r="AG23" s="34">
        <f t="shared" si="1"/>
        <v>0</v>
      </c>
      <c r="AH23" s="34">
        <f t="shared" si="2"/>
        <v>0</v>
      </c>
      <c r="AJ23" s="42">
        <f t="shared" si="7"/>
        <v>0</v>
      </c>
      <c r="AK23" s="42">
        <f t="shared" si="5"/>
        <v>0</v>
      </c>
      <c r="AL23" s="42">
        <f t="shared" si="6"/>
        <v>0</v>
      </c>
    </row>
    <row r="24" spans="1:38">
      <c r="A24" s="8"/>
      <c r="B24" s="29"/>
      <c r="C24" s="8"/>
      <c r="F24" s="24" t="s">
        <v>46</v>
      </c>
      <c r="G24" s="34"/>
      <c r="H24" s="34"/>
      <c r="I24" s="34"/>
      <c r="J24" s="34"/>
      <c r="N24" s="8">
        <v>17</v>
      </c>
      <c r="O24" s="29"/>
      <c r="P24" s="29"/>
      <c r="Q24" s="29"/>
      <c r="R24" s="29"/>
      <c r="S24" s="29"/>
      <c r="T24" s="29"/>
      <c r="U24" s="29"/>
      <c r="V24" s="29"/>
      <c r="W24" s="41"/>
      <c r="X24" s="29"/>
      <c r="Y24" s="41"/>
      <c r="Z24" s="29"/>
      <c r="AA24" s="41"/>
      <c r="AB24" s="29"/>
      <c r="AC24" s="41"/>
      <c r="AD24" s="29"/>
      <c r="AE24" s="34">
        <f t="shared" si="4"/>
        <v>0</v>
      </c>
      <c r="AF24" s="34">
        <f t="shared" si="0"/>
        <v>0</v>
      </c>
      <c r="AG24" s="34">
        <f t="shared" si="1"/>
        <v>0</v>
      </c>
      <c r="AH24" s="34">
        <f t="shared" si="2"/>
        <v>0</v>
      </c>
      <c r="AJ24" s="42">
        <f t="shared" si="7"/>
        <v>0</v>
      </c>
      <c r="AK24" s="42">
        <f t="shared" si="5"/>
        <v>0</v>
      </c>
      <c r="AL24" s="42">
        <f t="shared" si="6"/>
        <v>0</v>
      </c>
    </row>
    <row r="25" spans="1:38">
      <c r="A25" s="8"/>
      <c r="B25" s="29"/>
      <c r="C25" s="8"/>
      <c r="F25" s="8" t="s">
        <v>47</v>
      </c>
      <c r="G25" s="29"/>
      <c r="H25" s="29"/>
      <c r="I25" s="29"/>
      <c r="J25" s="29"/>
      <c r="N25" s="8">
        <v>18</v>
      </c>
      <c r="O25" s="29"/>
      <c r="P25" s="29"/>
      <c r="Q25" s="29"/>
      <c r="R25" s="29"/>
      <c r="S25" s="29"/>
      <c r="T25" s="29"/>
      <c r="U25" s="29"/>
      <c r="V25" s="29"/>
      <c r="W25" s="41"/>
      <c r="X25" s="29"/>
      <c r="Y25" s="41"/>
      <c r="Z25" s="29"/>
      <c r="AA25" s="41"/>
      <c r="AB25" s="29"/>
      <c r="AC25" s="41"/>
      <c r="AD25" s="29"/>
      <c r="AE25" s="34">
        <f t="shared" si="4"/>
        <v>0</v>
      </c>
      <c r="AF25" s="34">
        <f t="shared" si="0"/>
        <v>0</v>
      </c>
      <c r="AG25" s="34">
        <f t="shared" si="1"/>
        <v>0</v>
      </c>
      <c r="AH25" s="34">
        <f t="shared" si="2"/>
        <v>0</v>
      </c>
      <c r="AJ25" s="42">
        <f t="shared" si="7"/>
        <v>0</v>
      </c>
      <c r="AK25" s="42">
        <f t="shared" si="5"/>
        <v>0</v>
      </c>
      <c r="AL25" s="42">
        <f t="shared" si="6"/>
        <v>0</v>
      </c>
    </row>
    <row r="26" spans="1:38">
      <c r="F26" s="8" t="s">
        <v>48</v>
      </c>
      <c r="G26" s="29"/>
      <c r="H26" s="29"/>
      <c r="I26" s="29"/>
      <c r="J26" s="29"/>
      <c r="N26" s="8">
        <v>19</v>
      </c>
      <c r="O26" s="29"/>
      <c r="P26" s="29"/>
      <c r="Q26" s="29"/>
      <c r="R26" s="29"/>
      <c r="S26" s="29"/>
      <c r="T26" s="29"/>
      <c r="U26" s="29"/>
      <c r="V26" s="29"/>
      <c r="W26" s="41"/>
      <c r="X26" s="29"/>
      <c r="Y26" s="41"/>
      <c r="Z26" s="29"/>
      <c r="AA26" s="41"/>
      <c r="AB26" s="29"/>
      <c r="AC26" s="41"/>
      <c r="AD26" s="29"/>
      <c r="AE26" s="34">
        <f t="shared" si="4"/>
        <v>0</v>
      </c>
      <c r="AF26" s="34">
        <f t="shared" si="0"/>
        <v>0</v>
      </c>
      <c r="AG26" s="34">
        <f t="shared" si="1"/>
        <v>0</v>
      </c>
      <c r="AH26" s="34">
        <f t="shared" si="2"/>
        <v>0</v>
      </c>
      <c r="AJ26" s="42">
        <f t="shared" si="7"/>
        <v>0</v>
      </c>
      <c r="AK26" s="42">
        <f t="shared" si="5"/>
        <v>0</v>
      </c>
      <c r="AL26" s="42">
        <f t="shared" si="6"/>
        <v>0</v>
      </c>
    </row>
    <row r="27" spans="1:38">
      <c r="G27" s="35"/>
      <c r="H27" s="35"/>
      <c r="I27" s="35"/>
      <c r="J27" s="35"/>
      <c r="N27" s="8">
        <v>20</v>
      </c>
      <c r="O27" s="29"/>
      <c r="P27" s="29"/>
      <c r="Q27" s="29"/>
      <c r="R27" s="29"/>
      <c r="S27" s="29"/>
      <c r="T27" s="29"/>
      <c r="U27" s="29"/>
      <c r="V27" s="29"/>
      <c r="W27" s="41"/>
      <c r="X27" s="29"/>
      <c r="Y27" s="41"/>
      <c r="Z27" s="29"/>
      <c r="AA27" s="41"/>
      <c r="AB27" s="29"/>
      <c r="AC27" s="41"/>
      <c r="AD27" s="29"/>
      <c r="AE27" s="34">
        <f t="shared" si="4"/>
        <v>0</v>
      </c>
      <c r="AF27" s="34">
        <f t="shared" si="0"/>
        <v>0</v>
      </c>
      <c r="AG27" s="34">
        <f t="shared" si="1"/>
        <v>0</v>
      </c>
      <c r="AH27" s="34">
        <f t="shared" si="2"/>
        <v>0</v>
      </c>
      <c r="AJ27" s="42">
        <f t="shared" si="7"/>
        <v>0</v>
      </c>
      <c r="AK27" s="42">
        <f t="shared" si="5"/>
        <v>0</v>
      </c>
      <c r="AL27" s="42">
        <f t="shared" si="6"/>
        <v>0</v>
      </c>
    </row>
    <row r="28" spans="1:38">
      <c r="F28" s="19" t="s">
        <v>49</v>
      </c>
      <c r="G28" s="29">
        <f>+G24+G22+G20+G18+G10</f>
        <v>0</v>
      </c>
      <c r="H28" s="29">
        <f t="shared" ref="H28:J28" si="8">+H24+H22+H20+H18+H10</f>
        <v>0</v>
      </c>
      <c r="I28" s="29">
        <f t="shared" si="8"/>
        <v>0</v>
      </c>
      <c r="J28" s="29">
        <f t="shared" si="8"/>
        <v>0</v>
      </c>
      <c r="N28" s="38" t="s">
        <v>50</v>
      </c>
      <c r="O28" s="29">
        <f>SUM(O8:O27)</f>
        <v>0</v>
      </c>
      <c r="P28" s="29">
        <f t="shared" ref="P28:V28" si="9">SUM(P8:P27)</f>
        <v>0</v>
      </c>
      <c r="Q28" s="29">
        <f t="shared" si="9"/>
        <v>0</v>
      </c>
      <c r="R28" s="29">
        <f t="shared" si="9"/>
        <v>0</v>
      </c>
      <c r="S28" s="29">
        <f t="shared" si="9"/>
        <v>0</v>
      </c>
      <c r="T28" s="29">
        <f t="shared" si="9"/>
        <v>0</v>
      </c>
      <c r="U28" s="29">
        <f t="shared" si="9"/>
        <v>0</v>
      </c>
      <c r="V28" s="29">
        <f t="shared" si="9"/>
        <v>0</v>
      </c>
      <c r="W28" s="41">
        <f t="shared" ref="W28:AD28" si="10">SUM(W8:W27)</f>
        <v>0</v>
      </c>
      <c r="X28" s="29">
        <f t="shared" ref="X28" si="11">SUM(X8:X27)</f>
        <v>0</v>
      </c>
      <c r="Y28" s="41">
        <f t="shared" ref="Y28" si="12">SUM(Y8:Y27)</f>
        <v>0</v>
      </c>
      <c r="Z28" s="29">
        <f t="shared" ref="Z28" si="13">SUM(Z8:Z27)</f>
        <v>0</v>
      </c>
      <c r="AA28" s="41">
        <f t="shared" ref="AA28" si="14">SUM(AA8:AA27)</f>
        <v>0</v>
      </c>
      <c r="AB28" s="29">
        <f t="shared" ref="AB28" si="15">SUM(AB8:AB27)</f>
        <v>0</v>
      </c>
      <c r="AC28" s="41">
        <f t="shared" ref="AC28" si="16">SUM(AC8:AC27)</f>
        <v>0</v>
      </c>
      <c r="AD28" s="29">
        <f t="shared" ref="AD28" si="17">SUM(AD8:AD27)</f>
        <v>0</v>
      </c>
      <c r="AE28" s="35"/>
      <c r="AF28" s="40"/>
    </row>
    <row r="33" spans="6:10">
      <c r="F33" s="126" t="s">
        <v>51</v>
      </c>
      <c r="G33" s="127"/>
      <c r="H33" s="127"/>
      <c r="I33" s="127"/>
      <c r="J33" s="127"/>
    </row>
    <row r="35" spans="6:10">
      <c r="G35" s="26" t="str">
        <f>+G9</f>
        <v>Option 1</v>
      </c>
      <c r="H35" s="26" t="str">
        <f>+H9</f>
        <v>Option 2</v>
      </c>
      <c r="I35" s="26" t="str">
        <f>+I9</f>
        <v>Option 3</v>
      </c>
      <c r="J35" s="26" t="str">
        <f>+J9</f>
        <v>Option 4</v>
      </c>
    </row>
    <row r="36" spans="6:10">
      <c r="F36" s="20" t="s">
        <v>34</v>
      </c>
      <c r="G36" s="28">
        <f>+G10</f>
        <v>0</v>
      </c>
      <c r="H36" s="28">
        <f t="shared" ref="H36:J36" si="18">+H10</f>
        <v>0</v>
      </c>
      <c r="I36" s="28">
        <f t="shared" si="18"/>
        <v>0</v>
      </c>
      <c r="J36" s="28">
        <f t="shared" si="18"/>
        <v>0</v>
      </c>
    </row>
    <row r="37" spans="6:10">
      <c r="F37" s="8" t="s">
        <v>35</v>
      </c>
      <c r="G37" s="29"/>
      <c r="H37" s="29"/>
      <c r="I37" s="29"/>
      <c r="J37" s="29"/>
    </row>
    <row r="38" spans="6:10">
      <c r="F38" s="8" t="s">
        <v>39</v>
      </c>
      <c r="G38" s="29"/>
      <c r="H38" s="29"/>
      <c r="I38" s="29"/>
      <c r="J38" s="29"/>
    </row>
    <row r="39" spans="6:10">
      <c r="F39" s="8" t="s">
        <v>40</v>
      </c>
      <c r="G39" s="29"/>
      <c r="H39" s="29"/>
      <c r="I39" s="29"/>
      <c r="J39" s="29"/>
    </row>
    <row r="40" spans="6:10">
      <c r="F40" s="8" t="s">
        <v>41</v>
      </c>
      <c r="G40" s="29"/>
      <c r="H40" s="29"/>
      <c r="I40" s="29"/>
      <c r="J40" s="29"/>
    </row>
    <row r="41" spans="6:10">
      <c r="F41" s="8" t="s">
        <v>42</v>
      </c>
      <c r="G41" s="29"/>
      <c r="H41" s="29"/>
      <c r="I41" s="29"/>
      <c r="J41" s="29"/>
    </row>
    <row r="42" spans="6:10">
      <c r="F42" s="8" t="s">
        <v>43</v>
      </c>
      <c r="G42" s="29"/>
      <c r="H42" s="29"/>
      <c r="I42" s="29"/>
      <c r="J42" s="29"/>
    </row>
    <row r="43" spans="6:10">
      <c r="G43" s="30"/>
      <c r="H43" s="30"/>
      <c r="I43" s="30"/>
      <c r="J43" s="30"/>
    </row>
    <row r="44" spans="6:10">
      <c r="F44" s="21" t="s">
        <v>44</v>
      </c>
      <c r="G44" s="31"/>
      <c r="H44" s="31"/>
      <c r="I44" s="31"/>
      <c r="J44" s="31"/>
    </row>
    <row r="45" spans="6:10">
      <c r="G45" s="30"/>
      <c r="H45" s="30"/>
      <c r="I45" s="30"/>
      <c r="J45" s="30"/>
    </row>
    <row r="46" spans="6:10">
      <c r="F46" s="22" t="s">
        <v>20</v>
      </c>
      <c r="G46" s="32"/>
      <c r="H46" s="32"/>
      <c r="I46" s="32"/>
      <c r="J46" s="32"/>
    </row>
    <row r="47" spans="6:10">
      <c r="G47" s="30"/>
      <c r="H47" s="30"/>
      <c r="I47" s="30"/>
      <c r="J47" s="30"/>
    </row>
    <row r="48" spans="6:10">
      <c r="F48" s="23" t="s">
        <v>45</v>
      </c>
      <c r="G48" s="33"/>
      <c r="H48" s="33"/>
      <c r="I48" s="33"/>
      <c r="J48" s="33"/>
    </row>
    <row r="49" spans="6:10">
      <c r="G49" s="30"/>
      <c r="H49" s="30"/>
      <c r="I49" s="30"/>
      <c r="J49" s="30"/>
    </row>
    <row r="50" spans="6:10">
      <c r="F50" s="24" t="s">
        <v>46</v>
      </c>
      <c r="G50" s="34"/>
      <c r="H50" s="34"/>
      <c r="I50" s="34"/>
      <c r="J50" s="34"/>
    </row>
    <row r="51" spans="6:10">
      <c r="F51" s="8" t="s">
        <v>47</v>
      </c>
      <c r="G51" s="29"/>
      <c r="H51" s="29"/>
      <c r="I51" s="29"/>
      <c r="J51" s="29"/>
    </row>
    <row r="52" spans="6:10">
      <c r="F52" s="8" t="s">
        <v>48</v>
      </c>
      <c r="G52" s="29"/>
      <c r="H52" s="29"/>
      <c r="I52" s="29"/>
      <c r="J52" s="29"/>
    </row>
    <row r="53" spans="6:10">
      <c r="G53" s="35"/>
      <c r="H53" s="35"/>
      <c r="I53" s="35"/>
      <c r="J53" s="35"/>
    </row>
    <row r="54" spans="6:10">
      <c r="F54" s="19" t="s">
        <v>49</v>
      </c>
      <c r="G54" s="29">
        <f>+G50+G48+G46+G44+G36</f>
        <v>0</v>
      </c>
      <c r="H54" s="29">
        <f t="shared" ref="H54:J54" si="19">+H50+H48+H46+H44+H36</f>
        <v>0</v>
      </c>
      <c r="I54" s="29">
        <f t="shared" si="19"/>
        <v>0</v>
      </c>
      <c r="J54" s="29">
        <f t="shared" si="19"/>
        <v>0</v>
      </c>
    </row>
  </sheetData>
  <mergeCells count="12">
    <mergeCell ref="AJ6:AL6"/>
    <mergeCell ref="AC6:AD6"/>
    <mergeCell ref="F7:J7"/>
    <mergeCell ref="F33:J33"/>
    <mergeCell ref="W6:X6"/>
    <mergeCell ref="Y6:Z6"/>
    <mergeCell ref="AA6:AB6"/>
    <mergeCell ref="W5:AD5"/>
    <mergeCell ref="S5:V6"/>
    <mergeCell ref="O5:R6"/>
    <mergeCell ref="AE5:AH5"/>
    <mergeCell ref="AE6:AH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A56CB-B368-4CFA-BA26-CEAB4ED0AF18}">
  <dimension ref="A2:AL55"/>
  <sheetViews>
    <sheetView topLeftCell="B1" zoomScale="78" zoomScaleNormal="78" workbookViewId="0">
      <selection activeCell="B29" sqref="B29"/>
    </sheetView>
  </sheetViews>
  <sheetFormatPr defaultRowHeight="15"/>
  <cols>
    <col min="1" max="1" width="57.5703125" customWidth="1"/>
    <col min="2" max="2" width="11.42578125" customWidth="1"/>
    <col min="3" max="5" width="11.140625" customWidth="1"/>
    <col min="6" max="6" width="32.85546875" customWidth="1"/>
    <col min="7" max="7" width="14.28515625" customWidth="1"/>
    <col min="8" max="8" width="13.85546875" customWidth="1"/>
    <col min="9" max="10" width="13.5703125" customWidth="1"/>
    <col min="15" max="32" width="13.7109375" customWidth="1"/>
    <col min="33" max="33" width="13" customWidth="1"/>
    <col min="34" max="34" width="13.5703125" customWidth="1"/>
    <col min="35" max="35" width="6.140625" customWidth="1"/>
    <col min="36" max="38" width="13.7109375" customWidth="1"/>
  </cols>
  <sheetData>
    <row r="2" spans="1:38">
      <c r="O2" s="27" t="s">
        <v>13</v>
      </c>
    </row>
    <row r="3" spans="1:38">
      <c r="P3" s="27"/>
      <c r="Q3" s="27"/>
    </row>
    <row r="4" spans="1:38" ht="21">
      <c r="A4" s="25" t="s">
        <v>14</v>
      </c>
      <c r="F4" s="27" t="s">
        <v>15</v>
      </c>
      <c r="O4" s="39" t="s">
        <v>16</v>
      </c>
    </row>
    <row r="5" spans="1:38" ht="21" customHeight="1">
      <c r="A5" s="19" t="s">
        <v>17</v>
      </c>
      <c r="B5" s="8">
        <v>15</v>
      </c>
      <c r="F5" s="27" t="s">
        <v>18</v>
      </c>
      <c r="O5" s="119" t="s">
        <v>19</v>
      </c>
      <c r="P5" s="119"/>
      <c r="Q5" s="119"/>
      <c r="R5" s="119"/>
      <c r="S5" s="118" t="s">
        <v>20</v>
      </c>
      <c r="T5" s="118"/>
      <c r="U5" s="118"/>
      <c r="V5" s="118"/>
      <c r="W5" s="117" t="s">
        <v>21</v>
      </c>
      <c r="X5" s="117"/>
      <c r="Y5" s="117"/>
      <c r="Z5" s="117"/>
      <c r="AA5" s="117"/>
      <c r="AB5" s="117"/>
      <c r="AC5" s="117"/>
      <c r="AD5" s="117"/>
      <c r="AE5" s="120"/>
      <c r="AF5" s="121"/>
      <c r="AG5" s="121"/>
      <c r="AH5" s="121"/>
    </row>
    <row r="6" spans="1:38" ht="34.5" customHeight="1">
      <c r="A6" s="19" t="s">
        <v>22</v>
      </c>
      <c r="B6" s="11">
        <f>+'Energy Information'!$B$6</f>
        <v>0.11</v>
      </c>
      <c r="O6" s="119"/>
      <c r="P6" s="119"/>
      <c r="Q6" s="119"/>
      <c r="R6" s="119"/>
      <c r="S6" s="118"/>
      <c r="T6" s="118"/>
      <c r="U6" s="118"/>
      <c r="V6" s="118"/>
      <c r="W6" s="124" t="s">
        <v>52</v>
      </c>
      <c r="X6" s="125"/>
      <c r="Y6" s="124" t="s">
        <v>53</v>
      </c>
      <c r="Z6" s="125"/>
      <c r="AA6" s="128"/>
      <c r="AB6" s="129"/>
      <c r="AC6" s="124"/>
      <c r="AD6" s="125"/>
      <c r="AE6" s="122" t="s">
        <v>27</v>
      </c>
      <c r="AF6" s="122"/>
      <c r="AG6" s="122"/>
      <c r="AH6" s="122"/>
      <c r="AJ6" s="130" t="s">
        <v>54</v>
      </c>
      <c r="AK6" s="123"/>
      <c r="AL6" s="123"/>
    </row>
    <row r="7" spans="1:38" ht="18.75" customHeight="1">
      <c r="A7" s="19" t="s">
        <v>5</v>
      </c>
      <c r="B7" s="12">
        <f>+'[1]Energy Information'!$B$7</f>
        <v>0</v>
      </c>
      <c r="F7" s="126" t="s">
        <v>29</v>
      </c>
      <c r="G7" s="127"/>
      <c r="H7" s="127"/>
      <c r="I7" s="127"/>
      <c r="J7" s="127"/>
      <c r="N7" s="19" t="s">
        <v>30</v>
      </c>
      <c r="O7" s="26" t="str">
        <f>+$G$9</f>
        <v>90 AFUE</v>
      </c>
      <c r="P7" s="26" t="str">
        <f>+$H$9</f>
        <v>95 AFUE</v>
      </c>
      <c r="Q7" s="26"/>
      <c r="R7" s="26"/>
      <c r="S7" s="26" t="str">
        <f>+$G$9</f>
        <v>90 AFUE</v>
      </c>
      <c r="T7" s="26" t="str">
        <f>+$H$9</f>
        <v>95 AFUE</v>
      </c>
      <c r="U7" s="26"/>
      <c r="V7" s="26"/>
      <c r="W7" s="26" t="s">
        <v>31</v>
      </c>
      <c r="X7" s="26" t="s">
        <v>32</v>
      </c>
      <c r="Y7" s="26" t="s">
        <v>31</v>
      </c>
      <c r="Z7" s="26" t="s">
        <v>32</v>
      </c>
      <c r="AA7" s="26"/>
      <c r="AB7" s="26"/>
      <c r="AC7" s="26"/>
      <c r="AD7" s="26"/>
      <c r="AE7" s="26" t="str">
        <f>+$G$9</f>
        <v>90 AFUE</v>
      </c>
      <c r="AF7" s="26" t="str">
        <f>+$H$9</f>
        <v>95 AFUE</v>
      </c>
      <c r="AG7" s="26"/>
      <c r="AH7" s="26"/>
      <c r="AJ7" s="26" t="s">
        <v>53</v>
      </c>
      <c r="AK7" s="26"/>
      <c r="AL7" s="26"/>
    </row>
    <row r="8" spans="1:38">
      <c r="A8" s="19" t="s">
        <v>33</v>
      </c>
      <c r="B8" s="13">
        <f>+'[1]Energy Information'!$B$12</f>
        <v>1.4815</v>
      </c>
      <c r="N8" s="8">
        <v>1</v>
      </c>
      <c r="O8" s="29">
        <v>0</v>
      </c>
      <c r="P8" s="29">
        <v>0</v>
      </c>
      <c r="Q8" s="29"/>
      <c r="R8" s="29"/>
      <c r="S8" s="29">
        <v>0</v>
      </c>
      <c r="T8" s="29">
        <v>0</v>
      </c>
      <c r="U8" s="29"/>
      <c r="V8" s="29"/>
      <c r="W8" s="41">
        <f>+$B$42</f>
        <v>455.11111111111114</v>
      </c>
      <c r="X8" s="29">
        <f>+W8*$B$8</f>
        <v>674.24711111111117</v>
      </c>
      <c r="Y8" s="41">
        <f>+$B$43</f>
        <v>431.15789473684214</v>
      </c>
      <c r="Z8" s="29">
        <f>+Y8*$B$8</f>
        <v>638.76042105263161</v>
      </c>
      <c r="AA8" s="41"/>
      <c r="AB8" s="29"/>
      <c r="AC8" s="41"/>
      <c r="AD8" s="29"/>
      <c r="AE8" s="34">
        <f>+O8+S8+X8</f>
        <v>674.24711111111117</v>
      </c>
      <c r="AF8" s="34">
        <f>+P8+T8+Z8</f>
        <v>638.76042105263161</v>
      </c>
      <c r="AG8" s="34"/>
      <c r="AH8" s="34"/>
      <c r="AJ8" s="42">
        <f>+(G10-H10)+(AE8-AF8)</f>
        <v>-664.51330994152045</v>
      </c>
      <c r="AK8" s="42"/>
      <c r="AL8" s="42"/>
    </row>
    <row r="9" spans="1:38">
      <c r="A9" s="19" t="s">
        <v>10</v>
      </c>
      <c r="B9" s="14">
        <f>+'[1]Energy Information'!$B$13</f>
        <v>0</v>
      </c>
      <c r="G9" s="26" t="s">
        <v>52</v>
      </c>
      <c r="H9" s="26" t="s">
        <v>53</v>
      </c>
      <c r="I9" s="26"/>
      <c r="J9" s="26"/>
      <c r="N9" s="8">
        <v>2</v>
      </c>
      <c r="O9" s="29">
        <v>0</v>
      </c>
      <c r="P9" s="29">
        <v>0</v>
      </c>
      <c r="Q9" s="29"/>
      <c r="R9" s="29"/>
      <c r="S9" s="29">
        <v>0</v>
      </c>
      <c r="T9" s="29">
        <v>0</v>
      </c>
      <c r="U9" s="29"/>
      <c r="V9" s="29"/>
      <c r="W9" s="41">
        <f>+$B$42</f>
        <v>455.11111111111114</v>
      </c>
      <c r="X9" s="29">
        <f t="shared" ref="X9:X22" si="0">+W9*$B$8</f>
        <v>674.24711111111117</v>
      </c>
      <c r="Y9" s="41">
        <f>+$B$43</f>
        <v>431.15789473684214</v>
      </c>
      <c r="Z9" s="29">
        <f t="shared" ref="Z9:Z22" si="1">+Y9*$B$8</f>
        <v>638.76042105263161</v>
      </c>
      <c r="AA9" s="41"/>
      <c r="AB9" s="29"/>
      <c r="AC9" s="41"/>
      <c r="AD9" s="29"/>
      <c r="AE9" s="34">
        <f t="shared" ref="AE9:AE27" si="2">+O9+S9+X9</f>
        <v>674.24711111111117</v>
      </c>
      <c r="AF9" s="34">
        <f t="shared" ref="AF9:AF27" si="3">+P9+T9+Z9</f>
        <v>638.76042105263161</v>
      </c>
      <c r="AG9" s="34"/>
      <c r="AH9" s="34"/>
      <c r="AJ9" s="42">
        <f>+AJ8+(AE9-AF9)</f>
        <v>-629.02661988304089</v>
      </c>
      <c r="AK9" s="42"/>
      <c r="AL9" s="42"/>
    </row>
    <row r="10" spans="1:38">
      <c r="F10" s="20" t="s">
        <v>34</v>
      </c>
      <c r="G10" s="28">
        <f>SUM(G11:G16)</f>
        <v>4150</v>
      </c>
      <c r="H10" s="28">
        <f>SUM(H11:H16)</f>
        <v>4850</v>
      </c>
      <c r="I10" s="28"/>
      <c r="J10" s="28"/>
      <c r="N10" s="8">
        <v>3</v>
      </c>
      <c r="O10" s="29">
        <v>0</v>
      </c>
      <c r="P10" s="29">
        <v>0</v>
      </c>
      <c r="Q10" s="29"/>
      <c r="R10" s="29"/>
      <c r="S10" s="29">
        <v>0</v>
      </c>
      <c r="T10" s="29">
        <v>0</v>
      </c>
      <c r="U10" s="29"/>
      <c r="V10" s="29"/>
      <c r="W10" s="41">
        <f>+$B$42</f>
        <v>455.11111111111114</v>
      </c>
      <c r="X10" s="29">
        <f t="shared" si="0"/>
        <v>674.24711111111117</v>
      </c>
      <c r="Y10" s="41">
        <f>+$B$43</f>
        <v>431.15789473684214</v>
      </c>
      <c r="Z10" s="29">
        <f t="shared" si="1"/>
        <v>638.76042105263161</v>
      </c>
      <c r="AA10" s="41"/>
      <c r="AB10" s="29"/>
      <c r="AC10" s="41"/>
      <c r="AD10" s="29"/>
      <c r="AE10" s="34">
        <f t="shared" si="2"/>
        <v>674.24711111111117</v>
      </c>
      <c r="AF10" s="34">
        <f t="shared" si="3"/>
        <v>638.76042105263161</v>
      </c>
      <c r="AG10" s="34"/>
      <c r="AH10" s="34"/>
      <c r="AJ10" s="42">
        <f t="shared" ref="AJ10:AJ22" si="4">+AJ9+(AE10-AF10)</f>
        <v>-593.53992982456134</v>
      </c>
      <c r="AK10" s="42"/>
      <c r="AL10" s="42"/>
    </row>
    <row r="11" spans="1:38">
      <c r="F11" s="8" t="s">
        <v>35</v>
      </c>
      <c r="G11" s="29">
        <f>+B33</f>
        <v>4100</v>
      </c>
      <c r="H11" s="29">
        <f>+B34</f>
        <v>4900</v>
      </c>
      <c r="I11" s="29"/>
      <c r="J11" s="29"/>
      <c r="N11" s="8">
        <v>4</v>
      </c>
      <c r="O11" s="29">
        <v>0</v>
      </c>
      <c r="P11" s="29">
        <v>0</v>
      </c>
      <c r="Q11" s="29"/>
      <c r="R11" s="29"/>
      <c r="S11" s="29">
        <v>0</v>
      </c>
      <c r="T11" s="29">
        <v>0</v>
      </c>
      <c r="U11" s="29"/>
      <c r="V11" s="29"/>
      <c r="W11" s="41">
        <f>+$B$42</f>
        <v>455.11111111111114</v>
      </c>
      <c r="X11" s="29">
        <f t="shared" si="0"/>
        <v>674.24711111111117</v>
      </c>
      <c r="Y11" s="41">
        <f>+$B$43</f>
        <v>431.15789473684214</v>
      </c>
      <c r="Z11" s="29">
        <f t="shared" si="1"/>
        <v>638.76042105263161</v>
      </c>
      <c r="AA11" s="41"/>
      <c r="AB11" s="29"/>
      <c r="AC11" s="41"/>
      <c r="AD11" s="29"/>
      <c r="AE11" s="34">
        <f t="shared" si="2"/>
        <v>674.24711111111117</v>
      </c>
      <c r="AF11" s="34">
        <f t="shared" si="3"/>
        <v>638.76042105263161</v>
      </c>
      <c r="AG11" s="34"/>
      <c r="AH11" s="34"/>
      <c r="AJ11" s="42">
        <f>+AJ10+(AE11-AF11)</f>
        <v>-558.05323976608179</v>
      </c>
      <c r="AK11" s="42"/>
      <c r="AL11" s="42"/>
    </row>
    <row r="12" spans="1:38" ht="18.75">
      <c r="A12" s="36" t="s">
        <v>36</v>
      </c>
      <c r="B12" s="37" t="s">
        <v>37</v>
      </c>
      <c r="C12" s="26" t="s">
        <v>38</v>
      </c>
      <c r="F12" s="8" t="s">
        <v>55</v>
      </c>
      <c r="G12" s="29">
        <f>+B35</f>
        <v>350</v>
      </c>
      <c r="H12" s="29">
        <f>+B35</f>
        <v>350</v>
      </c>
      <c r="I12" s="29"/>
      <c r="J12" s="29"/>
      <c r="N12" s="8">
        <v>5</v>
      </c>
      <c r="O12" s="29">
        <v>0</v>
      </c>
      <c r="P12" s="29">
        <v>0</v>
      </c>
      <c r="Q12" s="29"/>
      <c r="R12" s="29"/>
      <c r="S12" s="29">
        <v>0</v>
      </c>
      <c r="T12" s="29">
        <v>0</v>
      </c>
      <c r="U12" s="29"/>
      <c r="V12" s="29"/>
      <c r="W12" s="41">
        <f>+$B$42</f>
        <v>455.11111111111114</v>
      </c>
      <c r="X12" s="29">
        <f t="shared" si="0"/>
        <v>674.24711111111117</v>
      </c>
      <c r="Y12" s="41">
        <f>+$B$43</f>
        <v>431.15789473684214</v>
      </c>
      <c r="Z12" s="29">
        <f t="shared" si="1"/>
        <v>638.76042105263161</v>
      </c>
      <c r="AA12" s="41"/>
      <c r="AB12" s="29"/>
      <c r="AC12" s="41"/>
      <c r="AD12" s="29"/>
      <c r="AE12" s="34">
        <f t="shared" si="2"/>
        <v>674.24711111111117</v>
      </c>
      <c r="AF12" s="34">
        <f t="shared" si="3"/>
        <v>638.76042105263161</v>
      </c>
      <c r="AG12" s="34"/>
      <c r="AH12" s="34"/>
      <c r="AJ12" s="42">
        <f t="shared" si="4"/>
        <v>-522.56654970760223</v>
      </c>
      <c r="AK12" s="42"/>
      <c r="AL12" s="42"/>
    </row>
    <row r="13" spans="1:38">
      <c r="A13" s="8"/>
      <c r="B13" s="29"/>
      <c r="C13" s="8"/>
      <c r="F13" s="8" t="s">
        <v>56</v>
      </c>
      <c r="G13" s="49">
        <f>+B38</f>
        <v>-300</v>
      </c>
      <c r="H13" s="49">
        <f>+B39</f>
        <v>-400</v>
      </c>
      <c r="I13" s="29"/>
      <c r="J13" s="29"/>
      <c r="N13" s="8">
        <v>6</v>
      </c>
      <c r="O13" s="29">
        <v>0</v>
      </c>
      <c r="P13" s="29">
        <v>0</v>
      </c>
      <c r="Q13" s="29"/>
      <c r="R13" s="29"/>
      <c r="S13" s="29">
        <v>0</v>
      </c>
      <c r="T13" s="29">
        <v>0</v>
      </c>
      <c r="U13" s="29"/>
      <c r="V13" s="29"/>
      <c r="W13" s="41">
        <f>+$B$42</f>
        <v>455.11111111111114</v>
      </c>
      <c r="X13" s="29">
        <f t="shared" si="0"/>
        <v>674.24711111111117</v>
      </c>
      <c r="Y13" s="41">
        <f>+$B$43</f>
        <v>431.15789473684214</v>
      </c>
      <c r="Z13" s="29">
        <f t="shared" si="1"/>
        <v>638.76042105263161</v>
      </c>
      <c r="AA13" s="41"/>
      <c r="AB13" s="29"/>
      <c r="AC13" s="41"/>
      <c r="AD13" s="29"/>
      <c r="AE13" s="34">
        <f t="shared" si="2"/>
        <v>674.24711111111117</v>
      </c>
      <c r="AF13" s="34">
        <f t="shared" si="3"/>
        <v>638.76042105263161</v>
      </c>
      <c r="AG13" s="34"/>
      <c r="AH13" s="34"/>
      <c r="AJ13" s="42">
        <f t="shared" si="4"/>
        <v>-487.07985964912268</v>
      </c>
      <c r="AK13" s="42"/>
      <c r="AL13" s="42"/>
    </row>
    <row r="14" spans="1:38">
      <c r="A14" s="8" t="s">
        <v>57</v>
      </c>
      <c r="B14" s="8"/>
      <c r="C14" s="8"/>
      <c r="F14" s="8"/>
      <c r="G14" s="29"/>
      <c r="H14" s="29"/>
      <c r="I14" s="29"/>
      <c r="J14" s="29"/>
      <c r="N14" s="8">
        <v>7</v>
      </c>
      <c r="O14" s="29">
        <v>0</v>
      </c>
      <c r="P14" s="29">
        <v>0</v>
      </c>
      <c r="Q14" s="29"/>
      <c r="R14" s="29"/>
      <c r="S14" s="29">
        <v>0</v>
      </c>
      <c r="T14" s="29">
        <v>0</v>
      </c>
      <c r="U14" s="29"/>
      <c r="V14" s="29"/>
      <c r="W14" s="41">
        <f>+$B$42</f>
        <v>455.11111111111114</v>
      </c>
      <c r="X14" s="29">
        <f t="shared" si="0"/>
        <v>674.24711111111117</v>
      </c>
      <c r="Y14" s="41">
        <f>+$B$43</f>
        <v>431.15789473684214</v>
      </c>
      <c r="Z14" s="29">
        <f t="shared" si="1"/>
        <v>638.76042105263161</v>
      </c>
      <c r="AA14" s="41"/>
      <c r="AB14" s="29"/>
      <c r="AC14" s="41"/>
      <c r="AD14" s="29"/>
      <c r="AE14" s="34">
        <f t="shared" si="2"/>
        <v>674.24711111111117</v>
      </c>
      <c r="AF14" s="34">
        <f t="shared" si="3"/>
        <v>638.76042105263161</v>
      </c>
      <c r="AG14" s="34"/>
      <c r="AH14" s="34"/>
      <c r="AJ14" s="42">
        <f t="shared" si="4"/>
        <v>-451.59316959064313</v>
      </c>
      <c r="AK14" s="42"/>
      <c r="AL14" s="42"/>
    </row>
    <row r="15" spans="1:38">
      <c r="A15" s="8" t="s">
        <v>58</v>
      </c>
      <c r="B15" s="29"/>
      <c r="C15" s="8"/>
      <c r="F15" s="8"/>
      <c r="G15" s="29"/>
      <c r="H15" s="29"/>
      <c r="I15" s="29"/>
      <c r="J15" s="29"/>
      <c r="N15" s="8">
        <v>8</v>
      </c>
      <c r="O15" s="29">
        <v>0</v>
      </c>
      <c r="P15" s="29">
        <v>0</v>
      </c>
      <c r="Q15" s="29"/>
      <c r="R15" s="29"/>
      <c r="S15" s="29">
        <v>0</v>
      </c>
      <c r="T15" s="29">
        <v>0</v>
      </c>
      <c r="U15" s="29"/>
      <c r="V15" s="29"/>
      <c r="W15" s="41">
        <f>+$B$42</f>
        <v>455.11111111111114</v>
      </c>
      <c r="X15" s="29">
        <f t="shared" si="0"/>
        <v>674.24711111111117</v>
      </c>
      <c r="Y15" s="41">
        <f>+$B$43</f>
        <v>431.15789473684214</v>
      </c>
      <c r="Z15" s="29">
        <f t="shared" si="1"/>
        <v>638.76042105263161</v>
      </c>
      <c r="AA15" s="41"/>
      <c r="AB15" s="29"/>
      <c r="AC15" s="41"/>
      <c r="AD15" s="29"/>
      <c r="AE15" s="34">
        <f t="shared" si="2"/>
        <v>674.24711111111117</v>
      </c>
      <c r="AF15" s="34">
        <f t="shared" si="3"/>
        <v>638.76042105263161</v>
      </c>
      <c r="AG15" s="34"/>
      <c r="AH15" s="34"/>
      <c r="AJ15" s="42">
        <f t="shared" si="4"/>
        <v>-416.10647953216358</v>
      </c>
      <c r="AK15" s="42"/>
      <c r="AL15" s="42"/>
    </row>
    <row r="16" spans="1:38">
      <c r="A16" s="8"/>
      <c r="B16" s="29"/>
      <c r="C16" s="8"/>
      <c r="F16" s="8"/>
      <c r="G16" s="29"/>
      <c r="H16" s="29"/>
      <c r="I16" s="29"/>
      <c r="J16" s="29"/>
      <c r="N16" s="8">
        <v>9</v>
      </c>
      <c r="O16" s="29">
        <v>0</v>
      </c>
      <c r="P16" s="29">
        <v>0</v>
      </c>
      <c r="Q16" s="29"/>
      <c r="R16" s="29"/>
      <c r="S16" s="29">
        <v>0</v>
      </c>
      <c r="T16" s="29">
        <v>0</v>
      </c>
      <c r="U16" s="29"/>
      <c r="V16" s="29"/>
      <c r="W16" s="41">
        <f>+$B$42</f>
        <v>455.11111111111114</v>
      </c>
      <c r="X16" s="29">
        <f t="shared" si="0"/>
        <v>674.24711111111117</v>
      </c>
      <c r="Y16" s="41">
        <f>+$B$43</f>
        <v>431.15789473684214</v>
      </c>
      <c r="Z16" s="29">
        <f t="shared" si="1"/>
        <v>638.76042105263161</v>
      </c>
      <c r="AA16" s="41"/>
      <c r="AB16" s="29"/>
      <c r="AC16" s="41"/>
      <c r="AD16" s="29"/>
      <c r="AE16" s="34">
        <f t="shared" si="2"/>
        <v>674.24711111111117</v>
      </c>
      <c r="AF16" s="34">
        <f t="shared" si="3"/>
        <v>638.76042105263161</v>
      </c>
      <c r="AG16" s="34"/>
      <c r="AH16" s="34"/>
      <c r="AJ16" s="42">
        <f t="shared" si="4"/>
        <v>-380.61978947368402</v>
      </c>
      <c r="AK16" s="42"/>
      <c r="AL16" s="42"/>
    </row>
    <row r="17" spans="1:38">
      <c r="A17" s="8"/>
      <c r="B17" s="29"/>
      <c r="C17" s="8"/>
      <c r="G17" s="30"/>
      <c r="H17" s="30"/>
      <c r="I17" s="30"/>
      <c r="J17" s="30"/>
      <c r="N17" s="8">
        <v>10</v>
      </c>
      <c r="O17" s="29">
        <v>0</v>
      </c>
      <c r="P17" s="29">
        <v>0</v>
      </c>
      <c r="Q17" s="29"/>
      <c r="R17" s="29"/>
      <c r="S17" s="29">
        <v>0</v>
      </c>
      <c r="T17" s="29">
        <v>0</v>
      </c>
      <c r="U17" s="29"/>
      <c r="V17" s="29"/>
      <c r="W17" s="41">
        <f>+$B$42</f>
        <v>455.11111111111114</v>
      </c>
      <c r="X17" s="29">
        <f t="shared" si="0"/>
        <v>674.24711111111117</v>
      </c>
      <c r="Y17" s="41">
        <f>+$B$43</f>
        <v>431.15789473684214</v>
      </c>
      <c r="Z17" s="29">
        <f t="shared" si="1"/>
        <v>638.76042105263161</v>
      </c>
      <c r="AA17" s="41"/>
      <c r="AB17" s="29"/>
      <c r="AC17" s="41"/>
      <c r="AD17" s="29"/>
      <c r="AE17" s="34">
        <f t="shared" si="2"/>
        <v>674.24711111111117</v>
      </c>
      <c r="AF17" s="34">
        <f t="shared" si="3"/>
        <v>638.76042105263161</v>
      </c>
      <c r="AG17" s="34"/>
      <c r="AH17" s="34"/>
      <c r="AJ17" s="42">
        <f t="shared" si="4"/>
        <v>-345.13309941520447</v>
      </c>
      <c r="AK17" s="42"/>
      <c r="AL17" s="42"/>
    </row>
    <row r="18" spans="1:38">
      <c r="A18" s="8"/>
      <c r="B18" s="29"/>
      <c r="C18" s="8"/>
      <c r="F18" s="21" t="s">
        <v>44</v>
      </c>
      <c r="G18" s="31">
        <f>+O28</f>
        <v>0</v>
      </c>
      <c r="H18" s="31">
        <f>+P28</f>
        <v>0</v>
      </c>
      <c r="I18" s="31"/>
      <c r="J18" s="31"/>
      <c r="N18" s="8">
        <v>11</v>
      </c>
      <c r="O18" s="29">
        <v>0</v>
      </c>
      <c r="P18" s="29">
        <v>0</v>
      </c>
      <c r="Q18" s="29"/>
      <c r="R18" s="29"/>
      <c r="S18" s="29">
        <v>0</v>
      </c>
      <c r="T18" s="29">
        <v>0</v>
      </c>
      <c r="U18" s="29"/>
      <c r="V18" s="29"/>
      <c r="W18" s="41">
        <f>+$B$42</f>
        <v>455.11111111111114</v>
      </c>
      <c r="X18" s="29">
        <f t="shared" si="0"/>
        <v>674.24711111111117</v>
      </c>
      <c r="Y18" s="41">
        <f>+$B$43</f>
        <v>431.15789473684214</v>
      </c>
      <c r="Z18" s="29">
        <f t="shared" si="1"/>
        <v>638.76042105263161</v>
      </c>
      <c r="AA18" s="41"/>
      <c r="AB18" s="29"/>
      <c r="AC18" s="41"/>
      <c r="AD18" s="29"/>
      <c r="AE18" s="34">
        <f t="shared" si="2"/>
        <v>674.24711111111117</v>
      </c>
      <c r="AF18" s="34">
        <f t="shared" si="3"/>
        <v>638.76042105263161</v>
      </c>
      <c r="AG18" s="34"/>
      <c r="AH18" s="34"/>
      <c r="AJ18" s="42">
        <f t="shared" si="4"/>
        <v>-309.64640935672492</v>
      </c>
      <c r="AK18" s="42"/>
      <c r="AL18" s="42"/>
    </row>
    <row r="19" spans="1:38">
      <c r="A19" s="8"/>
      <c r="B19" s="29"/>
      <c r="C19" s="8"/>
      <c r="G19" s="30"/>
      <c r="H19" s="30"/>
      <c r="I19" s="30"/>
      <c r="J19" s="30"/>
      <c r="N19" s="8">
        <v>12</v>
      </c>
      <c r="O19" s="29">
        <v>0</v>
      </c>
      <c r="P19" s="29">
        <v>0</v>
      </c>
      <c r="Q19" s="29"/>
      <c r="R19" s="29"/>
      <c r="S19" s="29">
        <v>0</v>
      </c>
      <c r="T19" s="29">
        <v>0</v>
      </c>
      <c r="U19" s="29"/>
      <c r="V19" s="29"/>
      <c r="W19" s="41">
        <f>+$B$42</f>
        <v>455.11111111111114</v>
      </c>
      <c r="X19" s="29">
        <f t="shared" si="0"/>
        <v>674.24711111111117</v>
      </c>
      <c r="Y19" s="41">
        <f>+$B$43</f>
        <v>431.15789473684214</v>
      </c>
      <c r="Z19" s="29">
        <f t="shared" si="1"/>
        <v>638.76042105263161</v>
      </c>
      <c r="AA19" s="41"/>
      <c r="AB19" s="29"/>
      <c r="AC19" s="41"/>
      <c r="AD19" s="29"/>
      <c r="AE19" s="34">
        <f t="shared" si="2"/>
        <v>674.24711111111117</v>
      </c>
      <c r="AF19" s="34">
        <f t="shared" si="3"/>
        <v>638.76042105263161</v>
      </c>
      <c r="AG19" s="34"/>
      <c r="AH19" s="34"/>
      <c r="AJ19" s="42">
        <f t="shared" si="4"/>
        <v>-274.15971929824536</v>
      </c>
      <c r="AK19" s="42"/>
      <c r="AL19" s="42"/>
    </row>
    <row r="20" spans="1:38">
      <c r="A20" s="8"/>
      <c r="B20" s="29"/>
      <c r="C20" s="8"/>
      <c r="F20" s="22" t="s">
        <v>20</v>
      </c>
      <c r="G20" s="32">
        <f>+S28</f>
        <v>0</v>
      </c>
      <c r="H20" s="32">
        <f>+T28</f>
        <v>0</v>
      </c>
      <c r="I20" s="32"/>
      <c r="J20" s="32"/>
      <c r="N20" s="8">
        <v>13</v>
      </c>
      <c r="O20" s="29">
        <v>0</v>
      </c>
      <c r="P20" s="29">
        <v>0</v>
      </c>
      <c r="Q20" s="29"/>
      <c r="R20" s="29"/>
      <c r="S20" s="29">
        <v>0</v>
      </c>
      <c r="T20" s="29">
        <v>0</v>
      </c>
      <c r="U20" s="29"/>
      <c r="V20" s="29"/>
      <c r="W20" s="41">
        <f>+$B$42</f>
        <v>455.11111111111114</v>
      </c>
      <c r="X20" s="29">
        <f t="shared" si="0"/>
        <v>674.24711111111117</v>
      </c>
      <c r="Y20" s="41">
        <f>+$B$43</f>
        <v>431.15789473684214</v>
      </c>
      <c r="Z20" s="29">
        <f t="shared" si="1"/>
        <v>638.76042105263161</v>
      </c>
      <c r="AA20" s="41"/>
      <c r="AB20" s="29"/>
      <c r="AC20" s="41"/>
      <c r="AD20" s="29"/>
      <c r="AE20" s="34">
        <f t="shared" si="2"/>
        <v>674.24711111111117</v>
      </c>
      <c r="AF20" s="34">
        <f t="shared" si="3"/>
        <v>638.76042105263161</v>
      </c>
      <c r="AG20" s="34"/>
      <c r="AH20" s="34"/>
      <c r="AJ20" s="42">
        <f t="shared" si="4"/>
        <v>-238.67302923976581</v>
      </c>
      <c r="AK20" s="42"/>
      <c r="AL20" s="42"/>
    </row>
    <row r="21" spans="1:38">
      <c r="A21" s="8"/>
      <c r="B21" s="29"/>
      <c r="C21" s="8"/>
      <c r="G21" s="30"/>
      <c r="H21" s="30"/>
      <c r="I21" s="30"/>
      <c r="J21" s="30"/>
      <c r="N21" s="8">
        <v>14</v>
      </c>
      <c r="O21" s="29">
        <v>0</v>
      </c>
      <c r="P21" s="29">
        <v>0</v>
      </c>
      <c r="Q21" s="29"/>
      <c r="R21" s="29"/>
      <c r="S21" s="29">
        <v>0</v>
      </c>
      <c r="T21" s="29">
        <v>0</v>
      </c>
      <c r="U21" s="29"/>
      <c r="V21" s="29"/>
      <c r="W21" s="41">
        <f>+$B$42</f>
        <v>455.11111111111114</v>
      </c>
      <c r="X21" s="29">
        <f t="shared" si="0"/>
        <v>674.24711111111117</v>
      </c>
      <c r="Y21" s="41">
        <f>+$B$43</f>
        <v>431.15789473684214</v>
      </c>
      <c r="Z21" s="29">
        <f t="shared" si="1"/>
        <v>638.76042105263161</v>
      </c>
      <c r="AA21" s="41"/>
      <c r="AB21" s="29"/>
      <c r="AC21" s="41"/>
      <c r="AD21" s="29"/>
      <c r="AE21" s="34">
        <f t="shared" si="2"/>
        <v>674.24711111111117</v>
      </c>
      <c r="AF21" s="34">
        <f t="shared" si="3"/>
        <v>638.76042105263161</v>
      </c>
      <c r="AG21" s="34"/>
      <c r="AH21" s="34"/>
      <c r="AJ21" s="42">
        <f t="shared" si="4"/>
        <v>-203.18633918128626</v>
      </c>
      <c r="AK21" s="42"/>
      <c r="AL21" s="42"/>
    </row>
    <row r="22" spans="1:38">
      <c r="A22" s="8"/>
      <c r="B22" s="29"/>
      <c r="C22" s="8"/>
      <c r="F22" s="23" t="s">
        <v>45</v>
      </c>
      <c r="G22" s="33">
        <f>+X28</f>
        <v>10113.706666666667</v>
      </c>
      <c r="H22" s="33">
        <f>+Z28</f>
        <v>9581.4063157894743</v>
      </c>
      <c r="I22" s="33"/>
      <c r="J22" s="33"/>
      <c r="N22" s="50">
        <v>15</v>
      </c>
      <c r="O22" s="51">
        <v>0</v>
      </c>
      <c r="P22" s="51">
        <v>0</v>
      </c>
      <c r="Q22" s="51"/>
      <c r="R22" s="51"/>
      <c r="S22" s="51"/>
      <c r="T22" s="51"/>
      <c r="U22" s="51"/>
      <c r="V22" s="51"/>
      <c r="W22" s="52">
        <f>+$B$42</f>
        <v>455.11111111111114</v>
      </c>
      <c r="X22" s="51">
        <f t="shared" si="0"/>
        <v>674.24711111111117</v>
      </c>
      <c r="Y22" s="52">
        <f>+$B$43</f>
        <v>431.15789473684214</v>
      </c>
      <c r="Z22" s="51">
        <f t="shared" si="1"/>
        <v>638.76042105263161</v>
      </c>
      <c r="AA22" s="52"/>
      <c r="AB22" s="51"/>
      <c r="AC22" s="52"/>
      <c r="AD22" s="51"/>
      <c r="AE22" s="51">
        <f t="shared" si="2"/>
        <v>674.24711111111117</v>
      </c>
      <c r="AF22" s="51">
        <f t="shared" si="3"/>
        <v>638.76042105263161</v>
      </c>
      <c r="AG22" s="51"/>
      <c r="AH22" s="51"/>
      <c r="AI22" s="53"/>
      <c r="AJ22" s="54">
        <f t="shared" si="4"/>
        <v>-167.6996491228067</v>
      </c>
      <c r="AK22" s="54"/>
      <c r="AL22" s="54"/>
    </row>
    <row r="23" spans="1:38">
      <c r="A23" s="8"/>
      <c r="B23" s="29"/>
      <c r="C23" s="8"/>
      <c r="G23" s="30"/>
      <c r="H23" s="30"/>
      <c r="I23" s="30"/>
      <c r="J23" s="30"/>
      <c r="N23" s="8">
        <v>16</v>
      </c>
      <c r="O23" s="29"/>
      <c r="P23" s="29"/>
      <c r="Q23" s="29"/>
      <c r="R23" s="29"/>
      <c r="S23" s="29"/>
      <c r="T23" s="29"/>
      <c r="U23" s="29"/>
      <c r="V23" s="29"/>
      <c r="W23" s="41"/>
      <c r="X23" s="29"/>
      <c r="Y23" s="41"/>
      <c r="Z23" s="29"/>
      <c r="AA23" s="41"/>
      <c r="AB23" s="29"/>
      <c r="AC23" s="41"/>
      <c r="AD23" s="29"/>
      <c r="AE23" s="34"/>
      <c r="AF23" s="34"/>
      <c r="AG23" s="34"/>
      <c r="AH23" s="34"/>
      <c r="AJ23" s="42"/>
      <c r="AK23" s="42"/>
      <c r="AL23" s="42"/>
    </row>
    <row r="24" spans="1:38">
      <c r="A24" s="8"/>
      <c r="B24" s="29"/>
      <c r="C24" s="8"/>
      <c r="F24" s="24" t="s">
        <v>46</v>
      </c>
      <c r="G24" s="34">
        <v>0</v>
      </c>
      <c r="H24" s="34">
        <v>0</v>
      </c>
      <c r="I24" s="34"/>
      <c r="J24" s="34"/>
      <c r="N24" s="8">
        <v>17</v>
      </c>
      <c r="O24" s="29"/>
      <c r="P24" s="29"/>
      <c r="Q24" s="29"/>
      <c r="R24" s="29"/>
      <c r="S24" s="29"/>
      <c r="T24" s="29"/>
      <c r="U24" s="29"/>
      <c r="V24" s="29"/>
      <c r="W24" s="41"/>
      <c r="X24" s="29"/>
      <c r="Y24" s="41"/>
      <c r="Z24" s="29"/>
      <c r="AA24" s="41"/>
      <c r="AB24" s="29"/>
      <c r="AC24" s="41"/>
      <c r="AD24" s="29"/>
      <c r="AE24" s="34"/>
      <c r="AF24" s="34"/>
      <c r="AG24" s="34"/>
      <c r="AH24" s="34"/>
      <c r="AJ24" s="42"/>
      <c r="AK24" s="42"/>
      <c r="AL24" s="42"/>
    </row>
    <row r="25" spans="1:38">
      <c r="A25" s="8"/>
      <c r="B25" s="29"/>
      <c r="C25" s="8"/>
      <c r="F25" s="8" t="s">
        <v>47</v>
      </c>
      <c r="G25" s="29"/>
      <c r="H25" s="29"/>
      <c r="I25" s="29"/>
      <c r="J25" s="29"/>
      <c r="N25" s="8">
        <v>18</v>
      </c>
      <c r="O25" s="29"/>
      <c r="P25" s="29"/>
      <c r="Q25" s="29"/>
      <c r="R25" s="29"/>
      <c r="S25" s="29"/>
      <c r="T25" s="29"/>
      <c r="U25" s="29"/>
      <c r="V25" s="29"/>
      <c r="W25" s="41"/>
      <c r="X25" s="29"/>
      <c r="Y25" s="41"/>
      <c r="Z25" s="29"/>
      <c r="AA25" s="41"/>
      <c r="AB25" s="29"/>
      <c r="AC25" s="41"/>
      <c r="AD25" s="29"/>
      <c r="AE25" s="34"/>
      <c r="AF25" s="34"/>
      <c r="AG25" s="34"/>
      <c r="AH25" s="34"/>
      <c r="AJ25" s="42"/>
      <c r="AK25" s="42"/>
      <c r="AL25" s="42"/>
    </row>
    <row r="26" spans="1:38">
      <c r="F26" s="8" t="s">
        <v>48</v>
      </c>
      <c r="G26" s="29"/>
      <c r="H26" s="29"/>
      <c r="I26" s="29"/>
      <c r="J26" s="29"/>
      <c r="N26" s="8">
        <v>19</v>
      </c>
      <c r="O26" s="29"/>
      <c r="P26" s="29"/>
      <c r="Q26" s="29"/>
      <c r="R26" s="29"/>
      <c r="S26" s="29"/>
      <c r="T26" s="29"/>
      <c r="U26" s="29"/>
      <c r="V26" s="29"/>
      <c r="W26" s="41"/>
      <c r="X26" s="29"/>
      <c r="Y26" s="41"/>
      <c r="Z26" s="29"/>
      <c r="AA26" s="41"/>
      <c r="AB26" s="29"/>
      <c r="AC26" s="41"/>
      <c r="AD26" s="29"/>
      <c r="AE26" s="34"/>
      <c r="AF26" s="34"/>
      <c r="AG26" s="34"/>
      <c r="AH26" s="34"/>
      <c r="AJ26" s="42"/>
      <c r="AK26" s="42"/>
      <c r="AL26" s="42"/>
    </row>
    <row r="27" spans="1:38">
      <c r="G27" s="35"/>
      <c r="H27" s="35"/>
      <c r="I27" s="35"/>
      <c r="J27" s="35"/>
      <c r="N27" s="8">
        <v>20</v>
      </c>
      <c r="O27" s="29"/>
      <c r="P27" s="29"/>
      <c r="Q27" s="29"/>
      <c r="R27" s="29"/>
      <c r="S27" s="29"/>
      <c r="T27" s="29"/>
      <c r="U27" s="29"/>
      <c r="V27" s="29"/>
      <c r="W27" s="41"/>
      <c r="X27" s="29"/>
      <c r="Y27" s="41"/>
      <c r="Z27" s="29"/>
      <c r="AA27" s="41"/>
      <c r="AB27" s="29"/>
      <c r="AC27" s="41"/>
      <c r="AD27" s="29"/>
      <c r="AE27" s="34"/>
      <c r="AF27" s="34"/>
      <c r="AG27" s="34"/>
      <c r="AH27" s="34"/>
      <c r="AJ27" s="42"/>
      <c r="AK27" s="42"/>
      <c r="AL27" s="42"/>
    </row>
    <row r="28" spans="1:38" ht="18.75">
      <c r="A28" s="55" t="s">
        <v>59</v>
      </c>
      <c r="B28" s="56"/>
      <c r="C28" s="57"/>
      <c r="F28" s="19" t="s">
        <v>49</v>
      </c>
      <c r="G28" s="29">
        <f>+G10+G18+G20+G22+G24</f>
        <v>14263.706666666667</v>
      </c>
      <c r="H28" s="29">
        <f>+H10+H18+H20+H22+H24</f>
        <v>14431.406315789474</v>
      </c>
      <c r="I28" s="29">
        <f t="shared" ref="I28:K28" si="5">+I24+I22+I20+I18+I10</f>
        <v>0</v>
      </c>
      <c r="J28" s="29">
        <f t="shared" si="5"/>
        <v>0</v>
      </c>
      <c r="N28" s="38" t="s">
        <v>50</v>
      </c>
      <c r="O28" s="29">
        <f>SUM(O8:O27)</f>
        <v>0</v>
      </c>
      <c r="P28" s="29">
        <f t="shared" ref="P28:AD28" si="6">SUM(P8:P27)</f>
        <v>0</v>
      </c>
      <c r="Q28" s="29">
        <f t="shared" si="6"/>
        <v>0</v>
      </c>
      <c r="R28" s="29">
        <f t="shared" si="6"/>
        <v>0</v>
      </c>
      <c r="S28" s="29">
        <f t="shared" si="6"/>
        <v>0</v>
      </c>
      <c r="T28" s="29">
        <f t="shared" si="6"/>
        <v>0</v>
      </c>
      <c r="U28" s="29">
        <f t="shared" si="6"/>
        <v>0</v>
      </c>
      <c r="V28" s="29">
        <f t="shared" si="6"/>
        <v>0</v>
      </c>
      <c r="W28" s="41">
        <f t="shared" si="6"/>
        <v>6826.6666666666688</v>
      </c>
      <c r="X28" s="29">
        <f t="shared" si="6"/>
        <v>10113.706666666667</v>
      </c>
      <c r="Y28" s="41">
        <f t="shared" si="6"/>
        <v>6467.3684210526344</v>
      </c>
      <c r="Z28" s="29">
        <f t="shared" si="6"/>
        <v>9581.4063157894743</v>
      </c>
      <c r="AA28" s="41">
        <f t="shared" si="6"/>
        <v>0</v>
      </c>
      <c r="AB28" s="29">
        <f t="shared" si="6"/>
        <v>0</v>
      </c>
      <c r="AC28" s="41">
        <f t="shared" si="6"/>
        <v>0</v>
      </c>
      <c r="AD28" s="29">
        <f t="shared" si="6"/>
        <v>0</v>
      </c>
      <c r="AE28" s="35"/>
      <c r="AF28" s="40"/>
    </row>
    <row r="29" spans="1:38">
      <c r="A29" s="8" t="s">
        <v>60</v>
      </c>
      <c r="B29" s="58">
        <v>0.8</v>
      </c>
      <c r="C29" s="8" t="s">
        <v>61</v>
      </c>
      <c r="F29" s="59" t="s">
        <v>62</v>
      </c>
      <c r="H29" s="60">
        <f>+G28-H28</f>
        <v>-167.69964912280739</v>
      </c>
    </row>
    <row r="30" spans="1:38">
      <c r="A30" s="8" t="s">
        <v>63</v>
      </c>
      <c r="B30" s="8">
        <v>512</v>
      </c>
      <c r="C30" s="8" t="s">
        <v>64</v>
      </c>
      <c r="F30" s="59" t="s">
        <v>65</v>
      </c>
      <c r="H30" s="16" t="s">
        <v>66</v>
      </c>
    </row>
    <row r="31" spans="1:38">
      <c r="A31" s="8" t="s">
        <v>67</v>
      </c>
      <c r="B31" s="58">
        <v>0.9</v>
      </c>
      <c r="C31" s="8" t="s">
        <v>61</v>
      </c>
    </row>
    <row r="32" spans="1:38">
      <c r="A32" s="8" t="s">
        <v>68</v>
      </c>
      <c r="B32" s="8">
        <v>0.95</v>
      </c>
      <c r="C32" s="8" t="s">
        <v>61</v>
      </c>
    </row>
    <row r="33" spans="1:10">
      <c r="A33" s="8" t="s">
        <v>69</v>
      </c>
      <c r="B33" s="61">
        <v>4100</v>
      </c>
      <c r="C33" s="8" t="s">
        <v>70</v>
      </c>
      <c r="F33" s="131"/>
      <c r="G33" s="131"/>
      <c r="H33" s="131"/>
      <c r="I33" s="131"/>
      <c r="J33" s="131"/>
    </row>
    <row r="34" spans="1:10">
      <c r="A34" s="8" t="s">
        <v>71</v>
      </c>
      <c r="B34" s="61">
        <v>4900</v>
      </c>
      <c r="C34" s="8" t="s">
        <v>70</v>
      </c>
    </row>
    <row r="35" spans="1:10">
      <c r="A35" s="8" t="s">
        <v>72</v>
      </c>
      <c r="B35" s="61">
        <v>350</v>
      </c>
      <c r="C35" s="8" t="s">
        <v>70</v>
      </c>
      <c r="G35" s="62"/>
      <c r="H35" s="62"/>
      <c r="I35" s="62"/>
      <c r="J35" s="62"/>
    </row>
    <row r="36" spans="1:10">
      <c r="A36" s="8" t="s">
        <v>73</v>
      </c>
      <c r="B36" s="8"/>
      <c r="C36" s="8"/>
      <c r="G36" s="40"/>
      <c r="H36" s="40"/>
      <c r="I36" s="40"/>
      <c r="J36" s="40"/>
    </row>
    <row r="37" spans="1:10">
      <c r="A37" s="63" t="s">
        <v>74</v>
      </c>
      <c r="B37" s="8"/>
      <c r="C37" s="8"/>
      <c r="G37" s="40"/>
      <c r="H37" s="40"/>
      <c r="I37" s="40"/>
      <c r="J37" s="40"/>
    </row>
    <row r="38" spans="1:10">
      <c r="A38" s="8" t="s">
        <v>75</v>
      </c>
      <c r="B38" s="64">
        <v>-300</v>
      </c>
      <c r="C38" s="8" t="s">
        <v>76</v>
      </c>
      <c r="G38" s="40"/>
      <c r="H38" s="40"/>
      <c r="I38" s="40"/>
      <c r="J38" s="40"/>
    </row>
    <row r="39" spans="1:10">
      <c r="A39" s="8" t="s">
        <v>77</v>
      </c>
      <c r="B39" s="64">
        <v>-400</v>
      </c>
      <c r="C39" s="8" t="s">
        <v>76</v>
      </c>
      <c r="G39" s="40"/>
      <c r="H39" s="40"/>
      <c r="I39" s="40"/>
      <c r="J39" s="40"/>
    </row>
    <row r="40" spans="1:10">
      <c r="A40" s="8"/>
      <c r="B40" s="8"/>
      <c r="C40" s="8"/>
      <c r="G40" s="40"/>
      <c r="H40" s="40"/>
      <c r="I40" s="40"/>
      <c r="J40" s="40"/>
    </row>
    <row r="41" spans="1:10">
      <c r="A41" s="8" t="s">
        <v>78</v>
      </c>
      <c r="B41" s="8">
        <f>+B30*B29</f>
        <v>409.6</v>
      </c>
      <c r="C41" s="8" t="s">
        <v>64</v>
      </c>
      <c r="G41" s="40"/>
      <c r="H41" s="40"/>
      <c r="I41" s="40"/>
      <c r="J41" s="40"/>
    </row>
    <row r="42" spans="1:10">
      <c r="A42" s="8" t="s">
        <v>79</v>
      </c>
      <c r="B42" s="65">
        <f>+B41/B31</f>
        <v>455.11111111111114</v>
      </c>
      <c r="C42" s="8" t="s">
        <v>64</v>
      </c>
      <c r="G42" s="40"/>
      <c r="H42" s="40"/>
      <c r="I42" s="40"/>
      <c r="J42" s="40"/>
    </row>
    <row r="43" spans="1:10">
      <c r="A43" s="8" t="s">
        <v>80</v>
      </c>
      <c r="B43" s="65">
        <f>+B41/B32</f>
        <v>431.15789473684214</v>
      </c>
      <c r="C43" s="8" t="s">
        <v>64</v>
      </c>
      <c r="F43" s="66"/>
      <c r="G43" s="40"/>
      <c r="H43" s="40"/>
      <c r="I43" s="40"/>
      <c r="J43" s="40"/>
    </row>
    <row r="44" spans="1:10">
      <c r="A44" s="8"/>
      <c r="B44" s="8"/>
      <c r="C44" s="8"/>
      <c r="G44" s="40"/>
      <c r="H44" s="40"/>
      <c r="I44" s="40"/>
      <c r="J44" s="40"/>
    </row>
    <row r="45" spans="1:10">
      <c r="A45" s="8" t="s">
        <v>81</v>
      </c>
      <c r="B45" s="67">
        <f>+B30*B8</f>
        <v>758.52800000000002</v>
      </c>
      <c r="C45" s="8"/>
      <c r="F45" s="66"/>
      <c r="G45" s="40"/>
      <c r="H45" s="40"/>
      <c r="I45" s="40"/>
      <c r="J45" s="40"/>
    </row>
    <row r="46" spans="1:10">
      <c r="A46" s="8" t="s">
        <v>82</v>
      </c>
      <c r="B46" s="67">
        <f>+X8</f>
        <v>674.24711111111117</v>
      </c>
      <c r="C46" s="8"/>
      <c r="G46" s="40"/>
      <c r="H46" s="40"/>
      <c r="I46" s="40"/>
      <c r="J46" s="40"/>
    </row>
    <row r="47" spans="1:10">
      <c r="A47" s="8" t="s">
        <v>83</v>
      </c>
      <c r="B47" s="67">
        <f>+Z8</f>
        <v>638.76042105263161</v>
      </c>
      <c r="C47" s="8"/>
      <c r="F47" s="66"/>
      <c r="G47" s="40"/>
      <c r="H47" s="40"/>
      <c r="I47" s="40"/>
      <c r="J47" s="40"/>
    </row>
    <row r="48" spans="1:10">
      <c r="A48" s="8"/>
      <c r="B48" s="8"/>
      <c r="C48" s="8"/>
      <c r="G48" s="40"/>
      <c r="H48" s="40"/>
      <c r="I48" s="40"/>
      <c r="J48" s="40"/>
    </row>
    <row r="49" spans="1:10">
      <c r="A49" s="8"/>
      <c r="B49" s="8"/>
      <c r="C49" s="8"/>
      <c r="F49" s="66"/>
      <c r="G49" s="40"/>
      <c r="H49" s="40"/>
      <c r="I49" s="40"/>
      <c r="J49" s="40"/>
    </row>
    <row r="50" spans="1:10">
      <c r="A50" s="8"/>
      <c r="B50" s="8"/>
      <c r="C50" s="8"/>
      <c r="G50" s="40"/>
      <c r="H50" s="40"/>
      <c r="I50" s="40"/>
      <c r="J50" s="40"/>
    </row>
    <row r="51" spans="1:10">
      <c r="A51" s="8"/>
      <c r="B51" s="8"/>
      <c r="C51" s="8"/>
      <c r="G51" s="40"/>
      <c r="H51" s="40"/>
      <c r="I51" s="40"/>
      <c r="J51" s="40"/>
    </row>
    <row r="52" spans="1:10">
      <c r="A52" s="8"/>
      <c r="B52" s="8"/>
      <c r="C52" s="8"/>
      <c r="G52" s="40"/>
      <c r="H52" s="40"/>
      <c r="I52" s="40"/>
      <c r="J52" s="40"/>
    </row>
    <row r="53" spans="1:10">
      <c r="A53" s="8"/>
      <c r="B53" s="8"/>
      <c r="C53" s="8"/>
      <c r="F53" s="59"/>
      <c r="G53" s="40"/>
      <c r="H53" s="40"/>
      <c r="I53" s="40"/>
      <c r="J53" s="40"/>
    </row>
    <row r="54" spans="1:10">
      <c r="A54" s="8"/>
      <c r="B54" s="8"/>
      <c r="C54" s="8"/>
    </row>
    <row r="55" spans="1:10">
      <c r="A55" s="8"/>
      <c r="B55" s="8"/>
      <c r="C55" s="8"/>
    </row>
  </sheetData>
  <mergeCells count="12">
    <mergeCell ref="AJ6:AL6"/>
    <mergeCell ref="F7:J7"/>
    <mergeCell ref="F33:J33"/>
    <mergeCell ref="O5:R6"/>
    <mergeCell ref="S5:V6"/>
    <mergeCell ref="W5:AD5"/>
    <mergeCell ref="AE5:AH5"/>
    <mergeCell ref="W6:X6"/>
    <mergeCell ref="Y6:Z6"/>
    <mergeCell ref="AA6:AB6"/>
    <mergeCell ref="AC6:AD6"/>
    <mergeCell ref="AE6:AH6"/>
  </mergeCells>
  <hyperlinks>
    <hyperlink ref="A37" r:id="rId1" xr:uid="{91353F08-65D8-4452-83F4-FABD5F6F4D9C}"/>
  </hyperlinks>
  <pageMargins left="0.7" right="0.7" top="0.75" bottom="0.75" header="0.3" footer="0.3"/>
  <pageSetup orientation="portrait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4A9D-214F-4428-AF0D-812778D24729}">
  <dimension ref="A2:AF54"/>
  <sheetViews>
    <sheetView topLeftCell="F9" zoomScale="78" zoomScaleNormal="78" workbookViewId="0">
      <selection activeCell="D40" sqref="D40"/>
    </sheetView>
  </sheetViews>
  <sheetFormatPr defaultRowHeight="15"/>
  <cols>
    <col min="1" max="1" width="35.28515625" customWidth="1"/>
    <col min="2" max="2" width="11.42578125" customWidth="1"/>
    <col min="3" max="5" width="11.140625" customWidth="1"/>
    <col min="6" max="6" width="32.85546875" customWidth="1"/>
    <col min="7" max="7" width="19.5703125" customWidth="1"/>
    <col min="8" max="8" width="23.5703125" customWidth="1"/>
    <col min="9" max="9" width="23.42578125" customWidth="1"/>
    <col min="14" max="26" width="13.7109375" customWidth="1"/>
    <col min="27" max="27" width="13" customWidth="1"/>
    <col min="28" max="28" width="13.5703125" customWidth="1"/>
    <col min="29" max="29" width="6.140625" customWidth="1"/>
    <col min="30" max="32" width="13.7109375" customWidth="1"/>
  </cols>
  <sheetData>
    <row r="2" spans="1:32">
      <c r="N2" s="27" t="s">
        <v>13</v>
      </c>
    </row>
    <row r="3" spans="1:32">
      <c r="N3" s="27"/>
      <c r="O3" s="27"/>
    </row>
    <row r="4" spans="1:32" ht="21">
      <c r="A4" s="25" t="s">
        <v>14</v>
      </c>
      <c r="F4" s="27" t="s">
        <v>15</v>
      </c>
      <c r="N4" s="39" t="s">
        <v>16</v>
      </c>
    </row>
    <row r="5" spans="1:32" ht="21" customHeight="1">
      <c r="A5" s="19" t="s">
        <v>17</v>
      </c>
      <c r="B5" s="8">
        <v>15</v>
      </c>
      <c r="F5" s="27" t="s">
        <v>18</v>
      </c>
      <c r="N5" s="119" t="s">
        <v>84</v>
      </c>
      <c r="O5" s="119"/>
      <c r="P5" s="119"/>
      <c r="Q5" s="118"/>
      <c r="R5" s="118"/>
      <c r="S5" s="118"/>
      <c r="T5" s="117" t="s">
        <v>21</v>
      </c>
      <c r="U5" s="117"/>
      <c r="V5" s="117"/>
      <c r="W5" s="117"/>
      <c r="X5" s="117"/>
      <c r="Y5" s="117"/>
      <c r="Z5" s="121"/>
      <c r="AA5" s="121"/>
      <c r="AB5" s="121"/>
    </row>
    <row r="6" spans="1:32" ht="23.25" customHeight="1">
      <c r="A6" s="19" t="s">
        <v>22</v>
      </c>
      <c r="B6" s="11">
        <f>+'Energy Information'!$B$6</f>
        <v>0.11</v>
      </c>
      <c r="N6" s="119"/>
      <c r="O6" s="119"/>
      <c r="P6" s="119"/>
      <c r="Q6" s="118"/>
      <c r="R6" s="118"/>
      <c r="S6" s="118"/>
      <c r="T6" s="128" t="s">
        <v>85</v>
      </c>
      <c r="U6" s="129"/>
      <c r="V6" s="124" t="s">
        <v>86</v>
      </c>
      <c r="W6" s="125"/>
      <c r="X6" s="124" t="s">
        <v>87</v>
      </c>
      <c r="Y6" s="125"/>
      <c r="Z6" s="122"/>
      <c r="AA6" s="122"/>
      <c r="AB6" s="122"/>
      <c r="AD6" s="123" t="s">
        <v>88</v>
      </c>
      <c r="AE6" s="123"/>
      <c r="AF6" s="123"/>
    </row>
    <row r="7" spans="1:32" ht="35.25" customHeight="1">
      <c r="A7" s="19" t="s">
        <v>5</v>
      </c>
      <c r="B7" s="12">
        <f>+'Energy Information'!$B$7</f>
        <v>0</v>
      </c>
      <c r="F7" s="126" t="s">
        <v>29</v>
      </c>
      <c r="G7" s="127"/>
      <c r="H7" s="127"/>
      <c r="I7" s="127"/>
      <c r="M7" s="19" t="s">
        <v>30</v>
      </c>
      <c r="N7" s="43" t="s">
        <v>85</v>
      </c>
      <c r="O7" s="43" t="s">
        <v>86</v>
      </c>
      <c r="P7" s="43" t="s">
        <v>87</v>
      </c>
      <c r="Q7" s="43" t="str">
        <f>+N7</f>
        <v>Nissan Leaf S (2022)</v>
      </c>
      <c r="R7" s="43" t="str">
        <f>+O7</f>
        <v>Chevrolet Bolt LT (2023)</v>
      </c>
      <c r="S7" s="26" t="str">
        <f>+P7</f>
        <v>Tesla Model 3 (2020)</v>
      </c>
      <c r="T7" s="26" t="s">
        <v>31</v>
      </c>
      <c r="U7" s="26" t="s">
        <v>32</v>
      </c>
      <c r="V7" s="26" t="s">
        <v>31</v>
      </c>
      <c r="W7" s="26" t="s">
        <v>32</v>
      </c>
      <c r="X7" s="26" t="s">
        <v>31</v>
      </c>
      <c r="Y7" s="26" t="s">
        <v>32</v>
      </c>
      <c r="Z7" s="78" t="s">
        <v>85</v>
      </c>
      <c r="AA7" s="43" t="s">
        <v>86</v>
      </c>
      <c r="AB7" s="43" t="s">
        <v>87</v>
      </c>
      <c r="AD7" s="43" t="s">
        <v>86</v>
      </c>
      <c r="AE7" s="43" t="s">
        <v>87</v>
      </c>
      <c r="AF7" s="43"/>
    </row>
    <row r="8" spans="1:32">
      <c r="A8" s="19" t="s">
        <v>33</v>
      </c>
      <c r="B8" s="13">
        <f>+'Energy Information'!$B$12</f>
        <v>1.4815</v>
      </c>
      <c r="M8" s="8">
        <v>1</v>
      </c>
      <c r="N8" s="29">
        <f>$B$18</f>
        <v>1440</v>
      </c>
      <c r="O8" s="29">
        <f>$B$17</f>
        <v>1440</v>
      </c>
      <c r="P8" s="29">
        <f>$B$16</f>
        <v>2580</v>
      </c>
      <c r="Q8" s="29">
        <v>0</v>
      </c>
      <c r="R8" s="29">
        <v>0</v>
      </c>
      <c r="S8" s="29">
        <v>0</v>
      </c>
      <c r="T8" s="41">
        <f>$B$40</f>
        <v>5464.864864864865</v>
      </c>
      <c r="U8" s="29">
        <f>+T8*$B$6</f>
        <v>601.1351351351351</v>
      </c>
      <c r="V8" s="41">
        <f>$B$39</f>
        <v>5274.782608695652</v>
      </c>
      <c r="W8" s="29">
        <f>+V8*$B$6</f>
        <v>580.22608695652173</v>
      </c>
      <c r="X8" s="41">
        <f>$B$38</f>
        <v>4666.1538461538466</v>
      </c>
      <c r="Y8" s="29">
        <f>+X8*$B$6</f>
        <v>513.27692307692314</v>
      </c>
      <c r="Z8" s="34">
        <f>+N8+Q8+U8</f>
        <v>2041.135135135135</v>
      </c>
      <c r="AA8" s="34">
        <f>+O8+R8+W8</f>
        <v>2020.2260869565216</v>
      </c>
      <c r="AB8" s="34">
        <f>+P8+S8+Y8</f>
        <v>3093.2769230769231</v>
      </c>
      <c r="AD8" s="42">
        <f>+(G10-H10)+(Z8-AA8)</f>
        <v>-2779.0909518213866</v>
      </c>
      <c r="AE8" s="42">
        <f>+(G10-I10)+(Z8-AB8)</f>
        <v>-5867.441787941787</v>
      </c>
      <c r="AF8" s="42"/>
    </row>
    <row r="9" spans="1:32">
      <c r="A9" s="19" t="s">
        <v>10</v>
      </c>
      <c r="B9" s="14">
        <f>+'Energy Information'!$B$13</f>
        <v>0</v>
      </c>
      <c r="G9" s="78" t="s">
        <v>85</v>
      </c>
      <c r="H9" s="43" t="s">
        <v>86</v>
      </c>
      <c r="I9" s="43" t="s">
        <v>87</v>
      </c>
      <c r="M9" s="8">
        <v>2</v>
      </c>
      <c r="N9" s="29">
        <f t="shared" ref="L9:P22" si="0">$B$18</f>
        <v>1440</v>
      </c>
      <c r="O9" s="29">
        <f t="shared" ref="O9:O22" si="1">$B$17</f>
        <v>1440</v>
      </c>
      <c r="P9" s="29">
        <f t="shared" ref="N9:P22" si="2">$B$16</f>
        <v>2580</v>
      </c>
      <c r="Q9" s="29">
        <v>0</v>
      </c>
      <c r="R9" s="29">
        <v>0</v>
      </c>
      <c r="S9" s="29">
        <v>0</v>
      </c>
      <c r="T9" s="41">
        <f t="shared" ref="T9:T22" si="3">$B$40</f>
        <v>5464.864864864865</v>
      </c>
      <c r="U9" s="29">
        <f t="shared" ref="U9:U22" si="4">+T9*$B$6</f>
        <v>601.1351351351351</v>
      </c>
      <c r="V9" s="41">
        <f t="shared" ref="V9:V22" si="5">$B$39</f>
        <v>5274.782608695652</v>
      </c>
      <c r="W9" s="29">
        <f t="shared" ref="W9:W22" si="6">+V9*$B$6</f>
        <v>580.22608695652173</v>
      </c>
      <c r="X9" s="41">
        <f t="shared" ref="X9:X22" si="7">$B$38</f>
        <v>4666.1538461538466</v>
      </c>
      <c r="Y9" s="29">
        <f t="shared" ref="Y9:Y22" si="8">+X9*$B$6</f>
        <v>513.27692307692314</v>
      </c>
      <c r="Z9" s="34">
        <f t="shared" ref="Z9:Z22" si="9">+N9+Q9+U9</f>
        <v>2041.135135135135</v>
      </c>
      <c r="AA9" s="34">
        <f t="shared" ref="AA9:AA22" si="10">+O9+R9+W9</f>
        <v>2020.2260869565216</v>
      </c>
      <c r="AB9" s="34">
        <f t="shared" ref="AB9:AB22" si="11">+P9+S9+Y9</f>
        <v>3093.2769230769231</v>
      </c>
      <c r="AD9" s="42">
        <f>+AD8+(Z9-AA9)</f>
        <v>-2758.1819036427732</v>
      </c>
      <c r="AE9" s="42">
        <f>+AE8+(Z9-AB9)</f>
        <v>-6919.5835758835747</v>
      </c>
      <c r="AF9" s="42"/>
    </row>
    <row r="10" spans="1:32">
      <c r="F10" s="20" t="s">
        <v>34</v>
      </c>
      <c r="G10" s="47">
        <f>SUM(G11:G16)</f>
        <v>6600</v>
      </c>
      <c r="H10" s="47">
        <f t="shared" ref="H10:I10" si="12">SUM(H11:H16)</f>
        <v>9400</v>
      </c>
      <c r="I10" s="47">
        <f>SUM(I11:I16)</f>
        <v>11415.3</v>
      </c>
      <c r="M10" s="8">
        <v>3</v>
      </c>
      <c r="N10" s="29">
        <f t="shared" si="0"/>
        <v>1440</v>
      </c>
      <c r="O10" s="29">
        <f t="shared" si="1"/>
        <v>1440</v>
      </c>
      <c r="P10" s="29">
        <f t="shared" si="2"/>
        <v>2580</v>
      </c>
      <c r="Q10" s="29">
        <v>0</v>
      </c>
      <c r="R10" s="29">
        <v>0</v>
      </c>
      <c r="S10" s="29">
        <v>0</v>
      </c>
      <c r="T10" s="41">
        <f t="shared" si="3"/>
        <v>5464.864864864865</v>
      </c>
      <c r="U10" s="29">
        <f t="shared" si="4"/>
        <v>601.1351351351351</v>
      </c>
      <c r="V10" s="41">
        <f t="shared" si="5"/>
        <v>5274.782608695652</v>
      </c>
      <c r="W10" s="29">
        <f t="shared" si="6"/>
        <v>580.22608695652173</v>
      </c>
      <c r="X10" s="41">
        <f t="shared" si="7"/>
        <v>4666.1538461538466</v>
      </c>
      <c r="Y10" s="29">
        <f t="shared" si="8"/>
        <v>513.27692307692314</v>
      </c>
      <c r="Z10" s="34">
        <f t="shared" si="9"/>
        <v>2041.135135135135</v>
      </c>
      <c r="AA10" s="34">
        <f t="shared" si="10"/>
        <v>2020.2260869565216</v>
      </c>
      <c r="AB10" s="34">
        <f t="shared" si="11"/>
        <v>3093.2769230769231</v>
      </c>
      <c r="AD10" s="42">
        <f t="shared" ref="AD10:AD22" si="13">+AD9+(Z10-AA10)</f>
        <v>-2737.2728554641599</v>
      </c>
      <c r="AE10" s="42">
        <f t="shared" ref="AE10:AE22" si="14">+AE9+(Z10-AB10)</f>
        <v>-7971.7253638253624</v>
      </c>
      <c r="AF10" s="42"/>
    </row>
    <row r="11" spans="1:32">
      <c r="F11" s="8" t="s">
        <v>35</v>
      </c>
      <c r="G11" s="29">
        <v>18000</v>
      </c>
      <c r="H11" s="29">
        <v>22000</v>
      </c>
      <c r="I11" s="29">
        <v>24879</v>
      </c>
      <c r="M11" s="8">
        <v>4</v>
      </c>
      <c r="N11" s="29">
        <f t="shared" si="0"/>
        <v>1440</v>
      </c>
      <c r="O11" s="29">
        <f t="shared" si="1"/>
        <v>1440</v>
      </c>
      <c r="P11" s="29">
        <f t="shared" si="2"/>
        <v>2580</v>
      </c>
      <c r="Q11" s="29">
        <v>0</v>
      </c>
      <c r="R11" s="29">
        <v>0</v>
      </c>
      <c r="S11" s="29">
        <v>0</v>
      </c>
      <c r="T11" s="41">
        <f t="shared" si="3"/>
        <v>5464.864864864865</v>
      </c>
      <c r="U11" s="29">
        <f t="shared" si="4"/>
        <v>601.1351351351351</v>
      </c>
      <c r="V11" s="41">
        <f t="shared" si="5"/>
        <v>5274.782608695652</v>
      </c>
      <c r="W11" s="29">
        <f t="shared" si="6"/>
        <v>580.22608695652173</v>
      </c>
      <c r="X11" s="41">
        <f t="shared" si="7"/>
        <v>4666.1538461538466</v>
      </c>
      <c r="Y11" s="29">
        <f t="shared" si="8"/>
        <v>513.27692307692314</v>
      </c>
      <c r="Z11" s="34">
        <f t="shared" si="9"/>
        <v>2041.135135135135</v>
      </c>
      <c r="AA11" s="34">
        <f t="shared" si="10"/>
        <v>2020.2260869565216</v>
      </c>
      <c r="AB11" s="34">
        <f t="shared" si="11"/>
        <v>3093.2769230769231</v>
      </c>
      <c r="AD11" s="42">
        <f t="shared" si="13"/>
        <v>-2716.3638072855465</v>
      </c>
      <c r="AE11" s="42">
        <f t="shared" si="14"/>
        <v>-9023.8671517671501</v>
      </c>
      <c r="AF11" s="42"/>
    </row>
    <row r="12" spans="1:32" ht="18.75">
      <c r="A12" s="36" t="s">
        <v>36</v>
      </c>
      <c r="B12" s="37" t="s">
        <v>37</v>
      </c>
      <c r="C12" s="26" t="s">
        <v>38</v>
      </c>
      <c r="F12" s="8" t="s">
        <v>39</v>
      </c>
      <c r="G12" s="29"/>
      <c r="H12" s="29"/>
      <c r="I12" s="29"/>
      <c r="M12" s="8">
        <v>5</v>
      </c>
      <c r="N12" s="29">
        <f>$B$18</f>
        <v>1440</v>
      </c>
      <c r="O12" s="29">
        <f>$B$17</f>
        <v>1440</v>
      </c>
      <c r="P12" s="29">
        <f t="shared" si="2"/>
        <v>2580</v>
      </c>
      <c r="Q12" s="29">
        <f>+$B$20</f>
        <v>8000</v>
      </c>
      <c r="R12" s="29">
        <f>+$B$19</f>
        <v>16500</v>
      </c>
      <c r="S12" s="29">
        <v>0</v>
      </c>
      <c r="T12" s="41">
        <f t="shared" si="3"/>
        <v>5464.864864864865</v>
      </c>
      <c r="U12" s="29">
        <f t="shared" si="4"/>
        <v>601.1351351351351</v>
      </c>
      <c r="V12" s="41">
        <f t="shared" si="5"/>
        <v>5274.782608695652</v>
      </c>
      <c r="W12" s="29">
        <f t="shared" si="6"/>
        <v>580.22608695652173</v>
      </c>
      <c r="X12" s="41">
        <f t="shared" si="7"/>
        <v>4666.1538461538466</v>
      </c>
      <c r="Y12" s="29">
        <f t="shared" si="8"/>
        <v>513.27692307692314</v>
      </c>
      <c r="Z12" s="34">
        <f t="shared" si="9"/>
        <v>10041.135135135135</v>
      </c>
      <c r="AA12" s="34">
        <f t="shared" si="10"/>
        <v>18520.226086956522</v>
      </c>
      <c r="AB12" s="34">
        <f t="shared" si="11"/>
        <v>3093.2769230769231</v>
      </c>
      <c r="AD12" s="42">
        <f t="shared" si="13"/>
        <v>-11195.454759106933</v>
      </c>
      <c r="AE12" s="42">
        <f t="shared" si="14"/>
        <v>-2076.0089397089378</v>
      </c>
      <c r="AF12" s="42"/>
    </row>
    <row r="13" spans="1:32">
      <c r="A13" s="8" t="s">
        <v>89</v>
      </c>
      <c r="B13" s="29">
        <v>45</v>
      </c>
      <c r="C13" s="8" t="s">
        <v>90</v>
      </c>
      <c r="F13" s="8"/>
      <c r="G13" s="29"/>
      <c r="H13" s="29"/>
      <c r="I13" s="29"/>
      <c r="M13" s="8">
        <v>6</v>
      </c>
      <c r="N13" s="29">
        <f t="shared" si="0"/>
        <v>1440</v>
      </c>
      <c r="O13" s="29">
        <f t="shared" si="1"/>
        <v>1440</v>
      </c>
      <c r="P13" s="29">
        <f t="shared" si="2"/>
        <v>2580</v>
      </c>
      <c r="Q13" s="29">
        <v>0</v>
      </c>
      <c r="R13" s="29">
        <v>0</v>
      </c>
      <c r="S13" s="29">
        <v>0</v>
      </c>
      <c r="T13" s="41">
        <f t="shared" si="3"/>
        <v>5464.864864864865</v>
      </c>
      <c r="U13" s="29">
        <f t="shared" si="4"/>
        <v>601.1351351351351</v>
      </c>
      <c r="V13" s="41">
        <f t="shared" si="5"/>
        <v>5274.782608695652</v>
      </c>
      <c r="W13" s="29">
        <f t="shared" si="6"/>
        <v>580.22608695652173</v>
      </c>
      <c r="X13" s="41">
        <f t="shared" si="7"/>
        <v>4666.1538461538466</v>
      </c>
      <c r="Y13" s="29">
        <f t="shared" si="8"/>
        <v>513.27692307692314</v>
      </c>
      <c r="Z13" s="34">
        <f t="shared" si="9"/>
        <v>2041.135135135135</v>
      </c>
      <c r="AA13" s="34">
        <f t="shared" si="10"/>
        <v>2020.2260869565216</v>
      </c>
      <c r="AB13" s="34">
        <f t="shared" si="11"/>
        <v>3093.2769230769231</v>
      </c>
      <c r="AD13" s="42">
        <f t="shared" si="13"/>
        <v>-11174.54571092832</v>
      </c>
      <c r="AE13" s="42">
        <f t="shared" si="14"/>
        <v>-3128.1507276507259</v>
      </c>
      <c r="AF13" s="42"/>
    </row>
    <row r="14" spans="1:32">
      <c r="A14" s="8" t="s">
        <v>91</v>
      </c>
      <c r="B14" s="29">
        <v>1800</v>
      </c>
      <c r="C14" s="8">
        <v>3</v>
      </c>
      <c r="F14" s="8"/>
      <c r="G14" s="29"/>
      <c r="H14" s="29"/>
      <c r="I14" s="29"/>
      <c r="M14" s="8">
        <v>7</v>
      </c>
      <c r="N14" s="29">
        <f t="shared" si="0"/>
        <v>1440</v>
      </c>
      <c r="O14" s="29">
        <f t="shared" si="1"/>
        <v>1440</v>
      </c>
      <c r="P14" s="29">
        <f t="shared" si="2"/>
        <v>2580</v>
      </c>
      <c r="Q14" s="29">
        <v>0</v>
      </c>
      <c r="R14" s="29">
        <v>0</v>
      </c>
      <c r="S14" s="29">
        <v>0</v>
      </c>
      <c r="T14" s="41">
        <f t="shared" si="3"/>
        <v>5464.864864864865</v>
      </c>
      <c r="U14" s="29">
        <f t="shared" si="4"/>
        <v>601.1351351351351</v>
      </c>
      <c r="V14" s="41">
        <f t="shared" si="5"/>
        <v>5274.782608695652</v>
      </c>
      <c r="W14" s="29">
        <f t="shared" si="6"/>
        <v>580.22608695652173</v>
      </c>
      <c r="X14" s="41">
        <f t="shared" si="7"/>
        <v>4666.1538461538466</v>
      </c>
      <c r="Y14" s="29">
        <f t="shared" si="8"/>
        <v>513.27692307692314</v>
      </c>
      <c r="Z14" s="34">
        <f t="shared" si="9"/>
        <v>2041.135135135135</v>
      </c>
      <c r="AA14" s="34">
        <f t="shared" si="10"/>
        <v>2020.2260869565216</v>
      </c>
      <c r="AB14" s="34">
        <f t="shared" si="11"/>
        <v>3093.2769230769231</v>
      </c>
      <c r="AD14" s="42">
        <f t="shared" si="13"/>
        <v>-11153.636662749706</v>
      </c>
      <c r="AE14" s="42">
        <f t="shared" si="14"/>
        <v>-4180.2925155925141</v>
      </c>
      <c r="AF14" s="42"/>
    </row>
    <row r="15" spans="1:32">
      <c r="A15" s="8" t="s">
        <v>92</v>
      </c>
      <c r="B15" s="29">
        <v>900</v>
      </c>
      <c r="C15" s="8" t="s">
        <v>90</v>
      </c>
      <c r="F15" s="8" t="s">
        <v>93</v>
      </c>
      <c r="G15" s="29">
        <f t="shared" ref="G15:J15" si="15">$B$32</f>
        <v>-6000</v>
      </c>
      <c r="H15" s="29">
        <f t="shared" si="15"/>
        <v>-6000</v>
      </c>
      <c r="I15" s="29">
        <f>$B$32</f>
        <v>-6000</v>
      </c>
      <c r="M15" s="8">
        <v>8</v>
      </c>
      <c r="N15" s="29">
        <f t="shared" si="0"/>
        <v>1440</v>
      </c>
      <c r="O15" s="29">
        <f t="shared" si="1"/>
        <v>1440</v>
      </c>
      <c r="P15" s="29">
        <f t="shared" si="2"/>
        <v>2580</v>
      </c>
      <c r="Q15" s="29">
        <v>0</v>
      </c>
      <c r="R15" s="29">
        <v>0</v>
      </c>
      <c r="S15" s="29">
        <v>0</v>
      </c>
      <c r="T15" s="41">
        <f t="shared" si="3"/>
        <v>5464.864864864865</v>
      </c>
      <c r="U15" s="29">
        <f t="shared" si="4"/>
        <v>601.1351351351351</v>
      </c>
      <c r="V15" s="41">
        <f t="shared" si="5"/>
        <v>5274.782608695652</v>
      </c>
      <c r="W15" s="29">
        <f t="shared" si="6"/>
        <v>580.22608695652173</v>
      </c>
      <c r="X15" s="41">
        <f t="shared" si="7"/>
        <v>4666.1538461538466</v>
      </c>
      <c r="Y15" s="29">
        <f t="shared" si="8"/>
        <v>513.27692307692314</v>
      </c>
      <c r="Z15" s="34">
        <f t="shared" si="9"/>
        <v>2041.135135135135</v>
      </c>
      <c r="AA15" s="34">
        <f t="shared" si="10"/>
        <v>2020.2260869565216</v>
      </c>
      <c r="AB15" s="34">
        <f t="shared" si="11"/>
        <v>3093.2769230769231</v>
      </c>
      <c r="AD15" s="42">
        <f t="shared" si="13"/>
        <v>-11132.727614571093</v>
      </c>
      <c r="AE15" s="42">
        <f t="shared" si="14"/>
        <v>-5232.4343035343027</v>
      </c>
      <c r="AF15" s="42"/>
    </row>
    <row r="16" spans="1:32">
      <c r="A16" s="8" t="s">
        <v>94</v>
      </c>
      <c r="B16" s="29">
        <v>2580</v>
      </c>
      <c r="C16" s="8"/>
      <c r="F16" s="8" t="s">
        <v>95</v>
      </c>
      <c r="G16" s="29">
        <f>-B42</f>
        <v>-5400</v>
      </c>
      <c r="H16" s="29">
        <f>-B43</f>
        <v>-6600</v>
      </c>
      <c r="I16" s="29">
        <f>-B44</f>
        <v>-7463.7</v>
      </c>
      <c r="M16" s="8">
        <v>9</v>
      </c>
      <c r="N16" s="29">
        <f t="shared" si="0"/>
        <v>1440</v>
      </c>
      <c r="O16" s="29">
        <f t="shared" si="1"/>
        <v>1440</v>
      </c>
      <c r="P16" s="29">
        <f t="shared" si="2"/>
        <v>2580</v>
      </c>
      <c r="Q16" s="29">
        <v>0</v>
      </c>
      <c r="R16" s="29">
        <v>0</v>
      </c>
      <c r="S16" s="29">
        <v>0</v>
      </c>
      <c r="T16" s="41">
        <f t="shared" si="3"/>
        <v>5464.864864864865</v>
      </c>
      <c r="U16" s="29">
        <f t="shared" si="4"/>
        <v>601.1351351351351</v>
      </c>
      <c r="V16" s="41">
        <f t="shared" si="5"/>
        <v>5274.782608695652</v>
      </c>
      <c r="W16" s="29">
        <f t="shared" si="6"/>
        <v>580.22608695652173</v>
      </c>
      <c r="X16" s="41">
        <f t="shared" si="7"/>
        <v>4666.1538461538466</v>
      </c>
      <c r="Y16" s="29">
        <f t="shared" si="8"/>
        <v>513.27692307692314</v>
      </c>
      <c r="Z16" s="34">
        <f t="shared" si="9"/>
        <v>2041.135135135135</v>
      </c>
      <c r="AA16" s="34">
        <f t="shared" si="10"/>
        <v>2020.2260869565216</v>
      </c>
      <c r="AB16" s="34">
        <f t="shared" si="11"/>
        <v>3093.2769230769231</v>
      </c>
      <c r="AD16" s="42">
        <f t="shared" si="13"/>
        <v>-11111.81856639248</v>
      </c>
      <c r="AE16" s="42">
        <f t="shared" si="14"/>
        <v>-6284.5760914760904</v>
      </c>
      <c r="AF16" s="42"/>
    </row>
    <row r="17" spans="1:32">
      <c r="A17" s="8" t="s">
        <v>96</v>
      </c>
      <c r="B17" s="29">
        <v>1440</v>
      </c>
      <c r="C17" s="8"/>
      <c r="G17" s="30"/>
      <c r="H17" s="30"/>
      <c r="I17" s="30"/>
      <c r="M17" s="8">
        <v>10</v>
      </c>
      <c r="N17" s="29">
        <f>$B$18</f>
        <v>1440</v>
      </c>
      <c r="O17" s="29">
        <f>$B$17</f>
        <v>1440</v>
      </c>
      <c r="P17" s="29">
        <f t="shared" si="2"/>
        <v>2580</v>
      </c>
      <c r="Q17" s="29">
        <f>+$B$20</f>
        <v>8000</v>
      </c>
      <c r="R17" s="29">
        <f>$B$19</f>
        <v>16500</v>
      </c>
      <c r="S17" s="29">
        <v>0</v>
      </c>
      <c r="T17" s="41">
        <f t="shared" si="3"/>
        <v>5464.864864864865</v>
      </c>
      <c r="U17" s="29">
        <f t="shared" si="4"/>
        <v>601.1351351351351</v>
      </c>
      <c r="V17" s="41">
        <f t="shared" si="5"/>
        <v>5274.782608695652</v>
      </c>
      <c r="W17" s="29">
        <f t="shared" si="6"/>
        <v>580.22608695652173</v>
      </c>
      <c r="X17" s="41">
        <f t="shared" si="7"/>
        <v>4666.1538461538466</v>
      </c>
      <c r="Y17" s="29">
        <f t="shared" si="8"/>
        <v>513.27692307692314</v>
      </c>
      <c r="Z17" s="34">
        <f t="shared" si="9"/>
        <v>10041.135135135135</v>
      </c>
      <c r="AA17" s="34">
        <f t="shared" si="10"/>
        <v>18520.226086956522</v>
      </c>
      <c r="AB17" s="34">
        <f t="shared" si="11"/>
        <v>3093.2769230769231</v>
      </c>
      <c r="AD17" s="42">
        <f t="shared" si="13"/>
        <v>-19590.909518213866</v>
      </c>
      <c r="AE17" s="42">
        <f t="shared" si="14"/>
        <v>663.28212058212193</v>
      </c>
      <c r="AF17" s="42"/>
    </row>
    <row r="18" spans="1:32">
      <c r="A18" s="8" t="s">
        <v>97</v>
      </c>
      <c r="B18" s="29">
        <v>1440</v>
      </c>
      <c r="C18" s="8"/>
      <c r="F18" s="21" t="s">
        <v>44</v>
      </c>
      <c r="G18" s="31">
        <f t="shared" ref="G18:I18" si="16">+N28</f>
        <v>21600</v>
      </c>
      <c r="H18" s="31">
        <f t="shared" si="16"/>
        <v>21600</v>
      </c>
      <c r="I18" s="31">
        <f t="shared" si="16"/>
        <v>38700</v>
      </c>
      <c r="M18" s="8">
        <v>11</v>
      </c>
      <c r="N18" s="29">
        <f t="shared" si="0"/>
        <v>1440</v>
      </c>
      <c r="O18" s="29">
        <f t="shared" si="1"/>
        <v>1440</v>
      </c>
      <c r="P18" s="29">
        <f t="shared" si="2"/>
        <v>2580</v>
      </c>
      <c r="Q18" s="29">
        <v>0</v>
      </c>
      <c r="R18" s="29">
        <v>0</v>
      </c>
      <c r="S18" s="29">
        <v>0</v>
      </c>
      <c r="T18" s="41">
        <f t="shared" si="3"/>
        <v>5464.864864864865</v>
      </c>
      <c r="U18" s="29">
        <f t="shared" si="4"/>
        <v>601.1351351351351</v>
      </c>
      <c r="V18" s="41">
        <f t="shared" si="5"/>
        <v>5274.782608695652</v>
      </c>
      <c r="W18" s="29">
        <f t="shared" si="6"/>
        <v>580.22608695652173</v>
      </c>
      <c r="X18" s="41">
        <f t="shared" si="7"/>
        <v>4666.1538461538466</v>
      </c>
      <c r="Y18" s="29">
        <f t="shared" si="8"/>
        <v>513.27692307692314</v>
      </c>
      <c r="Z18" s="34">
        <f t="shared" si="9"/>
        <v>2041.135135135135</v>
      </c>
      <c r="AA18" s="34">
        <f t="shared" si="10"/>
        <v>2020.2260869565216</v>
      </c>
      <c r="AB18" s="34">
        <f t="shared" si="11"/>
        <v>3093.2769230769231</v>
      </c>
      <c r="AD18" s="42">
        <f t="shared" si="13"/>
        <v>-19570.000470035251</v>
      </c>
      <c r="AE18" s="42">
        <f t="shared" si="14"/>
        <v>-388.85966735966622</v>
      </c>
      <c r="AF18" s="42"/>
    </row>
    <row r="19" spans="1:32">
      <c r="A19" s="8" t="s">
        <v>98</v>
      </c>
      <c r="B19" s="29">
        <v>16500</v>
      </c>
      <c r="C19" s="8">
        <v>5</v>
      </c>
      <c r="G19" s="30"/>
      <c r="H19" s="30"/>
      <c r="I19" s="30"/>
      <c r="M19" s="8">
        <v>12</v>
      </c>
      <c r="N19" s="29">
        <f t="shared" si="0"/>
        <v>1440</v>
      </c>
      <c r="O19" s="29">
        <f t="shared" si="1"/>
        <v>1440</v>
      </c>
      <c r="P19" s="29">
        <f t="shared" si="2"/>
        <v>2580</v>
      </c>
      <c r="Q19" s="29">
        <v>0</v>
      </c>
      <c r="R19" s="29">
        <v>0</v>
      </c>
      <c r="S19" s="29">
        <v>0</v>
      </c>
      <c r="T19" s="41">
        <f t="shared" si="3"/>
        <v>5464.864864864865</v>
      </c>
      <c r="U19" s="29">
        <f t="shared" si="4"/>
        <v>601.1351351351351</v>
      </c>
      <c r="V19" s="41">
        <f t="shared" si="5"/>
        <v>5274.782608695652</v>
      </c>
      <c r="W19" s="29">
        <f t="shared" si="6"/>
        <v>580.22608695652173</v>
      </c>
      <c r="X19" s="41">
        <f t="shared" si="7"/>
        <v>4666.1538461538466</v>
      </c>
      <c r="Y19" s="29">
        <f t="shared" si="8"/>
        <v>513.27692307692314</v>
      </c>
      <c r="Z19" s="34">
        <f t="shared" si="9"/>
        <v>2041.135135135135</v>
      </c>
      <c r="AA19" s="34">
        <f t="shared" si="10"/>
        <v>2020.2260869565216</v>
      </c>
      <c r="AB19" s="34">
        <f t="shared" si="11"/>
        <v>3093.2769230769231</v>
      </c>
      <c r="AD19" s="42">
        <f t="shared" si="13"/>
        <v>-19549.091421856639</v>
      </c>
      <c r="AE19" s="42">
        <f t="shared" si="14"/>
        <v>-1441.0014553014544</v>
      </c>
      <c r="AF19" s="42"/>
    </row>
    <row r="20" spans="1:32">
      <c r="A20" s="8" t="s">
        <v>99</v>
      </c>
      <c r="B20" s="29">
        <v>8000</v>
      </c>
      <c r="C20" s="8">
        <v>5</v>
      </c>
      <c r="F20" s="22" t="s">
        <v>20</v>
      </c>
      <c r="G20" s="32">
        <f>+$Q$28</f>
        <v>16000</v>
      </c>
      <c r="H20" s="32">
        <f>+$R$28</f>
        <v>33000</v>
      </c>
      <c r="I20" s="32">
        <f>+$S$28</f>
        <v>0</v>
      </c>
      <c r="M20" s="8">
        <v>13</v>
      </c>
      <c r="N20" s="29">
        <f t="shared" si="0"/>
        <v>1440</v>
      </c>
      <c r="O20" s="29">
        <f t="shared" si="1"/>
        <v>1440</v>
      </c>
      <c r="P20" s="29">
        <f t="shared" si="2"/>
        <v>2580</v>
      </c>
      <c r="Q20" s="29">
        <v>0</v>
      </c>
      <c r="R20" s="29">
        <v>0</v>
      </c>
      <c r="S20" s="29">
        <v>0</v>
      </c>
      <c r="T20" s="41">
        <f t="shared" si="3"/>
        <v>5464.864864864865</v>
      </c>
      <c r="U20" s="29">
        <f t="shared" si="4"/>
        <v>601.1351351351351</v>
      </c>
      <c r="V20" s="41">
        <f t="shared" si="5"/>
        <v>5274.782608695652</v>
      </c>
      <c r="W20" s="29">
        <f t="shared" si="6"/>
        <v>580.22608695652173</v>
      </c>
      <c r="X20" s="41">
        <f t="shared" si="7"/>
        <v>4666.1538461538466</v>
      </c>
      <c r="Y20" s="29">
        <f t="shared" si="8"/>
        <v>513.27692307692314</v>
      </c>
      <c r="Z20" s="34">
        <f t="shared" si="9"/>
        <v>2041.135135135135</v>
      </c>
      <c r="AA20" s="34">
        <f t="shared" si="10"/>
        <v>2020.2260869565216</v>
      </c>
      <c r="AB20" s="34">
        <f t="shared" si="11"/>
        <v>3093.2769230769231</v>
      </c>
      <c r="AD20" s="42">
        <f t="shared" si="13"/>
        <v>-19528.182373678028</v>
      </c>
      <c r="AE20" s="42">
        <f t="shared" si="14"/>
        <v>-2493.1432432432425</v>
      </c>
      <c r="AF20" s="42"/>
    </row>
    <row r="21" spans="1:32">
      <c r="A21" s="8" t="s">
        <v>100</v>
      </c>
      <c r="B21" s="29">
        <v>18000</v>
      </c>
      <c r="C21" s="8"/>
      <c r="G21" s="30"/>
      <c r="H21" s="30"/>
      <c r="I21" s="30"/>
      <c r="M21" s="8">
        <v>14</v>
      </c>
      <c r="N21" s="29">
        <f t="shared" si="0"/>
        <v>1440</v>
      </c>
      <c r="O21" s="29">
        <f t="shared" si="1"/>
        <v>1440</v>
      </c>
      <c r="P21" s="29">
        <f t="shared" si="2"/>
        <v>2580</v>
      </c>
      <c r="Q21" s="29">
        <v>0</v>
      </c>
      <c r="R21" s="29">
        <v>0</v>
      </c>
      <c r="S21" s="29">
        <v>0</v>
      </c>
      <c r="T21" s="41">
        <f t="shared" si="3"/>
        <v>5464.864864864865</v>
      </c>
      <c r="U21" s="29">
        <f t="shared" si="4"/>
        <v>601.1351351351351</v>
      </c>
      <c r="V21" s="41">
        <f t="shared" si="5"/>
        <v>5274.782608695652</v>
      </c>
      <c r="W21" s="29">
        <f t="shared" si="6"/>
        <v>580.22608695652173</v>
      </c>
      <c r="X21" s="41">
        <f t="shared" si="7"/>
        <v>4666.1538461538466</v>
      </c>
      <c r="Y21" s="29">
        <f t="shared" si="8"/>
        <v>513.27692307692314</v>
      </c>
      <c r="Z21" s="34">
        <f t="shared" si="9"/>
        <v>2041.135135135135</v>
      </c>
      <c r="AA21" s="34">
        <f t="shared" si="10"/>
        <v>2020.2260869565216</v>
      </c>
      <c r="AB21" s="34">
        <f t="shared" si="11"/>
        <v>3093.2769230769231</v>
      </c>
      <c r="AD21" s="42">
        <f t="shared" si="13"/>
        <v>-19507.273325499416</v>
      </c>
      <c r="AE21" s="42">
        <f t="shared" si="14"/>
        <v>-3545.2850311850307</v>
      </c>
      <c r="AF21" s="42"/>
    </row>
    <row r="22" spans="1:32">
      <c r="A22" s="8" t="s">
        <v>101</v>
      </c>
      <c r="B22" s="29">
        <v>22000</v>
      </c>
      <c r="C22" s="8"/>
      <c r="F22" s="23" t="s">
        <v>45</v>
      </c>
      <c r="G22" s="33">
        <f>$U$28</f>
        <v>9017.0270270270266</v>
      </c>
      <c r="H22" s="33">
        <f>$W$28</f>
        <v>8703.391304347826</v>
      </c>
      <c r="I22" s="33">
        <f>$Y$28</f>
        <v>7699.1538461538439</v>
      </c>
      <c r="M22" s="8">
        <v>15</v>
      </c>
      <c r="N22" s="29">
        <f>$B$18</f>
        <v>1440</v>
      </c>
      <c r="O22" s="29">
        <f>$B$17</f>
        <v>1440</v>
      </c>
      <c r="P22" s="29">
        <f t="shared" si="2"/>
        <v>2580</v>
      </c>
      <c r="Q22" s="29"/>
      <c r="R22" s="29"/>
      <c r="S22" s="29">
        <v>0</v>
      </c>
      <c r="T22" s="41">
        <f t="shared" si="3"/>
        <v>5464.864864864865</v>
      </c>
      <c r="U22" s="29">
        <f t="shared" si="4"/>
        <v>601.1351351351351</v>
      </c>
      <c r="V22" s="41">
        <f t="shared" si="5"/>
        <v>5274.782608695652</v>
      </c>
      <c r="W22" s="29">
        <f t="shared" si="6"/>
        <v>580.22608695652173</v>
      </c>
      <c r="X22" s="41">
        <f t="shared" si="7"/>
        <v>4666.1538461538466</v>
      </c>
      <c r="Y22" s="29">
        <f t="shared" si="8"/>
        <v>513.27692307692314</v>
      </c>
      <c r="Z22" s="34">
        <f t="shared" si="9"/>
        <v>2041.135135135135</v>
      </c>
      <c r="AA22" s="34">
        <f t="shared" si="10"/>
        <v>2020.2260869565216</v>
      </c>
      <c r="AB22" s="34">
        <f t="shared" si="11"/>
        <v>3093.2769230769231</v>
      </c>
      <c r="AD22" s="42">
        <f t="shared" si="13"/>
        <v>-19486.364277320805</v>
      </c>
      <c r="AE22" s="42">
        <f t="shared" si="14"/>
        <v>-4597.4268191268184</v>
      </c>
      <c r="AF22" s="42"/>
    </row>
    <row r="23" spans="1:32">
      <c r="A23" s="8" t="s">
        <v>102</v>
      </c>
      <c r="B23" s="29">
        <v>24879</v>
      </c>
      <c r="C23" s="8"/>
      <c r="G23" s="30"/>
      <c r="H23" s="30"/>
      <c r="I23" s="30"/>
      <c r="M23" s="8">
        <v>16</v>
      </c>
      <c r="N23" s="29"/>
      <c r="O23" s="29"/>
      <c r="P23" s="29"/>
      <c r="Q23" s="29"/>
      <c r="R23" s="29"/>
      <c r="S23" s="29"/>
      <c r="T23" s="41"/>
      <c r="U23" s="29"/>
      <c r="V23" s="41"/>
      <c r="W23" s="29"/>
      <c r="X23" s="41"/>
      <c r="Y23" s="29"/>
      <c r="Z23" s="34">
        <f>+N23+Q23+V23</f>
        <v>0</v>
      </c>
      <c r="AA23" s="34">
        <f>+O23+R23+W23</f>
        <v>0</v>
      </c>
      <c r="AB23" s="34">
        <f>+P23+S23+X23</f>
        <v>0</v>
      </c>
      <c r="AD23" s="42">
        <f t="shared" ref="AD9:AF27" si="17">+(G25-H25)-(Z23-H25)</f>
        <v>0</v>
      </c>
      <c r="AE23" s="42">
        <f t="shared" ref="AE8:AF23" si="18">+(H25-I25)-(AA23-I25)</f>
        <v>0</v>
      </c>
      <c r="AF23" s="42"/>
    </row>
    <row r="24" spans="1:32">
      <c r="A24" s="8"/>
      <c r="B24" s="29"/>
      <c r="C24" s="8"/>
      <c r="F24" s="24" t="s">
        <v>46</v>
      </c>
      <c r="G24" s="34"/>
      <c r="H24" s="34"/>
      <c r="I24" s="34"/>
      <c r="M24" s="8">
        <v>17</v>
      </c>
      <c r="N24" s="29"/>
      <c r="O24" s="29"/>
      <c r="P24" s="29"/>
      <c r="Q24" s="29"/>
      <c r="R24" s="29"/>
      <c r="S24" s="29"/>
      <c r="T24" s="41"/>
      <c r="U24" s="29"/>
      <c r="V24" s="41"/>
      <c r="W24" s="29"/>
      <c r="X24" s="41"/>
      <c r="Y24" s="29"/>
      <c r="Z24" s="34">
        <f>+N24+Q24+V24</f>
        <v>0</v>
      </c>
      <c r="AA24" s="34">
        <f>+O24+R24+W24</f>
        <v>0</v>
      </c>
      <c r="AB24" s="34">
        <f>+P24+S24+X24</f>
        <v>0</v>
      </c>
      <c r="AD24" s="42">
        <f t="shared" si="17"/>
        <v>0</v>
      </c>
      <c r="AE24" s="42">
        <f t="shared" si="17"/>
        <v>0</v>
      </c>
      <c r="AF24" s="42"/>
    </row>
    <row r="25" spans="1:32">
      <c r="A25" s="8"/>
      <c r="B25" s="29"/>
      <c r="C25" s="8"/>
      <c r="F25" s="8" t="s">
        <v>47</v>
      </c>
      <c r="G25" s="29"/>
      <c r="H25" s="29"/>
      <c r="I25" s="29"/>
      <c r="M25" s="8">
        <v>18</v>
      </c>
      <c r="N25" s="29"/>
      <c r="O25" s="29"/>
      <c r="P25" s="29"/>
      <c r="Q25" s="29"/>
      <c r="R25" s="29"/>
      <c r="S25" s="29"/>
      <c r="T25" s="41"/>
      <c r="U25" s="29"/>
      <c r="V25" s="41"/>
      <c r="W25" s="29"/>
      <c r="X25" s="41"/>
      <c r="Y25" s="29"/>
      <c r="Z25" s="34">
        <f>+N25+Q25+V25</f>
        <v>0</v>
      </c>
      <c r="AA25" s="34">
        <f>+O25+R25+W25</f>
        <v>0</v>
      </c>
      <c r="AB25" s="34">
        <f>+P25+S25+X25</f>
        <v>0</v>
      </c>
      <c r="AD25" s="42">
        <f t="shared" si="17"/>
        <v>0</v>
      </c>
      <c r="AE25" s="42">
        <f t="shared" si="17"/>
        <v>0</v>
      </c>
      <c r="AF25" s="42"/>
    </row>
    <row r="26" spans="1:32">
      <c r="F26" s="8" t="s">
        <v>48</v>
      </c>
      <c r="G26" s="29"/>
      <c r="H26" s="29"/>
      <c r="I26" s="29"/>
      <c r="M26" s="8">
        <v>19</v>
      </c>
      <c r="N26" s="29"/>
      <c r="O26" s="29"/>
      <c r="P26" s="29"/>
      <c r="Q26" s="29"/>
      <c r="R26" s="29"/>
      <c r="S26" s="29"/>
      <c r="T26" s="41"/>
      <c r="U26" s="29"/>
      <c r="V26" s="41"/>
      <c r="W26" s="29"/>
      <c r="X26" s="41"/>
      <c r="Y26" s="29"/>
      <c r="Z26" s="34">
        <f>+N26+Q26+V26</f>
        <v>0</v>
      </c>
      <c r="AA26" s="34">
        <f>+O26+R26+W26</f>
        <v>0</v>
      </c>
      <c r="AB26" s="34">
        <f>+P26+S26+X26</f>
        <v>0</v>
      </c>
      <c r="AD26" s="42"/>
      <c r="AE26" s="42"/>
      <c r="AF26" s="42"/>
    </row>
    <row r="27" spans="1:32" ht="18.75">
      <c r="A27" s="55" t="s">
        <v>59</v>
      </c>
      <c r="B27" s="56"/>
      <c r="C27" s="57"/>
      <c r="G27" s="35"/>
      <c r="H27" s="35"/>
      <c r="I27" s="35"/>
      <c r="M27" s="8">
        <v>20</v>
      </c>
      <c r="N27" s="29"/>
      <c r="O27" s="29"/>
      <c r="P27" s="29"/>
      <c r="Q27" s="29"/>
      <c r="R27" s="29"/>
      <c r="S27" s="29"/>
      <c r="T27" s="41"/>
      <c r="U27" s="29"/>
      <c r="V27" s="41"/>
      <c r="W27" s="29"/>
      <c r="X27" s="41"/>
      <c r="Y27" s="29"/>
      <c r="Z27" s="34">
        <f>+N27+Q27+V27</f>
        <v>0</v>
      </c>
      <c r="AA27" s="34">
        <f>+O27+R27+W27</f>
        <v>0</v>
      </c>
      <c r="AB27" s="34">
        <f>+P27+S27+X27</f>
        <v>0</v>
      </c>
      <c r="AD27" s="42">
        <f t="shared" si="17"/>
        <v>0</v>
      </c>
      <c r="AE27" s="42"/>
      <c r="AF27" s="42"/>
    </row>
    <row r="28" spans="1:32">
      <c r="A28" s="8" t="s">
        <v>102</v>
      </c>
      <c r="B28" s="58">
        <v>130</v>
      </c>
      <c r="C28" s="8" t="s">
        <v>103</v>
      </c>
      <c r="F28" s="19" t="s">
        <v>49</v>
      </c>
      <c r="G28" s="29">
        <f t="shared" ref="G28:H28" si="19">+G24+G22+G20+G18+G10</f>
        <v>53217.027027027027</v>
      </c>
      <c r="H28" s="29">
        <f t="shared" si="19"/>
        <v>72703.391304347824</v>
      </c>
      <c r="I28" s="29">
        <f>+I24+I22+I20+I18+I10</f>
        <v>57814.453846153847</v>
      </c>
      <c r="M28" s="38" t="s">
        <v>50</v>
      </c>
      <c r="N28" s="29">
        <f t="shared" ref="N28:Y28" si="20">SUM(N8:N27)</f>
        <v>21600</v>
      </c>
      <c r="O28" s="29">
        <f t="shared" si="20"/>
        <v>21600</v>
      </c>
      <c r="P28" s="29">
        <f t="shared" si="20"/>
        <v>38700</v>
      </c>
      <c r="Q28" s="29">
        <f t="shared" si="20"/>
        <v>16000</v>
      </c>
      <c r="R28" s="29">
        <f t="shared" si="20"/>
        <v>33000</v>
      </c>
      <c r="S28" s="29">
        <f t="shared" si="20"/>
        <v>0</v>
      </c>
      <c r="T28" s="41">
        <f t="shared" si="20"/>
        <v>81972.972972972988</v>
      </c>
      <c r="U28" s="29">
        <f t="shared" si="20"/>
        <v>9017.0270270270266</v>
      </c>
      <c r="V28" s="41">
        <f t="shared" si="20"/>
        <v>79121.739130434755</v>
      </c>
      <c r="W28" s="29">
        <f t="shared" si="20"/>
        <v>8703.391304347826</v>
      </c>
      <c r="X28" s="41">
        <f t="shared" si="20"/>
        <v>69992.307692307688</v>
      </c>
      <c r="Y28" s="29">
        <f t="shared" si="20"/>
        <v>7699.1538461538439</v>
      </c>
      <c r="Z28" s="40"/>
    </row>
    <row r="29" spans="1:32">
      <c r="A29" s="8" t="s">
        <v>101</v>
      </c>
      <c r="B29" s="8">
        <v>115</v>
      </c>
      <c r="C29" s="8" t="s">
        <v>103</v>
      </c>
      <c r="F29" t="s">
        <v>104</v>
      </c>
      <c r="H29" s="74">
        <f>+G28-H28</f>
        <v>-19486.364277320798</v>
      </c>
      <c r="I29" s="74">
        <f>+G28-I28</f>
        <v>-4597.4268191268202</v>
      </c>
    </row>
    <row r="30" spans="1:32">
      <c r="A30" s="8" t="s">
        <v>105</v>
      </c>
      <c r="B30" s="58">
        <v>111</v>
      </c>
      <c r="C30" s="8" t="s">
        <v>103</v>
      </c>
    </row>
    <row r="31" spans="1:32">
      <c r="A31" s="8" t="s">
        <v>106</v>
      </c>
      <c r="B31" s="8">
        <v>18000</v>
      </c>
      <c r="C31" s="8" t="s">
        <v>107</v>
      </c>
    </row>
    <row r="32" spans="1:32">
      <c r="A32" s="8" t="s">
        <v>108</v>
      </c>
      <c r="B32" s="61">
        <v>-6000</v>
      </c>
      <c r="C32" s="8" t="s">
        <v>70</v>
      </c>
    </row>
    <row r="33" spans="1:9">
      <c r="A33" s="8" t="s">
        <v>109</v>
      </c>
      <c r="B33" s="46">
        <v>33.700000000000003</v>
      </c>
      <c r="C33" s="8" t="s">
        <v>110</v>
      </c>
      <c r="F33" s="126" t="s">
        <v>51</v>
      </c>
      <c r="G33" s="127"/>
      <c r="H33" s="127"/>
      <c r="I33" s="127"/>
    </row>
    <row r="34" spans="1:9">
      <c r="A34" s="8" t="s">
        <v>111</v>
      </c>
      <c r="B34" s="68">
        <f>B33/B28</f>
        <v>0.25923076923076926</v>
      </c>
      <c r="C34" s="8" t="s">
        <v>112</v>
      </c>
    </row>
    <row r="35" spans="1:9">
      <c r="A35" s="8" t="s">
        <v>113</v>
      </c>
      <c r="B35" s="70">
        <f>B33/B29</f>
        <v>0.29304347826086957</v>
      </c>
      <c r="C35" s="8" t="s">
        <v>112</v>
      </c>
      <c r="G35" s="26" t="str">
        <f>+G9</f>
        <v>Nissan Leaf S (2022)</v>
      </c>
      <c r="H35" s="26" t="str">
        <f>+H9</f>
        <v>Chevrolet Bolt LT (2023)</v>
      </c>
      <c r="I35" s="26" t="str">
        <f>+I9</f>
        <v>Tesla Model 3 (2020)</v>
      </c>
    </row>
    <row r="36" spans="1:9">
      <c r="A36" s="69" t="s">
        <v>114</v>
      </c>
      <c r="B36" s="70">
        <f>B33/B30</f>
        <v>0.30360360360360361</v>
      </c>
      <c r="C36" s="8" t="s">
        <v>112</v>
      </c>
      <c r="F36" s="20" t="s">
        <v>34</v>
      </c>
      <c r="G36" s="28">
        <f>+G10</f>
        <v>6600</v>
      </c>
      <c r="H36" s="28">
        <f>+H10</f>
        <v>9400</v>
      </c>
      <c r="I36" s="28">
        <f>+I10</f>
        <v>11415.3</v>
      </c>
    </row>
    <row r="37" spans="1:9">
      <c r="A37" s="8"/>
      <c r="B37" s="64"/>
      <c r="C37" s="8"/>
      <c r="F37" s="8" t="s">
        <v>35</v>
      </c>
      <c r="G37" s="29"/>
      <c r="H37" s="29"/>
      <c r="I37" s="29"/>
    </row>
    <row r="38" spans="1:9">
      <c r="A38" s="8" t="s">
        <v>115</v>
      </c>
      <c r="B38" s="58">
        <f>$B$31*B34</f>
        <v>4666.1538461538466</v>
      </c>
      <c r="C38" s="8" t="s">
        <v>116</v>
      </c>
      <c r="F38" s="8" t="s">
        <v>39</v>
      </c>
      <c r="G38" s="29"/>
      <c r="H38" s="29"/>
      <c r="I38" s="29"/>
    </row>
    <row r="39" spans="1:9">
      <c r="A39" s="8" t="s">
        <v>117</v>
      </c>
      <c r="B39" s="58">
        <f t="shared" ref="B39:B40" si="21">$B$31*B35</f>
        <v>5274.782608695652</v>
      </c>
      <c r="C39" s="8" t="s">
        <v>116</v>
      </c>
      <c r="F39" s="8" t="s">
        <v>40</v>
      </c>
      <c r="G39" s="29"/>
      <c r="H39" s="29"/>
      <c r="I39" s="29"/>
    </row>
    <row r="40" spans="1:9">
      <c r="A40" s="8" t="s">
        <v>118</v>
      </c>
      <c r="B40" s="58">
        <f t="shared" si="21"/>
        <v>5464.864864864865</v>
      </c>
      <c r="C40" s="8" t="s">
        <v>116</v>
      </c>
      <c r="F40" s="8" t="s">
        <v>41</v>
      </c>
      <c r="G40" s="29"/>
      <c r="H40" s="29"/>
      <c r="I40" s="29"/>
    </row>
    <row r="41" spans="1:9">
      <c r="A41" s="8"/>
      <c r="B41" s="65"/>
      <c r="C41" s="8"/>
      <c r="F41" s="8" t="s">
        <v>42</v>
      </c>
      <c r="G41" s="29"/>
      <c r="H41" s="29"/>
      <c r="I41" s="29"/>
    </row>
    <row r="42" spans="1:9">
      <c r="A42" s="8" t="s">
        <v>119</v>
      </c>
      <c r="B42" s="67">
        <f>+B21*0.3</f>
        <v>5400</v>
      </c>
      <c r="C42" s="8" t="s">
        <v>120</v>
      </c>
      <c r="F42" s="8" t="s">
        <v>43</v>
      </c>
      <c r="G42" s="29"/>
      <c r="H42" s="29"/>
      <c r="I42" s="29"/>
    </row>
    <row r="43" spans="1:9">
      <c r="A43" s="8" t="s">
        <v>101</v>
      </c>
      <c r="B43" s="67">
        <f>+B22*0.3</f>
        <v>6600</v>
      </c>
      <c r="C43" s="8" t="s">
        <v>120</v>
      </c>
      <c r="G43" s="30"/>
      <c r="H43" s="30"/>
      <c r="I43" s="30"/>
    </row>
    <row r="44" spans="1:9">
      <c r="A44" s="8" t="s">
        <v>102</v>
      </c>
      <c r="B44" s="67">
        <f>+B23*0.3</f>
        <v>7463.7</v>
      </c>
      <c r="C44" s="8" t="s">
        <v>120</v>
      </c>
      <c r="F44" s="21" t="s">
        <v>44</v>
      </c>
      <c r="G44" s="31"/>
      <c r="H44" s="31"/>
      <c r="I44" s="31"/>
    </row>
    <row r="45" spans="1:9">
      <c r="A45" s="8"/>
      <c r="B45" s="67"/>
      <c r="C45" s="8"/>
      <c r="G45" s="30"/>
      <c r="H45" s="30"/>
      <c r="I45" s="30"/>
    </row>
    <row r="46" spans="1:9">
      <c r="A46" s="8"/>
      <c r="B46" s="67"/>
      <c r="C46" s="8"/>
      <c r="F46" s="22" t="s">
        <v>20</v>
      </c>
      <c r="G46" s="32"/>
      <c r="H46" s="32"/>
      <c r="I46" s="32"/>
    </row>
    <row r="47" spans="1:9">
      <c r="A47" s="8"/>
      <c r="B47" s="8"/>
      <c r="C47" s="8"/>
      <c r="G47" s="30"/>
      <c r="H47" s="30"/>
      <c r="I47" s="30"/>
    </row>
    <row r="48" spans="1:9">
      <c r="A48" s="8"/>
      <c r="B48" s="8"/>
      <c r="C48" s="8"/>
      <c r="F48" s="23" t="s">
        <v>45</v>
      </c>
      <c r="G48" s="33"/>
      <c r="H48" s="33"/>
      <c r="I48" s="33"/>
    </row>
    <row r="49" spans="6:9">
      <c r="G49" s="30"/>
      <c r="H49" s="30"/>
      <c r="I49" s="30"/>
    </row>
    <row r="50" spans="6:9">
      <c r="F50" s="24" t="s">
        <v>46</v>
      </c>
      <c r="G50" s="34"/>
      <c r="H50" s="34"/>
      <c r="I50" s="34"/>
    </row>
    <row r="51" spans="6:9">
      <c r="F51" s="8" t="s">
        <v>47</v>
      </c>
      <c r="G51" s="29"/>
      <c r="H51" s="29"/>
      <c r="I51" s="29"/>
    </row>
    <row r="52" spans="6:9">
      <c r="F52" s="8" t="s">
        <v>48</v>
      </c>
      <c r="G52" s="29"/>
      <c r="H52" s="29"/>
      <c r="I52" s="29"/>
    </row>
    <row r="53" spans="6:9">
      <c r="G53" s="35"/>
      <c r="H53" s="35"/>
      <c r="I53" s="35"/>
    </row>
    <row r="54" spans="6:9">
      <c r="F54" s="19" t="s">
        <v>49</v>
      </c>
      <c r="G54" s="29">
        <f t="shared" ref="G54:I54" si="22">+G50+G48+G46+G44+G36</f>
        <v>6600</v>
      </c>
      <c r="H54" s="29">
        <f t="shared" si="22"/>
        <v>9400</v>
      </c>
      <c r="I54" s="29">
        <f t="shared" si="22"/>
        <v>11415.3</v>
      </c>
    </row>
  </sheetData>
  <mergeCells count="11">
    <mergeCell ref="AD6:AF6"/>
    <mergeCell ref="F7:I7"/>
    <mergeCell ref="F33:I33"/>
    <mergeCell ref="N5:P6"/>
    <mergeCell ref="Q5:S6"/>
    <mergeCell ref="T5:Y5"/>
    <mergeCell ref="Z5:AB5"/>
    <mergeCell ref="T6:U6"/>
    <mergeCell ref="V6:W6"/>
    <mergeCell ref="X6:Y6"/>
    <mergeCell ref="Z6:AB6"/>
  </mergeCells>
  <pageMargins left="0.7" right="0.7" top="0.75" bottom="0.75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73F39-8969-4345-A32D-097023CE0427}">
  <dimension ref="A2:AF54"/>
  <sheetViews>
    <sheetView topLeftCell="A12" zoomScale="78" zoomScaleNormal="78" workbookViewId="0">
      <selection activeCell="B31" sqref="B31"/>
    </sheetView>
  </sheetViews>
  <sheetFormatPr defaultRowHeight="15"/>
  <cols>
    <col min="1" max="1" width="35.28515625" customWidth="1"/>
    <col min="2" max="2" width="11.42578125" customWidth="1"/>
    <col min="3" max="5" width="11.140625" customWidth="1"/>
    <col min="6" max="6" width="32.85546875" customWidth="1"/>
    <col min="7" max="7" width="19.5703125" customWidth="1"/>
    <col min="8" max="8" width="23.5703125" customWidth="1"/>
    <col min="9" max="9" width="23.42578125" customWidth="1"/>
    <col min="14" max="26" width="13.7109375" customWidth="1"/>
    <col min="27" max="27" width="13" customWidth="1"/>
    <col min="28" max="28" width="13.5703125" customWidth="1"/>
    <col min="29" max="29" width="6.140625" customWidth="1"/>
    <col min="30" max="32" width="13.7109375" customWidth="1"/>
  </cols>
  <sheetData>
    <row r="2" spans="1:32">
      <c r="N2" s="27" t="s">
        <v>13</v>
      </c>
    </row>
    <row r="3" spans="1:32">
      <c r="N3" s="27"/>
      <c r="O3" s="27"/>
    </row>
    <row r="4" spans="1:32" ht="21">
      <c r="A4" s="25" t="s">
        <v>14</v>
      </c>
      <c r="F4" s="27" t="s">
        <v>15</v>
      </c>
      <c r="N4" s="39" t="s">
        <v>16</v>
      </c>
    </row>
    <row r="5" spans="1:32" ht="21" customHeight="1">
      <c r="A5" s="19" t="s">
        <v>17</v>
      </c>
      <c r="B5" s="8">
        <v>15</v>
      </c>
      <c r="F5" s="27" t="s">
        <v>18</v>
      </c>
      <c r="N5" s="119" t="s">
        <v>84</v>
      </c>
      <c r="O5" s="119"/>
      <c r="P5" s="119"/>
      <c r="Q5" s="118"/>
      <c r="R5" s="118"/>
      <c r="S5" s="118"/>
      <c r="T5" s="117" t="s">
        <v>21</v>
      </c>
      <c r="U5" s="117"/>
      <c r="V5" s="117"/>
      <c r="W5" s="117"/>
      <c r="X5" s="117"/>
      <c r="Y5" s="117"/>
      <c r="Z5" s="121"/>
      <c r="AA5" s="121"/>
      <c r="AB5" s="121"/>
    </row>
    <row r="6" spans="1:32" ht="23.25" customHeight="1">
      <c r="A6" s="19" t="s">
        <v>22</v>
      </c>
      <c r="B6" s="11">
        <f>+'Energy Information'!$B$6</f>
        <v>0.11</v>
      </c>
      <c r="N6" s="119"/>
      <c r="O6" s="119"/>
      <c r="P6" s="119"/>
      <c r="Q6" s="118"/>
      <c r="R6" s="118"/>
      <c r="S6" s="118"/>
      <c r="T6" s="128" t="s">
        <v>85</v>
      </c>
      <c r="U6" s="129"/>
      <c r="V6" s="124" t="s">
        <v>86</v>
      </c>
      <c r="W6" s="125"/>
      <c r="X6" s="124" t="s">
        <v>87</v>
      </c>
      <c r="Y6" s="125"/>
      <c r="Z6" s="122"/>
      <c r="AA6" s="122"/>
      <c r="AB6" s="122"/>
      <c r="AD6" s="123" t="s">
        <v>88</v>
      </c>
      <c r="AE6" s="123"/>
      <c r="AF6" s="123"/>
    </row>
    <row r="7" spans="1:32" ht="35.25" customHeight="1">
      <c r="A7" s="19" t="s">
        <v>5</v>
      </c>
      <c r="B7" s="12">
        <f>+'Energy Information'!$B$7</f>
        <v>0</v>
      </c>
      <c r="F7" s="126" t="s">
        <v>29</v>
      </c>
      <c r="G7" s="127"/>
      <c r="H7" s="127"/>
      <c r="I7" s="127"/>
      <c r="M7" s="19" t="s">
        <v>30</v>
      </c>
      <c r="N7" s="43" t="s">
        <v>85</v>
      </c>
      <c r="O7" s="43" t="s">
        <v>86</v>
      </c>
      <c r="P7" s="43" t="s">
        <v>87</v>
      </c>
      <c r="Q7" s="43" t="str">
        <f>+N7</f>
        <v>Nissan Leaf S (2022)</v>
      </c>
      <c r="R7" s="43" t="str">
        <f>+O7</f>
        <v>Chevrolet Bolt LT (2023)</v>
      </c>
      <c r="S7" s="26" t="str">
        <f>+P7</f>
        <v>Tesla Model 3 (2020)</v>
      </c>
      <c r="T7" s="26" t="s">
        <v>31</v>
      </c>
      <c r="U7" s="26" t="s">
        <v>32</v>
      </c>
      <c r="V7" s="26" t="s">
        <v>31</v>
      </c>
      <c r="W7" s="26" t="s">
        <v>32</v>
      </c>
      <c r="X7" s="26" t="s">
        <v>31</v>
      </c>
      <c r="Y7" s="26" t="s">
        <v>32</v>
      </c>
      <c r="Z7" s="78" t="s">
        <v>85</v>
      </c>
      <c r="AA7" s="43" t="s">
        <v>86</v>
      </c>
      <c r="AB7" s="43" t="s">
        <v>87</v>
      </c>
      <c r="AD7" s="43" t="s">
        <v>86</v>
      </c>
      <c r="AE7" s="43" t="s">
        <v>87</v>
      </c>
      <c r="AF7" s="43"/>
    </row>
    <row r="8" spans="1:32">
      <c r="A8" s="19" t="s">
        <v>33</v>
      </c>
      <c r="B8" s="13">
        <f>+'Energy Information'!$B$12</f>
        <v>1.4815</v>
      </c>
      <c r="M8" s="8">
        <v>1</v>
      </c>
      <c r="N8" s="29">
        <f>$B$18</f>
        <v>1440</v>
      </c>
      <c r="O8" s="29">
        <f>$B$17</f>
        <v>1440</v>
      </c>
      <c r="P8" s="29">
        <f>$B$16</f>
        <v>2580</v>
      </c>
      <c r="Q8" s="29">
        <v>0</v>
      </c>
      <c r="R8" s="29">
        <v>0</v>
      </c>
      <c r="S8" s="29">
        <v>0</v>
      </c>
      <c r="T8" s="41">
        <f>$B$40</f>
        <v>2428.828828828829</v>
      </c>
      <c r="U8" s="29">
        <f>+T8*$B$6</f>
        <v>267.17117117117118</v>
      </c>
      <c r="V8" s="41">
        <f>$B$39</f>
        <v>2344.3478260869565</v>
      </c>
      <c r="W8" s="29">
        <f>+V8*$B$6</f>
        <v>257.87826086956522</v>
      </c>
      <c r="X8" s="41">
        <f>$B$38</f>
        <v>2073.8461538461543</v>
      </c>
      <c r="Y8" s="29">
        <f>+X8*$B$6</f>
        <v>228.12307692307698</v>
      </c>
      <c r="Z8" s="34">
        <f>+N8+Q8+U8</f>
        <v>1707.1711711711712</v>
      </c>
      <c r="AA8" s="34">
        <f>+O8+R8+W8</f>
        <v>1697.8782608695651</v>
      </c>
      <c r="AB8" s="34">
        <f>+P8+S8+Y8</f>
        <v>2808.123076923077</v>
      </c>
      <c r="AD8" s="42">
        <f>+(G10-H10)+(Z8-AA8)</f>
        <v>-2790.7070896983942</v>
      </c>
      <c r="AE8" s="42">
        <f>+(G10-I10)+(Z8-AB8)</f>
        <v>-5916.2519057519048</v>
      </c>
      <c r="AF8" s="42"/>
    </row>
    <row r="9" spans="1:32">
      <c r="A9" s="19" t="s">
        <v>10</v>
      </c>
      <c r="B9" s="14">
        <f>+'Energy Information'!$B$13</f>
        <v>0</v>
      </c>
      <c r="G9" s="78" t="s">
        <v>85</v>
      </c>
      <c r="H9" s="43" t="s">
        <v>86</v>
      </c>
      <c r="I9" s="43" t="s">
        <v>87</v>
      </c>
      <c r="M9" s="8">
        <v>2</v>
      </c>
      <c r="N9" s="29">
        <f t="shared" ref="N9:R22" si="0">$B$18</f>
        <v>1440</v>
      </c>
      <c r="O9" s="29">
        <f t="shared" ref="O9:O22" si="1">$B$17</f>
        <v>1440</v>
      </c>
      <c r="P9" s="29">
        <f t="shared" ref="P9:R22" si="2">$B$16</f>
        <v>2580</v>
      </c>
      <c r="Q9" s="29">
        <v>0</v>
      </c>
      <c r="R9" s="29">
        <v>0</v>
      </c>
      <c r="S9" s="29">
        <v>0</v>
      </c>
      <c r="T9" s="41">
        <f t="shared" ref="T9:T22" si="3">$B$40</f>
        <v>2428.828828828829</v>
      </c>
      <c r="U9" s="29">
        <f t="shared" ref="U9:U22" si="4">+T9*$B$6</f>
        <v>267.17117117117118</v>
      </c>
      <c r="V9" s="41">
        <f t="shared" ref="V9:V22" si="5">$B$39</f>
        <v>2344.3478260869565</v>
      </c>
      <c r="W9" s="29">
        <f t="shared" ref="W9:W22" si="6">+V9*$B$6</f>
        <v>257.87826086956522</v>
      </c>
      <c r="X9" s="41">
        <f t="shared" ref="X9:X22" si="7">$B$38</f>
        <v>2073.8461538461543</v>
      </c>
      <c r="Y9" s="29">
        <f t="shared" ref="Y9:Y22" si="8">+X9*$B$6</f>
        <v>228.12307692307698</v>
      </c>
      <c r="Z9" s="34">
        <f t="shared" ref="Z9:Z22" si="9">+N9+Q9+U9</f>
        <v>1707.1711711711712</v>
      </c>
      <c r="AA9" s="34">
        <f t="shared" ref="AA9:AA22" si="10">+O9+R9+W9</f>
        <v>1697.8782608695651</v>
      </c>
      <c r="AB9" s="34">
        <f t="shared" ref="AB9:AB22" si="11">+P9+S9+Y9</f>
        <v>2808.123076923077</v>
      </c>
      <c r="AD9" s="42">
        <f>+AD8+(Z9-AA9)</f>
        <v>-2781.4141793967883</v>
      </c>
      <c r="AE9" s="42">
        <f>+AE8+(Z9-AB9)</f>
        <v>-7017.2038115038104</v>
      </c>
      <c r="AF9" s="42"/>
    </row>
    <row r="10" spans="1:32">
      <c r="F10" s="20" t="s">
        <v>34</v>
      </c>
      <c r="G10" s="47">
        <f>SUM(G11:G16)</f>
        <v>6600</v>
      </c>
      <c r="H10" s="47">
        <f t="shared" ref="H10:I10" si="12">SUM(H11:H16)</f>
        <v>9400</v>
      </c>
      <c r="I10" s="47">
        <f>SUM(I11:I16)</f>
        <v>11415.3</v>
      </c>
      <c r="M10" s="8">
        <v>3</v>
      </c>
      <c r="N10" s="29">
        <f t="shared" si="0"/>
        <v>1440</v>
      </c>
      <c r="O10" s="29">
        <f t="shared" si="1"/>
        <v>1440</v>
      </c>
      <c r="P10" s="29">
        <f t="shared" si="2"/>
        <v>2580</v>
      </c>
      <c r="Q10" s="29">
        <v>0</v>
      </c>
      <c r="R10" s="29">
        <v>0</v>
      </c>
      <c r="S10" s="29">
        <v>0</v>
      </c>
      <c r="T10" s="41">
        <f t="shared" si="3"/>
        <v>2428.828828828829</v>
      </c>
      <c r="U10" s="29">
        <f t="shared" si="4"/>
        <v>267.17117117117118</v>
      </c>
      <c r="V10" s="41">
        <f t="shared" si="5"/>
        <v>2344.3478260869565</v>
      </c>
      <c r="W10" s="29">
        <f t="shared" si="6"/>
        <v>257.87826086956522</v>
      </c>
      <c r="X10" s="41">
        <f t="shared" si="7"/>
        <v>2073.8461538461543</v>
      </c>
      <c r="Y10" s="29">
        <f t="shared" si="8"/>
        <v>228.12307692307698</v>
      </c>
      <c r="Z10" s="34">
        <f t="shared" si="9"/>
        <v>1707.1711711711712</v>
      </c>
      <c r="AA10" s="34">
        <f t="shared" si="10"/>
        <v>1697.8782608695651</v>
      </c>
      <c r="AB10" s="34">
        <f t="shared" si="11"/>
        <v>2808.123076923077</v>
      </c>
      <c r="AD10" s="42">
        <f t="shared" ref="AD10:AD22" si="13">+AD9+(Z10-AA10)</f>
        <v>-2772.1212690951825</v>
      </c>
      <c r="AE10" s="42">
        <f t="shared" ref="AE10:AE22" si="14">+AE9+(Z10-AB10)</f>
        <v>-8118.1557172557159</v>
      </c>
      <c r="AF10" s="42"/>
    </row>
    <row r="11" spans="1:32">
      <c r="F11" s="8" t="s">
        <v>35</v>
      </c>
      <c r="G11" s="29">
        <v>18000</v>
      </c>
      <c r="H11" s="29">
        <v>22000</v>
      </c>
      <c r="I11" s="29">
        <v>24879</v>
      </c>
      <c r="M11" s="8">
        <v>4</v>
      </c>
      <c r="N11" s="29">
        <f t="shared" si="0"/>
        <v>1440</v>
      </c>
      <c r="O11" s="29">
        <f t="shared" si="1"/>
        <v>1440</v>
      </c>
      <c r="P11" s="29">
        <f t="shared" si="2"/>
        <v>2580</v>
      </c>
      <c r="Q11" s="29">
        <v>0</v>
      </c>
      <c r="R11" s="29">
        <v>0</v>
      </c>
      <c r="S11" s="29">
        <v>0</v>
      </c>
      <c r="T11" s="41">
        <f t="shared" si="3"/>
        <v>2428.828828828829</v>
      </c>
      <c r="U11" s="29">
        <f t="shared" si="4"/>
        <v>267.17117117117118</v>
      </c>
      <c r="V11" s="41">
        <f t="shared" si="5"/>
        <v>2344.3478260869565</v>
      </c>
      <c r="W11" s="29">
        <f t="shared" si="6"/>
        <v>257.87826086956522</v>
      </c>
      <c r="X11" s="41">
        <f t="shared" si="7"/>
        <v>2073.8461538461543</v>
      </c>
      <c r="Y11" s="29">
        <f t="shared" si="8"/>
        <v>228.12307692307698</v>
      </c>
      <c r="Z11" s="34">
        <f t="shared" si="9"/>
        <v>1707.1711711711712</v>
      </c>
      <c r="AA11" s="34">
        <f t="shared" si="10"/>
        <v>1697.8782608695651</v>
      </c>
      <c r="AB11" s="34">
        <f t="shared" si="11"/>
        <v>2808.123076923077</v>
      </c>
      <c r="AD11" s="42">
        <f t="shared" si="13"/>
        <v>-2762.8283587935766</v>
      </c>
      <c r="AE11" s="42">
        <f t="shared" si="14"/>
        <v>-9219.1076230076214</v>
      </c>
      <c r="AF11" s="42"/>
    </row>
    <row r="12" spans="1:32" ht="18.75">
      <c r="A12" s="36" t="s">
        <v>36</v>
      </c>
      <c r="B12" s="37" t="s">
        <v>37</v>
      </c>
      <c r="C12" s="26" t="s">
        <v>38</v>
      </c>
      <c r="F12" s="8" t="s">
        <v>39</v>
      </c>
      <c r="G12" s="29"/>
      <c r="H12" s="29"/>
      <c r="I12" s="29"/>
      <c r="M12" s="8">
        <v>5</v>
      </c>
      <c r="N12" s="29">
        <f>$B$18</f>
        <v>1440</v>
      </c>
      <c r="O12" s="29">
        <f>$B$17</f>
        <v>1440</v>
      </c>
      <c r="P12" s="29">
        <f t="shared" si="2"/>
        <v>2580</v>
      </c>
      <c r="Q12" s="29">
        <v>0</v>
      </c>
      <c r="R12" s="29">
        <v>0</v>
      </c>
      <c r="S12" s="29">
        <v>0</v>
      </c>
      <c r="T12" s="41">
        <f t="shared" si="3"/>
        <v>2428.828828828829</v>
      </c>
      <c r="U12" s="29">
        <f t="shared" si="4"/>
        <v>267.17117117117118</v>
      </c>
      <c r="V12" s="41">
        <f t="shared" si="5"/>
        <v>2344.3478260869565</v>
      </c>
      <c r="W12" s="29">
        <f t="shared" si="6"/>
        <v>257.87826086956522</v>
      </c>
      <c r="X12" s="41">
        <f t="shared" si="7"/>
        <v>2073.8461538461543</v>
      </c>
      <c r="Y12" s="29">
        <f t="shared" si="8"/>
        <v>228.12307692307698</v>
      </c>
      <c r="Z12" s="34">
        <f t="shared" si="9"/>
        <v>1707.1711711711712</v>
      </c>
      <c r="AA12" s="34">
        <f t="shared" si="10"/>
        <v>1697.8782608695651</v>
      </c>
      <c r="AB12" s="34">
        <f t="shared" si="11"/>
        <v>2808.123076923077</v>
      </c>
      <c r="AD12" s="42">
        <f t="shared" si="13"/>
        <v>-2753.5354484919708</v>
      </c>
      <c r="AE12" s="42">
        <f t="shared" si="14"/>
        <v>-10320.059528759528</v>
      </c>
      <c r="AF12" s="42"/>
    </row>
    <row r="13" spans="1:32">
      <c r="A13" s="8" t="s">
        <v>89</v>
      </c>
      <c r="B13" s="29">
        <v>45</v>
      </c>
      <c r="C13" s="8" t="s">
        <v>90</v>
      </c>
      <c r="F13" s="8"/>
      <c r="G13" s="29"/>
      <c r="H13" s="29"/>
      <c r="I13" s="29"/>
      <c r="M13" s="8">
        <v>6</v>
      </c>
      <c r="N13" s="29">
        <f t="shared" si="0"/>
        <v>1440</v>
      </c>
      <c r="O13" s="29">
        <f t="shared" si="1"/>
        <v>1440</v>
      </c>
      <c r="P13" s="29">
        <f t="shared" si="2"/>
        <v>2580</v>
      </c>
      <c r="Q13" s="29">
        <v>0</v>
      </c>
      <c r="R13" s="29">
        <v>0</v>
      </c>
      <c r="S13" s="29">
        <v>0</v>
      </c>
      <c r="T13" s="41">
        <f t="shared" si="3"/>
        <v>2428.828828828829</v>
      </c>
      <c r="U13" s="29">
        <f t="shared" si="4"/>
        <v>267.17117117117118</v>
      </c>
      <c r="V13" s="41">
        <f t="shared" si="5"/>
        <v>2344.3478260869565</v>
      </c>
      <c r="W13" s="29">
        <f t="shared" si="6"/>
        <v>257.87826086956522</v>
      </c>
      <c r="X13" s="41">
        <f t="shared" si="7"/>
        <v>2073.8461538461543</v>
      </c>
      <c r="Y13" s="29">
        <f t="shared" si="8"/>
        <v>228.12307692307698</v>
      </c>
      <c r="Z13" s="34">
        <f t="shared" si="9"/>
        <v>1707.1711711711712</v>
      </c>
      <c r="AA13" s="34">
        <f t="shared" si="10"/>
        <v>1697.8782608695651</v>
      </c>
      <c r="AB13" s="34">
        <f t="shared" si="11"/>
        <v>2808.123076923077</v>
      </c>
      <c r="AD13" s="42">
        <f t="shared" si="13"/>
        <v>-2744.2425381903649</v>
      </c>
      <c r="AE13" s="42">
        <f t="shared" si="14"/>
        <v>-11421.011434511434</v>
      </c>
      <c r="AF13" s="42"/>
    </row>
    <row r="14" spans="1:32">
      <c r="A14" s="8" t="s">
        <v>91</v>
      </c>
      <c r="B14" s="29">
        <v>1800</v>
      </c>
      <c r="C14" s="8">
        <v>3</v>
      </c>
      <c r="F14" s="8"/>
      <c r="G14" s="29"/>
      <c r="H14" s="29"/>
      <c r="I14" s="29"/>
      <c r="M14" s="8">
        <v>7</v>
      </c>
      <c r="N14" s="29">
        <f t="shared" si="0"/>
        <v>1440</v>
      </c>
      <c r="O14" s="29">
        <f t="shared" si="1"/>
        <v>1440</v>
      </c>
      <c r="P14" s="29">
        <f t="shared" si="2"/>
        <v>2580</v>
      </c>
      <c r="Q14" s="29">
        <v>0</v>
      </c>
      <c r="R14" s="29">
        <v>0</v>
      </c>
      <c r="S14" s="29">
        <v>0</v>
      </c>
      <c r="T14" s="41">
        <f t="shared" si="3"/>
        <v>2428.828828828829</v>
      </c>
      <c r="U14" s="29">
        <f t="shared" si="4"/>
        <v>267.17117117117118</v>
      </c>
      <c r="V14" s="41">
        <f t="shared" si="5"/>
        <v>2344.3478260869565</v>
      </c>
      <c r="W14" s="29">
        <f t="shared" si="6"/>
        <v>257.87826086956522</v>
      </c>
      <c r="X14" s="41">
        <f t="shared" si="7"/>
        <v>2073.8461538461543</v>
      </c>
      <c r="Y14" s="29">
        <f t="shared" si="8"/>
        <v>228.12307692307698</v>
      </c>
      <c r="Z14" s="34">
        <f t="shared" si="9"/>
        <v>1707.1711711711712</v>
      </c>
      <c r="AA14" s="34">
        <f t="shared" si="10"/>
        <v>1697.8782608695651</v>
      </c>
      <c r="AB14" s="34">
        <f t="shared" si="11"/>
        <v>2808.123076923077</v>
      </c>
      <c r="AD14" s="42">
        <f t="shared" si="13"/>
        <v>-2734.9496278887591</v>
      </c>
      <c r="AE14" s="42">
        <f t="shared" si="14"/>
        <v>-12521.963340263341</v>
      </c>
      <c r="AF14" s="42"/>
    </row>
    <row r="15" spans="1:32">
      <c r="A15" s="8" t="s">
        <v>92</v>
      </c>
      <c r="B15" s="29">
        <v>900</v>
      </c>
      <c r="C15" s="8" t="s">
        <v>90</v>
      </c>
      <c r="F15" s="8" t="s">
        <v>93</v>
      </c>
      <c r="G15" s="29">
        <f t="shared" ref="G15:J15" si="15">$B$32</f>
        <v>-6000</v>
      </c>
      <c r="H15" s="29">
        <f t="shared" si="15"/>
        <v>-6000</v>
      </c>
      <c r="I15" s="29">
        <f>$B$32</f>
        <v>-6000</v>
      </c>
      <c r="M15" s="8">
        <v>8</v>
      </c>
      <c r="N15" s="29">
        <f t="shared" si="0"/>
        <v>1440</v>
      </c>
      <c r="O15" s="29">
        <f t="shared" si="1"/>
        <v>1440</v>
      </c>
      <c r="P15" s="29">
        <f t="shared" si="2"/>
        <v>2580</v>
      </c>
      <c r="Q15" s="29">
        <v>0</v>
      </c>
      <c r="R15" s="29">
        <v>0</v>
      </c>
      <c r="S15" s="29">
        <v>0</v>
      </c>
      <c r="T15" s="41">
        <f t="shared" si="3"/>
        <v>2428.828828828829</v>
      </c>
      <c r="U15" s="29">
        <f t="shared" si="4"/>
        <v>267.17117117117118</v>
      </c>
      <c r="V15" s="41">
        <f t="shared" si="5"/>
        <v>2344.3478260869565</v>
      </c>
      <c r="W15" s="29">
        <f t="shared" si="6"/>
        <v>257.87826086956522</v>
      </c>
      <c r="X15" s="41">
        <f t="shared" si="7"/>
        <v>2073.8461538461543</v>
      </c>
      <c r="Y15" s="29">
        <f t="shared" si="8"/>
        <v>228.12307692307698</v>
      </c>
      <c r="Z15" s="34">
        <f t="shared" si="9"/>
        <v>1707.1711711711712</v>
      </c>
      <c r="AA15" s="34">
        <f t="shared" si="10"/>
        <v>1697.8782608695651</v>
      </c>
      <c r="AB15" s="34">
        <f t="shared" si="11"/>
        <v>2808.123076923077</v>
      </c>
      <c r="AD15" s="42">
        <f t="shared" si="13"/>
        <v>-2725.6567175871533</v>
      </c>
      <c r="AE15" s="42">
        <f t="shared" si="14"/>
        <v>-13622.915246015247</v>
      </c>
      <c r="AF15" s="42"/>
    </row>
    <row r="16" spans="1:32">
      <c r="A16" s="8" t="s">
        <v>94</v>
      </c>
      <c r="B16" s="29">
        <v>2580</v>
      </c>
      <c r="C16" s="8"/>
      <c r="F16" s="8" t="s">
        <v>95</v>
      </c>
      <c r="G16" s="29">
        <f>-B42</f>
        <v>-5400</v>
      </c>
      <c r="H16" s="29">
        <f>-B43</f>
        <v>-6600</v>
      </c>
      <c r="I16" s="29">
        <f>-B44</f>
        <v>-7463.7</v>
      </c>
      <c r="M16" s="8">
        <v>9</v>
      </c>
      <c r="N16" s="29">
        <f t="shared" si="0"/>
        <v>1440</v>
      </c>
      <c r="O16" s="29">
        <f t="shared" si="1"/>
        <v>1440</v>
      </c>
      <c r="P16" s="29">
        <f t="shared" si="2"/>
        <v>2580</v>
      </c>
      <c r="Q16" s="29">
        <v>0</v>
      </c>
      <c r="R16" s="29">
        <v>0</v>
      </c>
      <c r="S16" s="29">
        <v>0</v>
      </c>
      <c r="T16" s="41">
        <f t="shared" si="3"/>
        <v>2428.828828828829</v>
      </c>
      <c r="U16" s="29">
        <f t="shared" si="4"/>
        <v>267.17117117117118</v>
      </c>
      <c r="V16" s="41">
        <f t="shared" si="5"/>
        <v>2344.3478260869565</v>
      </c>
      <c r="W16" s="29">
        <f t="shared" si="6"/>
        <v>257.87826086956522</v>
      </c>
      <c r="X16" s="41">
        <f t="shared" si="7"/>
        <v>2073.8461538461543</v>
      </c>
      <c r="Y16" s="29">
        <f t="shared" si="8"/>
        <v>228.12307692307698</v>
      </c>
      <c r="Z16" s="34">
        <f t="shared" si="9"/>
        <v>1707.1711711711712</v>
      </c>
      <c r="AA16" s="34">
        <f t="shared" si="10"/>
        <v>1697.8782608695651</v>
      </c>
      <c r="AB16" s="34">
        <f t="shared" si="11"/>
        <v>2808.123076923077</v>
      </c>
      <c r="AD16" s="42">
        <f t="shared" si="13"/>
        <v>-2716.3638072855474</v>
      </c>
      <c r="AE16" s="42">
        <f t="shared" si="14"/>
        <v>-14723.867151767154</v>
      </c>
      <c r="AF16" s="42"/>
    </row>
    <row r="17" spans="1:32">
      <c r="A17" s="8" t="s">
        <v>96</v>
      </c>
      <c r="B17" s="29">
        <v>1440</v>
      </c>
      <c r="C17" s="8"/>
      <c r="G17" s="30"/>
      <c r="H17" s="30"/>
      <c r="I17" s="30"/>
      <c r="M17" s="8">
        <v>10</v>
      </c>
      <c r="N17" s="29">
        <f>$B$18</f>
        <v>1440</v>
      </c>
      <c r="O17" s="29">
        <f>$B$17</f>
        <v>1440</v>
      </c>
      <c r="P17" s="29">
        <f t="shared" si="2"/>
        <v>2580</v>
      </c>
      <c r="Q17" s="29">
        <v>0</v>
      </c>
      <c r="R17" s="29">
        <v>0</v>
      </c>
      <c r="S17" s="29">
        <v>0</v>
      </c>
      <c r="T17" s="41">
        <f t="shared" si="3"/>
        <v>2428.828828828829</v>
      </c>
      <c r="U17" s="29">
        <f t="shared" si="4"/>
        <v>267.17117117117118</v>
      </c>
      <c r="V17" s="41">
        <f t="shared" si="5"/>
        <v>2344.3478260869565</v>
      </c>
      <c r="W17" s="29">
        <f t="shared" si="6"/>
        <v>257.87826086956522</v>
      </c>
      <c r="X17" s="41">
        <f t="shared" si="7"/>
        <v>2073.8461538461543</v>
      </c>
      <c r="Y17" s="29">
        <f t="shared" si="8"/>
        <v>228.12307692307698</v>
      </c>
      <c r="Z17" s="34">
        <f t="shared" si="9"/>
        <v>1707.1711711711712</v>
      </c>
      <c r="AA17" s="34">
        <f t="shared" si="10"/>
        <v>1697.8782608695651</v>
      </c>
      <c r="AB17" s="34">
        <f t="shared" si="11"/>
        <v>2808.123076923077</v>
      </c>
      <c r="AD17" s="42">
        <f t="shared" si="13"/>
        <v>-2707.0708969839416</v>
      </c>
      <c r="AE17" s="42">
        <f t="shared" si="14"/>
        <v>-15824.81905751906</v>
      </c>
      <c r="AF17" s="42"/>
    </row>
    <row r="18" spans="1:32">
      <c r="A18" s="8" t="s">
        <v>97</v>
      </c>
      <c r="B18" s="29">
        <v>1440</v>
      </c>
      <c r="C18" s="8"/>
      <c r="F18" s="21" t="s">
        <v>44</v>
      </c>
      <c r="G18" s="31">
        <f t="shared" ref="G18:I18" si="16">+N28</f>
        <v>21600</v>
      </c>
      <c r="H18" s="31">
        <f t="shared" si="16"/>
        <v>21600</v>
      </c>
      <c r="I18" s="31">
        <f t="shared" si="16"/>
        <v>38700</v>
      </c>
      <c r="M18" s="8">
        <v>11</v>
      </c>
      <c r="N18" s="29">
        <f t="shared" si="0"/>
        <v>1440</v>
      </c>
      <c r="O18" s="29">
        <f t="shared" si="1"/>
        <v>1440</v>
      </c>
      <c r="P18" s="29">
        <f t="shared" si="2"/>
        <v>2580</v>
      </c>
      <c r="Q18" s="29">
        <v>0</v>
      </c>
      <c r="R18" s="29">
        <v>0</v>
      </c>
      <c r="S18" s="29">
        <v>0</v>
      </c>
      <c r="T18" s="41">
        <f t="shared" si="3"/>
        <v>2428.828828828829</v>
      </c>
      <c r="U18" s="29">
        <f t="shared" si="4"/>
        <v>267.17117117117118</v>
      </c>
      <c r="V18" s="41">
        <f t="shared" si="5"/>
        <v>2344.3478260869565</v>
      </c>
      <c r="W18" s="29">
        <f t="shared" si="6"/>
        <v>257.87826086956522</v>
      </c>
      <c r="X18" s="41">
        <f t="shared" si="7"/>
        <v>2073.8461538461543</v>
      </c>
      <c r="Y18" s="29">
        <f t="shared" si="8"/>
        <v>228.12307692307698</v>
      </c>
      <c r="Z18" s="34">
        <f t="shared" si="9"/>
        <v>1707.1711711711712</v>
      </c>
      <c r="AA18" s="34">
        <f t="shared" si="10"/>
        <v>1697.8782608695651</v>
      </c>
      <c r="AB18" s="34">
        <f t="shared" si="11"/>
        <v>2808.123076923077</v>
      </c>
      <c r="AD18" s="42">
        <f t="shared" si="13"/>
        <v>-2697.7779866823357</v>
      </c>
      <c r="AE18" s="42">
        <f t="shared" si="14"/>
        <v>-16925.770963270967</v>
      </c>
      <c r="AF18" s="42"/>
    </row>
    <row r="19" spans="1:32">
      <c r="A19" s="8" t="s">
        <v>98</v>
      </c>
      <c r="B19" s="29">
        <v>16500</v>
      </c>
      <c r="C19" s="8">
        <v>13</v>
      </c>
      <c r="G19" s="30"/>
      <c r="H19" s="30"/>
      <c r="I19" s="30"/>
      <c r="M19" s="8">
        <v>12</v>
      </c>
      <c r="N19" s="29">
        <f t="shared" si="0"/>
        <v>1440</v>
      </c>
      <c r="O19" s="29">
        <f t="shared" si="1"/>
        <v>1440</v>
      </c>
      <c r="P19" s="29">
        <f t="shared" si="2"/>
        <v>2580</v>
      </c>
      <c r="Q19" s="29">
        <v>0</v>
      </c>
      <c r="R19" s="29">
        <v>0</v>
      </c>
      <c r="S19" s="29">
        <v>0</v>
      </c>
      <c r="T19" s="41">
        <f t="shared" si="3"/>
        <v>2428.828828828829</v>
      </c>
      <c r="U19" s="29">
        <f t="shared" si="4"/>
        <v>267.17117117117118</v>
      </c>
      <c r="V19" s="41">
        <f t="shared" si="5"/>
        <v>2344.3478260869565</v>
      </c>
      <c r="W19" s="29">
        <f t="shared" si="6"/>
        <v>257.87826086956522</v>
      </c>
      <c r="X19" s="41">
        <f t="shared" si="7"/>
        <v>2073.8461538461543</v>
      </c>
      <c r="Y19" s="29">
        <f t="shared" si="8"/>
        <v>228.12307692307698</v>
      </c>
      <c r="Z19" s="34">
        <f t="shared" si="9"/>
        <v>1707.1711711711712</v>
      </c>
      <c r="AA19" s="34">
        <f t="shared" si="10"/>
        <v>1697.8782608695651</v>
      </c>
      <c r="AB19" s="34">
        <f t="shared" si="11"/>
        <v>2808.123076923077</v>
      </c>
      <c r="AD19" s="42">
        <f t="shared" si="13"/>
        <v>-2688.4850763807299</v>
      </c>
      <c r="AE19" s="42">
        <f t="shared" si="14"/>
        <v>-18026.722869022873</v>
      </c>
      <c r="AF19" s="42"/>
    </row>
    <row r="20" spans="1:32">
      <c r="A20" s="8" t="s">
        <v>99</v>
      </c>
      <c r="B20" s="29">
        <v>8000</v>
      </c>
      <c r="C20" s="8">
        <v>13</v>
      </c>
      <c r="F20" s="22" t="s">
        <v>20</v>
      </c>
      <c r="G20" s="32">
        <f>+$Q$28</f>
        <v>8000</v>
      </c>
      <c r="H20" s="32">
        <f>+$R$28</f>
        <v>16500</v>
      </c>
      <c r="I20" s="32">
        <f>+$S$28</f>
        <v>0</v>
      </c>
      <c r="M20" s="8">
        <v>13</v>
      </c>
      <c r="N20" s="29">
        <f t="shared" si="0"/>
        <v>1440</v>
      </c>
      <c r="O20" s="29">
        <f t="shared" si="1"/>
        <v>1440</v>
      </c>
      <c r="P20" s="29">
        <f t="shared" si="2"/>
        <v>2580</v>
      </c>
      <c r="Q20" s="29">
        <f>+$B$20</f>
        <v>8000</v>
      </c>
      <c r="R20" s="29">
        <f>$B$19</f>
        <v>16500</v>
      </c>
      <c r="S20" s="29">
        <v>0</v>
      </c>
      <c r="T20" s="41">
        <f t="shared" si="3"/>
        <v>2428.828828828829</v>
      </c>
      <c r="U20" s="29">
        <f t="shared" si="4"/>
        <v>267.17117117117118</v>
      </c>
      <c r="V20" s="41">
        <f t="shared" si="5"/>
        <v>2344.3478260869565</v>
      </c>
      <c r="W20" s="29">
        <f t="shared" si="6"/>
        <v>257.87826086956522</v>
      </c>
      <c r="X20" s="41">
        <f t="shared" si="7"/>
        <v>2073.8461538461543</v>
      </c>
      <c r="Y20" s="29">
        <f t="shared" si="8"/>
        <v>228.12307692307698</v>
      </c>
      <c r="Z20" s="34">
        <f t="shared" si="9"/>
        <v>9707.1711711711705</v>
      </c>
      <c r="AA20" s="34">
        <f t="shared" si="10"/>
        <v>18197.878260869566</v>
      </c>
      <c r="AB20" s="34">
        <f t="shared" si="11"/>
        <v>2808.123076923077</v>
      </c>
      <c r="AD20" s="42">
        <f t="shared" si="13"/>
        <v>-11179.192166079125</v>
      </c>
      <c r="AE20" s="42">
        <f t="shared" si="14"/>
        <v>-11127.67477477478</v>
      </c>
      <c r="AF20" s="42"/>
    </row>
    <row r="21" spans="1:32">
      <c r="A21" s="8" t="s">
        <v>100</v>
      </c>
      <c r="B21" s="29">
        <v>18000</v>
      </c>
      <c r="C21" s="8"/>
      <c r="G21" s="30"/>
      <c r="H21" s="30"/>
      <c r="I21" s="30"/>
      <c r="M21" s="8">
        <v>14</v>
      </c>
      <c r="N21" s="29">
        <f t="shared" si="0"/>
        <v>1440</v>
      </c>
      <c r="O21" s="29">
        <f t="shared" si="1"/>
        <v>1440</v>
      </c>
      <c r="P21" s="29">
        <f t="shared" si="2"/>
        <v>2580</v>
      </c>
      <c r="Q21" s="29">
        <v>0</v>
      </c>
      <c r="R21" s="29">
        <v>0</v>
      </c>
      <c r="S21" s="29">
        <v>0</v>
      </c>
      <c r="T21" s="41">
        <f t="shared" si="3"/>
        <v>2428.828828828829</v>
      </c>
      <c r="U21" s="29">
        <f t="shared" si="4"/>
        <v>267.17117117117118</v>
      </c>
      <c r="V21" s="41">
        <f t="shared" si="5"/>
        <v>2344.3478260869565</v>
      </c>
      <c r="W21" s="29">
        <f t="shared" si="6"/>
        <v>257.87826086956522</v>
      </c>
      <c r="X21" s="41">
        <f t="shared" si="7"/>
        <v>2073.8461538461543</v>
      </c>
      <c r="Y21" s="29">
        <f t="shared" si="8"/>
        <v>228.12307692307698</v>
      </c>
      <c r="Z21" s="34">
        <f t="shared" si="9"/>
        <v>1707.1711711711712</v>
      </c>
      <c r="AA21" s="34">
        <f t="shared" si="10"/>
        <v>1697.8782608695651</v>
      </c>
      <c r="AB21" s="34">
        <f t="shared" si="11"/>
        <v>2808.123076923077</v>
      </c>
      <c r="AD21" s="42">
        <f t="shared" si="13"/>
        <v>-11169.899255777518</v>
      </c>
      <c r="AE21" s="42">
        <f t="shared" si="14"/>
        <v>-12228.626680526686</v>
      </c>
      <c r="AF21" s="42"/>
    </row>
    <row r="22" spans="1:32">
      <c r="A22" s="8" t="s">
        <v>101</v>
      </c>
      <c r="B22" s="29">
        <v>22000</v>
      </c>
      <c r="C22" s="8"/>
      <c r="F22" s="23" t="s">
        <v>45</v>
      </c>
      <c r="G22" s="33">
        <f>$U$28</f>
        <v>4007.5675675675693</v>
      </c>
      <c r="H22" s="33">
        <f>$W$28</f>
        <v>3868.1739130434771</v>
      </c>
      <c r="I22" s="33">
        <f>$Y$28</f>
        <v>3421.8461538461547</v>
      </c>
      <c r="M22" s="8">
        <v>15</v>
      </c>
      <c r="N22" s="29">
        <f>$B$18</f>
        <v>1440</v>
      </c>
      <c r="O22" s="29">
        <f>$B$17</f>
        <v>1440</v>
      </c>
      <c r="P22" s="29">
        <f t="shared" si="2"/>
        <v>2580</v>
      </c>
      <c r="Q22" s="29"/>
      <c r="R22" s="29"/>
      <c r="S22" s="29">
        <v>0</v>
      </c>
      <c r="T22" s="41">
        <f t="shared" si="3"/>
        <v>2428.828828828829</v>
      </c>
      <c r="U22" s="29">
        <f t="shared" si="4"/>
        <v>267.17117117117118</v>
      </c>
      <c r="V22" s="41">
        <f t="shared" si="5"/>
        <v>2344.3478260869565</v>
      </c>
      <c r="W22" s="29">
        <f t="shared" si="6"/>
        <v>257.87826086956522</v>
      </c>
      <c r="X22" s="41">
        <f t="shared" si="7"/>
        <v>2073.8461538461543</v>
      </c>
      <c r="Y22" s="29">
        <f t="shared" si="8"/>
        <v>228.12307692307698</v>
      </c>
      <c r="Z22" s="34">
        <f t="shared" si="9"/>
        <v>1707.1711711711712</v>
      </c>
      <c r="AA22" s="34">
        <f t="shared" si="10"/>
        <v>1697.8782608695651</v>
      </c>
      <c r="AB22" s="34">
        <f t="shared" si="11"/>
        <v>2808.123076923077</v>
      </c>
      <c r="AD22" s="42">
        <f t="shared" si="13"/>
        <v>-11160.606345475911</v>
      </c>
      <c r="AE22" s="42">
        <f t="shared" si="14"/>
        <v>-13329.578586278592</v>
      </c>
      <c r="AF22" s="42"/>
    </row>
    <row r="23" spans="1:32">
      <c r="A23" s="8" t="s">
        <v>102</v>
      </c>
      <c r="B23" s="29">
        <v>24879</v>
      </c>
      <c r="C23" s="8"/>
      <c r="G23" s="30"/>
      <c r="H23" s="30"/>
      <c r="I23" s="30"/>
      <c r="M23" s="8">
        <v>16</v>
      </c>
      <c r="N23" s="29"/>
      <c r="O23" s="29"/>
      <c r="P23" s="29"/>
      <c r="Q23" s="29"/>
      <c r="R23" s="29"/>
      <c r="S23" s="29"/>
      <c r="T23" s="41"/>
      <c r="U23" s="29"/>
      <c r="V23" s="41"/>
      <c r="W23" s="29"/>
      <c r="X23" s="41"/>
      <c r="Y23" s="29"/>
      <c r="Z23" s="34">
        <f>+N23+Q23+V23</f>
        <v>0</v>
      </c>
      <c r="AA23" s="34">
        <f>+O23+R23+W23</f>
        <v>0</v>
      </c>
      <c r="AB23" s="34">
        <f>+P23+S23+X23</f>
        <v>0</v>
      </c>
      <c r="AD23" s="42">
        <f t="shared" ref="AD23:AE41" si="17">+(G25-H25)-(Z23-H25)</f>
        <v>0</v>
      </c>
      <c r="AE23" s="42">
        <f t="shared" si="17"/>
        <v>0</v>
      </c>
      <c r="AF23" s="42"/>
    </row>
    <row r="24" spans="1:32">
      <c r="A24" s="8"/>
      <c r="B24" s="29"/>
      <c r="C24" s="8"/>
      <c r="F24" s="24" t="s">
        <v>46</v>
      </c>
      <c r="G24" s="34"/>
      <c r="H24" s="34"/>
      <c r="I24" s="34"/>
      <c r="M24" s="8">
        <v>17</v>
      </c>
      <c r="N24" s="29"/>
      <c r="O24" s="29"/>
      <c r="P24" s="29"/>
      <c r="Q24" s="29"/>
      <c r="R24" s="29"/>
      <c r="S24" s="29"/>
      <c r="T24" s="41"/>
      <c r="U24" s="29"/>
      <c r="V24" s="41"/>
      <c r="W24" s="29"/>
      <c r="X24" s="41"/>
      <c r="Y24" s="29"/>
      <c r="Z24" s="34">
        <f>+N24+Q24+V24</f>
        <v>0</v>
      </c>
      <c r="AA24" s="34">
        <f>+O24+R24+W24</f>
        <v>0</v>
      </c>
      <c r="AB24" s="34">
        <f>+P24+S24+X24</f>
        <v>0</v>
      </c>
      <c r="AD24" s="42">
        <f t="shared" si="17"/>
        <v>0</v>
      </c>
      <c r="AE24" s="42">
        <f t="shared" si="17"/>
        <v>0</v>
      </c>
      <c r="AF24" s="42"/>
    </row>
    <row r="25" spans="1:32">
      <c r="A25" s="8"/>
      <c r="B25" s="29"/>
      <c r="C25" s="8"/>
      <c r="F25" s="8" t="s">
        <v>47</v>
      </c>
      <c r="G25" s="29"/>
      <c r="H25" s="29"/>
      <c r="I25" s="29"/>
      <c r="M25" s="8">
        <v>18</v>
      </c>
      <c r="N25" s="29"/>
      <c r="O25" s="29"/>
      <c r="P25" s="29"/>
      <c r="Q25" s="29"/>
      <c r="R25" s="29"/>
      <c r="S25" s="29"/>
      <c r="T25" s="41"/>
      <c r="U25" s="29"/>
      <c r="V25" s="41"/>
      <c r="W25" s="29"/>
      <c r="X25" s="41"/>
      <c r="Y25" s="29"/>
      <c r="Z25" s="34">
        <f>+N25+Q25+V25</f>
        <v>0</v>
      </c>
      <c r="AA25" s="34">
        <f>+O25+R25+W25</f>
        <v>0</v>
      </c>
      <c r="AB25" s="34">
        <f>+P25+S25+X25</f>
        <v>0</v>
      </c>
      <c r="AD25" s="42">
        <f t="shared" si="17"/>
        <v>0</v>
      </c>
      <c r="AE25" s="42">
        <f t="shared" si="17"/>
        <v>0</v>
      </c>
      <c r="AF25" s="42"/>
    </row>
    <row r="26" spans="1:32">
      <c r="F26" s="8" t="s">
        <v>48</v>
      </c>
      <c r="G26" s="29"/>
      <c r="H26" s="29"/>
      <c r="I26" s="29"/>
      <c r="M26" s="8">
        <v>19</v>
      </c>
      <c r="N26" s="29"/>
      <c r="O26" s="29"/>
      <c r="P26" s="29"/>
      <c r="Q26" s="29"/>
      <c r="R26" s="29"/>
      <c r="S26" s="29"/>
      <c r="T26" s="41"/>
      <c r="U26" s="29"/>
      <c r="V26" s="41"/>
      <c r="W26" s="29"/>
      <c r="X26" s="41"/>
      <c r="Y26" s="29"/>
      <c r="Z26" s="34">
        <f>+N26+Q26+V26</f>
        <v>0</v>
      </c>
      <c r="AA26" s="34">
        <f>+O26+R26+W26</f>
        <v>0</v>
      </c>
      <c r="AB26" s="34">
        <f>+P26+S26+X26</f>
        <v>0</v>
      </c>
      <c r="AD26" s="42"/>
      <c r="AE26" s="42"/>
      <c r="AF26" s="42"/>
    </row>
    <row r="27" spans="1:32" ht="18.75">
      <c r="A27" s="55" t="s">
        <v>59</v>
      </c>
      <c r="B27" s="56"/>
      <c r="C27" s="57"/>
      <c r="G27" s="35"/>
      <c r="H27" s="35"/>
      <c r="I27" s="35"/>
      <c r="M27" s="8">
        <v>20</v>
      </c>
      <c r="N27" s="29"/>
      <c r="O27" s="29"/>
      <c r="P27" s="29"/>
      <c r="Q27" s="29"/>
      <c r="R27" s="29"/>
      <c r="S27" s="29"/>
      <c r="T27" s="41"/>
      <c r="U27" s="29"/>
      <c r="V27" s="41"/>
      <c r="W27" s="29"/>
      <c r="X27" s="41"/>
      <c r="Y27" s="29"/>
      <c r="Z27" s="34">
        <f>+N27+Q27+V27</f>
        <v>0</v>
      </c>
      <c r="AA27" s="34">
        <f>+O27+R27+W27</f>
        <v>0</v>
      </c>
      <c r="AB27" s="34">
        <f>+P27+S27+X27</f>
        <v>0</v>
      </c>
      <c r="AD27" s="42">
        <f t="shared" si="17"/>
        <v>0</v>
      </c>
      <c r="AE27" s="42"/>
      <c r="AF27" s="42"/>
    </row>
    <row r="28" spans="1:32">
      <c r="A28" s="8" t="s">
        <v>102</v>
      </c>
      <c r="B28" s="58">
        <v>130</v>
      </c>
      <c r="C28" s="8" t="s">
        <v>103</v>
      </c>
      <c r="F28" s="19" t="s">
        <v>49</v>
      </c>
      <c r="G28" s="29">
        <f t="shared" ref="G28:H28" si="18">+G24+G22+G20+G18+G10</f>
        <v>40207.567567567574</v>
      </c>
      <c r="H28" s="29">
        <f t="shared" si="18"/>
        <v>51368.173913043473</v>
      </c>
      <c r="I28" s="29">
        <f>+I24+I22+I20+I18+I10</f>
        <v>53537.146153846159</v>
      </c>
      <c r="M28" s="38" t="s">
        <v>50</v>
      </c>
      <c r="N28" s="29">
        <f t="shared" ref="N28:Y28" si="19">SUM(N8:N27)</f>
        <v>21600</v>
      </c>
      <c r="O28" s="29">
        <f t="shared" si="19"/>
        <v>21600</v>
      </c>
      <c r="P28" s="29">
        <f t="shared" si="19"/>
        <v>38700</v>
      </c>
      <c r="Q28" s="29">
        <f t="shared" si="19"/>
        <v>8000</v>
      </c>
      <c r="R28" s="29">
        <f t="shared" si="19"/>
        <v>16500</v>
      </c>
      <c r="S28" s="29">
        <f t="shared" si="19"/>
        <v>0</v>
      </c>
      <c r="T28" s="41">
        <f t="shared" si="19"/>
        <v>36432.432432432433</v>
      </c>
      <c r="U28" s="29">
        <f t="shared" si="19"/>
        <v>4007.5675675675693</v>
      </c>
      <c r="V28" s="41">
        <f t="shared" si="19"/>
        <v>35165.217391304352</v>
      </c>
      <c r="W28" s="29">
        <f t="shared" si="19"/>
        <v>3868.1739130434771</v>
      </c>
      <c r="X28" s="41">
        <f t="shared" si="19"/>
        <v>31107.692307692327</v>
      </c>
      <c r="Y28" s="29">
        <f t="shared" si="19"/>
        <v>3421.8461538461547</v>
      </c>
      <c r="Z28" s="40"/>
    </row>
    <row r="29" spans="1:32">
      <c r="A29" s="8" t="s">
        <v>101</v>
      </c>
      <c r="B29" s="8">
        <v>115</v>
      </c>
      <c r="C29" s="8" t="s">
        <v>103</v>
      </c>
      <c r="F29" t="s">
        <v>104</v>
      </c>
      <c r="H29" s="74">
        <f>+G28-H28</f>
        <v>-11160.606345475899</v>
      </c>
      <c r="I29" s="74">
        <f>+G28-I28</f>
        <v>-13329.578586278585</v>
      </c>
    </row>
    <row r="30" spans="1:32">
      <c r="A30" s="8" t="s">
        <v>105</v>
      </c>
      <c r="B30" s="58">
        <v>111</v>
      </c>
      <c r="C30" s="8" t="s">
        <v>103</v>
      </c>
    </row>
    <row r="31" spans="1:32">
      <c r="A31" s="8" t="s">
        <v>106</v>
      </c>
      <c r="B31" s="8">
        <v>8000</v>
      </c>
      <c r="C31" s="8" t="s">
        <v>107</v>
      </c>
    </row>
    <row r="32" spans="1:32">
      <c r="A32" s="8" t="s">
        <v>108</v>
      </c>
      <c r="B32" s="61">
        <v>-6000</v>
      </c>
      <c r="C32" s="8" t="s">
        <v>70</v>
      </c>
    </row>
    <row r="33" spans="1:9">
      <c r="A33" s="8" t="s">
        <v>109</v>
      </c>
      <c r="B33" s="46">
        <v>33.700000000000003</v>
      </c>
      <c r="C33" s="8" t="s">
        <v>110</v>
      </c>
      <c r="F33" s="126" t="s">
        <v>51</v>
      </c>
      <c r="G33" s="127"/>
      <c r="H33" s="127"/>
      <c r="I33" s="127"/>
    </row>
    <row r="34" spans="1:9">
      <c r="A34" s="8" t="s">
        <v>111</v>
      </c>
      <c r="B34" s="68">
        <f>B33/B28</f>
        <v>0.25923076923076926</v>
      </c>
      <c r="C34" s="8" t="s">
        <v>112</v>
      </c>
    </row>
    <row r="35" spans="1:9">
      <c r="A35" s="8" t="s">
        <v>113</v>
      </c>
      <c r="B35" s="70">
        <f>B33/B29</f>
        <v>0.29304347826086957</v>
      </c>
      <c r="C35" s="8" t="s">
        <v>112</v>
      </c>
      <c r="G35" s="26" t="str">
        <f>+G9</f>
        <v>Nissan Leaf S (2022)</v>
      </c>
      <c r="H35" s="26" t="str">
        <f>+H9</f>
        <v>Chevrolet Bolt LT (2023)</v>
      </c>
      <c r="I35" s="26" t="str">
        <f>+I9</f>
        <v>Tesla Model 3 (2020)</v>
      </c>
    </row>
    <row r="36" spans="1:9">
      <c r="A36" s="69" t="s">
        <v>114</v>
      </c>
      <c r="B36" s="70">
        <f>B33/B30</f>
        <v>0.30360360360360361</v>
      </c>
      <c r="C36" s="8" t="s">
        <v>112</v>
      </c>
      <c r="F36" s="20" t="s">
        <v>34</v>
      </c>
      <c r="G36" s="28">
        <f>+G10</f>
        <v>6600</v>
      </c>
      <c r="H36" s="28">
        <f>+H10</f>
        <v>9400</v>
      </c>
      <c r="I36" s="28">
        <f>+I10</f>
        <v>11415.3</v>
      </c>
    </row>
    <row r="37" spans="1:9">
      <c r="A37" s="8"/>
      <c r="B37" s="64"/>
      <c r="C37" s="8"/>
      <c r="F37" s="8" t="s">
        <v>35</v>
      </c>
      <c r="G37" s="29"/>
      <c r="H37" s="29"/>
      <c r="I37" s="29"/>
    </row>
    <row r="38" spans="1:9">
      <c r="A38" s="8" t="s">
        <v>115</v>
      </c>
      <c r="B38" s="58">
        <f>$B$31*B34</f>
        <v>2073.8461538461543</v>
      </c>
      <c r="C38" s="8" t="s">
        <v>116</v>
      </c>
      <c r="F38" s="8" t="s">
        <v>39</v>
      </c>
      <c r="G38" s="29"/>
      <c r="H38" s="29"/>
      <c r="I38" s="29"/>
    </row>
    <row r="39" spans="1:9">
      <c r="A39" s="8" t="s">
        <v>117</v>
      </c>
      <c r="B39" s="58">
        <f t="shared" ref="B39:B40" si="20">$B$31*B35</f>
        <v>2344.3478260869565</v>
      </c>
      <c r="C39" s="8" t="s">
        <v>116</v>
      </c>
      <c r="F39" s="8" t="s">
        <v>40</v>
      </c>
      <c r="G39" s="29"/>
      <c r="H39" s="29"/>
      <c r="I39" s="29"/>
    </row>
    <row r="40" spans="1:9">
      <c r="A40" s="8" t="s">
        <v>118</v>
      </c>
      <c r="B40" s="58">
        <f t="shared" si="20"/>
        <v>2428.828828828829</v>
      </c>
      <c r="C40" s="8" t="s">
        <v>116</v>
      </c>
      <c r="F40" s="8" t="s">
        <v>41</v>
      </c>
      <c r="G40" s="29"/>
      <c r="H40" s="29"/>
      <c r="I40" s="29"/>
    </row>
    <row r="41" spans="1:9">
      <c r="A41" s="8"/>
      <c r="B41" s="65"/>
      <c r="C41" s="8"/>
      <c r="F41" s="8" t="s">
        <v>42</v>
      </c>
      <c r="G41" s="29"/>
      <c r="H41" s="29"/>
      <c r="I41" s="29"/>
    </row>
    <row r="42" spans="1:9">
      <c r="A42" s="8" t="s">
        <v>119</v>
      </c>
      <c r="B42" s="67">
        <f>+B21*0.3</f>
        <v>5400</v>
      </c>
      <c r="C42" s="8" t="s">
        <v>120</v>
      </c>
      <c r="F42" s="8" t="s">
        <v>43</v>
      </c>
      <c r="G42" s="29"/>
      <c r="H42" s="29"/>
      <c r="I42" s="29"/>
    </row>
    <row r="43" spans="1:9">
      <c r="A43" s="8" t="s">
        <v>101</v>
      </c>
      <c r="B43" s="67">
        <f>+B22*0.3</f>
        <v>6600</v>
      </c>
      <c r="C43" s="8" t="s">
        <v>120</v>
      </c>
      <c r="G43" s="30"/>
      <c r="H43" s="30"/>
      <c r="I43" s="30"/>
    </row>
    <row r="44" spans="1:9">
      <c r="A44" s="8" t="s">
        <v>102</v>
      </c>
      <c r="B44" s="67">
        <f>+B23*0.3</f>
        <v>7463.7</v>
      </c>
      <c r="C44" s="8" t="s">
        <v>120</v>
      </c>
      <c r="F44" s="21" t="s">
        <v>44</v>
      </c>
      <c r="G44" s="31"/>
      <c r="H44" s="31"/>
      <c r="I44" s="31"/>
    </row>
    <row r="45" spans="1:9">
      <c r="A45" s="8"/>
      <c r="B45" s="67"/>
      <c r="C45" s="8"/>
      <c r="G45" s="30"/>
      <c r="H45" s="30"/>
      <c r="I45" s="30"/>
    </row>
    <row r="46" spans="1:9">
      <c r="A46" s="8"/>
      <c r="B46" s="67"/>
      <c r="C46" s="8"/>
      <c r="F46" s="22" t="s">
        <v>20</v>
      </c>
      <c r="G46" s="32"/>
      <c r="H46" s="32"/>
      <c r="I46" s="32"/>
    </row>
    <row r="47" spans="1:9">
      <c r="A47" s="8"/>
      <c r="B47" s="8"/>
      <c r="C47" s="8"/>
      <c r="G47" s="30"/>
      <c r="H47" s="30"/>
      <c r="I47" s="30"/>
    </row>
    <row r="48" spans="1:9">
      <c r="A48" s="8"/>
      <c r="B48" s="8"/>
      <c r="C48" s="8"/>
      <c r="F48" s="23" t="s">
        <v>45</v>
      </c>
      <c r="G48" s="33"/>
      <c r="H48" s="33"/>
      <c r="I48" s="33"/>
    </row>
    <row r="49" spans="6:9">
      <c r="G49" s="30"/>
      <c r="H49" s="30"/>
      <c r="I49" s="30"/>
    </row>
    <row r="50" spans="6:9">
      <c r="F50" s="24" t="s">
        <v>46</v>
      </c>
      <c r="G50" s="34"/>
      <c r="H50" s="34"/>
      <c r="I50" s="34"/>
    </row>
    <row r="51" spans="6:9">
      <c r="F51" s="8" t="s">
        <v>47</v>
      </c>
      <c r="G51" s="29"/>
      <c r="H51" s="29"/>
      <c r="I51" s="29"/>
    </row>
    <row r="52" spans="6:9">
      <c r="F52" s="8" t="s">
        <v>48</v>
      </c>
      <c r="G52" s="29"/>
      <c r="H52" s="29"/>
      <c r="I52" s="29"/>
    </row>
    <row r="53" spans="6:9">
      <c r="G53" s="35"/>
      <c r="H53" s="35"/>
      <c r="I53" s="35"/>
    </row>
    <row r="54" spans="6:9">
      <c r="F54" s="19" t="s">
        <v>49</v>
      </c>
      <c r="G54" s="29">
        <f t="shared" ref="G54:I54" si="21">+G50+G48+G46+G44+G36</f>
        <v>6600</v>
      </c>
      <c r="H54" s="29">
        <f t="shared" si="21"/>
        <v>9400</v>
      </c>
      <c r="I54" s="29">
        <f t="shared" si="21"/>
        <v>11415.3</v>
      </c>
    </row>
  </sheetData>
  <mergeCells count="11">
    <mergeCell ref="AD6:AF6"/>
    <mergeCell ref="F7:I7"/>
    <mergeCell ref="F33:I33"/>
    <mergeCell ref="N5:P6"/>
    <mergeCell ref="Q5:S6"/>
    <mergeCell ref="T5:Y5"/>
    <mergeCell ref="Z5:AB5"/>
    <mergeCell ref="T6:U6"/>
    <mergeCell ref="V6:W6"/>
    <mergeCell ref="X6:Y6"/>
    <mergeCell ref="Z6:AB6"/>
  </mergeCells>
  <pageMargins left="0.7" right="0.7" top="0.75" bottom="0.75" header="0.3" footer="0.3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28463-948A-4F65-A1AC-40E050FC8832}">
  <dimension ref="A2:AF54"/>
  <sheetViews>
    <sheetView zoomScale="78" zoomScaleNormal="78" workbookViewId="0">
      <selection activeCell="K29" sqref="K29"/>
    </sheetView>
  </sheetViews>
  <sheetFormatPr defaultRowHeight="15"/>
  <cols>
    <col min="1" max="1" width="31.42578125" customWidth="1"/>
    <col min="2" max="2" width="11.42578125" customWidth="1"/>
    <col min="3" max="5" width="11.140625" customWidth="1"/>
    <col min="6" max="6" width="32.85546875" customWidth="1"/>
    <col min="7" max="7" width="14.28515625" customWidth="1"/>
    <col min="8" max="8" width="13.85546875" customWidth="1"/>
    <col min="9" max="9" width="13.5703125" customWidth="1"/>
    <col min="14" max="14" width="18" customWidth="1"/>
    <col min="15" max="15" width="23.7109375" customWidth="1"/>
    <col min="16" max="17" width="13.7109375" customWidth="1"/>
    <col min="18" max="18" width="19.28515625" customWidth="1"/>
    <col min="19" max="26" width="13.7109375" customWidth="1"/>
    <col min="27" max="27" width="21.42578125" customWidth="1"/>
    <col min="28" max="28" width="13.5703125" customWidth="1"/>
    <col min="29" max="29" width="6.140625" customWidth="1"/>
    <col min="30" max="30" width="21.42578125" customWidth="1"/>
    <col min="31" max="32" width="13.7109375" customWidth="1"/>
  </cols>
  <sheetData>
    <row r="2" spans="1:32">
      <c r="N2" s="27" t="s">
        <v>13</v>
      </c>
    </row>
    <row r="3" spans="1:32">
      <c r="N3" s="27"/>
      <c r="O3" s="27"/>
    </row>
    <row r="4" spans="1:32" ht="21">
      <c r="A4" s="25" t="s">
        <v>14</v>
      </c>
      <c r="F4" s="27" t="s">
        <v>15</v>
      </c>
      <c r="N4" s="39" t="s">
        <v>16</v>
      </c>
    </row>
    <row r="5" spans="1:32" ht="21" customHeight="1">
      <c r="A5" s="19" t="s">
        <v>17</v>
      </c>
      <c r="B5" s="8">
        <v>15</v>
      </c>
      <c r="F5" s="27" t="s">
        <v>18</v>
      </c>
      <c r="N5" s="132" t="s">
        <v>121</v>
      </c>
      <c r="O5" s="133"/>
      <c r="P5" s="134"/>
      <c r="Q5" s="138" t="s">
        <v>20</v>
      </c>
      <c r="R5" s="138"/>
      <c r="S5" s="139"/>
      <c r="T5" s="117" t="s">
        <v>122</v>
      </c>
      <c r="U5" s="117"/>
      <c r="V5" s="117"/>
      <c r="W5" s="117"/>
      <c r="X5" s="117"/>
      <c r="Y5" s="117"/>
      <c r="Z5" s="121"/>
      <c r="AA5" s="121"/>
      <c r="AB5" s="121"/>
    </row>
    <row r="6" spans="1:32" ht="24.75" customHeight="1">
      <c r="A6" s="19" t="s">
        <v>22</v>
      </c>
      <c r="B6" s="11">
        <f>+'Energy Information'!$B$6</f>
        <v>0.11</v>
      </c>
      <c r="N6" s="135"/>
      <c r="O6" s="136"/>
      <c r="P6" s="137"/>
      <c r="Q6" s="140"/>
      <c r="R6" s="140"/>
      <c r="S6" s="141"/>
      <c r="T6" s="124" t="str">
        <f>+$G$9</f>
        <v>14.3 SEER2</v>
      </c>
      <c r="U6" s="125"/>
      <c r="V6" s="128" t="str">
        <f>+$H$9</f>
        <v>EnergyStarSEER2 16.2</v>
      </c>
      <c r="W6" s="129"/>
      <c r="X6" s="124" t="str">
        <f>+$I$9</f>
        <v>SEER 18.0</v>
      </c>
      <c r="Y6" s="125"/>
      <c r="Z6" s="122" t="s">
        <v>123</v>
      </c>
      <c r="AA6" s="122"/>
      <c r="AB6" s="122"/>
      <c r="AD6" s="123" t="s">
        <v>124</v>
      </c>
      <c r="AE6" s="123"/>
      <c r="AF6" s="123"/>
    </row>
    <row r="7" spans="1:32" ht="18.75" customHeight="1">
      <c r="A7" s="19" t="s">
        <v>5</v>
      </c>
      <c r="B7" s="12">
        <f>+'Energy Information'!$B$7</f>
        <v>0</v>
      </c>
      <c r="F7" s="126" t="s">
        <v>29</v>
      </c>
      <c r="G7" s="127"/>
      <c r="H7" s="127"/>
      <c r="I7" s="127"/>
      <c r="M7" s="19" t="s">
        <v>30</v>
      </c>
      <c r="N7" s="26" t="str">
        <f>+$G$9</f>
        <v>14.3 SEER2</v>
      </c>
      <c r="O7" s="26" t="str">
        <f>+$H$9</f>
        <v>EnergyStarSEER2 16.2</v>
      </c>
      <c r="P7" s="26" t="str">
        <f>+$I$9</f>
        <v>SEER 18.0</v>
      </c>
      <c r="Q7" s="26" t="str">
        <f>+$G$9</f>
        <v>14.3 SEER2</v>
      </c>
      <c r="R7" s="26" t="str">
        <f>+$H$9</f>
        <v>EnergyStarSEER2 16.2</v>
      </c>
      <c r="S7" s="26" t="str">
        <f>+$I$9</f>
        <v>SEER 18.0</v>
      </c>
      <c r="T7" s="26" t="s">
        <v>31</v>
      </c>
      <c r="U7" s="26" t="s">
        <v>32</v>
      </c>
      <c r="V7" s="26" t="s">
        <v>31</v>
      </c>
      <c r="W7" s="26" t="s">
        <v>32</v>
      </c>
      <c r="X7" s="26" t="s">
        <v>31</v>
      </c>
      <c r="Y7" s="26" t="s">
        <v>32</v>
      </c>
      <c r="Z7" s="26" t="str">
        <f>+$G$9</f>
        <v>14.3 SEER2</v>
      </c>
      <c r="AA7" s="26" t="str">
        <f>+$H$9</f>
        <v>EnergyStarSEER2 16.2</v>
      </c>
      <c r="AB7" s="26" t="str">
        <f>+$I$9</f>
        <v>SEER 18.0</v>
      </c>
      <c r="AD7" s="26" t="str">
        <f>+$H$9</f>
        <v>EnergyStarSEER2 16.2</v>
      </c>
      <c r="AE7" s="26" t="str">
        <f>$I$9</f>
        <v>SEER 18.0</v>
      </c>
      <c r="AF7" s="26"/>
    </row>
    <row r="8" spans="1:32">
      <c r="A8" s="19" t="s">
        <v>33</v>
      </c>
      <c r="B8" s="13">
        <f>+'Energy Information'!$B$12</f>
        <v>1.4815</v>
      </c>
      <c r="M8" s="8">
        <v>1</v>
      </c>
      <c r="N8" s="29"/>
      <c r="O8" s="29"/>
      <c r="P8" s="29"/>
      <c r="Q8" s="29"/>
      <c r="R8" s="29"/>
      <c r="S8" s="29"/>
      <c r="T8" s="41">
        <f>+$B$39</f>
        <v>2763.6363636363635</v>
      </c>
      <c r="U8" s="29">
        <f>+T8*$B$6</f>
        <v>304</v>
      </c>
      <c r="V8" s="41">
        <f>+$B$40</f>
        <v>2439.5061728395062</v>
      </c>
      <c r="W8" s="29">
        <f>+V8*$B$6</f>
        <v>268.34567901234567</v>
      </c>
      <c r="X8" s="41">
        <f>+$B$41</f>
        <v>2195.5555555555557</v>
      </c>
      <c r="Y8" s="29">
        <f>+X8*$B$6</f>
        <v>241.51111111111112</v>
      </c>
      <c r="Z8" s="34">
        <f>+N8+Q8+U8</f>
        <v>304</v>
      </c>
      <c r="AA8" s="34">
        <f>+O8+R8+W8</f>
        <v>268.34567901234567</v>
      </c>
      <c r="AB8" s="34">
        <f>+P8+S8+Y8</f>
        <v>241.51111111111112</v>
      </c>
      <c r="AD8" s="42">
        <f>+(G10-$H$10)+(Z8-AA8)</f>
        <v>-364.34567901234567</v>
      </c>
      <c r="AE8" s="42">
        <f>+(G10-$I$10)+(Z8-AB8)</f>
        <v>-2337.5111111111109</v>
      </c>
      <c r="AF8" s="42"/>
    </row>
    <row r="9" spans="1:32" ht="30" customHeight="1">
      <c r="A9" s="19" t="s">
        <v>10</v>
      </c>
      <c r="B9" s="14">
        <f>+'Energy Information'!$B$13</f>
        <v>0</v>
      </c>
      <c r="G9" s="26" t="s">
        <v>125</v>
      </c>
      <c r="H9" s="43" t="s">
        <v>126</v>
      </c>
      <c r="I9" s="26" t="s">
        <v>127</v>
      </c>
      <c r="M9" s="8">
        <v>2</v>
      </c>
      <c r="N9" s="29"/>
      <c r="O9" s="29"/>
      <c r="P9" s="29"/>
      <c r="Q9" s="29"/>
      <c r="R9" s="29"/>
      <c r="S9" s="29"/>
      <c r="T9" s="41">
        <f t="shared" ref="T9:T23" si="0">+$B$39</f>
        <v>2763.6363636363635</v>
      </c>
      <c r="U9" s="29">
        <f t="shared" ref="U9:U23" si="1">+T9*$B$6</f>
        <v>304</v>
      </c>
      <c r="V9" s="41">
        <f t="shared" ref="V9:V23" si="2">+$B$40</f>
        <v>2439.5061728395062</v>
      </c>
      <c r="W9" s="29">
        <f t="shared" ref="W9:W23" si="3">+V9*$B$6</f>
        <v>268.34567901234567</v>
      </c>
      <c r="X9" s="41">
        <f t="shared" ref="X9:X23" si="4">+$B$41</f>
        <v>2195.5555555555557</v>
      </c>
      <c r="Y9" s="29">
        <f t="shared" ref="Y9:Y23" si="5">+X9*$B$6</f>
        <v>241.51111111111112</v>
      </c>
      <c r="Z9" s="34">
        <f t="shared" ref="Z9:Z22" si="6">+N9+Q9+U9</f>
        <v>304</v>
      </c>
      <c r="AA9" s="34">
        <f t="shared" ref="AA9:AA22" si="7">+O9+R9+W9</f>
        <v>268.34567901234567</v>
      </c>
      <c r="AB9" s="34">
        <f t="shared" ref="AB9:AB22" si="8">+P9+S9+Y9</f>
        <v>241.51111111111112</v>
      </c>
      <c r="AD9" s="42">
        <f>+AD8+(Z9-AA9)</f>
        <v>-328.69135802469134</v>
      </c>
      <c r="AE9" s="42">
        <f>+AE8+(Z9-AB9)</f>
        <v>-2275.0222222222219</v>
      </c>
      <c r="AF9" s="42"/>
    </row>
    <row r="10" spans="1:32">
      <c r="F10" s="20" t="s">
        <v>34</v>
      </c>
      <c r="G10" s="28">
        <f>+B13</f>
        <v>8500</v>
      </c>
      <c r="H10" s="28">
        <f>+$B$14+SUM(H11:H16)</f>
        <v>8900</v>
      </c>
      <c r="I10" s="28">
        <f>+$B$15+SUM(I11:I16)</f>
        <v>10900</v>
      </c>
      <c r="M10" s="8">
        <v>3</v>
      </c>
      <c r="N10" s="29"/>
      <c r="O10" s="29"/>
      <c r="P10" s="29"/>
      <c r="Q10" s="29"/>
      <c r="R10" s="29"/>
      <c r="S10" s="29"/>
      <c r="T10" s="41">
        <f t="shared" si="0"/>
        <v>2763.6363636363635</v>
      </c>
      <c r="U10" s="29">
        <f t="shared" si="1"/>
        <v>304</v>
      </c>
      <c r="V10" s="41">
        <f t="shared" si="2"/>
        <v>2439.5061728395062</v>
      </c>
      <c r="W10" s="29">
        <f t="shared" si="3"/>
        <v>268.34567901234567</v>
      </c>
      <c r="X10" s="41">
        <f t="shared" si="4"/>
        <v>2195.5555555555557</v>
      </c>
      <c r="Y10" s="29">
        <f t="shared" si="5"/>
        <v>241.51111111111112</v>
      </c>
      <c r="Z10" s="34">
        <f t="shared" si="6"/>
        <v>304</v>
      </c>
      <c r="AA10" s="34">
        <f t="shared" si="7"/>
        <v>268.34567901234567</v>
      </c>
      <c r="AB10" s="34">
        <f t="shared" si="8"/>
        <v>241.51111111111112</v>
      </c>
      <c r="AD10" s="42">
        <f t="shared" ref="AD10:AD22" si="9">+AD9+(Z10-AA10)</f>
        <v>-293.03703703703701</v>
      </c>
      <c r="AE10" s="42">
        <f t="shared" ref="AE10:AE22" si="10">+AE9+(Z10-AB10)</f>
        <v>-2212.5333333333328</v>
      </c>
      <c r="AF10" s="42"/>
    </row>
    <row r="11" spans="1:32">
      <c r="F11" s="8" t="s">
        <v>35</v>
      </c>
      <c r="G11" s="29"/>
      <c r="H11" s="29"/>
      <c r="I11" s="29"/>
      <c r="M11" s="8">
        <v>4</v>
      </c>
      <c r="N11" s="29"/>
      <c r="O11" s="29"/>
      <c r="P11" s="29"/>
      <c r="Q11" s="29"/>
      <c r="R11" s="29"/>
      <c r="S11" s="29"/>
      <c r="T11" s="41">
        <f t="shared" si="0"/>
        <v>2763.6363636363635</v>
      </c>
      <c r="U11" s="29">
        <f t="shared" si="1"/>
        <v>304</v>
      </c>
      <c r="V11" s="41">
        <f t="shared" si="2"/>
        <v>2439.5061728395062</v>
      </c>
      <c r="W11" s="29">
        <f t="shared" si="3"/>
        <v>268.34567901234567</v>
      </c>
      <c r="X11" s="41">
        <f t="shared" si="4"/>
        <v>2195.5555555555557</v>
      </c>
      <c r="Y11" s="29">
        <f t="shared" si="5"/>
        <v>241.51111111111112</v>
      </c>
      <c r="Z11" s="34">
        <f t="shared" si="6"/>
        <v>304</v>
      </c>
      <c r="AA11" s="34">
        <f t="shared" si="7"/>
        <v>268.34567901234567</v>
      </c>
      <c r="AB11" s="34">
        <f t="shared" si="8"/>
        <v>241.51111111111112</v>
      </c>
      <c r="AD11" s="42">
        <f t="shared" si="9"/>
        <v>-257.38271604938268</v>
      </c>
      <c r="AE11" s="42">
        <f t="shared" si="10"/>
        <v>-2150.0444444444438</v>
      </c>
      <c r="AF11" s="42"/>
    </row>
    <row r="12" spans="1:32" ht="18.75">
      <c r="A12" s="36" t="s">
        <v>36</v>
      </c>
      <c r="B12" s="37" t="s">
        <v>37</v>
      </c>
      <c r="C12" s="26" t="s">
        <v>38</v>
      </c>
      <c r="F12" s="8" t="s">
        <v>39</v>
      </c>
      <c r="G12" s="29"/>
      <c r="H12" s="29"/>
      <c r="I12" s="29"/>
      <c r="M12" s="8">
        <v>5</v>
      </c>
      <c r="N12" s="29"/>
      <c r="O12" s="29"/>
      <c r="P12" s="29"/>
      <c r="Q12" s="29"/>
      <c r="R12" s="29"/>
      <c r="S12" s="29"/>
      <c r="T12" s="41">
        <f t="shared" si="0"/>
        <v>2763.6363636363635</v>
      </c>
      <c r="U12" s="29">
        <f t="shared" si="1"/>
        <v>304</v>
      </c>
      <c r="V12" s="41">
        <f t="shared" si="2"/>
        <v>2439.5061728395062</v>
      </c>
      <c r="W12" s="29">
        <f t="shared" si="3"/>
        <v>268.34567901234567</v>
      </c>
      <c r="X12" s="41">
        <f t="shared" si="4"/>
        <v>2195.5555555555557</v>
      </c>
      <c r="Y12" s="29">
        <f t="shared" si="5"/>
        <v>241.51111111111112</v>
      </c>
      <c r="Z12" s="34">
        <f t="shared" si="6"/>
        <v>304</v>
      </c>
      <c r="AA12" s="34">
        <f t="shared" si="7"/>
        <v>268.34567901234567</v>
      </c>
      <c r="AB12" s="34">
        <f t="shared" si="8"/>
        <v>241.51111111111112</v>
      </c>
      <c r="AD12" s="42">
        <f t="shared" si="9"/>
        <v>-221.72839506172835</v>
      </c>
      <c r="AE12" s="42">
        <f t="shared" si="10"/>
        <v>-2087.5555555555547</v>
      </c>
      <c r="AF12" s="42"/>
    </row>
    <row r="13" spans="1:32">
      <c r="A13" s="8" t="s">
        <v>128</v>
      </c>
      <c r="B13" s="29">
        <v>8500</v>
      </c>
      <c r="C13" s="8">
        <v>0</v>
      </c>
      <c r="F13" s="8" t="s">
        <v>40</v>
      </c>
      <c r="G13" s="29"/>
      <c r="H13" s="29"/>
      <c r="I13" s="29"/>
      <c r="M13" s="8">
        <v>6</v>
      </c>
      <c r="N13" s="29"/>
      <c r="O13" s="29"/>
      <c r="P13" s="29"/>
      <c r="Q13" s="29"/>
      <c r="R13" s="29"/>
      <c r="S13" s="29"/>
      <c r="T13" s="41">
        <f t="shared" si="0"/>
        <v>2763.6363636363635</v>
      </c>
      <c r="U13" s="29">
        <f t="shared" si="1"/>
        <v>304</v>
      </c>
      <c r="V13" s="41">
        <f t="shared" si="2"/>
        <v>2439.5061728395062</v>
      </c>
      <c r="W13" s="29">
        <f t="shared" si="3"/>
        <v>268.34567901234567</v>
      </c>
      <c r="X13" s="41">
        <f t="shared" si="4"/>
        <v>2195.5555555555557</v>
      </c>
      <c r="Y13" s="29">
        <f t="shared" si="5"/>
        <v>241.51111111111112</v>
      </c>
      <c r="Z13" s="34">
        <f t="shared" si="6"/>
        <v>304</v>
      </c>
      <c r="AA13" s="34">
        <f t="shared" si="7"/>
        <v>268.34567901234567</v>
      </c>
      <c r="AB13" s="34">
        <f t="shared" si="8"/>
        <v>241.51111111111112</v>
      </c>
      <c r="AD13" s="42">
        <f t="shared" si="9"/>
        <v>-186.07407407407402</v>
      </c>
      <c r="AE13" s="42">
        <f t="shared" si="10"/>
        <v>-2025.0666666666659</v>
      </c>
      <c r="AF13" s="42"/>
    </row>
    <row r="14" spans="1:32">
      <c r="A14" s="8" t="s">
        <v>129</v>
      </c>
      <c r="B14" s="29">
        <v>9500</v>
      </c>
      <c r="C14" s="8">
        <v>0</v>
      </c>
      <c r="F14" s="8" t="s">
        <v>41</v>
      </c>
      <c r="G14" s="29"/>
      <c r="H14" s="29"/>
      <c r="I14" s="29"/>
      <c r="M14" s="8">
        <v>7</v>
      </c>
      <c r="N14" s="29"/>
      <c r="O14" s="29"/>
      <c r="P14" s="29"/>
      <c r="Q14" s="29"/>
      <c r="R14" s="29"/>
      <c r="S14" s="29"/>
      <c r="T14" s="41">
        <f t="shared" si="0"/>
        <v>2763.6363636363635</v>
      </c>
      <c r="U14" s="29">
        <f t="shared" si="1"/>
        <v>304</v>
      </c>
      <c r="V14" s="41">
        <f t="shared" si="2"/>
        <v>2439.5061728395062</v>
      </c>
      <c r="W14" s="29">
        <f t="shared" si="3"/>
        <v>268.34567901234567</v>
      </c>
      <c r="X14" s="41">
        <f t="shared" si="4"/>
        <v>2195.5555555555557</v>
      </c>
      <c r="Y14" s="29">
        <f t="shared" si="5"/>
        <v>241.51111111111112</v>
      </c>
      <c r="Z14" s="34">
        <f t="shared" si="6"/>
        <v>304</v>
      </c>
      <c r="AA14" s="34">
        <f t="shared" si="7"/>
        <v>268.34567901234567</v>
      </c>
      <c r="AB14" s="34">
        <f t="shared" si="8"/>
        <v>241.51111111111112</v>
      </c>
      <c r="AD14" s="42">
        <f t="shared" si="9"/>
        <v>-150.41975308641969</v>
      </c>
      <c r="AE14" s="42">
        <f t="shared" si="10"/>
        <v>-1962.5777777777771</v>
      </c>
      <c r="AF14" s="42"/>
    </row>
    <row r="15" spans="1:32">
      <c r="A15" s="8" t="s">
        <v>130</v>
      </c>
      <c r="B15" s="29">
        <v>11500</v>
      </c>
      <c r="C15" s="8">
        <v>0</v>
      </c>
      <c r="F15" s="8" t="s">
        <v>131</v>
      </c>
      <c r="G15" s="29">
        <v>0</v>
      </c>
      <c r="H15" s="29">
        <f>$B$45</f>
        <v>-600</v>
      </c>
      <c r="I15" s="29">
        <f>$B$45</f>
        <v>-600</v>
      </c>
      <c r="M15" s="8">
        <v>8</v>
      </c>
      <c r="N15" s="29"/>
      <c r="O15" s="29"/>
      <c r="P15" s="29"/>
      <c r="Q15" s="29"/>
      <c r="R15" s="29"/>
      <c r="S15" s="29"/>
      <c r="T15" s="41">
        <f t="shared" si="0"/>
        <v>2763.6363636363635</v>
      </c>
      <c r="U15" s="29">
        <f t="shared" si="1"/>
        <v>304</v>
      </c>
      <c r="V15" s="41">
        <f t="shared" si="2"/>
        <v>2439.5061728395062</v>
      </c>
      <c r="W15" s="29">
        <f t="shared" si="3"/>
        <v>268.34567901234567</v>
      </c>
      <c r="X15" s="41">
        <f t="shared" si="4"/>
        <v>2195.5555555555557</v>
      </c>
      <c r="Y15" s="29">
        <f t="shared" si="5"/>
        <v>241.51111111111112</v>
      </c>
      <c r="Z15" s="34">
        <f t="shared" si="6"/>
        <v>304</v>
      </c>
      <c r="AA15" s="34">
        <f t="shared" si="7"/>
        <v>268.34567901234567</v>
      </c>
      <c r="AB15" s="34">
        <f t="shared" si="8"/>
        <v>241.51111111111112</v>
      </c>
      <c r="AD15" s="42">
        <f t="shared" si="9"/>
        <v>-114.76543209876536</v>
      </c>
      <c r="AE15" s="42">
        <f t="shared" si="10"/>
        <v>-1900.0888888888883</v>
      </c>
      <c r="AF15" s="42"/>
    </row>
    <row r="16" spans="1:32">
      <c r="A16" s="8"/>
      <c r="B16" s="29"/>
      <c r="C16" s="8"/>
      <c r="F16" s="8" t="s">
        <v>43</v>
      </c>
      <c r="G16" s="29"/>
      <c r="H16" s="29"/>
      <c r="I16" s="29"/>
      <c r="M16" s="8">
        <v>9</v>
      </c>
      <c r="N16" s="29"/>
      <c r="O16" s="29"/>
      <c r="P16" s="29"/>
      <c r="Q16" s="29"/>
      <c r="R16" s="29"/>
      <c r="S16" s="29"/>
      <c r="T16" s="41">
        <f t="shared" si="0"/>
        <v>2763.6363636363635</v>
      </c>
      <c r="U16" s="29">
        <f t="shared" si="1"/>
        <v>304</v>
      </c>
      <c r="V16" s="41">
        <f t="shared" si="2"/>
        <v>2439.5061728395062</v>
      </c>
      <c r="W16" s="29">
        <f t="shared" si="3"/>
        <v>268.34567901234567</v>
      </c>
      <c r="X16" s="41">
        <f t="shared" si="4"/>
        <v>2195.5555555555557</v>
      </c>
      <c r="Y16" s="29">
        <f t="shared" si="5"/>
        <v>241.51111111111112</v>
      </c>
      <c r="Z16" s="34">
        <f t="shared" si="6"/>
        <v>304</v>
      </c>
      <c r="AA16" s="34">
        <f t="shared" si="7"/>
        <v>268.34567901234567</v>
      </c>
      <c r="AB16" s="34">
        <f t="shared" si="8"/>
        <v>241.51111111111112</v>
      </c>
      <c r="AD16" s="42">
        <f t="shared" si="9"/>
        <v>-79.111111111111029</v>
      </c>
      <c r="AE16" s="42">
        <f t="shared" si="10"/>
        <v>-1837.5999999999995</v>
      </c>
      <c r="AF16" s="42"/>
    </row>
    <row r="17" spans="1:32">
      <c r="A17" s="8"/>
      <c r="B17" s="29"/>
      <c r="C17" s="8"/>
      <c r="G17" s="30"/>
      <c r="H17" s="30"/>
      <c r="I17" s="30"/>
      <c r="M17" s="8">
        <v>10</v>
      </c>
      <c r="N17" s="29"/>
      <c r="O17" s="29"/>
      <c r="P17" s="29"/>
      <c r="Q17" s="29"/>
      <c r="R17" s="29"/>
      <c r="S17" s="29"/>
      <c r="T17" s="41">
        <f t="shared" si="0"/>
        <v>2763.6363636363635</v>
      </c>
      <c r="U17" s="29">
        <f t="shared" si="1"/>
        <v>304</v>
      </c>
      <c r="V17" s="41">
        <f t="shared" si="2"/>
        <v>2439.5061728395062</v>
      </c>
      <c r="W17" s="29">
        <f t="shared" si="3"/>
        <v>268.34567901234567</v>
      </c>
      <c r="X17" s="41">
        <f t="shared" si="4"/>
        <v>2195.5555555555557</v>
      </c>
      <c r="Y17" s="29">
        <f t="shared" si="5"/>
        <v>241.51111111111112</v>
      </c>
      <c r="Z17" s="34">
        <f t="shared" si="6"/>
        <v>304</v>
      </c>
      <c r="AA17" s="34">
        <f t="shared" si="7"/>
        <v>268.34567901234567</v>
      </c>
      <c r="AB17" s="34">
        <f t="shared" si="8"/>
        <v>241.51111111111112</v>
      </c>
      <c r="AD17" s="42">
        <f t="shared" si="9"/>
        <v>-43.456790123456699</v>
      </c>
      <c r="AE17" s="42">
        <f t="shared" si="10"/>
        <v>-1775.1111111111106</v>
      </c>
      <c r="AF17" s="42"/>
    </row>
    <row r="18" spans="1:32">
      <c r="A18" s="8"/>
      <c r="B18" s="29"/>
      <c r="C18" s="8"/>
      <c r="F18" s="21" t="s">
        <v>44</v>
      </c>
      <c r="G18" s="31">
        <f>+N28</f>
        <v>0</v>
      </c>
      <c r="H18" s="31">
        <f>+O28</f>
        <v>0</v>
      </c>
      <c r="I18" s="31">
        <f>+P28</f>
        <v>0</v>
      </c>
      <c r="M18" s="8">
        <v>11</v>
      </c>
      <c r="N18" s="29"/>
      <c r="O18" s="29"/>
      <c r="P18" s="29"/>
      <c r="Q18" s="29"/>
      <c r="R18" s="29"/>
      <c r="S18" s="29"/>
      <c r="T18" s="41">
        <f t="shared" si="0"/>
        <v>2763.6363636363635</v>
      </c>
      <c r="U18" s="29">
        <f t="shared" si="1"/>
        <v>304</v>
      </c>
      <c r="V18" s="41">
        <f t="shared" si="2"/>
        <v>2439.5061728395062</v>
      </c>
      <c r="W18" s="29">
        <f t="shared" si="3"/>
        <v>268.34567901234567</v>
      </c>
      <c r="X18" s="41">
        <f t="shared" si="4"/>
        <v>2195.5555555555557</v>
      </c>
      <c r="Y18" s="29">
        <f t="shared" si="5"/>
        <v>241.51111111111112</v>
      </c>
      <c r="Z18" s="34">
        <f t="shared" si="6"/>
        <v>304</v>
      </c>
      <c r="AA18" s="34">
        <f t="shared" si="7"/>
        <v>268.34567901234567</v>
      </c>
      <c r="AB18" s="34">
        <f t="shared" si="8"/>
        <v>241.51111111111112</v>
      </c>
      <c r="AD18" s="42">
        <f t="shared" si="9"/>
        <v>-7.8024691358023688</v>
      </c>
      <c r="AE18" s="42">
        <f t="shared" si="10"/>
        <v>-1712.6222222222218</v>
      </c>
      <c r="AF18" s="42"/>
    </row>
    <row r="19" spans="1:32">
      <c r="A19" s="8"/>
      <c r="B19" s="29"/>
      <c r="C19" s="8"/>
      <c r="G19" s="30"/>
      <c r="H19" s="30"/>
      <c r="I19" s="30"/>
      <c r="M19" s="8">
        <v>12</v>
      </c>
      <c r="N19" s="29"/>
      <c r="O19" s="29"/>
      <c r="P19" s="29"/>
      <c r="Q19" s="29"/>
      <c r="R19" s="29"/>
      <c r="S19" s="29"/>
      <c r="T19" s="41">
        <f t="shared" si="0"/>
        <v>2763.6363636363635</v>
      </c>
      <c r="U19" s="29">
        <f t="shared" si="1"/>
        <v>304</v>
      </c>
      <c r="V19" s="41">
        <f t="shared" si="2"/>
        <v>2439.5061728395062</v>
      </c>
      <c r="W19" s="29">
        <f t="shared" si="3"/>
        <v>268.34567901234567</v>
      </c>
      <c r="X19" s="41">
        <f t="shared" si="4"/>
        <v>2195.5555555555557</v>
      </c>
      <c r="Y19" s="29">
        <f t="shared" si="5"/>
        <v>241.51111111111112</v>
      </c>
      <c r="Z19" s="34">
        <f t="shared" si="6"/>
        <v>304</v>
      </c>
      <c r="AA19" s="34">
        <f t="shared" si="7"/>
        <v>268.34567901234567</v>
      </c>
      <c r="AB19" s="34">
        <f t="shared" si="8"/>
        <v>241.51111111111112</v>
      </c>
      <c r="AD19" s="42">
        <f t="shared" si="9"/>
        <v>27.851851851851961</v>
      </c>
      <c r="AE19" s="42">
        <f t="shared" si="10"/>
        <v>-1650.133333333333</v>
      </c>
      <c r="AF19" s="42"/>
    </row>
    <row r="20" spans="1:32">
      <c r="A20" s="8"/>
      <c r="B20" s="29"/>
      <c r="C20" s="8"/>
      <c r="F20" s="22" t="s">
        <v>20</v>
      </c>
      <c r="G20" s="32">
        <f>+Q28</f>
        <v>0</v>
      </c>
      <c r="H20" s="32">
        <f>+R28</f>
        <v>0</v>
      </c>
      <c r="I20" s="32">
        <f>+S28</f>
        <v>0</v>
      </c>
      <c r="M20" s="8">
        <v>13</v>
      </c>
      <c r="N20" s="29"/>
      <c r="O20" s="29"/>
      <c r="P20" s="29"/>
      <c r="Q20" s="29"/>
      <c r="R20" s="29"/>
      <c r="S20" s="29"/>
      <c r="T20" s="41">
        <f t="shared" si="0"/>
        <v>2763.6363636363635</v>
      </c>
      <c r="U20" s="29">
        <f t="shared" si="1"/>
        <v>304</v>
      </c>
      <c r="V20" s="41">
        <f t="shared" si="2"/>
        <v>2439.5061728395062</v>
      </c>
      <c r="W20" s="29">
        <f t="shared" si="3"/>
        <v>268.34567901234567</v>
      </c>
      <c r="X20" s="41">
        <f t="shared" si="4"/>
        <v>2195.5555555555557</v>
      </c>
      <c r="Y20" s="29">
        <f t="shared" si="5"/>
        <v>241.51111111111112</v>
      </c>
      <c r="Z20" s="34">
        <f t="shared" si="6"/>
        <v>304</v>
      </c>
      <c r="AA20" s="34">
        <f t="shared" si="7"/>
        <v>268.34567901234567</v>
      </c>
      <c r="AB20" s="34">
        <f t="shared" si="8"/>
        <v>241.51111111111112</v>
      </c>
      <c r="AD20" s="42">
        <f t="shared" si="9"/>
        <v>63.506172839506291</v>
      </c>
      <c r="AE20" s="42">
        <f t="shared" si="10"/>
        <v>-1587.6444444444442</v>
      </c>
      <c r="AF20" s="42"/>
    </row>
    <row r="21" spans="1:32">
      <c r="A21" s="8"/>
      <c r="B21" s="29"/>
      <c r="C21" s="8"/>
      <c r="G21" s="30"/>
      <c r="H21" s="30"/>
      <c r="I21" s="30"/>
      <c r="M21" s="8">
        <v>14</v>
      </c>
      <c r="N21" s="29"/>
      <c r="O21" s="29"/>
      <c r="P21" s="29"/>
      <c r="Q21" s="29"/>
      <c r="R21" s="29"/>
      <c r="S21" s="29"/>
      <c r="T21" s="41">
        <f t="shared" si="0"/>
        <v>2763.6363636363635</v>
      </c>
      <c r="U21" s="29">
        <f t="shared" si="1"/>
        <v>304</v>
      </c>
      <c r="V21" s="41">
        <f t="shared" si="2"/>
        <v>2439.5061728395062</v>
      </c>
      <c r="W21" s="29">
        <f t="shared" si="3"/>
        <v>268.34567901234567</v>
      </c>
      <c r="X21" s="41">
        <f t="shared" si="4"/>
        <v>2195.5555555555557</v>
      </c>
      <c r="Y21" s="29">
        <f t="shared" si="5"/>
        <v>241.51111111111112</v>
      </c>
      <c r="Z21" s="34">
        <f t="shared" si="6"/>
        <v>304</v>
      </c>
      <c r="AA21" s="34">
        <f t="shared" si="7"/>
        <v>268.34567901234567</v>
      </c>
      <c r="AB21" s="34">
        <f t="shared" si="8"/>
        <v>241.51111111111112</v>
      </c>
      <c r="AD21" s="42">
        <f t="shared" si="9"/>
        <v>99.160493827160622</v>
      </c>
      <c r="AE21" s="42">
        <f t="shared" si="10"/>
        <v>-1525.1555555555553</v>
      </c>
      <c r="AF21" s="42"/>
    </row>
    <row r="22" spans="1:32">
      <c r="A22" s="8"/>
      <c r="B22" s="29"/>
      <c r="C22" s="8"/>
      <c r="F22" s="23" t="s">
        <v>45</v>
      </c>
      <c r="G22" s="33">
        <f>+U28</f>
        <v>4560</v>
      </c>
      <c r="H22" s="33">
        <f>+W28</f>
        <v>4025.1851851851839</v>
      </c>
      <c r="I22" s="33">
        <f>+Y28</f>
        <v>3622.6666666666661</v>
      </c>
      <c r="M22" s="8">
        <v>15</v>
      </c>
      <c r="N22" s="29"/>
      <c r="O22" s="29"/>
      <c r="P22" s="29"/>
      <c r="Q22" s="29"/>
      <c r="R22" s="29"/>
      <c r="S22" s="29"/>
      <c r="T22" s="41">
        <f t="shared" si="0"/>
        <v>2763.6363636363635</v>
      </c>
      <c r="U22" s="29">
        <f t="shared" si="1"/>
        <v>304</v>
      </c>
      <c r="V22" s="41">
        <f t="shared" si="2"/>
        <v>2439.5061728395062</v>
      </c>
      <c r="W22" s="29">
        <f t="shared" si="3"/>
        <v>268.34567901234567</v>
      </c>
      <c r="X22" s="41">
        <f t="shared" si="4"/>
        <v>2195.5555555555557</v>
      </c>
      <c r="Y22" s="29">
        <f t="shared" si="5"/>
        <v>241.51111111111112</v>
      </c>
      <c r="Z22" s="34">
        <f t="shared" si="6"/>
        <v>304</v>
      </c>
      <c r="AA22" s="34">
        <f t="shared" si="7"/>
        <v>268.34567901234567</v>
      </c>
      <c r="AB22" s="34">
        <f t="shared" si="8"/>
        <v>241.51111111111112</v>
      </c>
      <c r="AD22" s="42">
        <f t="shared" si="9"/>
        <v>134.81481481481495</v>
      </c>
      <c r="AE22" s="42">
        <f t="shared" si="10"/>
        <v>-1462.6666666666665</v>
      </c>
      <c r="AF22" s="42"/>
    </row>
    <row r="23" spans="1:32">
      <c r="A23" s="8"/>
      <c r="B23" s="29"/>
      <c r="C23" s="8"/>
      <c r="G23" s="30"/>
      <c r="H23" s="30"/>
      <c r="I23" s="30"/>
      <c r="M23" s="8">
        <v>16</v>
      </c>
      <c r="N23" s="29"/>
      <c r="O23" s="29"/>
      <c r="P23" s="29"/>
      <c r="Q23" s="29"/>
      <c r="R23" s="29"/>
      <c r="S23" s="29"/>
      <c r="T23" s="41"/>
      <c r="U23" s="29"/>
      <c r="V23" s="41"/>
      <c r="W23" s="29"/>
      <c r="X23" s="41"/>
      <c r="Y23" s="29"/>
      <c r="Z23" s="34">
        <f>+N23+Q23+T23</f>
        <v>0</v>
      </c>
      <c r="AA23" s="34">
        <f>+O23+R23+U23</f>
        <v>0</v>
      </c>
      <c r="AB23" s="34">
        <f>+P23+S23+V23</f>
        <v>0</v>
      </c>
      <c r="AD23" s="42"/>
      <c r="AE23" s="42"/>
      <c r="AF23" s="42"/>
    </row>
    <row r="24" spans="1:32">
      <c r="A24" s="8"/>
      <c r="B24" s="29"/>
      <c r="C24" s="8"/>
      <c r="F24" s="24" t="s">
        <v>46</v>
      </c>
      <c r="G24" s="34"/>
      <c r="H24" s="34"/>
      <c r="I24" s="34"/>
      <c r="M24" s="8">
        <v>17</v>
      </c>
      <c r="N24" s="29"/>
      <c r="O24" s="29"/>
      <c r="P24" s="29"/>
      <c r="Q24" s="29"/>
      <c r="R24" s="29"/>
      <c r="S24" s="29"/>
      <c r="T24" s="41"/>
      <c r="U24" s="29"/>
      <c r="V24" s="41"/>
      <c r="W24" s="29"/>
      <c r="X24" s="41"/>
      <c r="Y24" s="29"/>
      <c r="Z24" s="34">
        <f>+N24+Q24+T24</f>
        <v>0</v>
      </c>
      <c r="AA24" s="34">
        <f>+O24+R24+U24</f>
        <v>0</v>
      </c>
      <c r="AB24" s="34">
        <f>+P24+S24+V24</f>
        <v>0</v>
      </c>
      <c r="AD24" s="42"/>
      <c r="AE24" s="42"/>
      <c r="AF24" s="42"/>
    </row>
    <row r="25" spans="1:32">
      <c r="A25" s="8"/>
      <c r="B25" s="29"/>
      <c r="C25" s="8"/>
      <c r="F25" s="8" t="s">
        <v>47</v>
      </c>
      <c r="G25" s="29"/>
      <c r="H25" s="29"/>
      <c r="I25" s="29"/>
      <c r="M25" s="8">
        <v>18</v>
      </c>
      <c r="N25" s="29"/>
      <c r="O25" s="29"/>
      <c r="P25" s="29"/>
      <c r="Q25" s="29"/>
      <c r="R25" s="29"/>
      <c r="S25" s="29"/>
      <c r="T25" s="41"/>
      <c r="U25" s="29"/>
      <c r="V25" s="41"/>
      <c r="W25" s="29"/>
      <c r="X25" s="41"/>
      <c r="Y25" s="29"/>
      <c r="Z25" s="34">
        <f>+N25+Q25+T25</f>
        <v>0</v>
      </c>
      <c r="AA25" s="34">
        <f>+O25+R25+U25</f>
        <v>0</v>
      </c>
      <c r="AB25" s="34">
        <f>+P25+S25+V25</f>
        <v>0</v>
      </c>
      <c r="AD25" s="42"/>
      <c r="AE25" s="42"/>
      <c r="AF25" s="42"/>
    </row>
    <row r="26" spans="1:32">
      <c r="F26" s="8" t="s">
        <v>48</v>
      </c>
      <c r="G26" s="29"/>
      <c r="H26" s="29"/>
      <c r="I26" s="29"/>
      <c r="M26" s="8">
        <v>19</v>
      </c>
      <c r="N26" s="29"/>
      <c r="O26" s="29"/>
      <c r="P26" s="29"/>
      <c r="Q26" s="29"/>
      <c r="R26" s="29"/>
      <c r="S26" s="29"/>
      <c r="T26" s="41"/>
      <c r="U26" s="29"/>
      <c r="V26" s="41"/>
      <c r="W26" s="29"/>
      <c r="X26" s="41"/>
      <c r="Y26" s="29"/>
      <c r="Z26" s="34">
        <f>+N26+Q26+T26</f>
        <v>0</v>
      </c>
      <c r="AA26" s="34">
        <f>+O26+R26+U26</f>
        <v>0</v>
      </c>
      <c r="AB26" s="34">
        <f>+P26+S26+V26</f>
        <v>0</v>
      </c>
      <c r="AD26" s="42"/>
      <c r="AE26" s="42"/>
      <c r="AF26" s="42"/>
    </row>
    <row r="27" spans="1:32">
      <c r="G27" s="35"/>
      <c r="H27" s="35"/>
      <c r="I27" s="35"/>
      <c r="M27" s="8">
        <v>20</v>
      </c>
      <c r="N27" s="29"/>
      <c r="O27" s="29"/>
      <c r="P27" s="29"/>
      <c r="Q27" s="29"/>
      <c r="R27" s="29"/>
      <c r="S27" s="29"/>
      <c r="T27" s="41"/>
      <c r="U27" s="29"/>
      <c r="V27" s="41"/>
      <c r="W27" s="29"/>
      <c r="X27" s="41"/>
      <c r="Y27" s="29"/>
      <c r="Z27" s="34">
        <f>+N27+Q27+T27</f>
        <v>0</v>
      </c>
      <c r="AA27" s="34">
        <f>+O27+R27+U27</f>
        <v>0</v>
      </c>
      <c r="AB27" s="34">
        <f>+P27+S27+V27</f>
        <v>0</v>
      </c>
      <c r="AD27" s="42"/>
      <c r="AE27" s="42"/>
      <c r="AF27" s="42"/>
    </row>
    <row r="28" spans="1:32" ht="18.75">
      <c r="A28" s="55" t="s">
        <v>59</v>
      </c>
      <c r="B28" s="56"/>
      <c r="C28" s="57"/>
      <c r="F28" s="19" t="s">
        <v>49</v>
      </c>
      <c r="G28" s="29">
        <f>+G24+G22+G20+G18+G10</f>
        <v>13060</v>
      </c>
      <c r="H28" s="29">
        <f>+H24+H22+H20+H18+H10</f>
        <v>12925.185185185184</v>
      </c>
      <c r="I28" s="29">
        <f t="shared" ref="H28:I28" si="11">+I24+I22+I20+I18+I10</f>
        <v>14522.666666666666</v>
      </c>
      <c r="M28" s="38" t="s">
        <v>50</v>
      </c>
      <c r="N28" s="29">
        <f t="shared" ref="N28:Y28" si="12">SUM(N8:N27)</f>
        <v>0</v>
      </c>
      <c r="O28" s="29">
        <f t="shared" si="12"/>
        <v>0</v>
      </c>
      <c r="P28" s="29">
        <f t="shared" si="12"/>
        <v>0</v>
      </c>
      <c r="Q28" s="29">
        <f t="shared" si="12"/>
        <v>0</v>
      </c>
      <c r="R28" s="29">
        <f t="shared" si="12"/>
        <v>0</v>
      </c>
      <c r="S28" s="29">
        <f t="shared" si="12"/>
        <v>0</v>
      </c>
      <c r="T28" s="41">
        <f t="shared" si="12"/>
        <v>41454.545454545441</v>
      </c>
      <c r="U28" s="29">
        <f t="shared" si="12"/>
        <v>4560</v>
      </c>
      <c r="V28" s="41">
        <f t="shared" si="12"/>
        <v>36592.592592592591</v>
      </c>
      <c r="W28" s="29">
        <f>SUM(W8:W27)</f>
        <v>4025.1851851851839</v>
      </c>
      <c r="X28" s="41">
        <f t="shared" si="12"/>
        <v>32933.333333333328</v>
      </c>
      <c r="Y28" s="29">
        <f t="shared" si="12"/>
        <v>3622.6666666666661</v>
      </c>
      <c r="Z28" s="40"/>
    </row>
    <row r="29" spans="1:32" ht="30.75">
      <c r="A29" s="71" t="s">
        <v>132</v>
      </c>
      <c r="B29" s="58">
        <v>3200</v>
      </c>
      <c r="C29" s="8" t="s">
        <v>133</v>
      </c>
      <c r="H29" s="74">
        <f>G28-H28</f>
        <v>134.81481481481569</v>
      </c>
      <c r="I29" s="74">
        <f>H28-I28</f>
        <v>-1597.4814814814818</v>
      </c>
    </row>
    <row r="30" spans="1:32" ht="30.75">
      <c r="A30" s="71" t="s">
        <v>134</v>
      </c>
      <c r="B30" s="8">
        <f>B29*1000</f>
        <v>3200000</v>
      </c>
      <c r="C30" s="8" t="s">
        <v>135</v>
      </c>
    </row>
    <row r="31" spans="1:32">
      <c r="A31" s="8" t="s">
        <v>136</v>
      </c>
      <c r="B31" s="58">
        <v>14.3</v>
      </c>
      <c r="C31" s="8" t="s">
        <v>137</v>
      </c>
    </row>
    <row r="32" spans="1:32">
      <c r="A32" s="8" t="s">
        <v>138</v>
      </c>
      <c r="B32" s="8">
        <v>16.2</v>
      </c>
      <c r="C32" s="8" t="s">
        <v>137</v>
      </c>
    </row>
    <row r="33" spans="1:9">
      <c r="A33" s="71" t="s">
        <v>139</v>
      </c>
      <c r="B33" s="8">
        <f>18</f>
        <v>18</v>
      </c>
      <c r="C33" s="8" t="s">
        <v>137</v>
      </c>
      <c r="F33" s="126" t="s">
        <v>51</v>
      </c>
      <c r="G33" s="127"/>
      <c r="H33" s="127"/>
      <c r="I33" s="127"/>
    </row>
    <row r="34" spans="1:9">
      <c r="A34" s="8"/>
      <c r="B34" s="61"/>
      <c r="C34" s="8"/>
    </row>
    <row r="35" spans="1:9">
      <c r="A35" s="71" t="s">
        <v>140</v>
      </c>
      <c r="B35" s="46">
        <f>13*0.95</f>
        <v>12.35</v>
      </c>
      <c r="C35" s="8" t="s">
        <v>137</v>
      </c>
      <c r="G35" s="26" t="str">
        <f>+G9</f>
        <v>14.3 SEER2</v>
      </c>
      <c r="H35" s="26" t="str">
        <f>+H9</f>
        <v>EnergyStarSEER2 16.2</v>
      </c>
      <c r="I35" s="26" t="str">
        <f>+I9</f>
        <v>SEER 18.0</v>
      </c>
    </row>
    <row r="36" spans="1:9">
      <c r="A36" s="8"/>
      <c r="B36" s="58"/>
      <c r="C36" s="8"/>
      <c r="F36" s="20" t="s">
        <v>34</v>
      </c>
      <c r="G36" s="28">
        <f>+G10</f>
        <v>8500</v>
      </c>
      <c r="H36" s="28">
        <f t="shared" ref="H36:I36" si="13">+H10</f>
        <v>8900</v>
      </c>
      <c r="I36" s="28">
        <f t="shared" si="13"/>
        <v>10900</v>
      </c>
    </row>
    <row r="37" spans="1:9" ht="30.75">
      <c r="A37" s="72" t="s">
        <v>141</v>
      </c>
      <c r="B37" s="58">
        <f>B35*B30</f>
        <v>39520000</v>
      </c>
      <c r="C37" s="8" t="s">
        <v>142</v>
      </c>
      <c r="F37" s="8" t="s">
        <v>35</v>
      </c>
      <c r="G37" s="29"/>
      <c r="H37" s="29"/>
      <c r="I37" s="29"/>
    </row>
    <row r="38" spans="1:9">
      <c r="A38" s="71"/>
      <c r="B38" s="64"/>
      <c r="C38" s="8"/>
      <c r="F38" s="8" t="s">
        <v>39</v>
      </c>
      <c r="G38" s="29"/>
      <c r="H38" s="29"/>
      <c r="I38" s="29"/>
    </row>
    <row r="39" spans="1:9" ht="30.75">
      <c r="A39" s="71" t="s">
        <v>143</v>
      </c>
      <c r="B39" s="58">
        <f>($B$37/B31)/1000</f>
        <v>2763.6363636363635</v>
      </c>
      <c r="C39" s="8" t="s">
        <v>144</v>
      </c>
      <c r="F39" s="8" t="s">
        <v>40</v>
      </c>
      <c r="G39" s="29"/>
      <c r="H39" s="29"/>
      <c r="I39" s="29"/>
    </row>
    <row r="40" spans="1:9" ht="30.75">
      <c r="A40" s="71" t="s">
        <v>145</v>
      </c>
      <c r="B40" s="58">
        <f t="shared" ref="B40:B41" si="14">($B$37/B32)/1000</f>
        <v>2439.5061728395062</v>
      </c>
      <c r="C40" s="8" t="s">
        <v>144</v>
      </c>
      <c r="F40" s="8" t="s">
        <v>41</v>
      </c>
      <c r="G40" s="29"/>
      <c r="H40" s="29"/>
      <c r="I40" s="29"/>
    </row>
    <row r="41" spans="1:9" ht="30.75">
      <c r="A41" s="71" t="s">
        <v>146</v>
      </c>
      <c r="B41" s="58">
        <f t="shared" si="14"/>
        <v>2195.5555555555557</v>
      </c>
      <c r="C41" s="8" t="s">
        <v>144</v>
      </c>
      <c r="F41" s="8" t="s">
        <v>42</v>
      </c>
      <c r="G41" s="29"/>
      <c r="H41" s="29"/>
      <c r="I41" s="29"/>
    </row>
    <row r="42" spans="1:9">
      <c r="A42" s="8"/>
      <c r="B42" s="65"/>
      <c r="C42" s="8"/>
      <c r="F42" s="8" t="s">
        <v>43</v>
      </c>
      <c r="G42" s="29"/>
      <c r="H42" s="29"/>
      <c r="I42" s="29"/>
    </row>
    <row r="43" spans="1:9">
      <c r="A43" s="8" t="s">
        <v>147</v>
      </c>
      <c r="B43" s="67">
        <f>+B14*0.3</f>
        <v>2850</v>
      </c>
      <c r="C43" s="8" t="s">
        <v>120</v>
      </c>
      <c r="G43" s="30"/>
      <c r="H43" s="30"/>
      <c r="I43" s="30"/>
    </row>
    <row r="44" spans="1:9">
      <c r="A44" s="8" t="s">
        <v>148</v>
      </c>
      <c r="B44" s="67">
        <f>B15*0.3</f>
        <v>3450</v>
      </c>
      <c r="C44" s="8" t="s">
        <v>120</v>
      </c>
      <c r="F44" s="21" t="s">
        <v>44</v>
      </c>
      <c r="G44" s="31"/>
      <c r="H44" s="31"/>
      <c r="I44" s="31"/>
    </row>
    <row r="45" spans="1:9">
      <c r="A45" s="8" t="s">
        <v>149</v>
      </c>
      <c r="B45" s="67">
        <v>-600</v>
      </c>
      <c r="C45" s="8" t="s">
        <v>120</v>
      </c>
      <c r="G45" s="30"/>
      <c r="H45" s="30"/>
      <c r="I45" s="30"/>
    </row>
    <row r="46" spans="1:9">
      <c r="A46" s="8"/>
      <c r="B46" s="67"/>
      <c r="C46" s="8"/>
      <c r="F46" s="22" t="s">
        <v>20</v>
      </c>
      <c r="G46" s="32"/>
      <c r="H46" s="32"/>
      <c r="I46" s="32"/>
    </row>
    <row r="47" spans="1:9">
      <c r="A47" s="8"/>
      <c r="B47" s="67"/>
      <c r="C47" s="8"/>
      <c r="G47" s="30"/>
      <c r="H47" s="30"/>
      <c r="I47" s="30"/>
    </row>
    <row r="48" spans="1:9">
      <c r="A48" s="8"/>
      <c r="B48" s="8"/>
      <c r="C48" s="8"/>
      <c r="F48" s="23" t="s">
        <v>45</v>
      </c>
      <c r="G48" s="33"/>
      <c r="H48" s="33"/>
      <c r="I48" s="33"/>
    </row>
    <row r="49" spans="1:9">
      <c r="A49" s="8"/>
      <c r="B49" s="8"/>
      <c r="C49" s="8"/>
      <c r="G49" s="30"/>
      <c r="H49" s="30"/>
      <c r="I49" s="30"/>
    </row>
    <row r="50" spans="1:9">
      <c r="A50" s="8"/>
      <c r="B50" s="8"/>
      <c r="C50" s="8"/>
      <c r="F50" s="24" t="s">
        <v>46</v>
      </c>
      <c r="G50" s="34"/>
      <c r="H50" s="34"/>
      <c r="I50" s="34"/>
    </row>
    <row r="51" spans="1:9">
      <c r="A51" s="8"/>
      <c r="B51" s="8"/>
      <c r="C51" s="8"/>
      <c r="F51" s="8" t="s">
        <v>47</v>
      </c>
      <c r="G51" s="29"/>
      <c r="H51" s="29"/>
      <c r="I51" s="29"/>
    </row>
    <row r="52" spans="1:9">
      <c r="A52" s="8"/>
      <c r="B52" s="8"/>
      <c r="C52" s="8"/>
      <c r="F52" s="8" t="s">
        <v>48</v>
      </c>
      <c r="G52" s="29"/>
      <c r="H52" s="29"/>
      <c r="I52" s="29"/>
    </row>
    <row r="53" spans="1:9">
      <c r="G53" s="35"/>
      <c r="H53" s="35"/>
      <c r="I53" s="35"/>
    </row>
    <row r="54" spans="1:9">
      <c r="F54" s="19" t="s">
        <v>49</v>
      </c>
      <c r="G54" s="29">
        <f>+G50+G48+G46+G44+G36</f>
        <v>8500</v>
      </c>
      <c r="H54" s="29">
        <f t="shared" ref="H54:I54" si="15">+H50+H48+H46+H44+H36</f>
        <v>8900</v>
      </c>
      <c r="I54" s="29">
        <f t="shared" si="15"/>
        <v>10900</v>
      </c>
    </row>
  </sheetData>
  <mergeCells count="11">
    <mergeCell ref="AD6:AF6"/>
    <mergeCell ref="F7:I7"/>
    <mergeCell ref="F33:I33"/>
    <mergeCell ref="N5:P6"/>
    <mergeCell ref="Q5:S6"/>
    <mergeCell ref="T5:Y5"/>
    <mergeCell ref="Z5:AB5"/>
    <mergeCell ref="T6:U6"/>
    <mergeCell ref="V6:W6"/>
    <mergeCell ref="X6:Y6"/>
    <mergeCell ref="Z6:AB6"/>
  </mergeCells>
  <pageMargins left="0.7" right="0.7" top="0.75" bottom="0.75" header="0.3" footer="0.3"/>
  <pageSetup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B8969-5759-4993-B5F1-259AEA7DA5AB}">
  <dimension ref="A1:AI54"/>
  <sheetViews>
    <sheetView topLeftCell="AC5" workbookViewId="0">
      <selection activeCell="AH22" sqref="AH22"/>
    </sheetView>
  </sheetViews>
  <sheetFormatPr defaultColWidth="11.42578125" defaultRowHeight="15"/>
  <cols>
    <col min="1" max="1" width="33.85546875" customWidth="1"/>
    <col min="6" max="7" width="16.42578125" customWidth="1"/>
    <col min="8" max="8" width="23.140625" customWidth="1"/>
    <col min="30" max="30" width="19.42578125" customWidth="1"/>
    <col min="31" max="31" width="18.85546875" customWidth="1"/>
    <col min="34" max="34" width="17.42578125" customWidth="1"/>
    <col min="35" max="35" width="15.85546875" customWidth="1"/>
  </cols>
  <sheetData>
    <row r="1" spans="1:35" ht="30.75">
      <c r="A1" s="75" t="s">
        <v>150</v>
      </c>
    </row>
    <row r="2" spans="1:35">
      <c r="P2" s="27" t="s">
        <v>13</v>
      </c>
    </row>
    <row r="3" spans="1:35">
      <c r="Q3" s="27"/>
      <c r="R3" s="27"/>
    </row>
    <row r="4" spans="1:35" ht="21">
      <c r="A4" s="25" t="s">
        <v>14</v>
      </c>
      <c r="F4" s="27" t="s">
        <v>15</v>
      </c>
      <c r="G4" s="27"/>
      <c r="P4" s="39" t="s">
        <v>16</v>
      </c>
    </row>
    <row r="5" spans="1:35">
      <c r="A5" s="19" t="s">
        <v>17</v>
      </c>
      <c r="B5" s="8">
        <v>15</v>
      </c>
      <c r="F5" s="27" t="s">
        <v>18</v>
      </c>
      <c r="G5" s="27"/>
      <c r="P5" s="119" t="s">
        <v>19</v>
      </c>
      <c r="Q5" s="119"/>
      <c r="R5" s="119"/>
      <c r="S5" s="119"/>
      <c r="T5" s="118" t="s">
        <v>20</v>
      </c>
      <c r="U5" s="118"/>
      <c r="V5" s="118"/>
      <c r="W5" s="118"/>
      <c r="X5" s="117" t="s">
        <v>21</v>
      </c>
      <c r="Y5" s="117"/>
      <c r="Z5" s="117"/>
      <c r="AA5" s="117"/>
      <c r="AB5" s="117"/>
      <c r="AC5" s="117"/>
      <c r="AD5" s="121"/>
      <c r="AE5" s="121"/>
      <c r="AF5" s="121"/>
    </row>
    <row r="6" spans="1:35">
      <c r="A6" s="19" t="s">
        <v>22</v>
      </c>
      <c r="B6" s="11">
        <f>+'Energy Information'!$B$6</f>
        <v>0.11</v>
      </c>
      <c r="P6" s="119"/>
      <c r="Q6" s="119"/>
      <c r="R6" s="119"/>
      <c r="S6" s="119"/>
      <c r="T6" s="118"/>
      <c r="U6" s="118"/>
      <c r="V6" s="118"/>
      <c r="W6" s="118"/>
      <c r="X6" s="124" t="s">
        <v>151</v>
      </c>
      <c r="Y6" s="125"/>
      <c r="Z6" s="124" t="s">
        <v>152</v>
      </c>
      <c r="AA6" s="125"/>
      <c r="AB6" s="128" t="s">
        <v>153</v>
      </c>
      <c r="AC6" s="129"/>
      <c r="AD6" s="122" t="s">
        <v>27</v>
      </c>
      <c r="AE6" s="122"/>
      <c r="AF6" s="122"/>
      <c r="AH6" s="123" t="s">
        <v>154</v>
      </c>
      <c r="AI6" s="123"/>
    </row>
    <row r="7" spans="1:35">
      <c r="A7" s="19" t="s">
        <v>5</v>
      </c>
      <c r="B7" s="12">
        <f>+'Energy Information'!$B$7</f>
        <v>0</v>
      </c>
      <c r="F7" s="126" t="s">
        <v>29</v>
      </c>
      <c r="G7" s="127"/>
      <c r="H7" s="127"/>
      <c r="I7" s="127"/>
      <c r="J7" s="127"/>
      <c r="K7" s="127"/>
      <c r="O7" s="19" t="s">
        <v>30</v>
      </c>
      <c r="P7" s="26" t="s">
        <v>23</v>
      </c>
      <c r="Q7" s="26" t="s">
        <v>24</v>
      </c>
      <c r="R7" s="26" t="s">
        <v>25</v>
      </c>
      <c r="S7" s="26" t="s">
        <v>26</v>
      </c>
      <c r="T7" s="26" t="s">
        <v>23</v>
      </c>
      <c r="U7" s="26" t="s">
        <v>24</v>
      </c>
      <c r="V7" s="26" t="s">
        <v>25</v>
      </c>
      <c r="W7" s="26" t="s">
        <v>26</v>
      </c>
      <c r="X7" s="26" t="s">
        <v>31</v>
      </c>
      <c r="Y7" s="26" t="s">
        <v>32</v>
      </c>
      <c r="Z7" s="26" t="s">
        <v>31</v>
      </c>
      <c r="AA7" s="26" t="s">
        <v>32</v>
      </c>
      <c r="AB7" s="26" t="s">
        <v>31</v>
      </c>
      <c r="AC7" s="26" t="s">
        <v>32</v>
      </c>
      <c r="AD7" s="26" t="str">
        <f>$G$9</f>
        <v>R13, AFUE 80</v>
      </c>
      <c r="AE7" s="82" t="str">
        <f>$H$9</f>
        <v>R49, AFUE 80</v>
      </c>
      <c r="AF7" s="26" t="str">
        <f>$I$9</f>
        <v>R49, AFUE95</v>
      </c>
      <c r="AH7" s="26" t="str">
        <f>$H$9</f>
        <v>R49, AFUE 80</v>
      </c>
      <c r="AI7" s="26" t="str">
        <f>$I$9</f>
        <v>R49, AFUE95</v>
      </c>
    </row>
    <row r="8" spans="1:35">
      <c r="A8" s="19" t="s">
        <v>33</v>
      </c>
      <c r="B8" s="13">
        <f>+'Energy Information'!$B$12</f>
        <v>1.4815</v>
      </c>
      <c r="O8" s="8">
        <v>1</v>
      </c>
      <c r="P8" s="29"/>
      <c r="Q8" s="29"/>
      <c r="R8" s="29"/>
      <c r="S8" s="29"/>
      <c r="T8" s="29"/>
      <c r="U8" s="29"/>
      <c r="V8" s="29"/>
      <c r="W8" s="29"/>
      <c r="X8" s="41">
        <f>$B$30</f>
        <v>512</v>
      </c>
      <c r="Y8" s="29">
        <f>X8*$B$8</f>
        <v>758.52800000000002</v>
      </c>
      <c r="Z8" s="41">
        <f>$B$33</f>
        <v>384.8</v>
      </c>
      <c r="AA8" s="29">
        <f>Z8*$B$8</f>
        <v>570.08120000000008</v>
      </c>
      <c r="AB8" s="41">
        <f>$B$34</f>
        <v>303.95789473684215</v>
      </c>
      <c r="AC8" s="29">
        <f>AB8*$B$8</f>
        <v>450.31362105263167</v>
      </c>
      <c r="AD8" s="34">
        <f>+P8+T8+Y8</f>
        <v>758.52800000000002</v>
      </c>
      <c r="AE8" s="34">
        <f>+Q8+U8+AA8</f>
        <v>570.08120000000008</v>
      </c>
      <c r="AF8" s="34">
        <f>+R8+V8+AC8</f>
        <v>450.31362105263167</v>
      </c>
      <c r="AH8" s="42">
        <f>+(G10-H10)+(AD8-AE8)</f>
        <v>-2451.5532000000003</v>
      </c>
      <c r="AI8" s="42">
        <f>+(G10-I10)+(AD8-AF8)</f>
        <v>-2331.7856210526315</v>
      </c>
    </row>
    <row r="9" spans="1:35">
      <c r="A9" s="19" t="s">
        <v>10</v>
      </c>
      <c r="B9" s="14">
        <f>+'Energy Information'!$B$13</f>
        <v>0</v>
      </c>
      <c r="G9" s="26" t="s">
        <v>151</v>
      </c>
      <c r="H9" s="26" t="s">
        <v>155</v>
      </c>
      <c r="I9" s="26" t="s">
        <v>156</v>
      </c>
      <c r="J9" s="26"/>
      <c r="K9" s="26"/>
      <c r="O9" s="8">
        <v>2</v>
      </c>
      <c r="P9" s="29"/>
      <c r="Q9" s="29"/>
      <c r="R9" s="29"/>
      <c r="S9" s="29"/>
      <c r="T9" s="29"/>
      <c r="U9" s="29"/>
      <c r="V9" s="29"/>
      <c r="W9" s="29"/>
      <c r="X9" s="41">
        <f t="shared" ref="X9:X22" si="0">$B$30</f>
        <v>512</v>
      </c>
      <c r="Y9" s="29">
        <f t="shared" ref="Y9:Y22" si="1">X9*$B$8</f>
        <v>758.52800000000002</v>
      </c>
      <c r="Z9" s="41">
        <f t="shared" ref="Z9:Z22" si="2">$B$33</f>
        <v>384.8</v>
      </c>
      <c r="AA9" s="29">
        <f t="shared" ref="AA9:AA22" si="3">Z9*$B$8</f>
        <v>570.08120000000008</v>
      </c>
      <c r="AB9" s="41">
        <f t="shared" ref="AB9:AB22" si="4">$B$34</f>
        <v>303.95789473684215</v>
      </c>
      <c r="AC9" s="29">
        <f t="shared" ref="AC9:AC22" si="5">AB9*$B$8</f>
        <v>450.31362105263167</v>
      </c>
      <c r="AD9" s="34">
        <f t="shared" ref="AD9:AD22" si="6">+P9+T9+Y9</f>
        <v>758.52800000000002</v>
      </c>
      <c r="AE9" s="34">
        <f t="shared" ref="AD9:AF27" si="7">+R9+V9+AA9</f>
        <v>570.08120000000008</v>
      </c>
      <c r="AF9" s="34">
        <f t="shared" ref="AF9:AF22" si="8">+R9+V9+AC9</f>
        <v>450.31362105263167</v>
      </c>
      <c r="AH9" s="42">
        <f>+AH8+(AD9-AE9)</f>
        <v>-2263.1064000000006</v>
      </c>
      <c r="AI9" s="42">
        <f>+AI8+(AD9-AF9)</f>
        <v>-2023.5712421052631</v>
      </c>
    </row>
    <row r="10" spans="1:35">
      <c r="F10" s="20" t="s">
        <v>34</v>
      </c>
      <c r="G10" s="79">
        <v>0</v>
      </c>
      <c r="H10" s="28">
        <f>SUM(H11:H16)</f>
        <v>2640</v>
      </c>
      <c r="I10" s="28">
        <f>SUM(I11:I16)</f>
        <v>2640</v>
      </c>
      <c r="J10" s="28"/>
      <c r="K10" s="28"/>
      <c r="O10" s="8">
        <v>3</v>
      </c>
      <c r="P10" s="29"/>
      <c r="Q10" s="29"/>
      <c r="R10" s="29"/>
      <c r="S10" s="29"/>
      <c r="T10" s="29"/>
      <c r="U10" s="29"/>
      <c r="V10" s="29"/>
      <c r="W10" s="29"/>
      <c r="X10" s="41">
        <f t="shared" si="0"/>
        <v>512</v>
      </c>
      <c r="Y10" s="29">
        <f t="shared" si="1"/>
        <v>758.52800000000002</v>
      </c>
      <c r="Z10" s="41">
        <f t="shared" si="2"/>
        <v>384.8</v>
      </c>
      <c r="AA10" s="29">
        <f t="shared" si="3"/>
        <v>570.08120000000008</v>
      </c>
      <c r="AB10" s="41">
        <f t="shared" si="4"/>
        <v>303.95789473684215</v>
      </c>
      <c r="AC10" s="29">
        <f t="shared" si="5"/>
        <v>450.31362105263167</v>
      </c>
      <c r="AD10" s="34">
        <f t="shared" si="6"/>
        <v>758.52800000000002</v>
      </c>
      <c r="AE10" s="34">
        <f t="shared" si="7"/>
        <v>570.08120000000008</v>
      </c>
      <c r="AF10" s="34">
        <f t="shared" si="8"/>
        <v>450.31362105263167</v>
      </c>
      <c r="AH10" s="42">
        <f t="shared" ref="AH10:AH22" si="9">+AH9+(AD10-AE10)</f>
        <v>-2074.6596000000009</v>
      </c>
      <c r="AI10" s="42">
        <f t="shared" ref="AI10:AI22" si="10">+AI9+(AD10-AF10)</f>
        <v>-1715.3568631578946</v>
      </c>
    </row>
    <row r="11" spans="1:35">
      <c r="F11" s="8" t="s">
        <v>35</v>
      </c>
      <c r="G11" s="67">
        <v>0</v>
      </c>
      <c r="H11" s="29">
        <f>$B$13*40</f>
        <v>3432</v>
      </c>
      <c r="I11" s="29">
        <f>B13*40</f>
        <v>3432</v>
      </c>
      <c r="J11" s="29"/>
      <c r="K11" s="29"/>
      <c r="O11" s="8">
        <v>4</v>
      </c>
      <c r="P11" s="29"/>
      <c r="Q11" s="29"/>
      <c r="R11" s="29"/>
      <c r="S11" s="29"/>
      <c r="T11" s="29"/>
      <c r="U11" s="29"/>
      <c r="V11" s="29"/>
      <c r="W11" s="29"/>
      <c r="X11" s="41">
        <f t="shared" si="0"/>
        <v>512</v>
      </c>
      <c r="Y11" s="29">
        <f t="shared" si="1"/>
        <v>758.52800000000002</v>
      </c>
      <c r="Z11" s="41">
        <f t="shared" si="2"/>
        <v>384.8</v>
      </c>
      <c r="AA11" s="29">
        <f t="shared" si="3"/>
        <v>570.08120000000008</v>
      </c>
      <c r="AB11" s="41">
        <f t="shared" si="4"/>
        <v>303.95789473684215</v>
      </c>
      <c r="AC11" s="29">
        <f t="shared" si="5"/>
        <v>450.31362105263167</v>
      </c>
      <c r="AD11" s="34">
        <f t="shared" si="6"/>
        <v>758.52800000000002</v>
      </c>
      <c r="AE11" s="34">
        <f t="shared" si="7"/>
        <v>570.08120000000008</v>
      </c>
      <c r="AF11" s="34">
        <f t="shared" si="8"/>
        <v>450.31362105263167</v>
      </c>
      <c r="AH11" s="42">
        <f t="shared" si="9"/>
        <v>-1886.2128000000009</v>
      </c>
      <c r="AI11" s="42">
        <f t="shared" si="10"/>
        <v>-1407.1424842105262</v>
      </c>
    </row>
    <row r="12" spans="1:35" ht="18.75">
      <c r="A12" s="36" t="s">
        <v>36</v>
      </c>
      <c r="B12" s="37" t="s">
        <v>37</v>
      </c>
      <c r="C12" s="26" t="s">
        <v>38</v>
      </c>
      <c r="F12" s="8" t="s">
        <v>39</v>
      </c>
      <c r="G12" s="67">
        <v>0</v>
      </c>
      <c r="H12" s="29"/>
      <c r="I12" s="29"/>
      <c r="J12" s="29"/>
      <c r="K12" s="29"/>
      <c r="O12" s="8">
        <v>5</v>
      </c>
      <c r="P12" s="29"/>
      <c r="Q12" s="29"/>
      <c r="R12" s="29"/>
      <c r="S12" s="29"/>
      <c r="T12" s="29"/>
      <c r="U12" s="29"/>
      <c r="V12" s="29"/>
      <c r="W12" s="29"/>
      <c r="X12" s="41">
        <f t="shared" si="0"/>
        <v>512</v>
      </c>
      <c r="Y12" s="29">
        <f t="shared" si="1"/>
        <v>758.52800000000002</v>
      </c>
      <c r="Z12" s="41">
        <f t="shared" si="2"/>
        <v>384.8</v>
      </c>
      <c r="AA12" s="29">
        <f t="shared" si="3"/>
        <v>570.08120000000008</v>
      </c>
      <c r="AB12" s="41">
        <f t="shared" si="4"/>
        <v>303.95789473684215</v>
      </c>
      <c r="AC12" s="29">
        <f t="shared" si="5"/>
        <v>450.31362105263167</v>
      </c>
      <c r="AD12" s="34">
        <f t="shared" si="6"/>
        <v>758.52800000000002</v>
      </c>
      <c r="AE12" s="34">
        <f t="shared" si="7"/>
        <v>570.08120000000008</v>
      </c>
      <c r="AF12" s="34">
        <f t="shared" si="8"/>
        <v>450.31362105263167</v>
      </c>
      <c r="AH12" s="42">
        <f t="shared" si="9"/>
        <v>-1697.766000000001</v>
      </c>
      <c r="AI12" s="42">
        <f t="shared" si="10"/>
        <v>-1098.9281052631577</v>
      </c>
    </row>
    <row r="13" spans="1:35">
      <c r="A13" s="8" t="s">
        <v>157</v>
      </c>
      <c r="B13" s="29">
        <v>85.8</v>
      </c>
      <c r="C13" s="8">
        <v>1</v>
      </c>
      <c r="F13" s="8" t="s">
        <v>40</v>
      </c>
      <c r="G13" s="67">
        <v>0</v>
      </c>
      <c r="H13" s="29"/>
      <c r="I13" s="29"/>
      <c r="J13" s="29"/>
      <c r="K13" s="29"/>
      <c r="O13" s="8">
        <v>6</v>
      </c>
      <c r="P13" s="29"/>
      <c r="Q13" s="29"/>
      <c r="R13" s="29"/>
      <c r="S13" s="29"/>
      <c r="T13" s="29"/>
      <c r="U13" s="29"/>
      <c r="V13" s="29"/>
      <c r="W13" s="29"/>
      <c r="X13" s="41">
        <f t="shared" si="0"/>
        <v>512</v>
      </c>
      <c r="Y13" s="29">
        <f t="shared" si="1"/>
        <v>758.52800000000002</v>
      </c>
      <c r="Z13" s="41">
        <f t="shared" si="2"/>
        <v>384.8</v>
      </c>
      <c r="AA13" s="29">
        <f t="shared" si="3"/>
        <v>570.08120000000008</v>
      </c>
      <c r="AB13" s="41">
        <f t="shared" si="4"/>
        <v>303.95789473684215</v>
      </c>
      <c r="AC13" s="29">
        <f t="shared" si="5"/>
        <v>450.31362105263167</v>
      </c>
      <c r="AD13" s="34">
        <f t="shared" si="6"/>
        <v>758.52800000000002</v>
      </c>
      <c r="AE13" s="34">
        <f t="shared" si="7"/>
        <v>570.08120000000008</v>
      </c>
      <c r="AF13" s="34">
        <f t="shared" si="8"/>
        <v>450.31362105263167</v>
      </c>
      <c r="AH13" s="42">
        <f t="shared" si="9"/>
        <v>-1509.319200000001</v>
      </c>
      <c r="AI13" s="42">
        <f t="shared" si="10"/>
        <v>-790.71372631578936</v>
      </c>
    </row>
    <row r="14" spans="1:35">
      <c r="A14" s="8" t="s">
        <v>158</v>
      </c>
      <c r="B14" s="29">
        <v>-19.8</v>
      </c>
      <c r="C14" s="8">
        <v>1</v>
      </c>
      <c r="F14" s="8" t="s">
        <v>41</v>
      </c>
      <c r="G14" s="67">
        <v>0</v>
      </c>
      <c r="H14" s="29"/>
      <c r="I14" s="29"/>
      <c r="J14" s="29"/>
      <c r="K14" s="29"/>
      <c r="O14" s="8">
        <v>7</v>
      </c>
      <c r="P14" s="29"/>
      <c r="Q14" s="29"/>
      <c r="R14" s="29"/>
      <c r="S14" s="29"/>
      <c r="T14" s="29"/>
      <c r="U14" s="29"/>
      <c r="V14" s="29"/>
      <c r="W14" s="29"/>
      <c r="X14" s="41">
        <f t="shared" si="0"/>
        <v>512</v>
      </c>
      <c r="Y14" s="29">
        <f t="shared" si="1"/>
        <v>758.52800000000002</v>
      </c>
      <c r="Z14" s="41">
        <f t="shared" si="2"/>
        <v>384.8</v>
      </c>
      <c r="AA14" s="29">
        <f t="shared" si="3"/>
        <v>570.08120000000008</v>
      </c>
      <c r="AB14" s="41">
        <f t="shared" si="4"/>
        <v>303.95789473684215</v>
      </c>
      <c r="AC14" s="29">
        <f t="shared" si="5"/>
        <v>450.31362105263167</v>
      </c>
      <c r="AD14" s="34">
        <f t="shared" si="6"/>
        <v>758.52800000000002</v>
      </c>
      <c r="AE14" s="34">
        <f t="shared" si="7"/>
        <v>570.08120000000008</v>
      </c>
      <c r="AF14" s="34">
        <f t="shared" si="8"/>
        <v>450.31362105263167</v>
      </c>
      <c r="AH14" s="42">
        <f t="shared" si="9"/>
        <v>-1320.8724000000011</v>
      </c>
      <c r="AI14" s="42">
        <f t="shared" si="10"/>
        <v>-482.49934736842101</v>
      </c>
    </row>
    <row r="15" spans="1:35">
      <c r="A15" s="8"/>
      <c r="B15" s="29"/>
      <c r="C15" s="8"/>
      <c r="F15" s="8" t="s">
        <v>42</v>
      </c>
      <c r="G15" s="67">
        <v>0</v>
      </c>
      <c r="H15" s="29">
        <f>$B$14*40</f>
        <v>-792</v>
      </c>
      <c r="I15" s="29">
        <f>B14*40</f>
        <v>-792</v>
      </c>
      <c r="J15" s="29"/>
      <c r="K15" s="29"/>
      <c r="O15" s="8">
        <v>8</v>
      </c>
      <c r="P15" s="29"/>
      <c r="Q15" s="29"/>
      <c r="R15" s="29"/>
      <c r="S15" s="29"/>
      <c r="T15" s="29"/>
      <c r="U15" s="29"/>
      <c r="V15" s="29"/>
      <c r="W15" s="29"/>
      <c r="X15" s="41">
        <f t="shared" si="0"/>
        <v>512</v>
      </c>
      <c r="Y15" s="29">
        <f t="shared" si="1"/>
        <v>758.52800000000002</v>
      </c>
      <c r="Z15" s="41">
        <f t="shared" si="2"/>
        <v>384.8</v>
      </c>
      <c r="AA15" s="29">
        <f t="shared" si="3"/>
        <v>570.08120000000008</v>
      </c>
      <c r="AB15" s="41">
        <f t="shared" si="4"/>
        <v>303.95789473684215</v>
      </c>
      <c r="AC15" s="29">
        <f t="shared" si="5"/>
        <v>450.31362105263167</v>
      </c>
      <c r="AD15" s="34">
        <f t="shared" si="6"/>
        <v>758.52800000000002</v>
      </c>
      <c r="AE15" s="34">
        <f t="shared" si="7"/>
        <v>570.08120000000008</v>
      </c>
      <c r="AF15" s="34">
        <f t="shared" si="8"/>
        <v>450.31362105263167</v>
      </c>
      <c r="AH15" s="42">
        <f t="shared" si="9"/>
        <v>-1132.4256000000012</v>
      </c>
      <c r="AI15" s="42">
        <f t="shared" si="10"/>
        <v>-174.28496842105267</v>
      </c>
    </row>
    <row r="16" spans="1:35">
      <c r="A16" s="8"/>
      <c r="B16" s="29"/>
      <c r="C16" s="8"/>
      <c r="F16" s="8" t="s">
        <v>43</v>
      </c>
      <c r="G16" s="67">
        <v>0</v>
      </c>
      <c r="H16" s="29"/>
      <c r="I16" s="29"/>
      <c r="J16" s="29"/>
      <c r="K16" s="29"/>
      <c r="O16" s="8">
        <v>9</v>
      </c>
      <c r="P16" s="29"/>
      <c r="Q16" s="29"/>
      <c r="R16" s="29"/>
      <c r="S16" s="29"/>
      <c r="T16" s="29"/>
      <c r="U16" s="29"/>
      <c r="V16" s="29"/>
      <c r="W16" s="29"/>
      <c r="X16" s="41">
        <f t="shared" si="0"/>
        <v>512</v>
      </c>
      <c r="Y16" s="29">
        <f t="shared" si="1"/>
        <v>758.52800000000002</v>
      </c>
      <c r="Z16" s="41">
        <f t="shared" si="2"/>
        <v>384.8</v>
      </c>
      <c r="AA16" s="29">
        <f t="shared" si="3"/>
        <v>570.08120000000008</v>
      </c>
      <c r="AB16" s="41">
        <f t="shared" si="4"/>
        <v>303.95789473684215</v>
      </c>
      <c r="AC16" s="29">
        <f t="shared" si="5"/>
        <v>450.31362105263167</v>
      </c>
      <c r="AD16" s="34">
        <f t="shared" si="6"/>
        <v>758.52800000000002</v>
      </c>
      <c r="AE16" s="34">
        <f t="shared" si="7"/>
        <v>570.08120000000008</v>
      </c>
      <c r="AF16" s="34">
        <f t="shared" si="8"/>
        <v>450.31362105263167</v>
      </c>
      <c r="AH16" s="42">
        <f t="shared" si="9"/>
        <v>-943.97880000000123</v>
      </c>
      <c r="AI16" s="42">
        <f t="shared" si="10"/>
        <v>133.92941052631568</v>
      </c>
    </row>
    <row r="17" spans="1:35">
      <c r="A17" s="8"/>
      <c r="B17" s="29"/>
      <c r="C17" s="8"/>
      <c r="H17" s="30"/>
      <c r="I17" s="30"/>
      <c r="J17" s="30"/>
      <c r="K17" s="30"/>
      <c r="O17" s="8">
        <v>10</v>
      </c>
      <c r="P17" s="29"/>
      <c r="Q17" s="29"/>
      <c r="R17" s="29"/>
      <c r="S17" s="29"/>
      <c r="T17" s="29"/>
      <c r="U17" s="29"/>
      <c r="V17" s="29"/>
      <c r="W17" s="29"/>
      <c r="X17" s="41">
        <f t="shared" si="0"/>
        <v>512</v>
      </c>
      <c r="Y17" s="29">
        <f t="shared" si="1"/>
        <v>758.52800000000002</v>
      </c>
      <c r="Z17" s="41">
        <f t="shared" si="2"/>
        <v>384.8</v>
      </c>
      <c r="AA17" s="29">
        <f t="shared" si="3"/>
        <v>570.08120000000008</v>
      </c>
      <c r="AB17" s="41">
        <f t="shared" si="4"/>
        <v>303.95789473684215</v>
      </c>
      <c r="AC17" s="29">
        <f t="shared" si="5"/>
        <v>450.31362105263167</v>
      </c>
      <c r="AD17" s="34">
        <f t="shared" si="6"/>
        <v>758.52800000000002</v>
      </c>
      <c r="AE17" s="34">
        <f t="shared" si="7"/>
        <v>570.08120000000008</v>
      </c>
      <c r="AF17" s="34">
        <f t="shared" si="8"/>
        <v>450.31362105263167</v>
      </c>
      <c r="AH17" s="42">
        <f t="shared" si="9"/>
        <v>-755.53200000000129</v>
      </c>
      <c r="AI17" s="42">
        <f t="shared" si="10"/>
        <v>442.14378947368402</v>
      </c>
    </row>
    <row r="18" spans="1:35">
      <c r="A18" s="8"/>
      <c r="B18" s="29"/>
      <c r="C18" s="8"/>
      <c r="F18" s="21" t="s">
        <v>44</v>
      </c>
      <c r="G18" s="21"/>
      <c r="H18" s="31"/>
      <c r="I18" s="31"/>
      <c r="J18" s="31"/>
      <c r="K18" s="31"/>
      <c r="O18" s="8">
        <v>11</v>
      </c>
      <c r="P18" s="29"/>
      <c r="Q18" s="29"/>
      <c r="R18" s="29"/>
      <c r="S18" s="29"/>
      <c r="T18" s="29"/>
      <c r="U18" s="29"/>
      <c r="V18" s="29"/>
      <c r="W18" s="29"/>
      <c r="X18" s="41">
        <f t="shared" si="0"/>
        <v>512</v>
      </c>
      <c r="Y18" s="29">
        <f t="shared" si="1"/>
        <v>758.52800000000002</v>
      </c>
      <c r="Z18" s="41">
        <f t="shared" si="2"/>
        <v>384.8</v>
      </c>
      <c r="AA18" s="29">
        <f t="shared" si="3"/>
        <v>570.08120000000008</v>
      </c>
      <c r="AB18" s="41">
        <f t="shared" si="4"/>
        <v>303.95789473684215</v>
      </c>
      <c r="AC18" s="29">
        <f t="shared" si="5"/>
        <v>450.31362105263167</v>
      </c>
      <c r="AD18" s="34">
        <f t="shared" si="6"/>
        <v>758.52800000000002</v>
      </c>
      <c r="AE18" s="34">
        <f t="shared" si="7"/>
        <v>570.08120000000008</v>
      </c>
      <c r="AF18" s="34">
        <f t="shared" si="8"/>
        <v>450.31362105263167</v>
      </c>
      <c r="AH18" s="42">
        <f t="shared" si="9"/>
        <v>-567.08520000000135</v>
      </c>
      <c r="AI18" s="42">
        <f t="shared" si="10"/>
        <v>750.35816842105237</v>
      </c>
    </row>
    <row r="19" spans="1:35">
      <c r="A19" s="8"/>
      <c r="B19" s="29"/>
      <c r="C19" s="8"/>
      <c r="H19" s="30"/>
      <c r="I19" s="30"/>
      <c r="J19" s="30"/>
      <c r="K19" s="30"/>
      <c r="O19" s="8">
        <v>12</v>
      </c>
      <c r="P19" s="29"/>
      <c r="Q19" s="29"/>
      <c r="R19" s="29"/>
      <c r="S19" s="29"/>
      <c r="T19" s="29"/>
      <c r="U19" s="29"/>
      <c r="V19" s="29"/>
      <c r="W19" s="29"/>
      <c r="X19" s="41">
        <f t="shared" si="0"/>
        <v>512</v>
      </c>
      <c r="Y19" s="29">
        <f t="shared" si="1"/>
        <v>758.52800000000002</v>
      </c>
      <c r="Z19" s="41">
        <f t="shared" si="2"/>
        <v>384.8</v>
      </c>
      <c r="AA19" s="29">
        <f t="shared" si="3"/>
        <v>570.08120000000008</v>
      </c>
      <c r="AB19" s="41">
        <f t="shared" si="4"/>
        <v>303.95789473684215</v>
      </c>
      <c r="AC19" s="29">
        <f t="shared" si="5"/>
        <v>450.31362105263167</v>
      </c>
      <c r="AD19" s="34">
        <f t="shared" si="6"/>
        <v>758.52800000000002</v>
      </c>
      <c r="AE19" s="34">
        <f t="shared" si="7"/>
        <v>570.08120000000008</v>
      </c>
      <c r="AF19" s="34">
        <f t="shared" si="8"/>
        <v>450.31362105263167</v>
      </c>
      <c r="AH19" s="42">
        <f t="shared" si="9"/>
        <v>-378.63840000000141</v>
      </c>
      <c r="AI19" s="42">
        <f t="shared" si="10"/>
        <v>1058.5725473684206</v>
      </c>
    </row>
    <row r="20" spans="1:35">
      <c r="A20" s="8"/>
      <c r="B20" s="29"/>
      <c r="C20" s="8"/>
      <c r="F20" s="22" t="s">
        <v>20</v>
      </c>
      <c r="G20" s="22"/>
      <c r="H20" s="32"/>
      <c r="I20" s="32"/>
      <c r="J20" s="32"/>
      <c r="K20" s="32"/>
      <c r="O20" s="8">
        <v>13</v>
      </c>
      <c r="P20" s="29"/>
      <c r="Q20" s="29"/>
      <c r="R20" s="29"/>
      <c r="S20" s="29"/>
      <c r="T20" s="29"/>
      <c r="U20" s="29"/>
      <c r="V20" s="29"/>
      <c r="W20" s="29"/>
      <c r="X20" s="41">
        <f t="shared" si="0"/>
        <v>512</v>
      </c>
      <c r="Y20" s="29">
        <f t="shared" si="1"/>
        <v>758.52800000000002</v>
      </c>
      <c r="Z20" s="41">
        <f t="shared" si="2"/>
        <v>384.8</v>
      </c>
      <c r="AA20" s="29">
        <f t="shared" si="3"/>
        <v>570.08120000000008</v>
      </c>
      <c r="AB20" s="41">
        <f t="shared" si="4"/>
        <v>303.95789473684215</v>
      </c>
      <c r="AC20" s="29">
        <f t="shared" si="5"/>
        <v>450.31362105263167</v>
      </c>
      <c r="AD20" s="34">
        <f t="shared" si="6"/>
        <v>758.52800000000002</v>
      </c>
      <c r="AE20" s="34">
        <f t="shared" si="7"/>
        <v>570.08120000000008</v>
      </c>
      <c r="AF20" s="34">
        <f t="shared" si="8"/>
        <v>450.31362105263167</v>
      </c>
      <c r="AH20" s="42">
        <f t="shared" si="9"/>
        <v>-190.19160000000147</v>
      </c>
      <c r="AI20" s="42">
        <f t="shared" si="10"/>
        <v>1366.7869263157891</v>
      </c>
    </row>
    <row r="21" spans="1:35">
      <c r="A21" s="8"/>
      <c r="B21" s="29"/>
      <c r="C21" s="8"/>
      <c r="H21" s="30"/>
      <c r="I21" s="30"/>
      <c r="J21" s="30"/>
      <c r="K21" s="30"/>
      <c r="O21" s="8">
        <v>14</v>
      </c>
      <c r="P21" s="29"/>
      <c r="Q21" s="29"/>
      <c r="R21" s="29"/>
      <c r="S21" s="29"/>
      <c r="T21" s="29"/>
      <c r="U21" s="29"/>
      <c r="V21" s="29"/>
      <c r="W21" s="29"/>
      <c r="X21" s="41">
        <f t="shared" si="0"/>
        <v>512</v>
      </c>
      <c r="Y21" s="29">
        <f t="shared" si="1"/>
        <v>758.52800000000002</v>
      </c>
      <c r="Z21" s="41">
        <f t="shared" si="2"/>
        <v>384.8</v>
      </c>
      <c r="AA21" s="29">
        <f t="shared" si="3"/>
        <v>570.08120000000008</v>
      </c>
      <c r="AB21" s="41">
        <f t="shared" si="4"/>
        <v>303.95789473684215</v>
      </c>
      <c r="AC21" s="29">
        <f t="shared" si="5"/>
        <v>450.31362105263167</v>
      </c>
      <c r="AD21" s="34">
        <f t="shared" si="6"/>
        <v>758.52800000000002</v>
      </c>
      <c r="AE21" s="34">
        <f t="shared" si="7"/>
        <v>570.08120000000008</v>
      </c>
      <c r="AF21" s="34">
        <f t="shared" si="8"/>
        <v>450.31362105263167</v>
      </c>
      <c r="AH21" s="42">
        <f t="shared" si="9"/>
        <v>-1.7448000000015327</v>
      </c>
      <c r="AI21" s="42">
        <f t="shared" si="10"/>
        <v>1675.0013052631575</v>
      </c>
    </row>
    <row r="22" spans="1:35">
      <c r="A22" s="8"/>
      <c r="B22" s="29"/>
      <c r="C22" s="8"/>
      <c r="F22" s="23" t="s">
        <v>45</v>
      </c>
      <c r="G22" s="80">
        <f>Y28</f>
        <v>11377.920000000002</v>
      </c>
      <c r="H22" s="80">
        <f>AA28</f>
        <v>8551.2180000000044</v>
      </c>
      <c r="I22" s="33">
        <f>AC28</f>
        <v>6754.7043157894759</v>
      </c>
      <c r="J22" s="33"/>
      <c r="K22" s="33"/>
      <c r="O22" s="8">
        <v>15</v>
      </c>
      <c r="P22" s="29"/>
      <c r="Q22" s="29"/>
      <c r="R22" s="29"/>
      <c r="S22" s="29"/>
      <c r="T22" s="29"/>
      <c r="U22" s="29"/>
      <c r="V22" s="29"/>
      <c r="W22" s="29"/>
      <c r="X22" s="41">
        <f t="shared" si="0"/>
        <v>512</v>
      </c>
      <c r="Y22" s="29">
        <f t="shared" si="1"/>
        <v>758.52800000000002</v>
      </c>
      <c r="Z22" s="41">
        <f t="shared" si="2"/>
        <v>384.8</v>
      </c>
      <c r="AA22" s="29">
        <f t="shared" si="3"/>
        <v>570.08120000000008</v>
      </c>
      <c r="AB22" s="41">
        <f t="shared" si="4"/>
        <v>303.95789473684215</v>
      </c>
      <c r="AC22" s="29">
        <f t="shared" si="5"/>
        <v>450.31362105263167</v>
      </c>
      <c r="AD22" s="34">
        <f t="shared" si="6"/>
        <v>758.52800000000002</v>
      </c>
      <c r="AE22" s="34">
        <f t="shared" si="7"/>
        <v>570.08120000000008</v>
      </c>
      <c r="AF22" s="34">
        <f t="shared" si="8"/>
        <v>450.31362105263167</v>
      </c>
      <c r="AH22" s="42">
        <f t="shared" si="9"/>
        <v>186.70199999999841</v>
      </c>
      <c r="AI22" s="42">
        <f t="shared" si="10"/>
        <v>1983.215684210526</v>
      </c>
    </row>
    <row r="23" spans="1:35">
      <c r="A23" s="8"/>
      <c r="B23" s="29"/>
      <c r="C23" s="8"/>
      <c r="H23" s="30"/>
      <c r="I23" s="30"/>
      <c r="J23" s="30"/>
      <c r="K23" s="30"/>
      <c r="O23" s="8">
        <v>16</v>
      </c>
      <c r="P23" s="29"/>
      <c r="Q23" s="29"/>
      <c r="R23" s="29"/>
      <c r="S23" s="29"/>
      <c r="T23" s="29"/>
      <c r="U23" s="29"/>
      <c r="V23" s="29"/>
      <c r="W23" s="29"/>
      <c r="X23" s="41"/>
      <c r="Y23" s="29"/>
      <c r="Z23" s="41"/>
      <c r="AA23" s="29"/>
      <c r="AB23" s="41"/>
      <c r="AC23" s="29"/>
      <c r="AD23" s="34">
        <f t="shared" si="7"/>
        <v>0</v>
      </c>
      <c r="AE23" s="34">
        <f t="shared" si="7"/>
        <v>0</v>
      </c>
      <c r="AF23" s="34">
        <f t="shared" si="7"/>
        <v>0</v>
      </c>
      <c r="AH23" s="42"/>
      <c r="AI23" s="42"/>
    </row>
    <row r="24" spans="1:35">
      <c r="A24" s="8"/>
      <c r="B24" s="29"/>
      <c r="C24" s="8"/>
      <c r="F24" s="24" t="s">
        <v>46</v>
      </c>
      <c r="G24" s="24"/>
      <c r="H24" s="34"/>
      <c r="I24" s="34"/>
      <c r="J24" s="34"/>
      <c r="K24" s="34"/>
      <c r="O24" s="8">
        <v>17</v>
      </c>
      <c r="P24" s="29"/>
      <c r="Q24" s="29"/>
      <c r="R24" s="29"/>
      <c r="S24" s="29"/>
      <c r="T24" s="29"/>
      <c r="U24" s="29"/>
      <c r="V24" s="29"/>
      <c r="W24" s="29"/>
      <c r="X24" s="41"/>
      <c r="Y24" s="29"/>
      <c r="Z24" s="41"/>
      <c r="AA24" s="29"/>
      <c r="AB24" s="41"/>
      <c r="AC24" s="29"/>
      <c r="AD24" s="34">
        <f t="shared" si="7"/>
        <v>0</v>
      </c>
      <c r="AE24" s="34">
        <f t="shared" si="7"/>
        <v>0</v>
      </c>
      <c r="AF24" s="34">
        <f t="shared" si="7"/>
        <v>0</v>
      </c>
      <c r="AH24" s="42"/>
      <c r="AI24" s="42"/>
    </row>
    <row r="25" spans="1:35">
      <c r="A25" s="8"/>
      <c r="B25" s="29"/>
      <c r="C25" s="8"/>
      <c r="F25" s="8" t="s">
        <v>47</v>
      </c>
      <c r="G25" s="8"/>
      <c r="H25" s="29"/>
      <c r="I25" s="29"/>
      <c r="J25" s="29"/>
      <c r="K25" s="29"/>
      <c r="O25" s="8">
        <v>18</v>
      </c>
      <c r="P25" s="29"/>
      <c r="Q25" s="29"/>
      <c r="R25" s="29"/>
      <c r="S25" s="29"/>
      <c r="T25" s="29"/>
      <c r="U25" s="29"/>
      <c r="V25" s="29"/>
      <c r="W25" s="29"/>
      <c r="X25" s="41"/>
      <c r="Y25" s="29"/>
      <c r="Z25" s="41"/>
      <c r="AA25" s="29"/>
      <c r="AB25" s="41"/>
      <c r="AC25" s="29"/>
      <c r="AD25" s="34">
        <f t="shared" si="7"/>
        <v>0</v>
      </c>
      <c r="AE25" s="34">
        <f t="shared" si="7"/>
        <v>0</v>
      </c>
      <c r="AF25" s="34">
        <f t="shared" si="7"/>
        <v>0</v>
      </c>
      <c r="AH25" s="42"/>
      <c r="AI25" s="42"/>
    </row>
    <row r="26" spans="1:35">
      <c r="F26" s="8" t="s">
        <v>48</v>
      </c>
      <c r="G26" s="8"/>
      <c r="H26" s="29"/>
      <c r="I26" s="29"/>
      <c r="J26" s="29"/>
      <c r="K26" s="29"/>
      <c r="O26" s="8">
        <v>19</v>
      </c>
      <c r="P26" s="29"/>
      <c r="Q26" s="29"/>
      <c r="R26" s="29"/>
      <c r="S26" s="29"/>
      <c r="T26" s="29"/>
      <c r="U26" s="29"/>
      <c r="V26" s="29"/>
      <c r="W26" s="29"/>
      <c r="X26" s="41"/>
      <c r="Y26" s="29"/>
      <c r="Z26" s="41"/>
      <c r="AA26" s="29"/>
      <c r="AB26" s="41"/>
      <c r="AC26" s="29"/>
      <c r="AD26" s="34">
        <f t="shared" si="7"/>
        <v>0</v>
      </c>
      <c r="AE26" s="34">
        <f t="shared" si="7"/>
        <v>0</v>
      </c>
      <c r="AF26" s="34">
        <f t="shared" si="7"/>
        <v>0</v>
      </c>
      <c r="AH26" s="42"/>
      <c r="AI26" s="42"/>
    </row>
    <row r="27" spans="1:35">
      <c r="H27" s="35"/>
      <c r="I27" s="35"/>
      <c r="J27" s="35"/>
      <c r="K27" s="35"/>
      <c r="O27" s="8">
        <v>20</v>
      </c>
      <c r="P27" s="29"/>
      <c r="Q27" s="29"/>
      <c r="R27" s="29"/>
      <c r="S27" s="29"/>
      <c r="T27" s="29"/>
      <c r="U27" s="29"/>
      <c r="V27" s="29"/>
      <c r="W27" s="29"/>
      <c r="X27" s="41"/>
      <c r="Y27" s="29"/>
      <c r="Z27" s="41"/>
      <c r="AA27" s="29"/>
      <c r="AB27" s="41"/>
      <c r="AC27" s="29"/>
      <c r="AD27" s="34">
        <f t="shared" si="7"/>
        <v>0</v>
      </c>
      <c r="AE27" s="34">
        <f t="shared" si="7"/>
        <v>0</v>
      </c>
      <c r="AF27" s="34">
        <f t="shared" si="7"/>
        <v>0</v>
      </c>
      <c r="AH27" s="42"/>
      <c r="AI27" s="42"/>
    </row>
    <row r="28" spans="1:35" ht="18.75">
      <c r="A28" s="55" t="s">
        <v>59</v>
      </c>
      <c r="B28" s="56"/>
      <c r="C28" s="57"/>
      <c r="F28" s="19" t="s">
        <v>49</v>
      </c>
      <c r="G28" s="81">
        <f>G10+G18+G20+G22+G24</f>
        <v>11377.920000000002</v>
      </c>
      <c r="H28" s="29">
        <f t="shared" ref="H28" si="11">+H24+H22+H20+H18+H10</f>
        <v>11191.218000000004</v>
      </c>
      <c r="I28" s="29">
        <f t="shared" ref="I28:K28" si="12">+I24+I22+I20+I18+I10</f>
        <v>9394.7043157894768</v>
      </c>
      <c r="J28" s="29">
        <f t="shared" si="12"/>
        <v>0</v>
      </c>
      <c r="K28" s="29">
        <f t="shared" si="12"/>
        <v>0</v>
      </c>
      <c r="O28" s="38" t="s">
        <v>50</v>
      </c>
      <c r="P28" s="29">
        <f>SUM(P8:P27)</f>
        <v>0</v>
      </c>
      <c r="Q28" s="29">
        <f t="shared" ref="Q28:AC28" si="13">SUM(Q8:Q27)</f>
        <v>0</v>
      </c>
      <c r="R28" s="29">
        <f t="shared" si="13"/>
        <v>0</v>
      </c>
      <c r="S28" s="29">
        <f t="shared" si="13"/>
        <v>0</v>
      </c>
      <c r="T28" s="29">
        <f t="shared" si="13"/>
        <v>0</v>
      </c>
      <c r="U28" s="29">
        <f t="shared" si="13"/>
        <v>0</v>
      </c>
      <c r="V28" s="29">
        <f t="shared" si="13"/>
        <v>0</v>
      </c>
      <c r="W28" s="29">
        <f t="shared" si="13"/>
        <v>0</v>
      </c>
      <c r="X28" s="41">
        <f t="shared" si="13"/>
        <v>7680</v>
      </c>
      <c r="Y28" s="29">
        <f t="shared" si="13"/>
        <v>11377.920000000002</v>
      </c>
      <c r="Z28" s="41">
        <f t="shared" si="13"/>
        <v>5772.0000000000018</v>
      </c>
      <c r="AA28" s="29">
        <f t="shared" si="13"/>
        <v>8551.2180000000044</v>
      </c>
      <c r="AB28" s="41">
        <f t="shared" si="13"/>
        <v>4559.3684210526326</v>
      </c>
      <c r="AC28" s="29">
        <f t="shared" si="13"/>
        <v>6754.7043157894759</v>
      </c>
      <c r="AD28" s="40"/>
    </row>
    <row r="29" spans="1:35">
      <c r="A29" s="8" t="s">
        <v>60</v>
      </c>
      <c r="B29" s="58">
        <v>0.8</v>
      </c>
      <c r="C29" s="8" t="s">
        <v>61</v>
      </c>
    </row>
    <row r="30" spans="1:35">
      <c r="A30" s="8" t="s">
        <v>63</v>
      </c>
      <c r="B30" s="8">
        <v>512</v>
      </c>
      <c r="C30" s="8" t="s">
        <v>64</v>
      </c>
    </row>
    <row r="31" spans="1:35">
      <c r="A31" s="8" t="s">
        <v>159</v>
      </c>
      <c r="B31" s="58">
        <v>0.95</v>
      </c>
      <c r="C31" s="8" t="s">
        <v>61</v>
      </c>
    </row>
    <row r="32" spans="1:35" ht="30.75">
      <c r="A32" s="71" t="s">
        <v>160</v>
      </c>
      <c r="B32" s="46">
        <v>127.2</v>
      </c>
      <c r="C32" s="8" t="s">
        <v>161</v>
      </c>
    </row>
    <row r="33" spans="1:11" ht="30.75">
      <c r="A33" s="71" t="s">
        <v>162</v>
      </c>
      <c r="B33" s="58">
        <f>B30-B32</f>
        <v>384.8</v>
      </c>
      <c r="C33" s="8" t="s">
        <v>161</v>
      </c>
      <c r="F33" s="126" t="s">
        <v>51</v>
      </c>
      <c r="G33" s="127"/>
      <c r="H33" s="127"/>
      <c r="I33" s="127"/>
      <c r="J33" s="127"/>
      <c r="K33" s="127"/>
    </row>
    <row r="34" spans="1:11" ht="30.75">
      <c r="A34" s="72" t="s">
        <v>163</v>
      </c>
      <c r="B34" s="58">
        <f>B36-B32</f>
        <v>303.95789473684215</v>
      </c>
      <c r="C34" s="8" t="s">
        <v>161</v>
      </c>
    </row>
    <row r="35" spans="1:11">
      <c r="A35" s="8" t="s">
        <v>78</v>
      </c>
      <c r="B35" s="8">
        <f>+B29*B30</f>
        <v>409.6</v>
      </c>
      <c r="C35" s="8" t="s">
        <v>64</v>
      </c>
      <c r="H35" s="26" t="str">
        <f>+H9</f>
        <v>R49, AFUE 80</v>
      </c>
      <c r="I35" s="26" t="str">
        <f>+I9</f>
        <v>R49, AFUE95</v>
      </c>
      <c r="J35" s="26">
        <f>+J9</f>
        <v>0</v>
      </c>
      <c r="K35" s="26">
        <f>+K9</f>
        <v>0</v>
      </c>
    </row>
    <row r="36" spans="1:11">
      <c r="A36" s="8" t="s">
        <v>79</v>
      </c>
      <c r="B36" s="65">
        <f>+B35/B31</f>
        <v>431.15789473684214</v>
      </c>
      <c r="C36" s="8" t="s">
        <v>64</v>
      </c>
      <c r="F36" s="20" t="s">
        <v>34</v>
      </c>
      <c r="G36" s="20"/>
      <c r="H36" s="28">
        <f>+H10</f>
        <v>2640</v>
      </c>
      <c r="I36" s="28">
        <f>+I10</f>
        <v>2640</v>
      </c>
      <c r="J36" s="28">
        <f>+J10</f>
        <v>0</v>
      </c>
      <c r="K36" s="28">
        <f>+K10</f>
        <v>0</v>
      </c>
    </row>
    <row r="37" spans="1:11">
      <c r="A37" s="71"/>
      <c r="B37" s="8"/>
      <c r="C37" s="8"/>
      <c r="F37" s="8" t="s">
        <v>35</v>
      </c>
      <c r="G37" s="8"/>
      <c r="H37" s="29"/>
      <c r="I37" s="29"/>
      <c r="J37" s="29"/>
      <c r="K37" s="29"/>
    </row>
    <row r="38" spans="1:11">
      <c r="A38" s="8"/>
      <c r="B38" s="61"/>
      <c r="C38" s="8"/>
      <c r="F38" s="8" t="s">
        <v>39</v>
      </c>
      <c r="G38" s="8"/>
      <c r="H38" s="29"/>
      <c r="I38" s="29"/>
      <c r="J38" s="29"/>
      <c r="K38" s="29"/>
    </row>
    <row r="39" spans="1:11">
      <c r="A39" s="8"/>
      <c r="B39" s="46"/>
      <c r="C39" s="8"/>
      <c r="F39" s="8" t="s">
        <v>40</v>
      </c>
      <c r="G39" s="8"/>
      <c r="H39" s="29"/>
      <c r="I39" s="29"/>
      <c r="J39" s="29"/>
      <c r="K39" s="29"/>
    </row>
    <row r="40" spans="1:11">
      <c r="A40" s="71"/>
      <c r="B40" s="58"/>
      <c r="C40" s="8"/>
      <c r="F40" s="8" t="s">
        <v>41</v>
      </c>
      <c r="G40" s="8"/>
      <c r="H40" s="29"/>
      <c r="I40" s="29"/>
      <c r="J40" s="29"/>
      <c r="K40" s="29"/>
    </row>
    <row r="41" spans="1:11">
      <c r="A41" s="71"/>
      <c r="B41" s="58"/>
      <c r="C41" s="8"/>
      <c r="F41" s="8" t="s">
        <v>42</v>
      </c>
      <c r="G41" s="8"/>
      <c r="H41" s="29"/>
      <c r="I41" s="29"/>
      <c r="J41" s="29"/>
      <c r="K41" s="29"/>
    </row>
    <row r="42" spans="1:11">
      <c r="A42" s="8"/>
      <c r="B42" s="8"/>
      <c r="C42" s="8"/>
      <c r="F42" s="8" t="s">
        <v>43</v>
      </c>
      <c r="G42" s="8"/>
      <c r="H42" s="29"/>
      <c r="I42" s="29"/>
      <c r="J42" s="29"/>
      <c r="K42" s="29"/>
    </row>
    <row r="43" spans="1:11">
      <c r="A43" s="8"/>
      <c r="B43" s="58"/>
      <c r="C43" s="8"/>
      <c r="H43" s="30"/>
      <c r="I43" s="30"/>
      <c r="J43" s="30"/>
      <c r="K43" s="30"/>
    </row>
    <row r="44" spans="1:11">
      <c r="A44" s="8"/>
      <c r="B44" s="8"/>
      <c r="C44" s="8"/>
      <c r="F44" s="21" t="s">
        <v>44</v>
      </c>
      <c r="G44" s="21"/>
      <c r="H44" s="31"/>
      <c r="I44" s="31"/>
      <c r="J44" s="31"/>
      <c r="K44" s="31"/>
    </row>
    <row r="45" spans="1:11">
      <c r="A45" s="71"/>
      <c r="B45" s="58"/>
      <c r="C45" s="8"/>
      <c r="H45" s="30"/>
      <c r="I45" s="30"/>
      <c r="J45" s="30"/>
      <c r="K45" s="30"/>
    </row>
    <row r="46" spans="1:11">
      <c r="A46" s="71"/>
      <c r="B46" s="58"/>
      <c r="C46" s="8"/>
      <c r="F46" s="22" t="s">
        <v>20</v>
      </c>
      <c r="G46" s="22"/>
      <c r="H46" s="32"/>
      <c r="I46" s="32"/>
      <c r="J46" s="32"/>
      <c r="K46" s="32"/>
    </row>
    <row r="47" spans="1:11">
      <c r="A47" s="8"/>
      <c r="B47" s="67"/>
      <c r="C47" s="8"/>
      <c r="H47" s="30"/>
      <c r="I47" s="30"/>
      <c r="J47" s="30"/>
      <c r="K47" s="30"/>
    </row>
    <row r="48" spans="1:11">
      <c r="A48" s="8"/>
      <c r="B48" s="8"/>
      <c r="C48" s="8"/>
      <c r="F48" s="23" t="s">
        <v>45</v>
      </c>
      <c r="G48" s="23"/>
      <c r="H48" s="33"/>
      <c r="I48" s="33"/>
      <c r="J48" s="33"/>
      <c r="K48" s="33"/>
    </row>
    <row r="49" spans="1:11">
      <c r="A49" s="8"/>
      <c r="B49" s="8"/>
      <c r="C49" s="8"/>
      <c r="H49" s="30"/>
      <c r="I49" s="30"/>
      <c r="J49" s="30"/>
      <c r="K49" s="30"/>
    </row>
    <row r="50" spans="1:11">
      <c r="A50" s="8"/>
      <c r="B50" s="8"/>
      <c r="C50" s="8"/>
      <c r="F50" s="24" t="s">
        <v>46</v>
      </c>
      <c r="G50" s="24"/>
      <c r="H50" s="34"/>
      <c r="I50" s="34"/>
      <c r="J50" s="34"/>
      <c r="K50" s="34"/>
    </row>
    <row r="51" spans="1:11">
      <c r="F51" s="8" t="s">
        <v>47</v>
      </c>
      <c r="G51" s="8"/>
      <c r="H51" s="29"/>
      <c r="I51" s="29"/>
      <c r="J51" s="29"/>
      <c r="K51" s="29"/>
    </row>
    <row r="52" spans="1:11">
      <c r="F52" s="8" t="s">
        <v>48</v>
      </c>
      <c r="G52" s="8"/>
      <c r="H52" s="29"/>
      <c r="I52" s="29"/>
      <c r="J52" s="29"/>
      <c r="K52" s="29"/>
    </row>
    <row r="53" spans="1:11">
      <c r="H53" s="35"/>
      <c r="I53" s="35"/>
      <c r="J53" s="35"/>
      <c r="K53" s="35"/>
    </row>
    <row r="54" spans="1:11">
      <c r="F54" s="19" t="s">
        <v>49</v>
      </c>
      <c r="G54" s="19"/>
      <c r="H54" s="29">
        <f>+H50+H48+H46+H44+H36</f>
        <v>2640</v>
      </c>
      <c r="I54" s="29">
        <f t="shared" ref="I54:K54" si="14">+I50+I48+I46+I44+I36</f>
        <v>2640</v>
      </c>
      <c r="J54" s="29">
        <f t="shared" si="14"/>
        <v>0</v>
      </c>
      <c r="K54" s="29">
        <f t="shared" si="14"/>
        <v>0</v>
      </c>
    </row>
  </sheetData>
  <mergeCells count="11">
    <mergeCell ref="AH6:AI6"/>
    <mergeCell ref="F7:K7"/>
    <mergeCell ref="F33:K33"/>
    <mergeCell ref="P5:S6"/>
    <mergeCell ref="T5:W6"/>
    <mergeCell ref="X5:AC5"/>
    <mergeCell ref="AD5:AF5"/>
    <mergeCell ref="X6:Y6"/>
    <mergeCell ref="Z6:AA6"/>
    <mergeCell ref="AB6:AC6"/>
    <mergeCell ref="AD6:AF6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A108-09D8-4756-92E0-F69E6F6EA4D7}">
  <dimension ref="A2:V54"/>
  <sheetViews>
    <sheetView topLeftCell="O4" workbookViewId="0">
      <selection activeCell="V24" sqref="V24"/>
    </sheetView>
  </sheetViews>
  <sheetFormatPr defaultColWidth="11.42578125" defaultRowHeight="15"/>
  <cols>
    <col min="1" max="1" width="31" customWidth="1"/>
    <col min="2" max="2" width="11.85546875" bestFit="1" customWidth="1"/>
    <col min="6" max="6" width="25.28515625" customWidth="1"/>
    <col min="7" max="7" width="16.7109375" customWidth="1"/>
    <col min="11" max="11" width="16.28515625" customWidth="1"/>
    <col min="15" max="15" width="14.5703125" customWidth="1"/>
    <col min="16" max="16" width="15.42578125" customWidth="1"/>
    <col min="17" max="17" width="14.5703125" customWidth="1"/>
    <col min="18" max="18" width="13" customWidth="1"/>
    <col min="19" max="19" width="13.7109375" customWidth="1"/>
    <col min="20" max="20" width="16.28515625" customWidth="1"/>
    <col min="22" max="22" width="26.85546875" customWidth="1"/>
  </cols>
  <sheetData>
    <row r="2" spans="1:22">
      <c r="K2" s="27" t="s">
        <v>13</v>
      </c>
    </row>
    <row r="3" spans="1:22">
      <c r="L3" s="27"/>
    </row>
    <row r="4" spans="1:22" ht="21">
      <c r="A4" s="25" t="s">
        <v>14</v>
      </c>
      <c r="F4" s="27" t="s">
        <v>15</v>
      </c>
      <c r="K4" s="39" t="s">
        <v>16</v>
      </c>
    </row>
    <row r="5" spans="1:22">
      <c r="A5" s="19" t="s">
        <v>17</v>
      </c>
      <c r="B5" s="8">
        <v>15</v>
      </c>
      <c r="F5" s="27" t="s">
        <v>18</v>
      </c>
      <c r="K5" s="119" t="s">
        <v>19</v>
      </c>
      <c r="L5" s="119"/>
      <c r="M5" s="118" t="s">
        <v>20</v>
      </c>
      <c r="N5" s="118"/>
      <c r="O5" s="117" t="s">
        <v>21</v>
      </c>
      <c r="P5" s="117"/>
      <c r="Q5" s="117"/>
      <c r="R5" s="117"/>
      <c r="S5" s="120"/>
      <c r="T5" s="121"/>
    </row>
    <row r="6" spans="1:22" ht="30.75">
      <c r="A6" s="19" t="s">
        <v>22</v>
      </c>
      <c r="B6" s="11">
        <f>+'Energy Information'!$B$6</f>
        <v>0.11</v>
      </c>
      <c r="K6" s="119"/>
      <c r="L6" s="119"/>
      <c r="M6" s="118"/>
      <c r="N6" s="118"/>
      <c r="O6" s="124" t="str">
        <f>+G9</f>
        <v>Grid Connected Electricity</v>
      </c>
      <c r="P6" s="125"/>
      <c r="Q6" s="124" t="s">
        <v>164</v>
      </c>
      <c r="R6" s="125"/>
      <c r="S6" s="122" t="s">
        <v>27</v>
      </c>
      <c r="T6" s="122"/>
      <c r="V6" s="77" t="s">
        <v>165</v>
      </c>
    </row>
    <row r="7" spans="1:22" ht="45.75">
      <c r="A7" s="19" t="s">
        <v>5</v>
      </c>
      <c r="B7" s="12">
        <f>+'Energy Information'!$B$7</f>
        <v>0</v>
      </c>
      <c r="F7" s="126" t="s">
        <v>29</v>
      </c>
      <c r="G7" s="127"/>
      <c r="H7" s="127"/>
      <c r="J7" s="19" t="s">
        <v>30</v>
      </c>
      <c r="K7" s="43" t="str">
        <f>+$G$9</f>
        <v>Grid Connected Electricity</v>
      </c>
      <c r="L7" s="43" t="str">
        <f>+$H$9</f>
        <v>Solar PV System</v>
      </c>
      <c r="M7" s="43" t="str">
        <f>+$G$9</f>
        <v>Grid Connected Electricity</v>
      </c>
      <c r="N7" s="43" t="str">
        <f>+$H$9</f>
        <v>Solar PV System</v>
      </c>
      <c r="O7" s="26" t="s">
        <v>31</v>
      </c>
      <c r="P7" s="26" t="s">
        <v>32</v>
      </c>
      <c r="Q7" s="26" t="s">
        <v>31</v>
      </c>
      <c r="R7" s="26" t="s">
        <v>32</v>
      </c>
      <c r="S7" s="43" t="str">
        <f>+$G$9</f>
        <v>Grid Connected Electricity</v>
      </c>
      <c r="T7" s="43" t="str">
        <f>+$H$9</f>
        <v>Solar PV System</v>
      </c>
      <c r="V7" s="26" t="s">
        <v>166</v>
      </c>
    </row>
    <row r="8" spans="1:22">
      <c r="A8" s="19" t="s">
        <v>33</v>
      </c>
      <c r="B8" s="13">
        <f>+'Energy Information'!$B$12</f>
        <v>1.4815</v>
      </c>
      <c r="J8" s="8">
        <v>1</v>
      </c>
      <c r="K8" s="29"/>
      <c r="L8" s="29"/>
      <c r="M8" s="29"/>
      <c r="N8" s="29"/>
      <c r="O8" s="41">
        <f>+$B$33</f>
        <v>8300</v>
      </c>
      <c r="P8" s="29">
        <f>+O8*$B$6</f>
        <v>913</v>
      </c>
      <c r="Q8" s="41"/>
      <c r="R8" s="29"/>
      <c r="S8" s="34">
        <f>+K8+M8+P8</f>
        <v>913</v>
      </c>
      <c r="T8" s="34">
        <f>+L8+N8+Q8</f>
        <v>0</v>
      </c>
      <c r="V8" s="83">
        <f>+(G10-$H$10)+(T8-$S$8)</f>
        <v>-11645.5</v>
      </c>
    </row>
    <row r="9" spans="1:22" ht="30.75">
      <c r="A9" s="19" t="s">
        <v>10</v>
      </c>
      <c r="B9" s="14">
        <f>+'Energy Information'!$B$13</f>
        <v>0</v>
      </c>
      <c r="G9" s="43" t="s">
        <v>167</v>
      </c>
      <c r="H9" s="43" t="s">
        <v>164</v>
      </c>
      <c r="J9" s="8">
        <v>2</v>
      </c>
      <c r="K9" s="29"/>
      <c r="L9" s="29"/>
      <c r="M9" s="29"/>
      <c r="N9" s="29"/>
      <c r="O9" s="41">
        <f t="shared" ref="O9:O27" si="0">+$B$33</f>
        <v>8300</v>
      </c>
      <c r="P9" s="29">
        <f t="shared" ref="P9:P26" si="1">+O9*$B$6</f>
        <v>913</v>
      </c>
      <c r="Q9" s="41"/>
      <c r="R9" s="29"/>
      <c r="S9" s="34">
        <f>+K9+M9+P9</f>
        <v>913</v>
      </c>
      <c r="T9" s="34">
        <f>+L9+N9+Q9</f>
        <v>0</v>
      </c>
      <c r="V9" s="42">
        <f>+V8+(S9-$T9)</f>
        <v>-10732.5</v>
      </c>
    </row>
    <row r="10" spans="1:22">
      <c r="F10" s="20" t="s">
        <v>34</v>
      </c>
      <c r="G10" s="47"/>
      <c r="H10" s="28">
        <f>SUM(H11:H17)</f>
        <v>10732.5</v>
      </c>
      <c r="J10" s="8">
        <v>3</v>
      </c>
      <c r="K10" s="29"/>
      <c r="L10" s="29"/>
      <c r="M10" s="29"/>
      <c r="N10" s="29"/>
      <c r="O10" s="41">
        <f t="shared" si="0"/>
        <v>8300</v>
      </c>
      <c r="P10" s="29">
        <f t="shared" si="1"/>
        <v>913</v>
      </c>
      <c r="Q10" s="41"/>
      <c r="R10" s="29"/>
      <c r="S10" s="34">
        <f>+K10+M10+P10</f>
        <v>913</v>
      </c>
      <c r="T10" s="34">
        <f>+L10+N10+Q10</f>
        <v>0</v>
      </c>
      <c r="V10" s="42">
        <f t="shared" ref="V10:V27" si="2">+V9+(S10-$T10)</f>
        <v>-9819.5</v>
      </c>
    </row>
    <row r="11" spans="1:22">
      <c r="F11" s="8" t="s">
        <v>35</v>
      </c>
      <c r="G11" s="29"/>
      <c r="H11" s="29">
        <f>+B38</f>
        <v>10657.5</v>
      </c>
      <c r="J11" s="8">
        <v>4</v>
      </c>
      <c r="K11" s="29"/>
      <c r="L11" s="29"/>
      <c r="M11" s="29"/>
      <c r="N11" s="29"/>
      <c r="O11" s="41">
        <f t="shared" si="0"/>
        <v>8300</v>
      </c>
      <c r="P11" s="29">
        <f t="shared" si="1"/>
        <v>913</v>
      </c>
      <c r="Q11" s="41"/>
      <c r="R11" s="29"/>
      <c r="S11" s="34">
        <f>+K11+M11+P11</f>
        <v>913</v>
      </c>
      <c r="T11" s="34">
        <f>+L11+N11+Q11</f>
        <v>0</v>
      </c>
      <c r="V11" s="42">
        <f t="shared" si="2"/>
        <v>-8906.5</v>
      </c>
    </row>
    <row r="12" spans="1:22" ht="18.75">
      <c r="A12" s="36" t="s">
        <v>36</v>
      </c>
      <c r="B12" s="37" t="s">
        <v>37</v>
      </c>
      <c r="C12" s="26" t="s">
        <v>38</v>
      </c>
      <c r="F12" s="8" t="s">
        <v>39</v>
      </c>
      <c r="G12" s="29"/>
      <c r="H12" s="29"/>
      <c r="J12" s="8">
        <v>5</v>
      </c>
      <c r="K12" s="29"/>
      <c r="L12" s="29"/>
      <c r="M12" s="29"/>
      <c r="N12" s="29"/>
      <c r="O12" s="41">
        <f t="shared" si="0"/>
        <v>8300</v>
      </c>
      <c r="P12" s="29">
        <f t="shared" si="1"/>
        <v>913</v>
      </c>
      <c r="Q12" s="41"/>
      <c r="R12" s="29"/>
      <c r="S12" s="34">
        <f>+K12+M12+P12</f>
        <v>913</v>
      </c>
      <c r="T12" s="34">
        <f>+L12+N12+Q12</f>
        <v>0</v>
      </c>
      <c r="V12" s="42">
        <f t="shared" si="2"/>
        <v>-7993.5</v>
      </c>
    </row>
    <row r="13" spans="1:22">
      <c r="A13" s="8" t="s">
        <v>168</v>
      </c>
      <c r="B13" s="29">
        <v>2500</v>
      </c>
      <c r="C13" s="8">
        <v>15</v>
      </c>
      <c r="F13" s="8" t="s">
        <v>169</v>
      </c>
      <c r="G13" s="29">
        <v>0</v>
      </c>
      <c r="H13" s="29">
        <f>B34</f>
        <v>75</v>
      </c>
      <c r="J13" s="8">
        <v>6</v>
      </c>
      <c r="K13" s="29"/>
      <c r="L13" s="29"/>
      <c r="M13" s="29"/>
      <c r="N13" s="29"/>
      <c r="O13" s="41">
        <f t="shared" si="0"/>
        <v>8300</v>
      </c>
      <c r="P13" s="29">
        <f t="shared" si="1"/>
        <v>913</v>
      </c>
      <c r="Q13" s="41"/>
      <c r="R13" s="29"/>
      <c r="S13" s="34">
        <f>+K13+M13+P13</f>
        <v>913</v>
      </c>
      <c r="T13" s="34">
        <f>+L13+N13+Q13</f>
        <v>0</v>
      </c>
      <c r="V13" s="42">
        <f t="shared" si="2"/>
        <v>-7080.5</v>
      </c>
    </row>
    <row r="14" spans="1:22">
      <c r="A14" s="8"/>
      <c r="B14" s="29"/>
      <c r="C14" s="8"/>
      <c r="F14" s="8" t="s">
        <v>41</v>
      </c>
      <c r="G14" s="29"/>
      <c r="H14" s="29"/>
      <c r="J14" s="8">
        <v>7</v>
      </c>
      <c r="K14" s="29"/>
      <c r="L14" s="29"/>
      <c r="M14" s="29"/>
      <c r="N14" s="29"/>
      <c r="O14" s="41">
        <f t="shared" si="0"/>
        <v>8300</v>
      </c>
      <c r="P14" s="29">
        <f t="shared" si="1"/>
        <v>913</v>
      </c>
      <c r="Q14" s="41"/>
      <c r="R14" s="29"/>
      <c r="S14" s="34">
        <f>+K14+M14+P14</f>
        <v>913</v>
      </c>
      <c r="T14" s="34">
        <f>+L14+N14+Q14</f>
        <v>0</v>
      </c>
      <c r="V14" s="42">
        <f t="shared" si="2"/>
        <v>-6167.5</v>
      </c>
    </row>
    <row r="15" spans="1:22">
      <c r="A15" s="8"/>
      <c r="B15" s="29"/>
      <c r="C15" s="8"/>
      <c r="F15" s="8" t="s">
        <v>42</v>
      </c>
      <c r="G15" s="29"/>
      <c r="H15" s="29"/>
      <c r="J15" s="8">
        <v>8</v>
      </c>
      <c r="K15" s="29"/>
      <c r="L15" s="29"/>
      <c r="M15" s="29"/>
      <c r="N15" s="29"/>
      <c r="O15" s="41">
        <f t="shared" si="0"/>
        <v>8300</v>
      </c>
      <c r="P15" s="29">
        <f t="shared" si="1"/>
        <v>913</v>
      </c>
      <c r="Q15" s="41"/>
      <c r="R15" s="29"/>
      <c r="S15" s="34">
        <f>+K15+M15+P15</f>
        <v>913</v>
      </c>
      <c r="T15" s="34">
        <f>+L15+N15+Q15</f>
        <v>0</v>
      </c>
      <c r="V15" s="42">
        <f t="shared" si="2"/>
        <v>-5254.5</v>
      </c>
    </row>
    <row r="16" spans="1:22">
      <c r="A16" s="8"/>
      <c r="B16" s="29"/>
      <c r="C16" s="8"/>
      <c r="F16" s="8" t="s">
        <v>43</v>
      </c>
      <c r="G16" s="29"/>
      <c r="H16" s="29"/>
      <c r="J16" s="8">
        <v>9</v>
      </c>
      <c r="K16" s="29"/>
      <c r="L16" s="29"/>
      <c r="M16" s="29"/>
      <c r="N16" s="29"/>
      <c r="O16" s="41">
        <f t="shared" si="0"/>
        <v>8300</v>
      </c>
      <c r="P16" s="29">
        <f t="shared" si="1"/>
        <v>913</v>
      </c>
      <c r="Q16" s="41"/>
      <c r="R16" s="29"/>
      <c r="S16" s="34">
        <f>+K16+M16+P16</f>
        <v>913</v>
      </c>
      <c r="T16" s="34">
        <f>+L16+N16+Q16</f>
        <v>0</v>
      </c>
      <c r="V16" s="42">
        <f t="shared" si="2"/>
        <v>-4341.5</v>
      </c>
    </row>
    <row r="17" spans="1:22">
      <c r="A17" s="8"/>
      <c r="B17" s="29"/>
      <c r="C17" s="8"/>
      <c r="G17" s="30"/>
      <c r="H17" s="30"/>
      <c r="J17" s="8">
        <v>10</v>
      </c>
      <c r="K17" s="29"/>
      <c r="L17" s="29"/>
      <c r="M17" s="29"/>
      <c r="N17" s="29"/>
      <c r="O17" s="41">
        <f t="shared" si="0"/>
        <v>8300</v>
      </c>
      <c r="P17" s="29">
        <f t="shared" si="1"/>
        <v>913</v>
      </c>
      <c r="Q17" s="41"/>
      <c r="R17" s="29"/>
      <c r="S17" s="34">
        <f>+K17+M17+P17</f>
        <v>913</v>
      </c>
      <c r="T17" s="34">
        <f>+L17+N17+Q17</f>
        <v>0</v>
      </c>
      <c r="V17" s="42">
        <f t="shared" si="2"/>
        <v>-3428.5</v>
      </c>
    </row>
    <row r="18" spans="1:22">
      <c r="A18" s="8"/>
      <c r="B18" s="29"/>
      <c r="C18" s="8"/>
      <c r="F18" s="21" t="s">
        <v>44</v>
      </c>
      <c r="G18" s="31">
        <f>+K28</f>
        <v>0</v>
      </c>
      <c r="H18" s="31">
        <f>+L28</f>
        <v>2500</v>
      </c>
      <c r="J18" s="8">
        <v>11</v>
      </c>
      <c r="K18" s="29"/>
      <c r="L18" s="29"/>
      <c r="M18" s="29"/>
      <c r="N18" s="29"/>
      <c r="O18" s="41">
        <f t="shared" si="0"/>
        <v>8300</v>
      </c>
      <c r="P18" s="29">
        <f t="shared" si="1"/>
        <v>913</v>
      </c>
      <c r="Q18" s="41"/>
      <c r="R18" s="29"/>
      <c r="S18" s="34">
        <f>+K18+M18+P18</f>
        <v>913</v>
      </c>
      <c r="T18" s="34">
        <f>+L18+N18+Q18</f>
        <v>0</v>
      </c>
      <c r="V18" s="42">
        <f t="shared" si="2"/>
        <v>-2515.5</v>
      </c>
    </row>
    <row r="19" spans="1:22">
      <c r="A19" s="8"/>
      <c r="B19" s="29"/>
      <c r="C19" s="8"/>
      <c r="G19" s="30"/>
      <c r="H19" s="30"/>
      <c r="J19" s="8">
        <v>12</v>
      </c>
      <c r="K19" s="29"/>
      <c r="L19" s="29"/>
      <c r="M19" s="29"/>
      <c r="N19" s="29"/>
      <c r="O19" s="41">
        <f t="shared" si="0"/>
        <v>8300</v>
      </c>
      <c r="P19" s="29">
        <f t="shared" si="1"/>
        <v>913</v>
      </c>
      <c r="Q19" s="41"/>
      <c r="R19" s="29"/>
      <c r="S19" s="34">
        <f>+K19+M19+P19</f>
        <v>913</v>
      </c>
      <c r="T19" s="34">
        <f>+L19+N19+Q19</f>
        <v>0</v>
      </c>
      <c r="V19" s="42">
        <f t="shared" si="2"/>
        <v>-1602.5</v>
      </c>
    </row>
    <row r="20" spans="1:22">
      <c r="A20" s="8"/>
      <c r="B20" s="29"/>
      <c r="C20" s="8"/>
      <c r="F20" s="22" t="s">
        <v>20</v>
      </c>
      <c r="G20" s="32">
        <f>+M28</f>
        <v>0</v>
      </c>
      <c r="H20" s="32">
        <f>+N28</f>
        <v>0</v>
      </c>
      <c r="J20" s="8">
        <v>13</v>
      </c>
      <c r="K20" s="29"/>
      <c r="L20" s="29"/>
      <c r="M20" s="29"/>
      <c r="N20" s="29"/>
      <c r="O20" s="41">
        <f t="shared" si="0"/>
        <v>8300</v>
      </c>
      <c r="P20" s="29">
        <f t="shared" si="1"/>
        <v>913</v>
      </c>
      <c r="Q20" s="41"/>
      <c r="R20" s="29"/>
      <c r="S20" s="34">
        <f>+K20+M20+P20</f>
        <v>913</v>
      </c>
      <c r="T20" s="34">
        <f>+L20+N20+Q20</f>
        <v>0</v>
      </c>
      <c r="V20" s="42">
        <f t="shared" si="2"/>
        <v>-689.5</v>
      </c>
    </row>
    <row r="21" spans="1:22">
      <c r="A21" s="8"/>
      <c r="B21" s="29"/>
      <c r="C21" s="8"/>
      <c r="G21" s="30"/>
      <c r="H21" s="30"/>
      <c r="J21" s="8">
        <v>14</v>
      </c>
      <c r="K21" s="29"/>
      <c r="L21" s="29"/>
      <c r="M21" s="29"/>
      <c r="N21" s="29"/>
      <c r="O21" s="41">
        <f t="shared" si="0"/>
        <v>8300</v>
      </c>
      <c r="P21" s="29">
        <f t="shared" si="1"/>
        <v>913</v>
      </c>
      <c r="Q21" s="41"/>
      <c r="R21" s="29"/>
      <c r="S21" s="34">
        <f>+K21+M21+P21</f>
        <v>913</v>
      </c>
      <c r="T21" s="34">
        <f>+L21+N21+Q21</f>
        <v>0</v>
      </c>
      <c r="V21" s="42">
        <f t="shared" si="2"/>
        <v>223.5</v>
      </c>
    </row>
    <row r="22" spans="1:22">
      <c r="A22" s="8"/>
      <c r="B22" s="29"/>
      <c r="C22" s="8"/>
      <c r="F22" s="23" t="s">
        <v>45</v>
      </c>
      <c r="G22" s="33">
        <f>+P28</f>
        <v>18260</v>
      </c>
      <c r="H22" s="33">
        <f>+Q28</f>
        <v>0</v>
      </c>
      <c r="J22" s="8">
        <v>15</v>
      </c>
      <c r="K22" s="29"/>
      <c r="L22" s="29">
        <f>B13</f>
        <v>2500</v>
      </c>
      <c r="M22" s="29"/>
      <c r="N22" s="29"/>
      <c r="O22" s="41">
        <f t="shared" si="0"/>
        <v>8300</v>
      </c>
      <c r="P22" s="29">
        <f>+O22*$B$6</f>
        <v>913</v>
      </c>
      <c r="Q22" s="41"/>
      <c r="R22" s="29"/>
      <c r="S22" s="34">
        <f>+K22+M22+P22</f>
        <v>913</v>
      </c>
      <c r="T22" s="34">
        <f>+L22+N22+Q22</f>
        <v>2500</v>
      </c>
      <c r="V22" s="42">
        <f t="shared" si="2"/>
        <v>-1363.5</v>
      </c>
    </row>
    <row r="23" spans="1:22">
      <c r="A23" s="8"/>
      <c r="B23" s="29"/>
      <c r="C23" s="8"/>
      <c r="G23" s="30"/>
      <c r="H23" s="30"/>
      <c r="J23" s="8">
        <v>16</v>
      </c>
      <c r="K23" s="29"/>
      <c r="L23" s="29"/>
      <c r="M23" s="29"/>
      <c r="N23" s="29"/>
      <c r="O23" s="41">
        <f t="shared" si="0"/>
        <v>8300</v>
      </c>
      <c r="P23" s="29">
        <f t="shared" si="1"/>
        <v>913</v>
      </c>
      <c r="Q23" s="41"/>
      <c r="R23" s="29"/>
      <c r="S23" s="34">
        <f>+K23+M23+P23</f>
        <v>913</v>
      </c>
      <c r="T23" s="34">
        <f>+L23+N23+Q23</f>
        <v>0</v>
      </c>
      <c r="V23" s="42">
        <f t="shared" si="2"/>
        <v>-450.5</v>
      </c>
    </row>
    <row r="24" spans="1:22">
      <c r="A24" s="8"/>
      <c r="B24" s="29"/>
      <c r="C24" s="8"/>
      <c r="F24" s="24" t="s">
        <v>46</v>
      </c>
      <c r="G24" s="34"/>
      <c r="H24" s="34"/>
      <c r="J24" s="8">
        <v>17</v>
      </c>
      <c r="K24" s="29"/>
      <c r="L24" s="29"/>
      <c r="M24" s="29"/>
      <c r="N24" s="29"/>
      <c r="O24" s="41">
        <f t="shared" si="0"/>
        <v>8300</v>
      </c>
      <c r="P24" s="29">
        <f t="shared" si="1"/>
        <v>913</v>
      </c>
      <c r="Q24" s="41"/>
      <c r="R24" s="29"/>
      <c r="S24" s="34">
        <f>+K24+M24+P24</f>
        <v>913</v>
      </c>
      <c r="T24" s="34">
        <f>+L24+N24+Q24</f>
        <v>0</v>
      </c>
      <c r="V24" s="42">
        <f t="shared" si="2"/>
        <v>462.5</v>
      </c>
    </row>
    <row r="25" spans="1:22">
      <c r="A25" s="8"/>
      <c r="B25" s="29"/>
      <c r="C25" s="8"/>
      <c r="F25" s="8" t="s">
        <v>47</v>
      </c>
      <c r="G25" s="29"/>
      <c r="H25" s="29"/>
      <c r="J25" s="8">
        <v>18</v>
      </c>
      <c r="K25" s="29"/>
      <c r="L25" s="29"/>
      <c r="M25" s="29"/>
      <c r="N25" s="29"/>
      <c r="O25" s="41">
        <f t="shared" si="0"/>
        <v>8300</v>
      </c>
      <c r="P25" s="29">
        <f t="shared" si="1"/>
        <v>913</v>
      </c>
      <c r="Q25" s="41"/>
      <c r="R25" s="29"/>
      <c r="S25" s="34">
        <f>+K25+M25+P25</f>
        <v>913</v>
      </c>
      <c r="T25" s="34">
        <f>+L25+N25+Q25</f>
        <v>0</v>
      </c>
      <c r="V25" s="42">
        <f t="shared" si="2"/>
        <v>1375.5</v>
      </c>
    </row>
    <row r="26" spans="1:22">
      <c r="F26" s="8" t="s">
        <v>48</v>
      </c>
      <c r="G26" s="29"/>
      <c r="H26" s="29"/>
      <c r="J26" s="8">
        <v>19</v>
      </c>
      <c r="K26" s="29"/>
      <c r="L26" s="29"/>
      <c r="M26" s="29"/>
      <c r="N26" s="29"/>
      <c r="O26" s="41">
        <f t="shared" si="0"/>
        <v>8300</v>
      </c>
      <c r="P26" s="29">
        <f t="shared" si="1"/>
        <v>913</v>
      </c>
      <c r="Q26" s="41"/>
      <c r="R26" s="29"/>
      <c r="S26" s="34">
        <f>+K26+M26+P26</f>
        <v>913</v>
      </c>
      <c r="T26" s="34">
        <f>+L26+N26+Q26</f>
        <v>0</v>
      </c>
      <c r="V26" s="42">
        <f t="shared" si="2"/>
        <v>2288.5</v>
      </c>
    </row>
    <row r="27" spans="1:22" ht="18.75">
      <c r="A27" s="55" t="s">
        <v>59</v>
      </c>
      <c r="B27" s="56"/>
      <c r="C27" s="57"/>
      <c r="G27" s="35"/>
      <c r="H27" s="35"/>
      <c r="J27" s="8">
        <v>20</v>
      </c>
      <c r="K27" s="29"/>
      <c r="L27" s="29"/>
      <c r="M27" s="29"/>
      <c r="N27" s="29"/>
      <c r="O27" s="41">
        <f t="shared" si="0"/>
        <v>8300</v>
      </c>
      <c r="P27" s="29">
        <f>+O27*$B$6</f>
        <v>913</v>
      </c>
      <c r="Q27" s="41"/>
      <c r="R27" s="29"/>
      <c r="S27" s="34">
        <f>+K27+M27+P27</f>
        <v>913</v>
      </c>
      <c r="T27" s="34">
        <f>+L27+N27+Q27</f>
        <v>0</v>
      </c>
      <c r="V27" s="42">
        <f t="shared" si="2"/>
        <v>3201.5</v>
      </c>
    </row>
    <row r="28" spans="1:22">
      <c r="A28" s="71" t="s">
        <v>170</v>
      </c>
      <c r="B28" s="67">
        <v>2.9</v>
      </c>
      <c r="C28" s="8" t="s">
        <v>171</v>
      </c>
      <c r="F28" s="19" t="s">
        <v>49</v>
      </c>
      <c r="G28" s="29">
        <f>+G24+G22+G20+G18+G10</f>
        <v>18260</v>
      </c>
      <c r="H28" s="29">
        <f t="shared" ref="H28" si="3">+H24+H22+H20+H18+H10</f>
        <v>13232.5</v>
      </c>
      <c r="J28" s="38" t="s">
        <v>50</v>
      </c>
      <c r="K28" s="29">
        <f>SUM(K8:K27)</f>
        <v>0</v>
      </c>
      <c r="L28" s="29">
        <f t="shared" ref="L28:R28" si="4">SUM(L8:L27)</f>
        <v>2500</v>
      </c>
      <c r="M28" s="29">
        <f t="shared" si="4"/>
        <v>0</v>
      </c>
      <c r="N28" s="29">
        <f t="shared" si="4"/>
        <v>0</v>
      </c>
      <c r="O28" s="41">
        <f>SUM(O8:O27)</f>
        <v>166000</v>
      </c>
      <c r="P28" s="29">
        <f t="shared" si="4"/>
        <v>18260</v>
      </c>
      <c r="Q28" s="41">
        <f t="shared" si="4"/>
        <v>0</v>
      </c>
      <c r="R28" s="29">
        <f t="shared" si="4"/>
        <v>0</v>
      </c>
      <c r="S28" s="35"/>
      <c r="T28" s="40"/>
    </row>
    <row r="29" spans="1:22">
      <c r="A29" s="71" t="s">
        <v>172</v>
      </c>
      <c r="B29" s="8">
        <v>5.25</v>
      </c>
      <c r="C29" s="8" t="s">
        <v>173</v>
      </c>
    </row>
    <row r="30" spans="1:22">
      <c r="A30" s="8" t="s">
        <v>174</v>
      </c>
      <c r="B30" s="58">
        <f>B29*1000</f>
        <v>5250</v>
      </c>
      <c r="C30" s="8" t="s">
        <v>175</v>
      </c>
    </row>
    <row r="31" spans="1:22">
      <c r="A31" s="71" t="s">
        <v>176</v>
      </c>
      <c r="B31" s="29">
        <f>+B30*B28</f>
        <v>15225</v>
      </c>
      <c r="C31" s="8" t="s">
        <v>120</v>
      </c>
    </row>
    <row r="32" spans="1:22">
      <c r="A32" s="71"/>
      <c r="B32" s="8"/>
      <c r="C32" s="8"/>
    </row>
    <row r="33" spans="1:8">
      <c r="A33" s="72" t="s">
        <v>177</v>
      </c>
      <c r="B33" s="58">
        <v>8300</v>
      </c>
      <c r="C33" s="8" t="s">
        <v>144</v>
      </c>
      <c r="F33" s="126" t="s">
        <v>51</v>
      </c>
      <c r="G33" s="127"/>
      <c r="H33" s="127"/>
    </row>
    <row r="34" spans="1:8">
      <c r="A34" s="71" t="s">
        <v>178</v>
      </c>
      <c r="B34" s="29">
        <v>75</v>
      </c>
      <c r="C34" s="8" t="s">
        <v>120</v>
      </c>
    </row>
    <row r="35" spans="1:8">
      <c r="A35" s="8"/>
      <c r="B35" s="8"/>
      <c r="C35" s="8"/>
      <c r="G35" s="26" t="str">
        <f>+G9</f>
        <v>Grid Connected Electricity</v>
      </c>
      <c r="H35" s="26" t="str">
        <f>+H9</f>
        <v>Solar PV System</v>
      </c>
    </row>
    <row r="36" spans="1:8">
      <c r="A36" s="71" t="s">
        <v>179</v>
      </c>
      <c r="B36" s="8">
        <v>0.3</v>
      </c>
      <c r="C36" s="8" t="s">
        <v>180</v>
      </c>
      <c r="F36" s="20" t="s">
        <v>34</v>
      </c>
      <c r="G36" s="28">
        <f>+G10</f>
        <v>0</v>
      </c>
      <c r="H36" s="28">
        <f t="shared" ref="H36" si="5">+H10</f>
        <v>10732.5</v>
      </c>
    </row>
    <row r="37" spans="1:8">
      <c r="A37" s="8" t="s">
        <v>181</v>
      </c>
      <c r="B37" s="61">
        <f>B36*B31</f>
        <v>4567.5</v>
      </c>
      <c r="C37" s="8" t="s">
        <v>120</v>
      </c>
      <c r="F37" s="8" t="s">
        <v>35</v>
      </c>
      <c r="G37" s="29"/>
      <c r="H37" s="29"/>
    </row>
    <row r="38" spans="1:8">
      <c r="A38" s="8" t="s">
        <v>182</v>
      </c>
      <c r="B38" s="29">
        <f>B31-B37</f>
        <v>10657.5</v>
      </c>
      <c r="C38" s="8" t="s">
        <v>120</v>
      </c>
      <c r="F38" s="8" t="s">
        <v>39</v>
      </c>
      <c r="G38" s="29"/>
      <c r="H38" s="29"/>
    </row>
    <row r="39" spans="1:8">
      <c r="A39" s="71"/>
      <c r="B39" s="58"/>
      <c r="C39" s="8"/>
      <c r="F39" s="8" t="s">
        <v>40</v>
      </c>
      <c r="G39" s="29"/>
      <c r="H39" s="29"/>
    </row>
    <row r="40" spans="1:8">
      <c r="A40" s="71"/>
      <c r="B40" s="58"/>
      <c r="C40" s="8"/>
      <c r="F40" s="8" t="s">
        <v>41</v>
      </c>
      <c r="G40" s="29"/>
      <c r="H40" s="29"/>
    </row>
    <row r="41" spans="1:8">
      <c r="A41" s="8"/>
      <c r="B41" s="8"/>
      <c r="C41" s="8"/>
      <c r="F41" s="8" t="s">
        <v>42</v>
      </c>
      <c r="G41" s="29"/>
      <c r="H41" s="29"/>
    </row>
    <row r="42" spans="1:8">
      <c r="A42" s="8"/>
      <c r="B42" s="58"/>
      <c r="C42" s="8"/>
      <c r="F42" s="8" t="s">
        <v>43</v>
      </c>
      <c r="G42" s="29"/>
      <c r="H42" s="29"/>
    </row>
    <row r="43" spans="1:8">
      <c r="A43" s="8"/>
      <c r="B43" s="8"/>
      <c r="C43" s="8"/>
      <c r="G43" s="30"/>
      <c r="H43" s="30"/>
    </row>
    <row r="44" spans="1:8">
      <c r="A44" s="71"/>
      <c r="B44" s="58"/>
      <c r="C44" s="8"/>
      <c r="F44" s="21" t="s">
        <v>44</v>
      </c>
      <c r="G44" s="31"/>
      <c r="H44" s="31"/>
    </row>
    <row r="45" spans="1:8">
      <c r="A45" s="71"/>
      <c r="B45" s="58"/>
      <c r="C45" s="8"/>
      <c r="G45" s="30"/>
      <c r="H45" s="30"/>
    </row>
    <row r="46" spans="1:8">
      <c r="A46" s="8"/>
      <c r="B46" s="67"/>
      <c r="C46" s="8"/>
      <c r="F46" s="22" t="s">
        <v>20</v>
      </c>
      <c r="G46" s="32"/>
      <c r="H46" s="32"/>
    </row>
    <row r="47" spans="1:8">
      <c r="A47" s="8"/>
      <c r="B47" s="8"/>
      <c r="C47" s="8"/>
      <c r="G47" s="30"/>
      <c r="H47" s="30"/>
    </row>
    <row r="48" spans="1:8">
      <c r="A48" s="8"/>
      <c r="B48" s="8"/>
      <c r="C48" s="8"/>
      <c r="F48" s="23" t="s">
        <v>45</v>
      </c>
      <c r="G48" s="33"/>
      <c r="H48" s="33"/>
    </row>
    <row r="49" spans="1:8">
      <c r="A49" s="8"/>
      <c r="B49" s="8"/>
      <c r="C49" s="8"/>
      <c r="G49" s="30"/>
      <c r="H49" s="30"/>
    </row>
    <row r="50" spans="1:8">
      <c r="F50" s="24" t="s">
        <v>46</v>
      </c>
      <c r="G50" s="34"/>
      <c r="H50" s="34"/>
    </row>
    <row r="51" spans="1:8">
      <c r="F51" s="8" t="s">
        <v>47</v>
      </c>
      <c r="G51" s="29"/>
      <c r="H51" s="29"/>
    </row>
    <row r="52" spans="1:8">
      <c r="F52" s="8" t="s">
        <v>48</v>
      </c>
      <c r="G52" s="29"/>
      <c r="H52" s="29"/>
    </row>
    <row r="53" spans="1:8">
      <c r="G53" s="35"/>
      <c r="H53" s="35"/>
    </row>
    <row r="54" spans="1:8">
      <c r="F54" s="19" t="s">
        <v>49</v>
      </c>
      <c r="G54" s="29">
        <f>+G50+G48+G46+G44+G36</f>
        <v>0</v>
      </c>
      <c r="H54" s="29">
        <f t="shared" ref="H54" si="6">+H50+H48+H46+H44+H36</f>
        <v>10732.5</v>
      </c>
    </row>
  </sheetData>
  <mergeCells count="9">
    <mergeCell ref="F33:H33"/>
    <mergeCell ref="K5:L6"/>
    <mergeCell ref="M5:N6"/>
    <mergeCell ref="O5:R5"/>
    <mergeCell ref="S5:T5"/>
    <mergeCell ref="O6:P6"/>
    <mergeCell ref="Q6:R6"/>
    <mergeCell ref="S6:T6"/>
    <mergeCell ref="F7:H7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3D7CA-8B8C-4622-9D72-F05A7BB031FB}">
  <dimension ref="A2:Y54"/>
  <sheetViews>
    <sheetView tabSelected="1" topLeftCell="U7" workbookViewId="0">
      <selection activeCell="Z9" sqref="Z9"/>
    </sheetView>
  </sheetViews>
  <sheetFormatPr defaultColWidth="11.42578125" defaultRowHeight="15"/>
  <cols>
    <col min="1" max="1" width="35.7109375" customWidth="1"/>
    <col min="2" max="2" width="14.7109375" bestFit="1" customWidth="1"/>
    <col min="3" max="3" width="18" customWidth="1"/>
    <col min="6" max="7" width="32" customWidth="1"/>
    <col min="8" max="8" width="16.7109375" customWidth="1"/>
    <col min="13" max="13" width="24.85546875" customWidth="1"/>
    <col min="14" max="16" width="24.7109375" customWidth="1"/>
    <col min="17" max="17" width="18.5703125" customWidth="1"/>
    <col min="18" max="18" width="21" customWidth="1"/>
    <col min="19" max="19" width="25" customWidth="1"/>
    <col min="21" max="21" width="19.140625" customWidth="1"/>
    <col min="22" max="22" width="24.85546875" customWidth="1"/>
    <col min="23" max="24" width="24" customWidth="1"/>
    <col min="25" max="25" width="34.28515625" customWidth="1"/>
  </cols>
  <sheetData>
    <row r="2" spans="1:25">
      <c r="M2" s="27" t="s">
        <v>13</v>
      </c>
    </row>
    <row r="4" spans="1:25" ht="21">
      <c r="A4" s="25" t="s">
        <v>14</v>
      </c>
      <c r="F4" s="27" t="s">
        <v>15</v>
      </c>
      <c r="G4" s="27"/>
      <c r="M4" s="39" t="s">
        <v>16</v>
      </c>
    </row>
    <row r="5" spans="1:25">
      <c r="A5" s="19" t="s">
        <v>17</v>
      </c>
      <c r="B5" s="8">
        <v>15</v>
      </c>
      <c r="F5" s="27" t="s">
        <v>18</v>
      </c>
      <c r="G5" s="27"/>
      <c r="M5" s="147" t="s">
        <v>19</v>
      </c>
      <c r="N5" s="149" t="s">
        <v>20</v>
      </c>
      <c r="O5" s="88"/>
      <c r="P5" s="88"/>
      <c r="Q5" s="88" t="s">
        <v>21</v>
      </c>
      <c r="R5" s="89"/>
      <c r="S5" s="48"/>
    </row>
    <row r="6" spans="1:25" ht="45.75" customHeight="1">
      <c r="A6" s="19" t="s">
        <v>22</v>
      </c>
      <c r="B6" s="11">
        <f>+'Energy Information'!$B$6</f>
        <v>0.11</v>
      </c>
      <c r="M6" s="148"/>
      <c r="N6" s="150"/>
      <c r="O6" s="142" t="str">
        <f>G9</f>
        <v>Current System (SEER 13 Air Condtioner &amp; 80 AFUE Furnance)</v>
      </c>
      <c r="P6" s="143"/>
      <c r="Q6" s="124" t="s">
        <v>183</v>
      </c>
      <c r="R6" s="125"/>
      <c r="S6" s="124" t="s">
        <v>184</v>
      </c>
      <c r="T6" s="125"/>
      <c r="U6" s="144" t="s">
        <v>27</v>
      </c>
      <c r="V6" s="145"/>
      <c r="W6" s="146"/>
      <c r="X6" s="115" t="s">
        <v>185</v>
      </c>
      <c r="Y6" s="116"/>
    </row>
    <row r="7" spans="1:25" ht="60.75">
      <c r="A7" s="19" t="s">
        <v>5</v>
      </c>
      <c r="B7" s="12">
        <f>+'Energy Information'!$B$7</f>
        <v>0</v>
      </c>
      <c r="F7" s="126" t="s">
        <v>29</v>
      </c>
      <c r="G7" s="127"/>
      <c r="H7" s="127"/>
      <c r="L7" s="19" t="s">
        <v>30</v>
      </c>
      <c r="M7" s="26" t="s">
        <v>186</v>
      </c>
      <c r="N7" s="26" t="s">
        <v>23</v>
      </c>
      <c r="O7" s="26" t="s">
        <v>31</v>
      </c>
      <c r="P7" s="26" t="s">
        <v>32</v>
      </c>
      <c r="Q7" s="26" t="s">
        <v>31</v>
      </c>
      <c r="R7" s="26" t="s">
        <v>32</v>
      </c>
      <c r="S7" s="26" t="s">
        <v>31</v>
      </c>
      <c r="T7" s="26" t="s">
        <v>32</v>
      </c>
      <c r="U7" s="43" t="str">
        <f>+O6</f>
        <v>Current System (SEER 13 Air Condtioner &amp; 80 AFUE Furnance)</v>
      </c>
      <c r="V7" s="26" t="s">
        <v>187</v>
      </c>
      <c r="W7" s="43" t="str">
        <f>+I9</f>
        <v>95 AFUE Furnance &amp; SEER2 16.2 Air Conditioner</v>
      </c>
      <c r="X7" s="43" t="s">
        <v>188</v>
      </c>
      <c r="Y7" s="43" t="str">
        <f>+W7</f>
        <v>95 AFUE Furnance &amp; SEER2 16.2 Air Conditioner</v>
      </c>
    </row>
    <row r="8" spans="1:25">
      <c r="A8" s="19" t="s">
        <v>33</v>
      </c>
      <c r="B8" s="13">
        <f>+'Energy Information'!$B$12</f>
        <v>1.4815</v>
      </c>
      <c r="L8" s="8">
        <v>1</v>
      </c>
      <c r="M8" s="29"/>
      <c r="N8" s="29"/>
      <c r="O8" s="114">
        <f>+$B$30+$B$39</f>
        <v>15201.28</v>
      </c>
      <c r="P8" s="29">
        <f>+O8*$B$6</f>
        <v>1672.1408000000001</v>
      </c>
      <c r="Q8" s="41">
        <f>+$B$46</f>
        <v>2195.5555555555557</v>
      </c>
      <c r="R8" s="29">
        <f>+Q8*$B$6</f>
        <v>241.51111111111112</v>
      </c>
      <c r="S8" s="46">
        <f>+$B$47</f>
        <v>4818.8235294117649</v>
      </c>
      <c r="T8" s="29">
        <f>+S8*$B$6</f>
        <v>530.07058823529417</v>
      </c>
      <c r="U8" s="29">
        <f>+P8</f>
        <v>1672.1408000000001</v>
      </c>
      <c r="V8" s="34">
        <f>+M8+N8+R8+T8</f>
        <v>771.58169934640523</v>
      </c>
      <c r="W8" s="34">
        <f>+Furnace!AF8+'Air Conditioner'!AA8</f>
        <v>907.10610006497723</v>
      </c>
      <c r="X8" s="73">
        <f>+(G10-H10)+($U$8-$V$8)</f>
        <v>-14439.440899346406</v>
      </c>
      <c r="Y8" s="73">
        <f>+(G10-I10)+($U$8-$W$8)</f>
        <v>-12984.965300064978</v>
      </c>
    </row>
    <row r="9" spans="1:25" ht="76.5">
      <c r="A9" s="19" t="s">
        <v>10</v>
      </c>
      <c r="B9" s="14">
        <f>+'Energy Information'!$B$13</f>
        <v>0</v>
      </c>
      <c r="G9" s="113" t="s">
        <v>189</v>
      </c>
      <c r="H9" s="94" t="s">
        <v>190</v>
      </c>
      <c r="I9" s="86" t="s">
        <v>191</v>
      </c>
      <c r="L9" s="8">
        <v>2</v>
      </c>
      <c r="M9" s="29"/>
      <c r="N9" s="29"/>
      <c r="O9" s="114">
        <f t="shared" ref="O9:O22" si="0">+$B$30+$B$39</f>
        <v>15201.28</v>
      </c>
      <c r="P9" s="29">
        <f t="shared" ref="P9:P22" si="1">+O9*$B$6</f>
        <v>1672.1408000000001</v>
      </c>
      <c r="Q9" s="41">
        <f t="shared" ref="Q9:Q22" si="2">+$B$46</f>
        <v>2195.5555555555557</v>
      </c>
      <c r="R9" s="29">
        <f t="shared" ref="R9:R22" si="3">+Q9*$B$6</f>
        <v>241.51111111111112</v>
      </c>
      <c r="S9" s="46">
        <f t="shared" ref="S9:S22" si="4">+$B$47</f>
        <v>4818.8235294117649</v>
      </c>
      <c r="T9" s="29">
        <f t="shared" ref="T9:T22" si="5">+S9*$B$6</f>
        <v>530.07058823529417</v>
      </c>
      <c r="U9" s="29">
        <f t="shared" ref="U9:U22" si="6">+P9</f>
        <v>1672.1408000000001</v>
      </c>
      <c r="V9" s="34">
        <f t="shared" ref="V9:V22" si="7">+M9+N9+R9+T9</f>
        <v>771.58169934640523</v>
      </c>
      <c r="W9" s="34">
        <f>+Furnace!AF9+'Air Conditioner'!AA9</f>
        <v>907.10610006497723</v>
      </c>
      <c r="X9" s="42">
        <f>+X8+(U9-V9)</f>
        <v>-13538.881798692812</v>
      </c>
      <c r="Y9" s="42">
        <f>+Y8+(U9-W9)</f>
        <v>-12219.930600129956</v>
      </c>
    </row>
    <row r="10" spans="1:25">
      <c r="F10" s="91" t="s">
        <v>34</v>
      </c>
      <c r="G10" s="107">
        <v>0</v>
      </c>
      <c r="H10" s="100">
        <f>SUM(H11:H16)</f>
        <v>15340</v>
      </c>
      <c r="I10" s="84">
        <f>+Furnace!H10+'Air Conditioner'!H10</f>
        <v>13750</v>
      </c>
      <c r="J10" s="87"/>
      <c r="L10" s="8">
        <v>3</v>
      </c>
      <c r="M10" s="29"/>
      <c r="N10" s="29"/>
      <c r="O10" s="114">
        <f t="shared" si="0"/>
        <v>15201.28</v>
      </c>
      <c r="P10" s="29">
        <f t="shared" si="1"/>
        <v>1672.1408000000001</v>
      </c>
      <c r="Q10" s="41">
        <f t="shared" si="2"/>
        <v>2195.5555555555557</v>
      </c>
      <c r="R10" s="29">
        <f t="shared" si="3"/>
        <v>241.51111111111112</v>
      </c>
      <c r="S10" s="46">
        <f t="shared" si="4"/>
        <v>4818.8235294117649</v>
      </c>
      <c r="T10" s="29">
        <f t="shared" si="5"/>
        <v>530.07058823529417</v>
      </c>
      <c r="U10" s="29">
        <f t="shared" si="6"/>
        <v>1672.1408000000001</v>
      </c>
      <c r="V10" s="34">
        <f t="shared" si="7"/>
        <v>771.58169934640523</v>
      </c>
      <c r="W10" s="34">
        <f>+Furnace!AF10+'Air Conditioner'!AA10</f>
        <v>907.10610006497723</v>
      </c>
      <c r="X10" s="42">
        <f t="shared" ref="X10:X22" si="8">+X9+(U10-V10)</f>
        <v>-12638.322698039217</v>
      </c>
      <c r="Y10" s="42">
        <f t="shared" ref="Y10:Y22" si="9">+Y9+(U10-W10)</f>
        <v>-11454.895900194933</v>
      </c>
    </row>
    <row r="11" spans="1:25">
      <c r="F11" s="92" t="s">
        <v>35</v>
      </c>
      <c r="G11" s="87">
        <v>0</v>
      </c>
      <c r="H11" s="101">
        <f>B13+B16+B17</f>
        <v>15990</v>
      </c>
      <c r="I11" s="87">
        <v>0</v>
      </c>
      <c r="L11" s="8">
        <v>4</v>
      </c>
      <c r="M11" s="29"/>
      <c r="N11" s="29"/>
      <c r="O11" s="114">
        <f t="shared" si="0"/>
        <v>15201.28</v>
      </c>
      <c r="P11" s="29">
        <f t="shared" si="1"/>
        <v>1672.1408000000001</v>
      </c>
      <c r="Q11" s="41">
        <f t="shared" si="2"/>
        <v>2195.5555555555557</v>
      </c>
      <c r="R11" s="29">
        <f t="shared" si="3"/>
        <v>241.51111111111112</v>
      </c>
      <c r="S11" s="46">
        <f t="shared" si="4"/>
        <v>4818.8235294117649</v>
      </c>
      <c r="T11" s="29">
        <f t="shared" si="5"/>
        <v>530.07058823529417</v>
      </c>
      <c r="U11" s="29">
        <f t="shared" si="6"/>
        <v>1672.1408000000001</v>
      </c>
      <c r="V11" s="34">
        <f t="shared" si="7"/>
        <v>771.58169934640523</v>
      </c>
      <c r="W11" s="34">
        <f>+Furnace!AF11+'Air Conditioner'!AA11</f>
        <v>907.10610006497723</v>
      </c>
      <c r="X11" s="42">
        <f t="shared" si="8"/>
        <v>-11737.763597385623</v>
      </c>
      <c r="Y11" s="42">
        <f t="shared" si="9"/>
        <v>-10689.861200259911</v>
      </c>
    </row>
    <row r="12" spans="1:25" ht="18.75">
      <c r="A12" s="36" t="s">
        <v>36</v>
      </c>
      <c r="B12" s="37" t="s">
        <v>37</v>
      </c>
      <c r="C12" s="26" t="s">
        <v>38</v>
      </c>
      <c r="F12" s="92" t="s">
        <v>39</v>
      </c>
      <c r="G12" s="87">
        <v>0</v>
      </c>
      <c r="H12" s="101">
        <f>B15+B14</f>
        <v>1350</v>
      </c>
      <c r="I12" s="87">
        <v>0</v>
      </c>
      <c r="L12" s="8">
        <v>5</v>
      </c>
      <c r="M12" s="29">
        <f>+B19</f>
        <v>2200</v>
      </c>
      <c r="N12" s="29"/>
      <c r="O12" s="114">
        <f t="shared" si="0"/>
        <v>15201.28</v>
      </c>
      <c r="P12" s="29">
        <f t="shared" si="1"/>
        <v>1672.1408000000001</v>
      </c>
      <c r="Q12" s="41">
        <f t="shared" si="2"/>
        <v>2195.5555555555557</v>
      </c>
      <c r="R12" s="29">
        <f t="shared" si="3"/>
        <v>241.51111111111112</v>
      </c>
      <c r="S12" s="46">
        <f t="shared" si="4"/>
        <v>4818.8235294117649</v>
      </c>
      <c r="T12" s="29">
        <f t="shared" si="5"/>
        <v>530.07058823529417</v>
      </c>
      <c r="U12" s="29">
        <f>+P12+M12</f>
        <v>3872.1408000000001</v>
      </c>
      <c r="V12" s="34">
        <f>+N12+N12+R12+T12</f>
        <v>771.58169934640523</v>
      </c>
      <c r="W12" s="34">
        <f>+Furnace!AF12+'Air Conditioner'!AA12</f>
        <v>907.10610006497723</v>
      </c>
      <c r="X12" s="42">
        <f>+X11+(U12-V12)</f>
        <v>-8637.2044967320289</v>
      </c>
      <c r="Y12" s="42">
        <f t="shared" si="9"/>
        <v>-7724.826500324888</v>
      </c>
    </row>
    <row r="13" spans="1:25">
      <c r="A13" s="8" t="s">
        <v>190</v>
      </c>
      <c r="B13" s="29">
        <v>15000</v>
      </c>
      <c r="C13" s="8">
        <v>1</v>
      </c>
      <c r="F13" s="93"/>
      <c r="G13" s="108">
        <v>0</v>
      </c>
      <c r="H13" s="101">
        <v>0</v>
      </c>
      <c r="I13" s="87">
        <v>0</v>
      </c>
      <c r="L13" s="8">
        <v>6</v>
      </c>
      <c r="M13" s="29"/>
      <c r="N13" s="29"/>
      <c r="O13" s="114">
        <f t="shared" si="0"/>
        <v>15201.28</v>
      </c>
      <c r="P13" s="29">
        <f t="shared" si="1"/>
        <v>1672.1408000000001</v>
      </c>
      <c r="Q13" s="41">
        <f t="shared" si="2"/>
        <v>2195.5555555555557</v>
      </c>
      <c r="R13" s="29">
        <f t="shared" si="3"/>
        <v>241.51111111111112</v>
      </c>
      <c r="S13" s="46">
        <f t="shared" si="4"/>
        <v>4818.8235294117649</v>
      </c>
      <c r="T13" s="29">
        <f t="shared" si="5"/>
        <v>530.07058823529417</v>
      </c>
      <c r="U13" s="29">
        <f t="shared" si="6"/>
        <v>1672.1408000000001</v>
      </c>
      <c r="V13" s="34">
        <f t="shared" si="7"/>
        <v>771.58169934640523</v>
      </c>
      <c r="W13" s="34">
        <f>+Furnace!AF13+'Air Conditioner'!AA13</f>
        <v>907.10610006497723</v>
      </c>
      <c r="X13" s="42">
        <f t="shared" si="8"/>
        <v>-7736.6453960784338</v>
      </c>
      <c r="Y13" s="42">
        <f t="shared" si="9"/>
        <v>-6959.7918003898649</v>
      </c>
    </row>
    <row r="14" spans="1:25">
      <c r="A14" s="8" t="s">
        <v>192</v>
      </c>
      <c r="B14" s="29">
        <v>700</v>
      </c>
      <c r="C14" s="8"/>
      <c r="F14" s="92"/>
      <c r="G14" s="87">
        <v>0</v>
      </c>
      <c r="H14" s="101">
        <v>0</v>
      </c>
      <c r="I14" s="87">
        <v>0</v>
      </c>
      <c r="L14" s="8">
        <v>7</v>
      </c>
      <c r="M14" s="29"/>
      <c r="N14" s="29"/>
      <c r="O14" s="114">
        <f t="shared" si="0"/>
        <v>15201.28</v>
      </c>
      <c r="P14" s="29">
        <f t="shared" si="1"/>
        <v>1672.1408000000001</v>
      </c>
      <c r="Q14" s="41">
        <f t="shared" si="2"/>
        <v>2195.5555555555557</v>
      </c>
      <c r="R14" s="29">
        <f t="shared" si="3"/>
        <v>241.51111111111112</v>
      </c>
      <c r="S14" s="46">
        <f t="shared" si="4"/>
        <v>4818.8235294117649</v>
      </c>
      <c r="T14" s="29">
        <f t="shared" si="5"/>
        <v>530.07058823529417</v>
      </c>
      <c r="U14" s="29">
        <f t="shared" si="6"/>
        <v>1672.1408000000001</v>
      </c>
      <c r="V14" s="34">
        <f t="shared" si="7"/>
        <v>771.58169934640523</v>
      </c>
      <c r="W14" s="34">
        <f>+Furnace!AF14+'Air Conditioner'!AA14</f>
        <v>907.10610006497723</v>
      </c>
      <c r="X14" s="42">
        <f t="shared" si="8"/>
        <v>-6836.0862954248387</v>
      </c>
      <c r="Y14" s="42">
        <f t="shared" si="9"/>
        <v>-6194.7571004548417</v>
      </c>
    </row>
    <row r="15" spans="1:25">
      <c r="A15" s="8" t="s">
        <v>193</v>
      </c>
      <c r="B15" s="29">
        <v>650</v>
      </c>
      <c r="C15" s="8">
        <v>1</v>
      </c>
      <c r="F15" s="92" t="s">
        <v>131</v>
      </c>
      <c r="G15" s="87">
        <v>0</v>
      </c>
      <c r="H15" s="101">
        <f>+B50</f>
        <v>-2000</v>
      </c>
      <c r="I15" s="87">
        <v>0</v>
      </c>
      <c r="L15" s="8">
        <v>8</v>
      </c>
      <c r="M15" s="29"/>
      <c r="N15" s="29"/>
      <c r="O15" s="114">
        <f t="shared" si="0"/>
        <v>15201.28</v>
      </c>
      <c r="P15" s="29">
        <f t="shared" si="1"/>
        <v>1672.1408000000001</v>
      </c>
      <c r="Q15" s="41">
        <f t="shared" si="2"/>
        <v>2195.5555555555557</v>
      </c>
      <c r="R15" s="29">
        <f t="shared" si="3"/>
        <v>241.51111111111112</v>
      </c>
      <c r="S15" s="46">
        <f t="shared" si="4"/>
        <v>4818.8235294117649</v>
      </c>
      <c r="T15" s="29">
        <f t="shared" si="5"/>
        <v>530.07058823529417</v>
      </c>
      <c r="U15" s="29">
        <f t="shared" si="6"/>
        <v>1672.1408000000001</v>
      </c>
      <c r="V15" s="34">
        <f t="shared" si="7"/>
        <v>771.58169934640523</v>
      </c>
      <c r="W15" s="34">
        <f>+Furnace!AF15+'Air Conditioner'!AA15</f>
        <v>907.10610006497723</v>
      </c>
      <c r="X15" s="42">
        <f t="shared" si="8"/>
        <v>-5935.5271947712436</v>
      </c>
      <c r="Y15" s="42">
        <f t="shared" si="9"/>
        <v>-5429.7224005198186</v>
      </c>
    </row>
    <row r="16" spans="1:25">
      <c r="A16" s="8" t="s">
        <v>194</v>
      </c>
      <c r="B16" s="29">
        <v>440</v>
      </c>
      <c r="C16" s="8">
        <v>1</v>
      </c>
      <c r="F16" s="92" t="s">
        <v>43</v>
      </c>
      <c r="G16" s="87"/>
      <c r="H16" s="101"/>
      <c r="I16" s="85"/>
      <c r="L16" s="8">
        <v>9</v>
      </c>
      <c r="M16" s="29"/>
      <c r="N16" s="29"/>
      <c r="O16" s="114">
        <f t="shared" si="0"/>
        <v>15201.28</v>
      </c>
      <c r="P16" s="29">
        <f t="shared" si="1"/>
        <v>1672.1408000000001</v>
      </c>
      <c r="Q16" s="41">
        <f t="shared" si="2"/>
        <v>2195.5555555555557</v>
      </c>
      <c r="R16" s="29">
        <f t="shared" si="3"/>
        <v>241.51111111111112</v>
      </c>
      <c r="S16" s="46">
        <f t="shared" si="4"/>
        <v>4818.8235294117649</v>
      </c>
      <c r="T16" s="29">
        <f t="shared" si="5"/>
        <v>530.07058823529417</v>
      </c>
      <c r="U16" s="29">
        <f t="shared" si="6"/>
        <v>1672.1408000000001</v>
      </c>
      <c r="V16" s="34">
        <f t="shared" si="7"/>
        <v>771.58169934640523</v>
      </c>
      <c r="W16" s="34">
        <f>+Furnace!AF16+'Air Conditioner'!AA16</f>
        <v>907.10610006497723</v>
      </c>
      <c r="X16" s="42">
        <f t="shared" si="8"/>
        <v>-5034.9680941176484</v>
      </c>
      <c r="Y16" s="42">
        <f t="shared" si="9"/>
        <v>-4664.6877005847955</v>
      </c>
    </row>
    <row r="17" spans="1:25">
      <c r="A17" s="8" t="s">
        <v>195</v>
      </c>
      <c r="B17" s="29">
        <v>550</v>
      </c>
      <c r="C17" s="8">
        <v>1</v>
      </c>
      <c r="G17" s="87"/>
      <c r="H17" s="30"/>
      <c r="L17" s="8">
        <v>10</v>
      </c>
      <c r="M17" s="29"/>
      <c r="N17" s="29"/>
      <c r="O17" s="114">
        <f t="shared" si="0"/>
        <v>15201.28</v>
      </c>
      <c r="P17" s="29">
        <f t="shared" si="1"/>
        <v>1672.1408000000001</v>
      </c>
      <c r="Q17" s="41">
        <f t="shared" si="2"/>
        <v>2195.5555555555557</v>
      </c>
      <c r="R17" s="29">
        <f t="shared" si="3"/>
        <v>241.51111111111112</v>
      </c>
      <c r="S17" s="46">
        <f t="shared" si="4"/>
        <v>4818.8235294117649</v>
      </c>
      <c r="T17" s="29">
        <f t="shared" si="5"/>
        <v>530.07058823529417</v>
      </c>
      <c r="U17" s="29">
        <f t="shared" si="6"/>
        <v>1672.1408000000001</v>
      </c>
      <c r="V17" s="34">
        <f t="shared" si="7"/>
        <v>771.58169934640523</v>
      </c>
      <c r="W17" s="34">
        <f>+Furnace!AF17+'Air Conditioner'!AA17</f>
        <v>907.10610006497723</v>
      </c>
      <c r="X17" s="42">
        <f t="shared" si="8"/>
        <v>-4134.4089934640533</v>
      </c>
      <c r="Y17" s="42">
        <f t="shared" si="9"/>
        <v>-3899.6530006497724</v>
      </c>
    </row>
    <row r="18" spans="1:25">
      <c r="A18" s="8"/>
      <c r="B18" s="29"/>
      <c r="C18" s="8"/>
      <c r="F18" s="95" t="s">
        <v>44</v>
      </c>
      <c r="G18" s="109">
        <f>+M28</f>
        <v>2200</v>
      </c>
      <c r="H18" s="102">
        <v>0</v>
      </c>
      <c r="I18" s="31">
        <f>+Furnace!H18+'Air Conditioner'!H18</f>
        <v>0</v>
      </c>
      <c r="L18" s="8">
        <v>11</v>
      </c>
      <c r="M18" s="29"/>
      <c r="N18" s="29"/>
      <c r="O18" s="114">
        <f t="shared" si="0"/>
        <v>15201.28</v>
      </c>
      <c r="P18" s="29">
        <f t="shared" si="1"/>
        <v>1672.1408000000001</v>
      </c>
      <c r="Q18" s="41">
        <f t="shared" si="2"/>
        <v>2195.5555555555557</v>
      </c>
      <c r="R18" s="29">
        <f t="shared" si="3"/>
        <v>241.51111111111112</v>
      </c>
      <c r="S18" s="46">
        <f t="shared" si="4"/>
        <v>4818.8235294117649</v>
      </c>
      <c r="T18" s="29">
        <f t="shared" si="5"/>
        <v>530.07058823529417</v>
      </c>
      <c r="U18" s="29">
        <f t="shared" si="6"/>
        <v>1672.1408000000001</v>
      </c>
      <c r="V18" s="34">
        <f t="shared" si="7"/>
        <v>771.58169934640523</v>
      </c>
      <c r="W18" s="34">
        <f>+Furnace!AF18+'Air Conditioner'!AA18</f>
        <v>907.10610006497723</v>
      </c>
      <c r="X18" s="42">
        <f t="shared" si="8"/>
        <v>-3233.8498928104582</v>
      </c>
      <c r="Y18" s="42">
        <f t="shared" si="9"/>
        <v>-3134.6183007147492</v>
      </c>
    </row>
    <row r="19" spans="1:25">
      <c r="A19" s="8" t="s">
        <v>196</v>
      </c>
      <c r="B19" s="29">
        <v>2200</v>
      </c>
      <c r="C19" s="8">
        <v>5</v>
      </c>
      <c r="G19" s="87"/>
      <c r="H19" s="30"/>
      <c r="L19" s="8">
        <v>12</v>
      </c>
      <c r="M19" s="29"/>
      <c r="N19" s="29"/>
      <c r="O19" s="114">
        <f t="shared" si="0"/>
        <v>15201.28</v>
      </c>
      <c r="P19" s="29">
        <f t="shared" si="1"/>
        <v>1672.1408000000001</v>
      </c>
      <c r="Q19" s="41">
        <f t="shared" si="2"/>
        <v>2195.5555555555557</v>
      </c>
      <c r="R19" s="29">
        <f t="shared" si="3"/>
        <v>241.51111111111112</v>
      </c>
      <c r="S19" s="46">
        <f t="shared" si="4"/>
        <v>4818.8235294117649</v>
      </c>
      <c r="T19" s="29">
        <f t="shared" si="5"/>
        <v>530.07058823529417</v>
      </c>
      <c r="U19" s="29">
        <f t="shared" si="6"/>
        <v>1672.1408000000001</v>
      </c>
      <c r="V19" s="34">
        <f t="shared" si="7"/>
        <v>771.58169934640523</v>
      </c>
      <c r="W19" s="34">
        <f>+Furnace!AF19+'Air Conditioner'!AA19</f>
        <v>907.10610006497723</v>
      </c>
      <c r="X19" s="42">
        <f t="shared" si="8"/>
        <v>-2333.2907921568631</v>
      </c>
      <c r="Y19" s="42">
        <f t="shared" si="9"/>
        <v>-2369.5836007797261</v>
      </c>
    </row>
    <row r="20" spans="1:25">
      <c r="A20" s="8"/>
      <c r="B20" s="29"/>
      <c r="C20" s="8"/>
      <c r="F20" s="96" t="s">
        <v>20</v>
      </c>
      <c r="G20" s="110">
        <v>0</v>
      </c>
      <c r="H20" s="103">
        <f>+N28</f>
        <v>0</v>
      </c>
      <c r="I20" s="32">
        <f>+Furnace!H20+'Air Conditioner'!H20</f>
        <v>0</v>
      </c>
      <c r="L20" s="8">
        <v>13</v>
      </c>
      <c r="M20" s="29"/>
      <c r="N20" s="29"/>
      <c r="O20" s="114">
        <f t="shared" si="0"/>
        <v>15201.28</v>
      </c>
      <c r="P20" s="29">
        <f t="shared" si="1"/>
        <v>1672.1408000000001</v>
      </c>
      <c r="Q20" s="41">
        <f t="shared" si="2"/>
        <v>2195.5555555555557</v>
      </c>
      <c r="R20" s="29">
        <f t="shared" si="3"/>
        <v>241.51111111111112</v>
      </c>
      <c r="S20" s="46">
        <f t="shared" si="4"/>
        <v>4818.8235294117649</v>
      </c>
      <c r="T20" s="29">
        <f t="shared" si="5"/>
        <v>530.07058823529417</v>
      </c>
      <c r="U20" s="29">
        <f t="shared" si="6"/>
        <v>1672.1408000000001</v>
      </c>
      <c r="V20" s="34">
        <f t="shared" si="7"/>
        <v>771.58169934640523</v>
      </c>
      <c r="W20" s="34">
        <f>+Furnace!AF20+'Air Conditioner'!AA20</f>
        <v>907.10610006497723</v>
      </c>
      <c r="X20" s="42">
        <f t="shared" si="8"/>
        <v>-1432.7316915032682</v>
      </c>
      <c r="Y20" s="42">
        <f t="shared" si="9"/>
        <v>-1604.5489008447032</v>
      </c>
    </row>
    <row r="21" spans="1:25">
      <c r="A21" s="8"/>
      <c r="B21" s="29"/>
      <c r="C21" s="8"/>
      <c r="G21" s="87"/>
      <c r="H21" s="30"/>
      <c r="L21" s="8">
        <v>14</v>
      </c>
      <c r="M21" s="29"/>
      <c r="N21" s="29"/>
      <c r="O21" s="114">
        <f t="shared" si="0"/>
        <v>15201.28</v>
      </c>
      <c r="P21" s="29">
        <f t="shared" si="1"/>
        <v>1672.1408000000001</v>
      </c>
      <c r="Q21" s="41">
        <f t="shared" si="2"/>
        <v>2195.5555555555557</v>
      </c>
      <c r="R21" s="29">
        <f t="shared" si="3"/>
        <v>241.51111111111112</v>
      </c>
      <c r="S21" s="46">
        <f t="shared" si="4"/>
        <v>4818.8235294117649</v>
      </c>
      <c r="T21" s="29">
        <f t="shared" si="5"/>
        <v>530.07058823529417</v>
      </c>
      <c r="U21" s="29">
        <f t="shared" si="6"/>
        <v>1672.1408000000001</v>
      </c>
      <c r="V21" s="34">
        <f t="shared" si="7"/>
        <v>771.58169934640523</v>
      </c>
      <c r="W21" s="34">
        <f>+Furnace!AF21+'Air Conditioner'!AA21</f>
        <v>907.10610006497723</v>
      </c>
      <c r="X21" s="42">
        <f t="shared" si="8"/>
        <v>-532.17259084967327</v>
      </c>
      <c r="Y21" s="42">
        <f t="shared" si="9"/>
        <v>-839.51420090968031</v>
      </c>
    </row>
    <row r="22" spans="1:25">
      <c r="A22" s="8"/>
      <c r="B22" s="29"/>
      <c r="C22" s="8"/>
      <c r="F22" s="97" t="s">
        <v>45</v>
      </c>
      <c r="G22" s="111">
        <f>+P28</f>
        <v>25082.112000000012</v>
      </c>
      <c r="H22" s="104">
        <f>+R28+T28</f>
        <v>11573.725490196077</v>
      </c>
      <c r="I22" s="33">
        <f>+Furnace!H22+'Air Conditioner'!H22</f>
        <v>13606.591500974659</v>
      </c>
      <c r="L22" s="8">
        <v>15</v>
      </c>
      <c r="M22" s="29"/>
      <c r="N22" s="29"/>
      <c r="O22" s="114">
        <f t="shared" si="0"/>
        <v>15201.28</v>
      </c>
      <c r="P22" s="29">
        <f t="shared" si="1"/>
        <v>1672.1408000000001</v>
      </c>
      <c r="Q22" s="41">
        <f t="shared" si="2"/>
        <v>2195.5555555555557</v>
      </c>
      <c r="R22" s="29">
        <f t="shared" si="3"/>
        <v>241.51111111111112</v>
      </c>
      <c r="S22" s="46">
        <f t="shared" si="4"/>
        <v>4818.8235294117649</v>
      </c>
      <c r="T22" s="29">
        <f t="shared" si="5"/>
        <v>530.07058823529417</v>
      </c>
      <c r="U22" s="29">
        <f t="shared" si="6"/>
        <v>1672.1408000000001</v>
      </c>
      <c r="V22" s="34">
        <f t="shared" si="7"/>
        <v>771.58169934640523</v>
      </c>
      <c r="W22" s="34">
        <f>+Furnace!AF22+'Air Conditioner'!AA22</f>
        <v>907.10610006497723</v>
      </c>
      <c r="X22" s="42">
        <f t="shared" si="8"/>
        <v>368.38650980392163</v>
      </c>
      <c r="Y22" s="42">
        <f t="shared" si="9"/>
        <v>-74.479500974657412</v>
      </c>
    </row>
    <row r="23" spans="1:25">
      <c r="A23" s="8"/>
      <c r="B23" s="29"/>
      <c r="C23" s="8"/>
      <c r="G23" s="87"/>
      <c r="H23" s="30"/>
      <c r="L23" s="8">
        <v>16</v>
      </c>
      <c r="M23" s="29"/>
      <c r="N23" s="29"/>
      <c r="O23" s="29"/>
      <c r="P23" s="29"/>
      <c r="Q23" s="41"/>
      <c r="R23" s="29"/>
      <c r="S23" s="29"/>
      <c r="T23" s="29"/>
      <c r="U23" s="29"/>
      <c r="V23" s="34">
        <f>+M23+N23+R23</f>
        <v>0</v>
      </c>
      <c r="W23" s="34">
        <f>+N23+Q23+S23</f>
        <v>0</v>
      </c>
      <c r="X23" s="34"/>
      <c r="Y23" s="42"/>
    </row>
    <row r="24" spans="1:25">
      <c r="A24" s="8"/>
      <c r="B24" s="29"/>
      <c r="C24" s="8"/>
      <c r="F24" s="98" t="s">
        <v>46</v>
      </c>
      <c r="G24" s="112"/>
      <c r="H24" s="105"/>
      <c r="I24" s="34"/>
      <c r="L24" s="8">
        <v>17</v>
      </c>
      <c r="M24" s="29"/>
      <c r="N24" s="29"/>
      <c r="O24" s="29"/>
      <c r="P24" s="29"/>
      <c r="Q24" s="41"/>
      <c r="R24" s="29"/>
      <c r="S24" s="29"/>
      <c r="T24" s="29"/>
      <c r="U24" s="29"/>
      <c r="V24" s="34">
        <f>+M24+N24+R24</f>
        <v>0</v>
      </c>
      <c r="W24" s="34">
        <f>+N24+Q24+S24</f>
        <v>0</v>
      </c>
      <c r="X24" s="34"/>
      <c r="Y24" s="42"/>
    </row>
    <row r="25" spans="1:25">
      <c r="A25" s="8"/>
      <c r="B25" s="29"/>
      <c r="C25" s="8"/>
      <c r="F25" s="92" t="s">
        <v>47</v>
      </c>
      <c r="G25" s="87"/>
      <c r="H25" s="106"/>
      <c r="I25" s="29"/>
      <c r="L25" s="8">
        <v>18</v>
      </c>
      <c r="M25" s="29"/>
      <c r="N25" s="29"/>
      <c r="O25" s="29"/>
      <c r="P25" s="29"/>
      <c r="Q25" s="41"/>
      <c r="R25" s="29"/>
      <c r="S25" s="29"/>
      <c r="T25" s="29"/>
      <c r="U25" s="29"/>
      <c r="V25" s="34">
        <f>+M25+N25+R25</f>
        <v>0</v>
      </c>
      <c r="W25" s="34">
        <f>+N25+Q25+S25</f>
        <v>0</v>
      </c>
      <c r="X25" s="34"/>
      <c r="Y25" s="42"/>
    </row>
    <row r="26" spans="1:25">
      <c r="F26" s="92" t="s">
        <v>48</v>
      </c>
      <c r="G26" s="87"/>
      <c r="H26" s="106"/>
      <c r="I26" s="29"/>
      <c r="L26" s="8">
        <v>19</v>
      </c>
      <c r="M26" s="29"/>
      <c r="N26" s="29"/>
      <c r="O26" s="29"/>
      <c r="P26" s="29"/>
      <c r="Q26" s="41"/>
      <c r="R26" s="29"/>
      <c r="S26" s="29"/>
      <c r="T26" s="29"/>
      <c r="U26" s="29"/>
      <c r="V26" s="34">
        <f>+M26+N26+R26</f>
        <v>0</v>
      </c>
      <c r="W26" s="34">
        <f>+N26+Q26+S26</f>
        <v>0</v>
      </c>
      <c r="X26" s="34"/>
      <c r="Y26" s="42"/>
    </row>
    <row r="27" spans="1:25">
      <c r="G27" s="87"/>
      <c r="H27" s="35"/>
      <c r="L27" s="8">
        <v>20</v>
      </c>
      <c r="M27" s="29"/>
      <c r="N27" s="29"/>
      <c r="O27" s="29"/>
      <c r="P27" s="29"/>
      <c r="Q27" s="41"/>
      <c r="R27" s="29"/>
      <c r="S27" s="29"/>
      <c r="T27" s="29"/>
      <c r="U27" s="29"/>
      <c r="V27" s="34">
        <f>+M27+N27+R27</f>
        <v>0</v>
      </c>
      <c r="W27" s="34">
        <f>+N27+Q27+S27</f>
        <v>0</v>
      </c>
      <c r="X27" s="34"/>
      <c r="Y27" s="42"/>
    </row>
    <row r="28" spans="1:25">
      <c r="F28" s="99" t="s">
        <v>49</v>
      </c>
      <c r="G28" s="106">
        <f t="shared" ref="G28:H28" si="10">+G24+G22+G20+G18+G10</f>
        <v>27282.112000000012</v>
      </c>
      <c r="H28" s="106">
        <f t="shared" si="10"/>
        <v>26913.725490196077</v>
      </c>
      <c r="I28" s="29">
        <f>+I24+I22+I20+I18+I10</f>
        <v>27356.59150097466</v>
      </c>
      <c r="L28" s="38" t="s">
        <v>50</v>
      </c>
      <c r="M28" s="29">
        <f>SUM(M8:M27)</f>
        <v>2200</v>
      </c>
      <c r="N28" s="29">
        <f t="shared" ref="N28:T28" si="11">SUM(N8:N27)</f>
        <v>0</v>
      </c>
      <c r="O28" s="114">
        <f>SUM(O8:O22)</f>
        <v>228019.20000000001</v>
      </c>
      <c r="P28" s="29">
        <f>SUM(P8:P22)</f>
        <v>25082.112000000012</v>
      </c>
      <c r="Q28" s="41">
        <f t="shared" si="11"/>
        <v>32933.333333333328</v>
      </c>
      <c r="R28" s="29">
        <f t="shared" si="11"/>
        <v>3622.6666666666661</v>
      </c>
      <c r="S28" s="41">
        <f t="shared" si="11"/>
        <v>72282.352941176461</v>
      </c>
      <c r="T28" s="29">
        <f t="shared" si="11"/>
        <v>7951.0588235294117</v>
      </c>
      <c r="U28" s="35"/>
      <c r="V28" s="74">
        <f>SUM(V8:V27)</f>
        <v>11573.725490196077</v>
      </c>
      <c r="W28" s="74">
        <f>SUM(W9:W27)</f>
        <v>12699.48540090968</v>
      </c>
      <c r="X28" s="74"/>
    </row>
    <row r="29" spans="1:25" ht="18.75">
      <c r="A29" s="55" t="s">
        <v>59</v>
      </c>
      <c r="B29" s="56"/>
      <c r="C29" s="57"/>
    </row>
    <row r="30" spans="1:25">
      <c r="A30" s="71" t="s">
        <v>132</v>
      </c>
      <c r="B30" s="58">
        <v>3200</v>
      </c>
      <c r="C30" s="8" t="s">
        <v>133</v>
      </c>
    </row>
    <row r="31" spans="1:25">
      <c r="A31" s="71" t="s">
        <v>134</v>
      </c>
      <c r="B31" s="8">
        <f>B30*1000</f>
        <v>3200000</v>
      </c>
      <c r="C31" s="8" t="s">
        <v>135</v>
      </c>
    </row>
    <row r="32" spans="1:25">
      <c r="A32" s="8"/>
      <c r="B32" s="58"/>
      <c r="C32" s="8"/>
    </row>
    <row r="33" spans="1:8">
      <c r="A33" s="71" t="s">
        <v>140</v>
      </c>
      <c r="B33" s="46">
        <f>13*0.95</f>
        <v>12.35</v>
      </c>
      <c r="C33" s="8" t="s">
        <v>137</v>
      </c>
      <c r="F33" s="126" t="s">
        <v>51</v>
      </c>
      <c r="G33" s="127"/>
      <c r="H33" s="127"/>
    </row>
    <row r="34" spans="1:8">
      <c r="A34" s="71"/>
      <c r="B34" s="8"/>
      <c r="C34" s="8"/>
    </row>
    <row r="35" spans="1:8" ht="30.75">
      <c r="A35" s="72" t="s">
        <v>141</v>
      </c>
      <c r="B35" s="76">
        <f>B31*B33</f>
        <v>39520000</v>
      </c>
      <c r="C35" s="8" t="s">
        <v>142</v>
      </c>
      <c r="H35" s="26" t="str">
        <f>+H9</f>
        <v>RHEEM RP18AZ</v>
      </c>
    </row>
    <row r="36" spans="1:8">
      <c r="A36" s="71"/>
      <c r="B36" s="46"/>
      <c r="C36" s="8"/>
      <c r="F36" s="20" t="s">
        <v>34</v>
      </c>
      <c r="G36" s="20"/>
      <c r="H36" s="28">
        <f t="shared" ref="H36" si="12">+H10</f>
        <v>15340</v>
      </c>
    </row>
    <row r="37" spans="1:8">
      <c r="A37" s="8" t="s">
        <v>60</v>
      </c>
      <c r="B37" s="58">
        <v>0.8</v>
      </c>
      <c r="C37" s="8" t="s">
        <v>61</v>
      </c>
      <c r="F37" s="8" t="s">
        <v>35</v>
      </c>
      <c r="G37" s="8"/>
      <c r="H37" s="29"/>
    </row>
    <row r="38" spans="1:8">
      <c r="A38" s="8" t="s">
        <v>63</v>
      </c>
      <c r="B38" s="8">
        <v>512</v>
      </c>
      <c r="C38" s="8" t="s">
        <v>64</v>
      </c>
      <c r="F38" s="8" t="s">
        <v>39</v>
      </c>
      <c r="G38" s="8"/>
      <c r="H38" s="29"/>
    </row>
    <row r="39" spans="1:8">
      <c r="A39" s="8" t="s">
        <v>197</v>
      </c>
      <c r="B39" s="114">
        <f>409.6*29.3</f>
        <v>12001.28</v>
      </c>
      <c r="C39" s="8" t="s">
        <v>198</v>
      </c>
      <c r="F39" s="8" t="s">
        <v>40</v>
      </c>
      <c r="G39" s="8"/>
      <c r="H39" s="29"/>
    </row>
    <row r="40" spans="1:8">
      <c r="A40" s="8" t="s">
        <v>199</v>
      </c>
      <c r="B40" s="46">
        <f>B38*B37</f>
        <v>409.6</v>
      </c>
      <c r="C40" s="8" t="s">
        <v>161</v>
      </c>
      <c r="F40" s="8" t="s">
        <v>41</v>
      </c>
      <c r="G40" s="8"/>
      <c r="H40" s="29"/>
    </row>
    <row r="41" spans="1:8">
      <c r="A41" s="71" t="s">
        <v>200</v>
      </c>
      <c r="B41" s="76">
        <f>+B40*100000</f>
        <v>40960000</v>
      </c>
      <c r="C41" s="8" t="s">
        <v>201</v>
      </c>
      <c r="F41" s="8" t="s">
        <v>42</v>
      </c>
      <c r="G41" s="8"/>
      <c r="H41" s="29"/>
    </row>
    <row r="42" spans="1:8">
      <c r="A42" s="71" t="s">
        <v>202</v>
      </c>
      <c r="B42" s="58">
        <f>+B40*29.3</f>
        <v>12001.28</v>
      </c>
      <c r="C42" s="8" t="s">
        <v>133</v>
      </c>
      <c r="F42" s="8" t="s">
        <v>43</v>
      </c>
      <c r="G42" s="8"/>
      <c r="H42" s="29"/>
    </row>
    <row r="43" spans="1:8">
      <c r="A43" s="8" t="s">
        <v>203</v>
      </c>
      <c r="B43" s="8">
        <v>18</v>
      </c>
      <c r="C43" s="8" t="s">
        <v>137</v>
      </c>
      <c r="H43" s="30"/>
    </row>
    <row r="44" spans="1:8">
      <c r="A44" s="8" t="s">
        <v>204</v>
      </c>
      <c r="B44" s="58">
        <v>8.5</v>
      </c>
      <c r="C44" s="8" t="s">
        <v>205</v>
      </c>
      <c r="F44" s="21" t="s">
        <v>44</v>
      </c>
      <c r="G44" s="21"/>
      <c r="H44" s="31"/>
    </row>
    <row r="45" spans="1:8">
      <c r="A45" s="8"/>
      <c r="B45" s="8"/>
      <c r="C45" s="8"/>
      <c r="H45" s="30"/>
    </row>
    <row r="46" spans="1:8" ht="30.75">
      <c r="A46" s="71" t="s">
        <v>206</v>
      </c>
      <c r="B46" s="58">
        <f>+(B35/B43)/1000</f>
        <v>2195.5555555555557</v>
      </c>
      <c r="C46" s="8" t="s">
        <v>133</v>
      </c>
      <c r="F46" s="22" t="s">
        <v>20</v>
      </c>
      <c r="G46" s="22"/>
      <c r="H46" s="32"/>
    </row>
    <row r="47" spans="1:8" ht="30.75">
      <c r="A47" s="71" t="s">
        <v>207</v>
      </c>
      <c r="B47" s="58">
        <f>+(B41/B44)/1000</f>
        <v>4818.8235294117649</v>
      </c>
      <c r="C47" s="8" t="s">
        <v>133</v>
      </c>
      <c r="H47" s="30"/>
    </row>
    <row r="48" spans="1:8">
      <c r="A48" s="8" t="s">
        <v>208</v>
      </c>
      <c r="B48" s="67">
        <f>+B46+B47</f>
        <v>7014.3790849673205</v>
      </c>
      <c r="C48" s="8"/>
      <c r="F48" s="23" t="s">
        <v>45</v>
      </c>
      <c r="G48" s="23"/>
      <c r="H48" s="33"/>
    </row>
    <row r="49" spans="1:8">
      <c r="A49" s="8"/>
      <c r="B49" s="8"/>
      <c r="C49" s="8"/>
      <c r="H49" s="30"/>
    </row>
    <row r="50" spans="1:8">
      <c r="A50" s="8" t="s">
        <v>209</v>
      </c>
      <c r="B50" s="67">
        <v>-2000</v>
      </c>
      <c r="C50" s="8" t="s">
        <v>120</v>
      </c>
      <c r="F50" s="24" t="s">
        <v>46</v>
      </c>
      <c r="G50" s="24"/>
      <c r="H50" s="34"/>
    </row>
    <row r="51" spans="1:8">
      <c r="A51" s="8"/>
      <c r="B51" s="8"/>
      <c r="C51" s="8"/>
      <c r="F51" s="8" t="s">
        <v>47</v>
      </c>
      <c r="G51" s="8"/>
      <c r="H51" s="29"/>
    </row>
    <row r="52" spans="1:8">
      <c r="F52" s="8" t="s">
        <v>48</v>
      </c>
      <c r="G52" s="8"/>
      <c r="H52" s="29"/>
    </row>
    <row r="53" spans="1:8">
      <c r="H53" s="35"/>
    </row>
    <row r="54" spans="1:8">
      <c r="F54" s="19" t="s">
        <v>49</v>
      </c>
      <c r="G54" s="19"/>
      <c r="H54" s="29">
        <f>+H50+H48+H46+H44+H36</f>
        <v>15340</v>
      </c>
    </row>
  </sheetData>
  <mergeCells count="8">
    <mergeCell ref="S6:T6"/>
    <mergeCell ref="O6:P6"/>
    <mergeCell ref="U6:W6"/>
    <mergeCell ref="F7:H7"/>
    <mergeCell ref="F33:H33"/>
    <mergeCell ref="M5:M6"/>
    <mergeCell ref="N5:N6"/>
    <mergeCell ref="Q6:R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James Madison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Papadakis, Maria - papadamc</dc:creator>
  <cp:keywords/>
  <dc:description/>
  <cp:lastModifiedBy/>
  <cp:revision/>
  <dcterms:created xsi:type="dcterms:W3CDTF">2025-04-28T15:55:49Z</dcterms:created>
  <dcterms:modified xsi:type="dcterms:W3CDTF">2025-05-14T17:59:17Z</dcterms:modified>
  <cp:category/>
  <cp:contentStatus/>
</cp:coreProperties>
</file>