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esktop\"/>
    </mc:Choice>
  </mc:AlternateContent>
  <xr:revisionPtr revIDLastSave="0" documentId="13_ncr:1_{DB7146CF-B0EA-4913-9AC3-A2043AC31316}" xr6:coauthVersionLast="47" xr6:coauthVersionMax="47" xr10:uidLastSave="{00000000-0000-0000-0000-000000000000}"/>
  <bookViews>
    <workbookView xWindow="-108" yWindow="-108" windowWidth="23256" windowHeight="12456" xr2:uid="{57DC3790-A028-438D-9339-D5144E5658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13" i="1"/>
  <c r="L11" i="1"/>
  <c r="L19" i="1" s="1"/>
  <c r="L12" i="1"/>
  <c r="M23" i="1"/>
  <c r="P21" i="1"/>
  <c r="P23" i="1"/>
  <c r="P22" i="1"/>
  <c r="A19" i="1"/>
  <c r="L10" i="1" s="1"/>
  <c r="A15" i="1"/>
  <c r="L9" i="1" s="1"/>
  <c r="O14" i="1"/>
  <c r="N14" i="1"/>
  <c r="M14" i="1"/>
  <c r="A11" i="1"/>
  <c r="L8" i="1" s="1"/>
  <c r="I10" i="1"/>
  <c r="A7" i="1"/>
  <c r="J10" i="1"/>
  <c r="M15" i="1"/>
  <c r="N21" i="1"/>
  <c r="O21" i="1"/>
  <c r="Q21" i="1"/>
  <c r="R21" i="1"/>
  <c r="M21" i="1"/>
  <c r="R20" i="1"/>
  <c r="Q20" i="1"/>
  <c r="AA13" i="1"/>
  <c r="P20" i="1"/>
  <c r="O20" i="1"/>
  <c r="N20" i="1"/>
  <c r="M20" i="1"/>
  <c r="R19" i="1"/>
  <c r="Q19" i="1"/>
  <c r="P19" i="1"/>
  <c r="O19" i="1"/>
  <c r="N19" i="1"/>
  <c r="M19" i="1"/>
  <c r="O23" i="1"/>
  <c r="O22" i="1"/>
  <c r="L20" i="1"/>
  <c r="L14" i="1"/>
  <c r="O13" i="1"/>
  <c r="Q18" i="1"/>
  <c r="R18" i="1"/>
  <c r="P18" i="1"/>
  <c r="O18" i="1"/>
  <c r="N18" i="1"/>
  <c r="M18" i="1"/>
  <c r="R13" i="1"/>
  <c r="U13" i="1"/>
  <c r="X13" i="1"/>
  <c r="AD13" i="1"/>
  <c r="O7" i="1"/>
  <c r="I3" i="1"/>
  <c r="K3" i="1"/>
  <c r="J3" i="1"/>
  <c r="H3" i="1"/>
  <c r="G3" i="1"/>
  <c r="F3" i="1"/>
  <c r="E3" i="1"/>
  <c r="A5" i="1"/>
  <c r="L5" i="1" s="1"/>
  <c r="O6" i="1"/>
  <c r="M6" i="1"/>
  <c r="M5" i="1"/>
  <c r="O15" i="1"/>
  <c r="N15" i="1"/>
  <c r="AB10" i="1"/>
  <c r="AB9" i="1"/>
  <c r="AB8" i="1"/>
  <c r="AB7" i="1"/>
  <c r="AD7" i="1" s="1"/>
  <c r="AD10" i="1"/>
  <c r="AD9" i="1"/>
  <c r="AD8" i="1"/>
  <c r="AC8" i="1"/>
  <c r="Y10" i="1"/>
  <c r="Y9" i="1"/>
  <c r="Y8" i="1"/>
  <c r="Y7" i="1"/>
  <c r="AA7" i="1" s="1"/>
  <c r="AA10" i="1"/>
  <c r="Z10" i="1"/>
  <c r="Z9" i="1"/>
  <c r="AA8" i="1"/>
  <c r="V10" i="1"/>
  <c r="V9" i="1"/>
  <c r="V8" i="1"/>
  <c r="V7" i="1"/>
  <c r="X10" i="1"/>
  <c r="X9" i="1"/>
  <c r="X8" i="1"/>
  <c r="W8" i="1"/>
  <c r="X7" i="1"/>
  <c r="S10" i="1"/>
  <c r="S9" i="1"/>
  <c r="S8" i="1"/>
  <c r="S7" i="1"/>
  <c r="U7" i="1" s="1"/>
  <c r="U10" i="1"/>
  <c r="T9" i="1"/>
  <c r="U8" i="1"/>
  <c r="T8" i="1"/>
  <c r="R8" i="1"/>
  <c r="R7" i="1"/>
  <c r="Q10" i="1"/>
  <c r="Q9" i="1"/>
  <c r="Q8" i="1"/>
  <c r="Q7" i="1"/>
  <c r="P7" i="1"/>
  <c r="P10" i="1"/>
  <c r="P9" i="1"/>
  <c r="P8" i="1"/>
  <c r="R10" i="1"/>
  <c r="R9" i="1"/>
  <c r="O10" i="1"/>
  <c r="O9" i="1"/>
  <c r="O8" i="1"/>
  <c r="N8" i="1"/>
  <c r="N9" i="1"/>
  <c r="N10" i="1"/>
  <c r="N7" i="1"/>
  <c r="M10" i="1"/>
  <c r="M9" i="1"/>
  <c r="M8" i="1"/>
  <c r="M7" i="1"/>
  <c r="K2" i="1"/>
  <c r="J2" i="1"/>
  <c r="I2" i="1"/>
  <c r="H2" i="1"/>
  <c r="G2" i="1"/>
  <c r="F2" i="1"/>
  <c r="E2" i="1"/>
  <c r="B2" i="1"/>
  <c r="D2" i="1" s="1"/>
  <c r="R6" i="1"/>
  <c r="U6" i="1" s="1"/>
  <c r="X6" i="1" s="1"/>
  <c r="AA6" i="1" s="1"/>
  <c r="AD6" i="1" s="1"/>
  <c r="Q6" i="1"/>
  <c r="T6" i="1" s="1"/>
  <c r="W6" i="1" s="1"/>
  <c r="Z6" i="1" s="1"/>
  <c r="AC6" i="1" s="1"/>
  <c r="P6" i="1"/>
  <c r="S6" i="1" s="1"/>
  <c r="V6" i="1" s="1"/>
  <c r="Y6" i="1" s="1"/>
  <c r="AB6" i="1" s="1"/>
  <c r="S5" i="1"/>
  <c r="V5" i="1"/>
  <c r="Y5" i="1"/>
  <c r="AB5" i="1"/>
  <c r="P5" i="1"/>
  <c r="C22" i="1"/>
  <c r="D22" i="1"/>
  <c r="E22" i="1"/>
  <c r="F22" i="1"/>
  <c r="G22" i="1"/>
  <c r="B22" i="1"/>
  <c r="C18" i="1"/>
  <c r="D18" i="1"/>
  <c r="E18" i="1"/>
  <c r="F18" i="1"/>
  <c r="G18" i="1"/>
  <c r="B18" i="1"/>
  <c r="C14" i="1"/>
  <c r="D14" i="1"/>
  <c r="E14" i="1"/>
  <c r="F14" i="1"/>
  <c r="G14" i="1"/>
  <c r="B14" i="1"/>
  <c r="C10" i="1"/>
  <c r="D10" i="1"/>
  <c r="E10" i="1"/>
  <c r="F10" i="1"/>
  <c r="G10" i="1"/>
  <c r="B10" i="1"/>
  <c r="C7" i="1"/>
  <c r="AC7" i="1" l="1"/>
  <c r="AC10" i="1"/>
  <c r="AC9" i="1"/>
  <c r="AA9" i="1"/>
  <c r="Z8" i="1"/>
  <c r="Z7" i="1"/>
  <c r="W9" i="1"/>
  <c r="W7" i="1"/>
  <c r="W10" i="1"/>
  <c r="U9" i="1"/>
  <c r="T7" i="1"/>
  <c r="T10" i="1"/>
  <c r="L7" i="1"/>
</calcChain>
</file>

<file path=xl/sharedStrings.xml><?xml version="1.0" encoding="utf-8"?>
<sst xmlns="http://schemas.openxmlformats.org/spreadsheetml/2006/main" count="29" uniqueCount="28">
  <si>
    <t>h</t>
  </si>
  <si>
    <t>h₁</t>
  </si>
  <si>
    <t>h₂</t>
  </si>
  <si>
    <t>m</t>
  </si>
  <si>
    <t>l₁</t>
  </si>
  <si>
    <t>l₀</t>
  </si>
  <si>
    <t>b</t>
  </si>
  <si>
    <r>
      <t>m</t>
    </r>
    <r>
      <rPr>
        <vertAlign val="subscript"/>
        <sz val="11"/>
        <color theme="1"/>
        <rFont val="Cambria"/>
        <family val="1"/>
        <charset val="204"/>
      </rPr>
      <t>кар</t>
    </r>
  </si>
  <si>
    <r>
      <t>m</t>
    </r>
    <r>
      <rPr>
        <vertAlign val="subscript"/>
        <sz val="11"/>
        <color theme="1"/>
        <rFont val="Cambria"/>
        <family val="1"/>
        <charset val="204"/>
      </rPr>
      <t>ут</t>
    </r>
  </si>
  <si>
    <t>d</t>
  </si>
  <si>
    <t>буква</t>
  </si>
  <si>
    <t>зн-ие</t>
  </si>
  <si>
    <t>±</t>
  </si>
  <si>
    <t>1 риска</t>
  </si>
  <si>
    <t>2 риска</t>
  </si>
  <si>
    <t>3 риска</t>
  </si>
  <si>
    <t>4 риска</t>
  </si>
  <si>
    <t>5 риска</t>
  </si>
  <si>
    <t>6 риска</t>
  </si>
  <si>
    <t>Положение утяжелителей</t>
  </si>
  <si>
    <t>ε, рад/c</t>
  </si>
  <si>
    <t>м</t>
  </si>
  <si>
    <t>g</t>
  </si>
  <si>
    <r>
      <t>Δt</t>
    </r>
    <r>
      <rPr>
        <vertAlign val="subscript"/>
        <sz val="11"/>
        <color theme="1"/>
        <rFont val="Cambria"/>
        <family val="1"/>
        <charset val="204"/>
      </rPr>
      <t>m₁1</t>
    </r>
  </si>
  <si>
    <t>I₀</t>
  </si>
  <si>
    <t>формат</t>
  </si>
  <si>
    <t>0,0000</t>
  </si>
  <si>
    <r>
      <t>к</t>
    </r>
    <r>
      <rPr>
        <u/>
        <sz val="11"/>
        <color theme="1"/>
        <rFont val="Cambria"/>
        <family val="1"/>
        <charset val="204"/>
      </rPr>
      <t>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</si>
</sst>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vertAlign val="subscript"/>
      <sz val="11"/>
      <color theme="1"/>
      <name val="Cambria"/>
      <family val="1"/>
      <charset val="204"/>
    </font>
    <font>
      <sz val="8"/>
      <name val="Calibri"/>
      <family val="2"/>
      <charset val="204"/>
      <scheme val="minor"/>
    </font>
    <font>
      <u/>
      <sz val="11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2" fontId="1" fillId="0" borderId="0" xfId="0" applyNumberFormat="1" applyFont="1"/>
    <xf numFmtId="2" fontId="1" fillId="2" borderId="0" xfId="0" applyNumberFormat="1" applyFont="1" applyFill="1"/>
    <xf numFmtId="0" fontId="1" fillId="0" borderId="1" xfId="0" applyFont="1" applyBorder="1"/>
    <xf numFmtId="164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1" xfId="0" applyNumberFormat="1" applyFont="1" applyBorder="1"/>
    <xf numFmtId="165" fontId="1" fillId="0" borderId="0" xfId="0" applyNumberFormat="1" applyFont="1"/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/>
    <xf numFmtId="165" fontId="1" fillId="0" borderId="2" xfId="0" applyNumberFormat="1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1F25-ED56-4CF6-8F71-280F367C8093}">
  <dimension ref="A1:AD23"/>
  <sheetViews>
    <sheetView tabSelected="1" zoomScale="85" zoomScaleNormal="85" workbookViewId="0">
      <selection activeCell="Q22" sqref="Q22"/>
    </sheetView>
  </sheetViews>
  <sheetFormatPr defaultRowHeight="13.8" x14ac:dyDescent="0.25"/>
  <cols>
    <col min="1" max="1" width="17.109375" style="1" customWidth="1"/>
    <col min="2" max="8" width="8.88671875" style="1"/>
    <col min="9" max="9" width="10.5546875" style="1" customWidth="1"/>
    <col min="10" max="11" width="8.88671875" style="1"/>
    <col min="12" max="12" width="21.21875" style="1" customWidth="1"/>
    <col min="13" max="16384" width="8.88671875" style="1"/>
  </cols>
  <sheetData>
    <row r="1" spans="1:30" ht="16.2" x14ac:dyDescent="0.35">
      <c r="A1" s="1" t="s">
        <v>10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4</v>
      </c>
      <c r="K1" s="1" t="s">
        <v>6</v>
      </c>
      <c r="M1" s="1" t="s">
        <v>21</v>
      </c>
      <c r="N1" s="1" t="s">
        <v>22</v>
      </c>
      <c r="O1" s="1" t="s">
        <v>25</v>
      </c>
    </row>
    <row r="2" spans="1:30" x14ac:dyDescent="0.25">
      <c r="A2" s="1" t="s">
        <v>11</v>
      </c>
      <c r="B2" s="1">
        <f>700/1000</f>
        <v>0.7</v>
      </c>
      <c r="C2" s="1">
        <v>0</v>
      </c>
      <c r="D2" s="1">
        <f>B2-C2</f>
        <v>0.7</v>
      </c>
      <c r="E2" s="1">
        <f>220/1000</f>
        <v>0.22</v>
      </c>
      <c r="F2" s="1">
        <f>47/1000</f>
        <v>4.7E-2</v>
      </c>
      <c r="G2" s="1">
        <f>408/1000</f>
        <v>0.40799999999999997</v>
      </c>
      <c r="H2" s="1">
        <f>46/1000</f>
        <v>4.5999999999999999E-2</v>
      </c>
      <c r="I2" s="1">
        <f>25/1000</f>
        <v>2.5000000000000001E-2</v>
      </c>
      <c r="J2" s="1">
        <f>57/1000</f>
        <v>5.7000000000000002E-2</v>
      </c>
      <c r="K2" s="1">
        <f>40/1000</f>
        <v>0.04</v>
      </c>
      <c r="M2" s="1" t="s">
        <v>27</v>
      </c>
      <c r="N2" s="1">
        <v>9.81</v>
      </c>
      <c r="O2" s="21" t="s">
        <v>26</v>
      </c>
    </row>
    <row r="3" spans="1:30" x14ac:dyDescent="0.25">
      <c r="A3" s="1" t="s">
        <v>12</v>
      </c>
      <c r="E3" s="1">
        <f>0.5/1000</f>
        <v>5.0000000000000001E-4</v>
      </c>
      <c r="F3" s="1">
        <f>0.5/1000</f>
        <v>5.0000000000000001E-4</v>
      </c>
      <c r="G3" s="1">
        <f>0.5/1000</f>
        <v>5.0000000000000001E-4</v>
      </c>
      <c r="H3" s="1">
        <f>0.5/1000</f>
        <v>5.0000000000000001E-4</v>
      </c>
      <c r="I3" s="1">
        <f>0.2/1000</f>
        <v>2.0000000000000001E-4</v>
      </c>
      <c r="J3" s="1">
        <f>0.5/1000</f>
        <v>5.0000000000000001E-4</v>
      </c>
      <c r="K3" s="1">
        <f>0.5/1000</f>
        <v>5.0000000000000001E-4</v>
      </c>
    </row>
    <row r="5" spans="1:30" x14ac:dyDescent="0.25">
      <c r="A5" s="12" t="str">
        <f>_xlfn.CONCAT("Масса груза, ", M2)</f>
        <v>Масса груза, кг</v>
      </c>
      <c r="B5" s="10" t="s">
        <v>19</v>
      </c>
      <c r="C5" s="10"/>
      <c r="D5" s="10"/>
      <c r="E5" s="10"/>
      <c r="F5" s="10"/>
      <c r="G5" s="10"/>
      <c r="L5" s="12" t="str">
        <f>A5</f>
        <v>Масса груза, кг</v>
      </c>
      <c r="M5" s="10" t="str">
        <f>B6</f>
        <v>1 риска</v>
      </c>
      <c r="N5" s="10"/>
      <c r="O5" s="11"/>
      <c r="P5" s="10" t="str">
        <f>C6</f>
        <v>2 риска</v>
      </c>
      <c r="Q5" s="10"/>
      <c r="R5" s="11"/>
      <c r="S5" s="10" t="str">
        <f>D6</f>
        <v>3 риска</v>
      </c>
      <c r="T5" s="10"/>
      <c r="U5" s="11"/>
      <c r="V5" s="10" t="str">
        <f>E6</f>
        <v>4 риска</v>
      </c>
      <c r="W5" s="10"/>
      <c r="X5" s="11"/>
      <c r="Y5" s="10" t="str">
        <f>F6</f>
        <v>5 риска</v>
      </c>
      <c r="Z5" s="10"/>
      <c r="AA5" s="11"/>
      <c r="AB5" s="10" t="str">
        <f>G6</f>
        <v>6 риска</v>
      </c>
      <c r="AC5" s="10"/>
      <c r="AD5" s="10"/>
    </row>
    <row r="6" spans="1:30" x14ac:dyDescent="0.25">
      <c r="A6" s="12"/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L6" s="12"/>
      <c r="M6" s="1" t="str">
        <f>_xlfn.CONCAT("a, ", M1, "/c²")</f>
        <v>a, м/c²</v>
      </c>
      <c r="N6" s="1" t="s">
        <v>20</v>
      </c>
      <c r="O6" s="6" t="str">
        <f>_xlfn.CONCAT("M, H·", M1)</f>
        <v>M, H·м</v>
      </c>
      <c r="P6" s="1" t="str">
        <f>M6</f>
        <v>a, м/c²</v>
      </c>
      <c r="Q6" s="1" t="str">
        <f>N6</f>
        <v>ε, рад/c</v>
      </c>
      <c r="R6" s="6" t="str">
        <f t="shared" ref="R6:AD6" si="0">O6</f>
        <v>M, H·м</v>
      </c>
      <c r="S6" s="1" t="str">
        <f t="shared" si="0"/>
        <v>a, м/c²</v>
      </c>
      <c r="T6" s="1" t="str">
        <f t="shared" si="0"/>
        <v>ε, рад/c</v>
      </c>
      <c r="U6" s="6" t="str">
        <f t="shared" si="0"/>
        <v>M, H·м</v>
      </c>
      <c r="V6" s="1" t="str">
        <f t="shared" si="0"/>
        <v>a, м/c²</v>
      </c>
      <c r="W6" s="1" t="str">
        <f t="shared" si="0"/>
        <v>ε, рад/c</v>
      </c>
      <c r="X6" s="6" t="str">
        <f t="shared" si="0"/>
        <v>M, H·м</v>
      </c>
      <c r="Y6" s="1" t="str">
        <f t="shared" si="0"/>
        <v>a, м/c²</v>
      </c>
      <c r="Z6" s="1" t="str">
        <f t="shared" si="0"/>
        <v>ε, рад/c</v>
      </c>
      <c r="AA6" s="6" t="str">
        <f t="shared" si="0"/>
        <v>M, H·м</v>
      </c>
      <c r="AB6" s="1" t="str">
        <f t="shared" si="0"/>
        <v>a, м/c²</v>
      </c>
      <c r="AC6" s="1" t="str">
        <f t="shared" si="0"/>
        <v>ε, рад/c</v>
      </c>
      <c r="AD6" s="1" t="str">
        <f t="shared" si="0"/>
        <v>M, H·м</v>
      </c>
    </row>
    <row r="7" spans="1:30" x14ac:dyDescent="0.25">
      <c r="A7" s="12" t="str">
        <f>_xlfn.CONCAT(TEXT(E2, $O$2), " ± ", TEXT(E3, $O$2))</f>
        <v>0,2200 ± 0,0005</v>
      </c>
      <c r="B7" s="1">
        <v>4.91</v>
      </c>
      <c r="C7" s="1">
        <f>5.55</f>
        <v>5.55</v>
      </c>
      <c r="D7" s="1">
        <v>6.62</v>
      </c>
      <c r="E7" s="1">
        <v>7.69</v>
      </c>
      <c r="F7" s="1">
        <v>8.64</v>
      </c>
      <c r="G7" s="4">
        <v>10.4</v>
      </c>
      <c r="L7" s="2" t="str">
        <f>A7</f>
        <v>0,2200 ± 0,0005</v>
      </c>
      <c r="M7" s="14">
        <f>2*$D$2/B10</f>
        <v>0.28532608695652173</v>
      </c>
      <c r="N7" s="14">
        <f>2*M7/$H$2</f>
        <v>12.405482041587902</v>
      </c>
      <c r="O7" s="13">
        <f>($F$2+$E$2)*$H$2*($N$2-M7)/2</f>
        <v>5.849102250000001E-2</v>
      </c>
      <c r="P7" s="14">
        <f>2*$D$2/C10</f>
        <v>0.25179856115107913</v>
      </c>
      <c r="Q7" s="14">
        <f>2*P7/$H$2</f>
        <v>10.947763528307789</v>
      </c>
      <c r="R7" s="13">
        <f>($F$2+$E$2)*$H$2*($N$2-P7)/2</f>
        <v>5.8696915035971235E-2</v>
      </c>
      <c r="S7" s="14">
        <f>2*$D$2/D10</f>
        <v>0.21042084168336672</v>
      </c>
      <c r="T7" s="14">
        <f>2*S7/$H$2</f>
        <v>9.1487322471029007</v>
      </c>
      <c r="U7" s="13">
        <f>($F$2+$E$2)*$H$2*($N$2-S7)/2</f>
        <v>5.895101561122245E-2</v>
      </c>
      <c r="V7" s="14">
        <f>2*$D$2/E10</f>
        <v>0.18372703412073491</v>
      </c>
      <c r="W7" s="14">
        <f>2*V7/$H$2</f>
        <v>7.9881319182928223</v>
      </c>
      <c r="X7" s="13">
        <f>($F$2+$E$2)*$H$2*($N$2-V7)/2</f>
        <v>5.9114942283464568E-2</v>
      </c>
      <c r="Y7" s="14">
        <f>2*$D$2/F10</f>
        <v>0.16272762495156914</v>
      </c>
      <c r="Z7" s="14">
        <f>2*Y7/$H$2</f>
        <v>7.0751141283290933</v>
      </c>
      <c r="AA7" s="13">
        <f>($F$2+$E$2)*$H$2*($N$2-Y7)/2</f>
        <v>5.9243899655172419E-2</v>
      </c>
      <c r="AB7" s="14">
        <f>2*$D$2/G10</f>
        <v>0.13329101872421453</v>
      </c>
      <c r="AC7" s="14">
        <f>2*AB7/$H$2</f>
        <v>5.7952616836615016</v>
      </c>
      <c r="AD7" s="13">
        <f>($F$2+$E$2)*$H$2*($N$2-AB7)/2</f>
        <v>5.9424669854014608E-2</v>
      </c>
    </row>
    <row r="8" spans="1:30" x14ac:dyDescent="0.25">
      <c r="A8" s="12"/>
      <c r="B8" s="1">
        <v>4.92</v>
      </c>
      <c r="C8" s="1">
        <v>5.66</v>
      </c>
      <c r="D8" s="1">
        <v>6.66</v>
      </c>
      <c r="E8" s="1">
        <v>7.56</v>
      </c>
      <c r="F8" s="1">
        <v>8.5500000000000007</v>
      </c>
      <c r="G8" s="1">
        <v>10.54</v>
      </c>
      <c r="L8" s="2" t="str">
        <f>A11</f>
        <v>0,4400 ± 0,0010</v>
      </c>
      <c r="M8" s="14">
        <f>2*$D$2/B14</f>
        <v>0.39961941008563268</v>
      </c>
      <c r="N8" s="14">
        <f t="shared" ref="N8:N10" si="1">2*M8/$H$2</f>
        <v>17.374756960244898</v>
      </c>
      <c r="O8" s="13">
        <f>($F$2+2*$E$2)*$H$2*($N$2-M8)/2</f>
        <v>0.10540567298763083</v>
      </c>
      <c r="P8" s="14">
        <f>2*$D$2/C14</f>
        <v>0.34063260340632606</v>
      </c>
      <c r="Q8" s="14">
        <f>2*P8/$H$2</f>
        <v>14.810113191579394</v>
      </c>
      <c r="R8" s="13">
        <f>($F$2+2*$E$2)*$H$2*($N$2-P8)/2</f>
        <v>0.10606638420924575</v>
      </c>
      <c r="S8" s="14">
        <f>2*$D$2/D14</f>
        <v>0.29453015427769985</v>
      </c>
      <c r="T8" s="14">
        <f>2*S8/$H$2</f>
        <v>12.805658881639124</v>
      </c>
      <c r="U8" s="13">
        <f>($F$2+2*$E$2)*$H$2*($N$2-S8)/2</f>
        <v>0.10658277774193547</v>
      </c>
      <c r="V8" s="14">
        <f>2*$D$2/E14</f>
        <v>0.25846153846153841</v>
      </c>
      <c r="W8" s="14">
        <f>2*V8/$H$2</f>
        <v>11.237458193979931</v>
      </c>
      <c r="X8" s="13">
        <f>($F$2+2*$E$2)*$H$2*($N$2-V8)/2</f>
        <v>0.1069867823076923</v>
      </c>
      <c r="Y8" s="14">
        <f>2*$D$2/F14</f>
        <v>0.22047244094488186</v>
      </c>
      <c r="Z8" s="14">
        <f>2*Y8/$H$2</f>
        <v>9.585758301951385</v>
      </c>
      <c r="AA8" s="13">
        <f>($F$2+2*$E$2)*$H$2*($N$2-Y8)/2</f>
        <v>0.10741229818897638</v>
      </c>
      <c r="AB8" s="14">
        <f>2*$D$2/G14</f>
        <v>0.19571295433364397</v>
      </c>
      <c r="AC8" s="14">
        <f>2*AB8/$H$2</f>
        <v>8.5092588840714765</v>
      </c>
      <c r="AD8" s="13">
        <f>($F$2+2*$E$2)*$H$2*($N$2-AB8)/2</f>
        <v>0.10768962919850886</v>
      </c>
    </row>
    <row r="9" spans="1:30" x14ac:dyDescent="0.25">
      <c r="A9" s="12"/>
      <c r="B9" s="1">
        <v>4.8899999999999997</v>
      </c>
      <c r="C9" s="1">
        <v>5.47</v>
      </c>
      <c r="D9" s="1">
        <v>6.68</v>
      </c>
      <c r="E9" s="1">
        <v>7.61</v>
      </c>
      <c r="F9" s="1">
        <v>8.6199999999999992</v>
      </c>
      <c r="G9" s="1">
        <v>10.57</v>
      </c>
      <c r="L9" s="2" t="str">
        <f>A15</f>
        <v>0,6600 ± 0,0015</v>
      </c>
      <c r="M9" s="14">
        <f>2*$D$2/B18</f>
        <v>0.48667439165701037</v>
      </c>
      <c r="N9" s="14">
        <f t="shared" si="1"/>
        <v>21.159756159000452</v>
      </c>
      <c r="O9" s="13">
        <f>($F$2+3*$E$2)*$H$2*($N$2-M9)/2</f>
        <v>0.1516065977172654</v>
      </c>
      <c r="P9" s="14">
        <f>2*$D$2/C18</f>
        <v>0.40540540540540543</v>
      </c>
      <c r="Q9" s="14">
        <f>2*P9/$H$2</f>
        <v>17.626321974148063</v>
      </c>
      <c r="R9" s="13">
        <f>($F$2+3*$E$2)*$H$2*($N$2-P9)/2</f>
        <v>0.15292811270270273</v>
      </c>
      <c r="S9" s="14">
        <f>2*$D$2/D18</f>
        <v>0.3511705685618729</v>
      </c>
      <c r="T9" s="14">
        <f>2*S9/$H$2</f>
        <v>15.268285589646649</v>
      </c>
      <c r="U9" s="13">
        <f>($F$2+3*$E$2)*$H$2*($N$2-S9)/2</f>
        <v>0.15381002538461541</v>
      </c>
      <c r="V9" s="14">
        <f>2*$D$2/E18</f>
        <v>0.297661233167966</v>
      </c>
      <c r="W9" s="14">
        <f>2*V9/$H$2</f>
        <v>12.941792746433304</v>
      </c>
      <c r="X9" s="13">
        <f>($F$2+3*$E$2)*$H$2*($N$2-V9)/2</f>
        <v>0.15468014068745572</v>
      </c>
      <c r="Y9" s="14">
        <f>2*$D$2/F18</f>
        <v>0.26565464895635671</v>
      </c>
      <c r="Z9" s="14">
        <f>2*Y9/$H$2</f>
        <v>11.550202128537249</v>
      </c>
      <c r="AA9" s="13">
        <f>($F$2+3*$E$2)*$H$2*($N$2-Y9)/2</f>
        <v>0.15520059975332071</v>
      </c>
      <c r="AB9" s="14">
        <f>2*$D$2/G18</f>
        <v>0.24151811385853936</v>
      </c>
      <c r="AC9" s="14">
        <f>2*AB9/$H$2</f>
        <v>10.500787559066929</v>
      </c>
      <c r="AD9" s="13">
        <f>($F$2+3*$E$2)*$H$2*($N$2-AB9)/2</f>
        <v>0.1555930839505463</v>
      </c>
    </row>
    <row r="10" spans="1:30" ht="13.8" customHeight="1" x14ac:dyDescent="0.35">
      <c r="A10" s="12"/>
      <c r="B10" s="5">
        <f>AVERAGE(B7:B9)</f>
        <v>4.9066666666666663</v>
      </c>
      <c r="C10" s="3">
        <f t="shared" ref="C10:G10" si="2">AVERAGE(C7:C9)</f>
        <v>5.56</v>
      </c>
      <c r="D10" s="5">
        <f t="shared" si="2"/>
        <v>6.6533333333333333</v>
      </c>
      <c r="E10" s="3">
        <f t="shared" si="2"/>
        <v>7.62</v>
      </c>
      <c r="F10" s="5">
        <f t="shared" si="2"/>
        <v>8.6033333333333335</v>
      </c>
      <c r="G10" s="5">
        <f t="shared" si="2"/>
        <v>10.503333333333332</v>
      </c>
      <c r="H10" s="1" t="s">
        <v>23</v>
      </c>
      <c r="I10" s="9" t="str">
        <f>_xlfn.CONCAT("±", TEXT(J10, $O$2))</f>
        <v>±0,0005</v>
      </c>
      <c r="J10" s="1">
        <f>_xlfn.CONFIDENCE.T(0.95, _xlfn.STDEV.P(B7:B9), 3)</f>
        <v>5.0981274193458756E-4</v>
      </c>
      <c r="L10" s="16" t="str">
        <f>A19</f>
        <v>0,8800 ± 0,0020</v>
      </c>
      <c r="M10" s="17">
        <f>2*$D$2/B22</f>
        <v>0.53777208706786161</v>
      </c>
      <c r="N10" s="17">
        <f t="shared" si="1"/>
        <v>23.381395089907027</v>
      </c>
      <c r="O10" s="18">
        <f>($F$2+4*$E$2)*$H$2*($N$2-M10)/2</f>
        <v>0.19769317133162614</v>
      </c>
      <c r="P10" s="17">
        <f>2*$D$2/C22</f>
        <v>0.46770601336302886</v>
      </c>
      <c r="Q10" s="17">
        <f>2*P10/$H$2</f>
        <v>20.335044059262124</v>
      </c>
      <c r="R10" s="18">
        <f>($F$2+4*$E$2)*$H$2*($N$2-P10)/2</f>
        <v>0.19918705008908685</v>
      </c>
      <c r="S10" s="17">
        <f>2*$D$2/D22</f>
        <v>0.40501446480231429</v>
      </c>
      <c r="T10" s="17">
        <f>2*S10/$H$2</f>
        <v>17.609324556622362</v>
      </c>
      <c r="U10" s="18">
        <f>($F$2+4*$E$2)*$H$2*($N$2-S10)/2</f>
        <v>0.20052369659594987</v>
      </c>
      <c r="V10" s="17">
        <f>2*$D$2/E22</f>
        <v>0.34797017398508695</v>
      </c>
      <c r="W10" s="17">
        <f>2*V10/$H$2</f>
        <v>15.129137999351606</v>
      </c>
      <c r="X10" s="18">
        <f>($F$2+4*$E$2)*$H$2*($N$2-V10)/2</f>
        <v>0.20173993792046396</v>
      </c>
      <c r="Y10" s="17">
        <f>2*$D$2/F22</f>
        <v>0.31088082901554404</v>
      </c>
      <c r="Z10" s="17">
        <f>2*Y10/$H$2</f>
        <v>13.516557783284524</v>
      </c>
      <c r="AA10" s="18">
        <f>($F$2+4*$E$2)*$H$2*($N$2-Y10)/2</f>
        <v>0.20253071984455961</v>
      </c>
      <c r="AB10" s="17">
        <f>2*$D$2/G22</f>
        <v>0.27686222808174027</v>
      </c>
      <c r="AC10" s="17">
        <f>2*AB10/$H$2</f>
        <v>12.037488177466969</v>
      </c>
      <c r="AD10" s="18">
        <f>($F$2+4*$E$2)*$H$2*($N$2-AB10)/2</f>
        <v>0.20325603043506923</v>
      </c>
    </row>
    <row r="11" spans="1:30" ht="13.8" customHeight="1" x14ac:dyDescent="0.25">
      <c r="A11" s="12" t="str">
        <f>_xlfn.CONCAT(TEXT(2*E2, $O$2), " ± ", TEXT(2*E3, $O$2))</f>
        <v>0,4400 ± 0,0010</v>
      </c>
      <c r="B11" s="1">
        <v>3.49</v>
      </c>
      <c r="C11" s="1">
        <v>4.16</v>
      </c>
      <c r="D11" s="1">
        <v>4.74</v>
      </c>
      <c r="E11" s="1">
        <v>5.25</v>
      </c>
      <c r="F11" s="1">
        <v>6.28</v>
      </c>
      <c r="G11" s="1">
        <v>7.1</v>
      </c>
      <c r="I11" s="7"/>
      <c r="L11" s="8" t="str">
        <f>_xlfn.CONCAT("I, ", M2, "·", M1, "²")</f>
        <v>I, кг·м²</v>
      </c>
      <c r="M11" s="14"/>
      <c r="N11" s="14"/>
      <c r="O11" s="14">
        <v>1.2296E-2</v>
      </c>
      <c r="P11" s="14"/>
      <c r="Q11" s="14"/>
      <c r="R11" s="14">
        <v>1.5007E-2</v>
      </c>
      <c r="S11" s="14"/>
      <c r="T11" s="14"/>
      <c r="U11" s="14">
        <v>1.6744999999999999E-2</v>
      </c>
      <c r="V11" s="14"/>
      <c r="W11" s="14"/>
      <c r="X11" s="14">
        <v>2.0201E-2</v>
      </c>
      <c r="Y11" s="14"/>
      <c r="Z11" s="14"/>
      <c r="AA11" s="14">
        <v>2.2353999999999999E-2</v>
      </c>
      <c r="AB11" s="14"/>
      <c r="AC11" s="14"/>
      <c r="AD11" s="14">
        <v>2.2775E-2</v>
      </c>
    </row>
    <row r="12" spans="1:30" ht="13.8" customHeight="1" x14ac:dyDescent="0.35">
      <c r="A12" s="12"/>
      <c r="B12" s="1">
        <v>3.52</v>
      </c>
      <c r="C12" s="1">
        <v>4.0599999999999996</v>
      </c>
      <c r="D12" s="1">
        <v>4.7699999999999996</v>
      </c>
      <c r="E12" s="1">
        <v>5.58</v>
      </c>
      <c r="F12" s="1">
        <v>6.45</v>
      </c>
      <c r="G12" s="1">
        <v>7.21</v>
      </c>
      <c r="L12" s="8" t="str">
        <f>_xlfn.CONCAT("Mтр, H·", M1)</f>
        <v>Mтр, H·м</v>
      </c>
      <c r="M12" s="14"/>
      <c r="N12" s="14"/>
      <c r="O12" s="14">
        <v>-0.100163</v>
      </c>
      <c r="P12" s="14"/>
      <c r="Q12" s="14"/>
      <c r="R12" s="14">
        <v>-0.10983900000000001</v>
      </c>
      <c r="S12" s="14"/>
      <c r="T12" s="14"/>
      <c r="U12" s="14">
        <v>-9.9578E-2</v>
      </c>
      <c r="V12" s="14"/>
      <c r="W12" s="14"/>
      <c r="X12" s="14">
        <v>-0.10822900000000001</v>
      </c>
      <c r="Y12" s="14"/>
      <c r="Z12" s="14"/>
      <c r="AA12" s="14">
        <v>-0.10209600000000001</v>
      </c>
      <c r="AB12" s="14"/>
      <c r="AC12" s="14"/>
      <c r="AD12" s="14">
        <v>-7.8287999999999996E-2</v>
      </c>
    </row>
    <row r="13" spans="1:30" ht="13.8" customHeight="1" x14ac:dyDescent="0.25">
      <c r="A13" s="12"/>
      <c r="B13" s="1">
        <v>3.5</v>
      </c>
      <c r="C13" s="1">
        <v>4.1100000000000003</v>
      </c>
      <c r="D13" s="1">
        <v>4.75</v>
      </c>
      <c r="E13" s="1">
        <v>5.42</v>
      </c>
      <c r="F13" s="1">
        <v>6.32</v>
      </c>
      <c r="G13" s="1">
        <v>7.15</v>
      </c>
      <c r="L13" s="19" t="str">
        <f>_xlfn.CONCAT("R, ", M1)</f>
        <v>R, м</v>
      </c>
      <c r="M13" s="20"/>
      <c r="N13" s="20"/>
      <c r="O13" s="17">
        <f>$J$2+(VALUE(MID(M5,1,1))-1)*$I$2+$K$2/2</f>
        <v>7.6999999999999999E-2</v>
      </c>
      <c r="P13" s="14"/>
      <c r="Q13" s="14"/>
      <c r="R13" s="14">
        <f t="shared" ref="P13:AD13" si="3">$J$2+(VALUE(MID(P5,1,1))-1)*$I$2+$K$2/2</f>
        <v>0.10200000000000001</v>
      </c>
      <c r="S13" s="14"/>
      <c r="T13" s="14"/>
      <c r="U13" s="14">
        <f t="shared" si="3"/>
        <v>0.127</v>
      </c>
      <c r="V13" s="14"/>
      <c r="W13" s="14"/>
      <c r="X13" s="14">
        <f t="shared" si="3"/>
        <v>0.152</v>
      </c>
      <c r="Y13" s="14"/>
      <c r="Z13" s="14"/>
      <c r="AA13" s="14">
        <f t="shared" si="3"/>
        <v>0.17699999999999999</v>
      </c>
      <c r="AB13" s="14"/>
      <c r="AC13" s="14"/>
      <c r="AD13" s="14">
        <f t="shared" si="3"/>
        <v>0.20199999999999999</v>
      </c>
    </row>
    <row r="14" spans="1:30" ht="13.8" customHeight="1" x14ac:dyDescent="0.35">
      <c r="A14" s="12"/>
      <c r="B14" s="5">
        <f>AVERAGE(B11:B13)</f>
        <v>3.5033333333333334</v>
      </c>
      <c r="C14" s="5">
        <f t="shared" ref="C14:G14" si="4">AVERAGE(C11:C13)</f>
        <v>4.1099999999999994</v>
      </c>
      <c r="D14" s="5">
        <f t="shared" si="4"/>
        <v>4.753333333333333</v>
      </c>
      <c r="E14" s="5">
        <f t="shared" si="4"/>
        <v>5.416666666666667</v>
      </c>
      <c r="F14" s="5">
        <f t="shared" si="4"/>
        <v>6.3500000000000005</v>
      </c>
      <c r="G14" s="5">
        <f t="shared" si="4"/>
        <v>7.1533333333333333</v>
      </c>
      <c r="L14" s="8" t="str">
        <f>_xlfn.CONCAT("Δ", MID(M6,1,1), ", Δ", MID(N6,1,1), ", Δ", MID(O6,1,1))</f>
        <v>Δa, Δε, ΔM</v>
      </c>
      <c r="M14" s="8" t="str">
        <f>_xlfn.CONCAT("±", TEXT(M15, $O$2))</f>
        <v>±0,0033</v>
      </c>
      <c r="N14" s="8" t="str">
        <f>_xlfn.CONCAT("±", TEXT(N15, $O$2))</f>
        <v>±0,1417</v>
      </c>
      <c r="O14" s="8" t="str">
        <f>_xlfn.CONCAT("±", TEXT(O15, $O$2))</f>
        <v>±0,0018</v>
      </c>
    </row>
    <row r="15" spans="1:30" x14ac:dyDescent="0.25">
      <c r="A15" s="12" t="str">
        <f>_xlfn.CONCAT(TEXT(3*E2, $O$2), " ± ", TEXT(3*E3, $O$2))</f>
        <v>0,6600 ± 0,0015</v>
      </c>
      <c r="B15" s="1">
        <v>2.91</v>
      </c>
      <c r="C15" s="1">
        <v>3.4</v>
      </c>
      <c r="D15" s="1">
        <v>3.96</v>
      </c>
      <c r="E15" s="1">
        <v>4.75</v>
      </c>
      <c r="F15" s="1">
        <v>5.32</v>
      </c>
      <c r="G15" s="1">
        <v>5.78</v>
      </c>
      <c r="M15" s="1">
        <f>_xlfn.CONFIDENCE.T(0.95, _xlfn.STDEV.P(M7:M10), 4)</f>
        <v>3.2587988545990884E-3</v>
      </c>
      <c r="N15" s="1">
        <f>_xlfn.CONFIDENCE.T(0.95, _xlfn.STDEV.P(N7:N10), 4)</f>
        <v>0.14168690672169931</v>
      </c>
      <c r="O15" s="1">
        <f>_xlfn.CONFIDENCE.T(0.95, _xlfn.STDEV.P(O7:O10), 4)</f>
        <v>1.7653629747431728E-3</v>
      </c>
    </row>
    <row r="16" spans="1:30" x14ac:dyDescent="0.25">
      <c r="A16" s="12"/>
      <c r="B16" s="1">
        <v>2.87</v>
      </c>
      <c r="C16" s="1">
        <v>3.46</v>
      </c>
      <c r="D16" s="1">
        <v>4.07</v>
      </c>
      <c r="E16" s="1">
        <v>4.63</v>
      </c>
      <c r="F16" s="1">
        <v>5.25</v>
      </c>
      <c r="G16" s="1">
        <v>5.79</v>
      </c>
    </row>
    <row r="17" spans="1:30" x14ac:dyDescent="0.25">
      <c r="A17" s="12"/>
      <c r="B17" s="1">
        <v>2.85</v>
      </c>
      <c r="C17" s="1">
        <v>3.5</v>
      </c>
      <c r="D17" s="1">
        <v>3.93</v>
      </c>
      <c r="E17" s="1">
        <v>4.7300000000000004</v>
      </c>
      <c r="F17" s="1">
        <v>5.24</v>
      </c>
      <c r="G17" s="1">
        <v>5.82</v>
      </c>
    </row>
    <row r="18" spans="1:30" x14ac:dyDescent="0.25">
      <c r="A18" s="12"/>
      <c r="B18" s="5">
        <f>AVERAGE(B15:B17)</f>
        <v>2.8766666666666669</v>
      </c>
      <c r="C18" s="5">
        <f t="shared" ref="C18:G18" si="5">AVERAGE(C15:C17)</f>
        <v>3.4533333333333331</v>
      </c>
      <c r="D18" s="5">
        <f t="shared" si="5"/>
        <v>3.9866666666666668</v>
      </c>
      <c r="E18" s="5">
        <f t="shared" si="5"/>
        <v>4.7033333333333331</v>
      </c>
      <c r="F18" s="5">
        <f t="shared" si="5"/>
        <v>5.2700000000000005</v>
      </c>
      <c r="G18" s="5">
        <f t="shared" si="5"/>
        <v>5.7966666666666669</v>
      </c>
      <c r="M18" s="15" t="str">
        <f>M5</f>
        <v>1 риска</v>
      </c>
      <c r="N18" s="15" t="str">
        <f>P5</f>
        <v>2 риска</v>
      </c>
      <c r="O18" s="15" t="str">
        <f>S5</f>
        <v>3 риска</v>
      </c>
      <c r="P18" s="15" t="str">
        <f>V5</f>
        <v>4 риска</v>
      </c>
      <c r="Q18" s="15" t="str">
        <f>Y5</f>
        <v>5 риска</v>
      </c>
      <c r="R18" s="15" t="str">
        <f>AB5</f>
        <v>6 риска</v>
      </c>
      <c r="S18" s="15"/>
      <c r="AC18" s="15"/>
      <c r="AD18" s="15"/>
    </row>
    <row r="19" spans="1:30" x14ac:dyDescent="0.25">
      <c r="A19" s="10" t="str">
        <f>_xlfn.CONCAT(TEXT(4*E2, $O$2), " ± ", TEXT(4*E3, $O$2))</f>
        <v>0,8800 ± 0,0020</v>
      </c>
      <c r="B19" s="1">
        <v>2.56</v>
      </c>
      <c r="C19" s="1">
        <v>2.89</v>
      </c>
      <c r="D19" s="1">
        <v>3.43</v>
      </c>
      <c r="E19" s="1">
        <v>4.16</v>
      </c>
      <c r="F19" s="1">
        <v>4.51</v>
      </c>
      <c r="G19" s="1">
        <v>5.05</v>
      </c>
      <c r="L19" s="8" t="str">
        <f>L11</f>
        <v>I, кг·м²</v>
      </c>
      <c r="M19" s="14">
        <f>O11</f>
        <v>1.2296E-2</v>
      </c>
      <c r="N19" s="14">
        <f>R11</f>
        <v>1.5007E-2</v>
      </c>
      <c r="O19" s="14">
        <f>U11</f>
        <v>1.6744999999999999E-2</v>
      </c>
      <c r="P19" s="14">
        <f>X11</f>
        <v>2.0201E-2</v>
      </c>
      <c r="Q19" s="14">
        <f>AA11</f>
        <v>2.2353999999999999E-2</v>
      </c>
      <c r="R19" s="14">
        <f>AD11</f>
        <v>2.2775E-2</v>
      </c>
    </row>
    <row r="20" spans="1:30" x14ac:dyDescent="0.25">
      <c r="A20" s="10"/>
      <c r="B20" s="1">
        <v>2.64</v>
      </c>
      <c r="C20" s="1">
        <v>2.99</v>
      </c>
      <c r="D20" s="1">
        <v>3.49</v>
      </c>
      <c r="E20" s="1">
        <v>3.9</v>
      </c>
      <c r="F20" s="1">
        <v>4.5199999999999996</v>
      </c>
      <c r="G20" s="1">
        <v>5.03</v>
      </c>
      <c r="L20" s="8" t="str">
        <f>L13</f>
        <v>R, м</v>
      </c>
      <c r="M20" s="14">
        <f>O13</f>
        <v>7.6999999999999999E-2</v>
      </c>
      <c r="N20" s="14">
        <f>R13</f>
        <v>0.10200000000000001</v>
      </c>
      <c r="O20" s="14">
        <f>U13</f>
        <v>0.127</v>
      </c>
      <c r="P20" s="14">
        <f>X13</f>
        <v>0.152</v>
      </c>
      <c r="Q20" s="14">
        <f>AA13</f>
        <v>0.17699999999999999</v>
      </c>
      <c r="R20" s="14">
        <f>AD13</f>
        <v>0.20199999999999999</v>
      </c>
    </row>
    <row r="21" spans="1:30" x14ac:dyDescent="0.25">
      <c r="A21" s="10"/>
      <c r="B21" s="1">
        <v>2.61</v>
      </c>
      <c r="C21" s="1">
        <v>3.1</v>
      </c>
      <c r="D21" s="1">
        <v>3.45</v>
      </c>
      <c r="E21" s="1">
        <v>4.01</v>
      </c>
      <c r="F21" s="1">
        <v>4.4800000000000004</v>
      </c>
      <c r="G21" s="1">
        <v>5.09</v>
      </c>
      <c r="L21" s="19" t="str">
        <f>REPLACE(_xlfn.CONCAT(L13, "²"),1,1,"R²")</f>
        <v>R², м²</v>
      </c>
      <c r="M21" s="17">
        <f>M20^2</f>
        <v>5.9290000000000002E-3</v>
      </c>
      <c r="N21" s="17">
        <f t="shared" ref="N21:R21" si="6">N20^2</f>
        <v>1.0404000000000002E-2</v>
      </c>
      <c r="O21" s="17">
        <f t="shared" si="6"/>
        <v>1.6129000000000001E-2</v>
      </c>
      <c r="P21" s="17">
        <f>P20^2</f>
        <v>2.3104E-2</v>
      </c>
      <c r="Q21" s="17">
        <f t="shared" si="6"/>
        <v>3.1328999999999996E-2</v>
      </c>
      <c r="R21" s="17">
        <f t="shared" si="6"/>
        <v>4.0803999999999993E-2</v>
      </c>
    </row>
    <row r="22" spans="1:30" x14ac:dyDescent="0.25">
      <c r="A22" s="10"/>
      <c r="B22" s="5">
        <f>AVERAGE(B19:B21)</f>
        <v>2.6033333333333335</v>
      </c>
      <c r="C22" s="5">
        <f t="shared" ref="C22:G22" si="7">AVERAGE(C19:C21)</f>
        <v>2.9933333333333336</v>
      </c>
      <c r="D22" s="5">
        <f t="shared" si="7"/>
        <v>3.456666666666667</v>
      </c>
      <c r="E22" s="5">
        <f t="shared" si="7"/>
        <v>4.0233333333333334</v>
      </c>
      <c r="F22" s="5">
        <f t="shared" si="7"/>
        <v>4.503333333333333</v>
      </c>
      <c r="G22" s="5">
        <f t="shared" si="7"/>
        <v>5.0566666666666666</v>
      </c>
      <c r="L22" s="8" t="s">
        <v>24</v>
      </c>
      <c r="M22" s="1">
        <v>1.1653999999999999E-2</v>
      </c>
      <c r="O22" s="1" t="str">
        <f>_xlfn.CONCAT("Δ", L22)</f>
        <v>ΔI₀</v>
      </c>
      <c r="P22" s="8" t="str">
        <f>_xlfn.CONCAT("±", TEXT(Q22, $O$2))</f>
        <v>±0,0000</v>
      </c>
    </row>
    <row r="23" spans="1:30" ht="13.8" customHeight="1" x14ac:dyDescent="0.35">
      <c r="L23" s="8" t="s">
        <v>8</v>
      </c>
      <c r="M23" s="14">
        <f>0.308982/4</f>
        <v>7.7245499999999995E-2</v>
      </c>
      <c r="O23" s="1" t="str">
        <f>_xlfn.CONCAT("Δ", L23)</f>
        <v>Δmут</v>
      </c>
      <c r="P23" s="8" t="str">
        <f>_xlfn.CONCAT("±", TEXT(Q23, $O$2))</f>
        <v>±0,0000</v>
      </c>
    </row>
  </sheetData>
  <mergeCells count="13">
    <mergeCell ref="A19:A22"/>
    <mergeCell ref="A5:A6"/>
    <mergeCell ref="B5:G5"/>
    <mergeCell ref="A7:A10"/>
    <mergeCell ref="A11:A14"/>
    <mergeCell ref="A15:A18"/>
    <mergeCell ref="V5:X5"/>
    <mergeCell ref="Y5:AA5"/>
    <mergeCell ref="AB5:AD5"/>
    <mergeCell ref="L5:L6"/>
    <mergeCell ref="M5:O5"/>
    <mergeCell ref="P5:R5"/>
    <mergeCell ref="S5:U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Овчинников</dc:creator>
  <cp:lastModifiedBy>Павел Овчинников</cp:lastModifiedBy>
  <dcterms:created xsi:type="dcterms:W3CDTF">2023-03-15T16:39:11Z</dcterms:created>
  <dcterms:modified xsi:type="dcterms:W3CDTF">2023-03-17T11:30:17Z</dcterms:modified>
</cp:coreProperties>
</file>