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uitmo-my.sharepoint.com/personal/pavetranquil_niuitmo_ru/Documents/"/>
    </mc:Choice>
  </mc:AlternateContent>
  <xr:revisionPtr revIDLastSave="0" documentId="8_{C2233076-8808-4D58-AF7F-80E218EAE8EF}" xr6:coauthVersionLast="47" xr6:coauthVersionMax="47" xr10:uidLastSave="{00000000-0000-0000-0000-000000000000}"/>
  <bookViews>
    <workbookView xWindow="-108" yWindow="-108" windowWidth="23256" windowHeight="12456" xr2:uid="{57DC3790-A028-438D-9339-D5144E565875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3" i="1" l="1"/>
  <c r="L33" i="1"/>
  <c r="M33" i="1"/>
  <c r="N35" i="1"/>
  <c r="M35" i="1"/>
  <c r="M38" i="1" a="1"/>
  <c r="M38" i="1"/>
  <c r="P33" i="1"/>
  <c r="D38" i="1"/>
  <c r="G44" i="1"/>
  <c r="G45" i="1"/>
  <c r="R33" i="1"/>
  <c r="Q33" i="1"/>
  <c r="N33" i="1"/>
  <c r="M34" i="1" s="1"/>
  <c r="N34" i="1"/>
  <c r="P22" i="1"/>
  <c r="H41" i="1"/>
  <c r="J41" i="1"/>
  <c r="J40" i="1"/>
  <c r="H44" i="1"/>
  <c r="H43" i="1"/>
  <c r="H42" i="1"/>
  <c r="F44" i="1"/>
  <c r="F43" i="1"/>
  <c r="F42" i="1"/>
  <c r="G41" i="1"/>
  <c r="F41" i="1"/>
  <c r="G43" i="1"/>
  <c r="G42" i="1"/>
  <c r="F3" i="1"/>
  <c r="H2" i="1"/>
  <c r="M23" i="1"/>
  <c r="I11" i="1"/>
  <c r="I10" i="1" s="1"/>
  <c r="A5" i="1"/>
  <c r="M19" i="1"/>
  <c r="B18" i="1"/>
  <c r="C18" i="1"/>
  <c r="D18" i="1"/>
  <c r="E18" i="1"/>
  <c r="F18" i="1"/>
  <c r="G18" i="1"/>
  <c r="N19" i="1"/>
  <c r="O19" i="1"/>
  <c r="P19" i="1"/>
  <c r="Q19" i="1"/>
  <c r="R19" i="1"/>
  <c r="B22" i="1"/>
  <c r="C22" i="1"/>
  <c r="D22" i="1"/>
  <c r="E22" i="1"/>
  <c r="F22" i="1"/>
  <c r="G22" i="1"/>
  <c r="O22" i="1"/>
  <c r="L5" i="1"/>
  <c r="M5" i="1"/>
  <c r="M18" i="1" s="1"/>
  <c r="P5" i="1"/>
  <c r="N18" i="1" s="1"/>
  <c r="S5" i="1"/>
  <c r="O18" i="1" s="1"/>
  <c r="V5" i="1"/>
  <c r="Y5" i="1"/>
  <c r="Q18" i="1" s="1"/>
  <c r="AB5" i="1"/>
  <c r="R18" i="1" s="1"/>
  <c r="M6" i="1"/>
  <c r="O6" i="1"/>
  <c r="L14" i="1" s="1"/>
  <c r="P6" i="1"/>
  <c r="Q6" i="1"/>
  <c r="T6" i="1" s="1"/>
  <c r="W6" i="1" s="1"/>
  <c r="Z6" i="1" s="1"/>
  <c r="AC6" i="1" s="1"/>
  <c r="R6" i="1"/>
  <c r="U6" i="1" s="1"/>
  <c r="X6" i="1" s="1"/>
  <c r="AA6" i="1" s="1"/>
  <c r="AD6" i="1" s="1"/>
  <c r="S6" i="1"/>
  <c r="V6" i="1" s="1"/>
  <c r="Y6" i="1" s="1"/>
  <c r="AB6" i="1" s="1"/>
  <c r="C7" i="1"/>
  <c r="B10" i="1"/>
  <c r="C10" i="1"/>
  <c r="D10" i="1"/>
  <c r="E10" i="1"/>
  <c r="F10" i="1"/>
  <c r="G10" i="1"/>
  <c r="L11" i="1"/>
  <c r="L19" i="1" s="1"/>
  <c r="L12" i="1"/>
  <c r="L13" i="1"/>
  <c r="L21" i="1" s="1"/>
  <c r="B14" i="1"/>
  <c r="C14" i="1"/>
  <c r="D14" i="1"/>
  <c r="E14" i="1"/>
  <c r="F14" i="1"/>
  <c r="G14" i="1"/>
  <c r="O23" i="1"/>
  <c r="I3" i="1"/>
  <c r="K3" i="1"/>
  <c r="J3" i="1"/>
  <c r="H3" i="1"/>
  <c r="G3" i="1"/>
  <c r="E3" i="1"/>
  <c r="K2" i="1"/>
  <c r="J2" i="1"/>
  <c r="I2" i="1"/>
  <c r="G2" i="1"/>
  <c r="F2" i="1"/>
  <c r="E2" i="1"/>
  <c r="B2" i="1"/>
  <c r="D2" i="1" s="1"/>
  <c r="M8" i="1" l="1"/>
  <c r="M7" i="1"/>
  <c r="D28" i="1" a="1"/>
  <c r="D28" i="1" s="1"/>
  <c r="F28" i="1" s="1"/>
  <c r="G28" i="1" s="1"/>
  <c r="N7" i="1"/>
  <c r="E41" i="1" a="1"/>
  <c r="E41" i="1" s="1"/>
  <c r="M9" i="1"/>
  <c r="O7" i="1"/>
  <c r="AB10" i="1"/>
  <c r="AB9" i="1"/>
  <c r="AB8" i="1"/>
  <c r="AB7" i="1"/>
  <c r="Y10" i="1"/>
  <c r="Y9" i="1"/>
  <c r="Y8" i="1"/>
  <c r="Y7" i="1"/>
  <c r="V10" i="1"/>
  <c r="V9" i="1"/>
  <c r="V8" i="1"/>
  <c r="V7" i="1"/>
  <c r="S10" i="1"/>
  <c r="S9" i="1"/>
  <c r="S8" i="1"/>
  <c r="S7" i="1"/>
  <c r="P10" i="1"/>
  <c r="P9" i="1"/>
  <c r="P8" i="1"/>
  <c r="P7" i="1"/>
  <c r="M10" i="1"/>
  <c r="U9" i="1"/>
  <c r="O10" i="1"/>
  <c r="AD13" i="1"/>
  <c r="N10" i="1"/>
  <c r="T7" i="1"/>
  <c r="W7" i="1"/>
  <c r="AC7" i="1"/>
  <c r="T8" i="1"/>
  <c r="N9" i="1"/>
  <c r="Q9" i="1"/>
  <c r="T9" i="1"/>
  <c r="W9" i="1"/>
  <c r="T10" i="1"/>
  <c r="A19" i="1"/>
  <c r="L10" i="1" s="1"/>
  <c r="A7" i="1"/>
  <c r="L7" i="1" s="1"/>
  <c r="A11" i="1"/>
  <c r="L8" i="1" s="1"/>
  <c r="A15" i="1"/>
  <c r="L9" i="1" s="1"/>
  <c r="U7" i="1"/>
  <c r="AD7" i="1"/>
  <c r="O9" i="1"/>
  <c r="X9" i="1"/>
  <c r="U10" i="1"/>
  <c r="O13" i="1"/>
  <c r="M20" i="1" s="1"/>
  <c r="M21" i="1" s="1"/>
  <c r="R13" i="1"/>
  <c r="N20" i="1" s="1"/>
  <c r="N21" i="1" s="1"/>
  <c r="U13" i="1"/>
  <c r="O20" i="1" s="1"/>
  <c r="O21" i="1" s="1"/>
  <c r="AA13" i="1"/>
  <c r="Q20" i="1" s="1"/>
  <c r="Q21" i="1" s="1"/>
  <c r="R20" i="1"/>
  <c r="R21" i="1" s="1"/>
  <c r="X13" i="1"/>
  <c r="P20" i="1" s="1"/>
  <c r="P21" i="1" s="1"/>
  <c r="Z8" i="1"/>
  <c r="AA8" i="1"/>
  <c r="AC8" i="1"/>
  <c r="AD8" i="1"/>
  <c r="AC9" i="1"/>
  <c r="AD9" i="1"/>
  <c r="Z9" i="1"/>
  <c r="AA9" i="1"/>
  <c r="Q10" i="1"/>
  <c r="R10" i="1"/>
  <c r="Q8" i="1"/>
  <c r="R8" i="1"/>
  <c r="AD10" i="1"/>
  <c r="AC10" i="1"/>
  <c r="Z10" i="1"/>
  <c r="AA10" i="1"/>
  <c r="Q7" i="1"/>
  <c r="R7" i="1"/>
  <c r="W10" i="1"/>
  <c r="X10" i="1"/>
  <c r="W8" i="1"/>
  <c r="X8" i="1"/>
  <c r="O8" i="1"/>
  <c r="Z7" i="1"/>
  <c r="AA7" i="1"/>
  <c r="L20" i="1"/>
  <c r="P18" i="1"/>
  <c r="R9" i="1"/>
  <c r="U8" i="1"/>
  <c r="X7" i="1"/>
  <c r="K29" i="1" l="1"/>
  <c r="O15" i="1"/>
  <c r="M29" i="1"/>
  <c r="N8" i="1"/>
  <c r="M15" i="1"/>
  <c r="F45" i="1"/>
  <c r="N11" i="1"/>
  <c r="N15" i="1"/>
  <c r="N26" i="1" s="1"/>
  <c r="H32" i="1"/>
  <c r="L35" i="1"/>
  <c r="M14" i="1"/>
  <c r="N14" i="1"/>
  <c r="O14" i="1"/>
  <c r="D30" i="1" l="1" a="1"/>
  <c r="D30" i="1" s="1"/>
  <c r="F30" i="1" s="1"/>
  <c r="D32" i="1"/>
  <c r="L29" i="1"/>
  <c r="H45" i="1"/>
  <c r="J42" i="1" s="1"/>
  <c r="H36" i="1"/>
  <c r="H34" i="1"/>
  <c r="H35" i="1"/>
  <c r="H33" i="1"/>
  <c r="J33" i="1" s="1"/>
  <c r="J34" i="1" s="1"/>
  <c r="P35" i="1"/>
  <c r="R35" i="1"/>
  <c r="Q35" i="1"/>
  <c r="O35" i="1"/>
  <c r="M36" i="1"/>
  <c r="N36" i="1" s="1"/>
  <c r="P23" i="1" s="1"/>
  <c r="D33" i="1" l="1"/>
  <c r="D34" i="1"/>
  <c r="D35" i="1"/>
  <c r="D36" i="1"/>
  <c r="F33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<sst xmlns="http://schemas.openxmlformats.org/spreadsheetml/2006/main" count="44" uniqueCount="43">
  <si>
    <t>буква</t>
  </si>
  <si>
    <t>h₁</t>
  </si>
  <si>
    <t>h₂</t>
  </si>
  <si>
    <t>h</t>
  </si>
  <si>
    <t>m</t>
  </si>
  <si>
    <r>
      <t>m</t>
    </r>
    <r>
      <rPr>
        <vertAlign val="subscript"/>
        <sz val="11"/>
        <color theme="1"/>
        <rFont val="Cambria"/>
        <family val="1"/>
        <charset val="204"/>
      </rPr>
      <t>кар</t>
    </r>
  </si>
  <si>
    <r>
      <t>m</t>
    </r>
    <r>
      <rPr>
        <vertAlign val="subscript"/>
        <sz val="11"/>
        <color theme="1"/>
        <rFont val="Cambria"/>
        <family val="1"/>
        <charset val="204"/>
      </rPr>
      <t>ут</t>
    </r>
  </si>
  <si>
    <t>d</t>
  </si>
  <si>
    <t>l₀</t>
  </si>
  <si>
    <t>l₁</t>
  </si>
  <si>
    <t>b</t>
  </si>
  <si>
    <t>м</t>
  </si>
  <si>
    <t>g</t>
  </si>
  <si>
    <t>формат</t>
  </si>
  <si>
    <t>зн-ие</t>
  </si>
  <si>
    <r>
      <t>к</t>
    </r>
    <r>
      <rPr>
        <u/>
        <sz val="11"/>
        <color theme="1"/>
        <rFont val="Cambria"/>
        <family val="1"/>
        <charset val="204"/>
      </rPr>
      <t>г</t>
    </r>
  </si>
  <si>
    <t>0,0000</t>
  </si>
  <si>
    <t>±</t>
  </si>
  <si>
    <t>Положение утяжелителей</t>
  </si>
  <si>
    <t>1 риска</t>
  </si>
  <si>
    <t>2 риска</t>
  </si>
  <si>
    <t>3 риска</t>
  </si>
  <si>
    <t>4 риска</t>
  </si>
  <si>
    <t>5 риска</t>
  </si>
  <si>
    <t>6 риска</t>
  </si>
  <si>
    <t>delta_m</t>
  </si>
  <si>
    <t>ε, рад/c</t>
  </si>
  <si>
    <r>
      <t>Δt</t>
    </r>
    <r>
      <rPr>
        <vertAlign val="subscript"/>
        <sz val="11"/>
        <color theme="1"/>
        <rFont val="Cambria"/>
        <family val="1"/>
        <charset val="204"/>
      </rPr>
      <t>m₁1</t>
    </r>
  </si>
  <si>
    <t>погреха ебнутая =(</t>
  </si>
  <si>
    <t>I₀</t>
  </si>
  <si>
    <t>§</t>
  </si>
  <si>
    <t>=</t>
  </si>
  <si>
    <t>чек</t>
  </si>
  <si>
    <t>кс по альфа = 0.95 при n = 3</t>
  </si>
  <si>
    <t>result</t>
  </si>
  <si>
    <t>%</t>
  </si>
  <si>
    <t>delta_t</t>
  </si>
  <si>
    <t>delta_a</t>
  </si>
  <si>
    <t>delta_e</t>
  </si>
  <si>
    <t>delta_M</t>
  </si>
  <si>
    <t>a</t>
  </si>
  <si>
    <t>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</si>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</sst>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000"/>
    <numFmt numFmtId="166" formatCode="0.0000000000"/>
    <numFmt numFmtId="167" formatCode="0.000000"/>
    <numFmt numFmtId="168" formatCode="0.0000000000000000000000000E+00"/>
  </numFmts>
  <fonts count="8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vertAlign val="subscript"/>
      <sz val="11"/>
      <color theme="1"/>
      <name val="Cambria"/>
      <family val="1"/>
      <charset val="204"/>
    </font>
    <font>
      <sz val="8"/>
      <name val="Calibri"/>
      <family val="2"/>
      <charset val="204"/>
      <scheme val="minor"/>
    </font>
    <font>
      <u/>
      <sz val="11"/>
      <color theme="1"/>
      <name val="Cambria"/>
      <family val="1"/>
      <charset val="204"/>
    </font>
    <font>
      <sz val="11"/>
      <color theme="1"/>
      <name val="Cambria"/>
      <family val="1"/>
    </font>
    <font>
      <sz val="11"/>
      <color rgb="FF444444"/>
      <name val="Calibri"/>
      <charset val="1"/>
    </font>
    <font>
      <b/>
      <sz val="11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2" fontId="1" fillId="0" borderId="0" xfId="0" applyNumberFormat="1" applyFont="1"/>
    <xf numFmtId="2" fontId="1" fillId="2" borderId="0" xfId="0" applyNumberFormat="1" applyFont="1" applyFill="1"/>
    <xf numFmtId="0" fontId="1" fillId="0" borderId="1" xfId="0" applyFont="1" applyBorder="1"/>
    <xf numFmtId="0" fontId="1" fillId="0" borderId="0" xfId="0" applyFont="1" applyAlignment="1">
      <alignment horizontal="right"/>
    </xf>
    <xf numFmtId="165" fontId="1" fillId="0" borderId="1" xfId="0" applyNumberFormat="1" applyFont="1" applyBorder="1"/>
    <xf numFmtId="165" fontId="1" fillId="0" borderId="0" xfId="0" applyNumberFormat="1" applyFont="1"/>
    <xf numFmtId="0" fontId="1" fillId="0" borderId="3" xfId="0" applyFont="1" applyBorder="1" applyAlignment="1">
      <alignment horizontal="center"/>
    </xf>
    <xf numFmtId="165" fontId="1" fillId="0" borderId="3" xfId="0" applyNumberFormat="1" applyFont="1" applyBorder="1"/>
    <xf numFmtId="165" fontId="1" fillId="0" borderId="2" xfId="0" applyNumberFormat="1" applyFont="1" applyBorder="1"/>
    <xf numFmtId="0" fontId="1" fillId="0" borderId="3" xfId="0" applyFont="1" applyBorder="1" applyAlignment="1">
      <alignment horizontal="right"/>
    </xf>
    <xf numFmtId="0" fontId="1" fillId="0" borderId="3" xfId="0" applyFont="1" applyBorder="1"/>
    <xf numFmtId="49" fontId="1" fillId="0" borderId="0" xfId="0" applyNumberFormat="1" applyFont="1"/>
    <xf numFmtId="166" fontId="5" fillId="0" borderId="0" xfId="0" applyNumberFormat="1" applyFont="1"/>
    <xf numFmtId="166" fontId="1" fillId="0" borderId="0" xfId="0" applyNumberFormat="1" applyFont="1"/>
    <xf numFmtId="0" fontId="5" fillId="0" borderId="0" xfId="0" applyFont="1" applyAlignment="1">
      <alignment horizontal="right"/>
    </xf>
    <xf numFmtId="167" fontId="1" fillId="0" borderId="0" xfId="0" applyNumberFormat="1" applyFont="1"/>
    <xf numFmtId="164" fontId="1" fillId="0" borderId="0" xfId="0" applyNumberFormat="1" applyFon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3" borderId="0" xfId="0" applyFont="1" applyFill="1"/>
    <xf numFmtId="0" fontId="1" fillId="0" borderId="4" xfId="0" applyFont="1" applyBorder="1"/>
    <xf numFmtId="165" fontId="1" fillId="0" borderId="4" xfId="0" applyNumberFormat="1" applyFont="1" applyBorder="1"/>
    <xf numFmtId="165" fontId="1" fillId="4" borderId="4" xfId="0" applyNumberFormat="1" applyFont="1" applyFill="1" applyBorder="1"/>
    <xf numFmtId="168" fontId="1" fillId="0" borderId="0" xfId="0" applyNumberFormat="1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293484</xdr:colOff>
      <xdr:row>10</xdr:row>
      <xdr:rowOff>147359</xdr:rowOff>
    </xdr:from>
    <xdr:to>
      <xdr:col>10</xdr:col>
      <xdr:colOff>382680</xdr:colOff>
      <xdr:row>26</xdr:row>
      <xdr:rowOff>120017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DA3A98E7-620B-097C-D381-AF4AE96E4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LineDrawing trans="0" pencilSize="34"/>
                  </a14:imgEffect>
                  <a14:imgEffect>
                    <a14:sharpenSoften amount="100000"/>
                  </a14:imgEffect>
                  <a14:imgEffect>
                    <a14:brightnessContrast bright="-13000" contrast="100000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flipH="1">
          <a:off x="5113134" y="1890434"/>
          <a:ext cx="1975146" cy="2715858"/>
        </a:xfrm>
        <a:prstGeom prst="rect">
          <a:avLst/>
        </a:prstGeom>
        <a:effectLst>
          <a:softEdge rad="127000"/>
        </a:effectLst>
      </xdr:spPr>
    </xdr:pic>
    <xdr:clientData/>
  </xdr:twoCellAnchor>
  <xdr:twoCellAnchor editAs="oneCell">
    <xdr:from>
      <xdr:col>1</xdr:col>
      <xdr:colOff>161925</xdr:colOff>
      <xdr:row>45</xdr:row>
      <xdr:rowOff>104775</xdr:rowOff>
    </xdr:from>
    <xdr:to>
      <xdr:col>14</xdr:col>
      <xdr:colOff>304800</xdr:colOff>
      <xdr:row>49</xdr:row>
      <xdr:rowOff>114300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74B2D034-AF66-FED0-7D93-D894DC24C74E}"/>
            </a:ext>
            <a:ext uri="{147F2762-F138-4A5C-976F-8EAC2B608ADB}">
              <a16:predDERef xmlns:a16="http://schemas.microsoft.com/office/drawing/2014/main" pred="{DA3A98E7-620B-097C-D381-AF4AE96E4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4925" y="7867650"/>
          <a:ext cx="9658350" cy="704850"/>
        </a:xfrm>
        <a:prstGeom prst="rect">
          <a:avLst/>
        </a:prstGeom>
      </xdr:spPr>
    </xdr:pic>
    <xdr:clientData/>
  </xdr:twoCellAnchor>
  <xdr:twoCellAnchor editAs="oneCell">
    <xdr:from>
      <xdr:col>1</xdr:col>
      <xdr:colOff>180975</xdr:colOff>
      <xdr:row>50</xdr:row>
      <xdr:rowOff>66675</xdr:rowOff>
    </xdr:from>
    <xdr:to>
      <xdr:col>15</xdr:col>
      <xdr:colOff>552450</xdr:colOff>
      <xdr:row>54</xdr:row>
      <xdr:rowOff>104775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9F6F035-740F-17D3-D917-7AF8B87F25F6}"/>
            </a:ext>
            <a:ext uri="{147F2762-F138-4A5C-976F-8EAC2B608ADB}">
              <a16:predDERef xmlns:a16="http://schemas.microsoft.com/office/drawing/2014/main" pred="{74B2D034-AF66-FED0-7D93-D894DC24C7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23975" y="8696325"/>
          <a:ext cx="10858500" cy="72390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55</xdr:row>
      <xdr:rowOff>133350</xdr:rowOff>
    </xdr:from>
    <xdr:to>
      <xdr:col>15</xdr:col>
      <xdr:colOff>733425</xdr:colOff>
      <xdr:row>60</xdr:row>
      <xdr:rowOff>57150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0C1DB1BD-B77D-8EE9-2A38-20B9C1BF0ED5}"/>
            </a:ext>
            <a:ext uri="{147F2762-F138-4A5C-976F-8EAC2B608ADB}">
              <a16:predDERef xmlns:a16="http://schemas.microsoft.com/office/drawing/2014/main" pred="{09F6F035-740F-17D3-D917-7AF8B87F25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8725" y="9620250"/>
          <a:ext cx="11134725" cy="781050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61</xdr:row>
      <xdr:rowOff>57150</xdr:rowOff>
    </xdr:from>
    <xdr:to>
      <xdr:col>15</xdr:col>
      <xdr:colOff>314325</xdr:colOff>
      <xdr:row>66</xdr:row>
      <xdr:rowOff>95250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5B1A0BD-71F0-A59A-7875-A27DC0D70AD6}"/>
            </a:ext>
            <a:ext uri="{147F2762-F138-4A5C-976F-8EAC2B608ADB}">
              <a16:predDERef xmlns:a16="http://schemas.microsoft.com/office/drawing/2014/main" pred="{0C1DB1BD-B77D-8EE9-2A38-20B9C1BF0E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66850" y="10572750"/>
          <a:ext cx="10477500" cy="8953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1F25-ED56-4CF6-8F71-280F367C8093}">
  <dimension ref="A1:AD46"/>
  <sheetViews>
    <sheetView tabSelected="1" topLeftCell="J14" zoomScale="175" zoomScaleNormal="175" workbookViewId="0">
      <selection activeCell="O33" sqref="O33"/>
    </sheetView>
  </sheetViews>
  <sheetFormatPr defaultColWidth="8.85546875" defaultRowHeight="13.9"/>
  <cols>
    <col min="1" max="1" width="17.140625" style="1" customWidth="1"/>
    <col min="2" max="2" width="8.85546875" style="1"/>
    <col min="3" max="4" width="9.85546875" style="1" bestFit="1" customWidth="1"/>
    <col min="5" max="8" width="8.85546875" style="1"/>
    <col min="9" max="9" width="10.5703125" style="1" customWidth="1"/>
    <col min="10" max="11" width="8.85546875" style="1"/>
    <col min="12" max="12" width="21.28515625" style="1" customWidth="1"/>
    <col min="13" max="18" width="14.5703125" style="1" bestFit="1" customWidth="1"/>
    <col min="19" max="19" width="8.85546875" style="1"/>
    <col min="20" max="20" width="11.5703125" style="1" customWidth="1"/>
    <col min="21" max="16384" width="8.85546875" style="1"/>
  </cols>
  <sheetData>
    <row r="1" spans="1:30" ht="16.1499999999999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M1" s="1" t="s">
        <v>11</v>
      </c>
      <c r="N1" s="1" t="s">
        <v>12</v>
      </c>
      <c r="O1" s="1" t="s">
        <v>13</v>
      </c>
    </row>
    <row r="2" spans="1:30">
      <c r="A2" s="1" t="s">
        <v>14</v>
      </c>
      <c r="B2" s="1">
        <f>700/1000</f>
        <v>0.7</v>
      </c>
      <c r="C2" s="1">
        <v>0</v>
      </c>
      <c r="D2" s="1">
        <f>B2-C2</f>
        <v>0.7</v>
      </c>
      <c r="E2" s="1">
        <f>220/1000</f>
        <v>0.22</v>
      </c>
      <c r="F2" s="1">
        <f>47/1000</f>
        <v>4.7E-2</v>
      </c>
      <c r="G2" s="1">
        <f>408/1000</f>
        <v>0.40799999999999997</v>
      </c>
      <c r="H2" s="1">
        <f>46/1000</f>
        <v>4.5999999999999999E-2</v>
      </c>
      <c r="I2" s="1">
        <f>25/1000</f>
        <v>2.5000000000000001E-2</v>
      </c>
      <c r="J2" s="1">
        <f>57/1000</f>
        <v>5.7000000000000002E-2</v>
      </c>
      <c r="K2" s="1">
        <f>40/1000</f>
        <v>0.04</v>
      </c>
      <c r="M2" s="1" t="s">
        <v>15</v>
      </c>
      <c r="N2" s="1">
        <v>9.81</v>
      </c>
      <c r="O2" s="15" t="s">
        <v>16</v>
      </c>
    </row>
    <row r="3" spans="1:30">
      <c r="A3" s="1" t="s">
        <v>17</v>
      </c>
      <c r="E3" s="1">
        <f>0.5/1000</f>
        <v>5.0000000000000001E-4</v>
      </c>
      <c r="F3" s="1">
        <f>0.5/1000</f>
        <v>5.0000000000000001E-4</v>
      </c>
      <c r="G3" s="1">
        <f>0.5/1000</f>
        <v>5.0000000000000001E-4</v>
      </c>
      <c r="H3" s="1">
        <f>0.5/1000</f>
        <v>5.0000000000000001E-4</v>
      </c>
      <c r="I3" s="1">
        <f>0.2/1000</f>
        <v>2.0000000000000001E-4</v>
      </c>
      <c r="J3" s="1">
        <f>0.5/1000</f>
        <v>5.0000000000000001E-4</v>
      </c>
      <c r="K3" s="1">
        <f>0.5/1000</f>
        <v>5.0000000000000001E-4</v>
      </c>
    </row>
    <row r="5" spans="1:30">
      <c r="A5" s="30" t="str">
        <f>_xlfn.CONCAT("Масса груза, ", M2)</f>
        <v>Масса груза, кг</v>
      </c>
      <c r="B5" s="29" t="s">
        <v>18</v>
      </c>
      <c r="C5" s="29"/>
      <c r="D5" s="29"/>
      <c r="E5" s="29"/>
      <c r="F5" s="29"/>
      <c r="G5" s="29"/>
      <c r="L5" s="30" t="str">
        <f>A5</f>
        <v>Масса груза, кг</v>
      </c>
      <c r="M5" s="29" t="str">
        <f>B6</f>
        <v>1 риска</v>
      </c>
      <c r="N5" s="29"/>
      <c r="O5" s="31"/>
      <c r="P5" s="29" t="str">
        <f>C6</f>
        <v>2 риска</v>
      </c>
      <c r="Q5" s="29"/>
      <c r="R5" s="31"/>
      <c r="S5" s="29" t="str">
        <f>D6</f>
        <v>3 риска</v>
      </c>
      <c r="T5" s="29"/>
      <c r="U5" s="31"/>
      <c r="V5" s="29" t="str">
        <f>E6</f>
        <v>4 риска</v>
      </c>
      <c r="W5" s="29"/>
      <c r="X5" s="31"/>
      <c r="Y5" s="29" t="str">
        <f>F6</f>
        <v>5 риска</v>
      </c>
      <c r="Z5" s="29"/>
      <c r="AA5" s="31"/>
      <c r="AB5" s="29" t="str">
        <f>G6</f>
        <v>6 риска</v>
      </c>
      <c r="AC5" s="29"/>
      <c r="AD5" s="29"/>
    </row>
    <row r="6" spans="1:30">
      <c r="A6" s="30"/>
      <c r="B6" s="1" t="s">
        <v>19</v>
      </c>
      <c r="C6" s="1" t="s">
        <v>20</v>
      </c>
      <c r="D6" s="1" t="s">
        <v>21</v>
      </c>
      <c r="E6" s="1" t="s">
        <v>22</v>
      </c>
      <c r="F6" s="1" t="s">
        <v>23</v>
      </c>
      <c r="G6" s="1" t="s">
        <v>24</v>
      </c>
      <c r="J6" s="25" t="s">
        <v>25</v>
      </c>
      <c r="L6" s="30"/>
      <c r="M6" s="1" t="str">
        <f>_xlfn.CONCAT("a, ", M1, "/c²")</f>
        <v>a, м/c²</v>
      </c>
      <c r="N6" s="1" t="s">
        <v>26</v>
      </c>
      <c r="O6" s="6" t="str">
        <f>_xlfn.CONCAT("M, H·", M1)</f>
        <v>M, H·м</v>
      </c>
      <c r="P6" s="1" t="str">
        <f t="shared" ref="P6:AD6" si="0">M6</f>
        <v>a, м/c²</v>
      </c>
      <c r="Q6" s="1" t="str">
        <f t="shared" si="0"/>
        <v>ε, рад/c</v>
      </c>
      <c r="R6" s="6" t="str">
        <f t="shared" si="0"/>
        <v>M, H·м</v>
      </c>
      <c r="S6" s="1" t="str">
        <f t="shared" si="0"/>
        <v>a, м/c²</v>
      </c>
      <c r="T6" s="1" t="str">
        <f t="shared" si="0"/>
        <v>ε, рад/c</v>
      </c>
      <c r="U6" s="6" t="str">
        <f t="shared" si="0"/>
        <v>M, H·м</v>
      </c>
      <c r="V6" s="1" t="str">
        <f t="shared" si="0"/>
        <v>a, м/c²</v>
      </c>
      <c r="W6" s="1" t="str">
        <f t="shared" si="0"/>
        <v>ε, рад/c</v>
      </c>
      <c r="X6" s="6" t="str">
        <f t="shared" si="0"/>
        <v>M, H·м</v>
      </c>
      <c r="Y6" s="1" t="str">
        <f t="shared" si="0"/>
        <v>a, м/c²</v>
      </c>
      <c r="Z6" s="1" t="str">
        <f t="shared" si="0"/>
        <v>ε, рад/c</v>
      </c>
      <c r="AA6" s="6" t="str">
        <f t="shared" si="0"/>
        <v>M, H·м</v>
      </c>
      <c r="AB6" s="1" t="str">
        <f t="shared" si="0"/>
        <v>a, м/c²</v>
      </c>
      <c r="AC6" s="1" t="str">
        <f t="shared" si="0"/>
        <v>ε, рад/c</v>
      </c>
      <c r="AD6" s="1" t="str">
        <f t="shared" si="0"/>
        <v>M, H·м</v>
      </c>
    </row>
    <row r="7" spans="1:30">
      <c r="A7" s="30" t="str">
        <f>_xlfn.CONCAT(TEXT(E2, $O$2), " ± ", TEXT(E3, $O$2))</f>
        <v>0,2200 ± 0,0005</v>
      </c>
      <c r="B7" s="1">
        <v>4.91</v>
      </c>
      <c r="C7" s="1">
        <f>5.55</f>
        <v>5.55</v>
      </c>
      <c r="D7" s="1">
        <v>6.62</v>
      </c>
      <c r="E7" s="1">
        <v>7.69</v>
      </c>
      <c r="F7" s="1">
        <v>8.64</v>
      </c>
      <c r="G7" s="4">
        <v>10.4</v>
      </c>
      <c r="J7" s="25">
        <v>5.0000000000000001E-4</v>
      </c>
      <c r="K7" s="1">
        <v>0.22</v>
      </c>
      <c r="L7" s="2" t="str">
        <f>A7</f>
        <v>0,2200 ± 0,0005</v>
      </c>
      <c r="M7" s="9">
        <f>2*$D$2/B10^2</f>
        <v>5.8150697069943295E-2</v>
      </c>
      <c r="N7" s="9">
        <f>2*M7/$H$2</f>
        <v>2.5282911769540566</v>
      </c>
      <c r="O7" s="8">
        <f>($F$2+$E$2)*$H$2*($N$2-M7)/2</f>
        <v>5.9886106569293489E-2</v>
      </c>
      <c r="P7" s="9">
        <f>2*$D$2/C10^2</f>
        <v>4.5287510998395529E-2</v>
      </c>
      <c r="Q7" s="9">
        <f>2*P7/$H$2</f>
        <v>1.9690222173215448</v>
      </c>
      <c r="R7" s="8">
        <f>($F$2+$E$2)*$H$2*($N$2-P7)/2</f>
        <v>5.9965099394958858E-2</v>
      </c>
      <c r="S7" s="9">
        <f>2*$D$2/D10^2</f>
        <v>3.1626379010526062E-2</v>
      </c>
      <c r="T7" s="9">
        <f>2*S7/$H$2</f>
        <v>1.375059956979394</v>
      </c>
      <c r="U7" s="8">
        <f>($F$2+$E$2)*$H$2*($N$2-S7)/2</f>
        <v>6.0048992406496374E-2</v>
      </c>
      <c r="V7" s="9">
        <f>2*$D$2/E10^2</f>
        <v>2.4111159333429777E-2</v>
      </c>
      <c r="W7" s="9">
        <f>2*V7/$H$2</f>
        <v>1.048311275366512</v>
      </c>
      <c r="X7" s="8">
        <f>($F$2+$E$2)*$H$2*($N$2-V7)/2</f>
        <v>6.009514337053342E-2</v>
      </c>
      <c r="Y7" s="9">
        <f>2*$D$2/F10^2</f>
        <v>1.8914485658841823E-2</v>
      </c>
      <c r="Z7" s="9">
        <f>2*Y7/$H$2</f>
        <v>0.82236894168877495</v>
      </c>
      <c r="AA7" s="8">
        <f>($F$2+$E$2)*$H$2*($N$2-Y7)/2</f>
        <v>6.0127056143569065E-2</v>
      </c>
      <c r="AB7" s="9">
        <f>2*$D$2/G10^2</f>
        <v>1.2690354051813509E-2</v>
      </c>
      <c r="AC7" s="9">
        <f>2*AB7/$H$2</f>
        <v>0.55175452399189173</v>
      </c>
      <c r="AD7" s="8">
        <f>($F$2+$E$2)*$H$2*($N$2-AB7)/2</f>
        <v>6.0165278535767829E-2</v>
      </c>
    </row>
    <row r="8" spans="1:30">
      <c r="A8" s="30"/>
      <c r="B8" s="1">
        <v>4.92</v>
      </c>
      <c r="C8" s="1">
        <v>5.66</v>
      </c>
      <c r="D8" s="1">
        <v>6.66</v>
      </c>
      <c r="E8" s="1">
        <v>7.56</v>
      </c>
      <c r="F8" s="1">
        <v>8.5500000000000007</v>
      </c>
      <c r="G8" s="1">
        <v>10.54</v>
      </c>
      <c r="J8" s="25">
        <v>1E-3</v>
      </c>
      <c r="K8" s="1">
        <v>0.44</v>
      </c>
      <c r="L8" s="2" t="str">
        <f>A11</f>
        <v>0,4400 ± 0,0010</v>
      </c>
      <c r="M8" s="9">
        <f>2*$D$2/B14^2</f>
        <v>0.11406833779799221</v>
      </c>
      <c r="N8" s="9">
        <f>2*M8/$H$2</f>
        <v>4.9594929477387915</v>
      </c>
      <c r="O8" s="8">
        <f>($F$2+2*$E$2)*$H$2*($N$2-M8)/2</f>
        <v>0.10860413054832468</v>
      </c>
      <c r="P8" s="9">
        <f>2*$D$2/C14^2</f>
        <v>8.2878978930979591E-2</v>
      </c>
      <c r="Q8" s="9">
        <f>2*P8/$H$2</f>
        <v>3.60343386656433</v>
      </c>
      <c r="R8" s="8">
        <f>($F$2+2*$E$2)*$H$2*($N$2-P8)/2</f>
        <v>0.10895348255699409</v>
      </c>
      <c r="S8" s="9">
        <f>2*$D$2/D14^2</f>
        <v>6.1962865556318351E-2</v>
      </c>
      <c r="T8" s="9">
        <f>2*S8/$H$2</f>
        <v>2.6940376328834068</v>
      </c>
      <c r="U8" s="8">
        <f>($F$2+2*$E$2)*$H$2*($N$2-S8)/2</f>
        <v>0.10918776394290368</v>
      </c>
      <c r="V8" s="9">
        <f>2*$D$2/E14^2</f>
        <v>4.7715976331360939E-2</v>
      </c>
      <c r="W8" s="9">
        <f>2*V8/$H$2</f>
        <v>2.0746076665809103</v>
      </c>
      <c r="X8" s="8">
        <f>($F$2+2*$E$2)*$H$2*($N$2-V8)/2</f>
        <v>0.10934734334911242</v>
      </c>
      <c r="Y8" s="9">
        <f>2*$D$2/F14^2</f>
        <v>3.4720069440138876E-2</v>
      </c>
      <c r="Z8" s="9">
        <f>2*Y8/$H$2</f>
        <v>1.5095682365277772</v>
      </c>
      <c r="AA8" s="8">
        <f>($F$2+2*$E$2)*$H$2*($N$2-Y8)/2</f>
        <v>0.109492910502201</v>
      </c>
      <c r="AB8" s="9">
        <f>2*$D$2/G14^2</f>
        <v>2.7359686067145009E-2</v>
      </c>
      <c r="AC8" s="9">
        <f>2*AB8/$H$2</f>
        <v>1.1895515681367395</v>
      </c>
      <c r="AD8" s="8">
        <f>($F$2+2*$E$2)*$H$2*($N$2-AB8)/2</f>
        <v>0.10957535415636191</v>
      </c>
    </row>
    <row r="9" spans="1:30">
      <c r="A9" s="30"/>
      <c r="B9" s="1">
        <v>4.8899999999999997</v>
      </c>
      <c r="C9" s="1">
        <v>5.47</v>
      </c>
      <c r="D9" s="1">
        <v>6.68</v>
      </c>
      <c r="E9" s="1">
        <v>7.61</v>
      </c>
      <c r="F9" s="1">
        <v>8.6199999999999992</v>
      </c>
      <c r="G9" s="1">
        <v>10.57</v>
      </c>
      <c r="J9" s="25">
        <v>1.5E-3</v>
      </c>
      <c r="K9" s="1">
        <v>0.66</v>
      </c>
      <c r="L9" s="2" t="str">
        <f>A15</f>
        <v>0,6600 ± 0,0015</v>
      </c>
      <c r="M9" s="9">
        <f>2*$D$2/B18^2</f>
        <v>0.1691799739248008</v>
      </c>
      <c r="N9" s="9">
        <f>2*M9/$H$2</f>
        <v>7.3556510402087305</v>
      </c>
      <c r="O9" s="8">
        <f>($F$2+3*$E$2)*$H$2*($N$2-M9)/2</f>
        <v>0.15676937444400885</v>
      </c>
      <c r="P9" s="9">
        <f>2*$D$2/C18^2</f>
        <v>0.11739538766565794</v>
      </c>
      <c r="Q9" s="9">
        <f>2*P9/$H$2</f>
        <v>5.1041472898112143</v>
      </c>
      <c r="R9" s="8">
        <f>($F$2+3*$E$2)*$H$2*($N$2-P9)/2</f>
        <v>0.15761144360116874</v>
      </c>
      <c r="S9" s="9">
        <f>2*$D$2/D18^2</f>
        <v>8.808626301719219E-2</v>
      </c>
      <c r="T9" s="9">
        <f>2*S9/$H$2</f>
        <v>3.829837522486617</v>
      </c>
      <c r="U9" s="8">
        <f>($F$2+3*$E$2)*$H$2*($N$2-S9)/2</f>
        <v>0.15808803927707746</v>
      </c>
      <c r="V9" s="9">
        <f>2*$D$2/E18^2</f>
        <v>6.3287292665053008E-2</v>
      </c>
      <c r="W9" s="9">
        <f>2*V9/$H$2</f>
        <v>2.751621420219696</v>
      </c>
      <c r="X9" s="8">
        <f>($F$2+3*$E$2)*$H$2*($N$2-V9)/2</f>
        <v>0.15849129533397358</v>
      </c>
      <c r="Y9" s="9">
        <f>2*$D$2/F18^2</f>
        <v>5.0408851794375084E-2</v>
      </c>
      <c r="Z9" s="9">
        <f>2*Y9/$H$2</f>
        <v>2.1916892084510908</v>
      </c>
      <c r="AA9" s="8">
        <f>($F$2+3*$E$2)*$H$2*($N$2-Y9)/2</f>
        <v>0.15870071166097169</v>
      </c>
      <c r="AB9" s="9">
        <f>2*$D$2/G18^2</f>
        <v>4.1664999515561713E-2</v>
      </c>
      <c r="AC9" s="9">
        <f>2*AB9/$H$2</f>
        <v>1.8115217180679006</v>
      </c>
      <c r="AD9" s="8">
        <f>($F$2+3*$E$2)*$H$2*($N$2-AB9)/2</f>
        <v>0.1588428954428775</v>
      </c>
    </row>
    <row r="10" spans="1:30" ht="13.9" customHeight="1">
      <c r="A10" s="30"/>
      <c r="B10" s="5">
        <f t="shared" ref="B10:G10" si="1">AVERAGE(B7:B9)</f>
        <v>4.9066666666666663</v>
      </c>
      <c r="C10" s="3">
        <f t="shared" si="1"/>
        <v>5.56</v>
      </c>
      <c r="D10" s="5">
        <f t="shared" si="1"/>
        <v>6.6533333333333333</v>
      </c>
      <c r="E10" s="3">
        <f t="shared" si="1"/>
        <v>7.62</v>
      </c>
      <c r="F10" s="5">
        <f t="shared" si="1"/>
        <v>8.6033333333333335</v>
      </c>
      <c r="G10" s="5">
        <f t="shared" si="1"/>
        <v>10.503333333333332</v>
      </c>
      <c r="H10" s="1" t="s">
        <v>27</v>
      </c>
      <c r="I10" s="20" t="str">
        <f>_xlfn.CONCAT("±", TEXT(I11, $O$2))</f>
        <v>±0,0310</v>
      </c>
      <c r="J10" s="25">
        <v>2E-3</v>
      </c>
      <c r="K10" s="1">
        <v>0.88</v>
      </c>
      <c r="L10" s="10" t="str">
        <f>A19</f>
        <v>0,8800 ± 0,0020</v>
      </c>
      <c r="M10" s="11">
        <f>2*$D$2/B22^2</f>
        <v>0.20657058402094558</v>
      </c>
      <c r="N10" s="11">
        <f>2*M10/$H$2</f>
        <v>8.9813297400411116</v>
      </c>
      <c r="O10" s="12">
        <f>($F$2+4*$E$2)*$H$2*($N$2-M10)/2</f>
        <v>0.20475471857808941</v>
      </c>
      <c r="P10" s="11">
        <f>2*$D$2/C22^2</f>
        <v>0.15624922495424126</v>
      </c>
      <c r="Q10" s="11">
        <f>2*P10/$H$2</f>
        <v>6.7934445632278813</v>
      </c>
      <c r="R10" s="12">
        <f>($F$2+4*$E$2)*$H$2*($N$2-P10)/2</f>
        <v>0.20582762027475063</v>
      </c>
      <c r="S10" s="11">
        <f>2*$D$2/D22^2</f>
        <v>0.11716908335650364</v>
      </c>
      <c r="T10" s="11">
        <f>2*S10/$H$2</f>
        <v>5.0943079720218973</v>
      </c>
      <c r="U10" s="12">
        <f>($F$2+4*$E$2)*$H$2*($N$2-S10)/2</f>
        <v>0.20666084797375597</v>
      </c>
      <c r="V10" s="11">
        <f>2*$D$2/E22^2</f>
        <v>8.6488029988008364E-2</v>
      </c>
      <c r="W10" s="11">
        <f>2*V10/$H$2</f>
        <v>3.7603491299134073</v>
      </c>
      <c r="X10" s="12">
        <f>($F$2+4*$E$2)*$H$2*($N$2-V10)/2</f>
        <v>0.20731499871262568</v>
      </c>
      <c r="Y10" s="11">
        <f>2*$D$2/F22^2</f>
        <v>6.9033492749565675E-2</v>
      </c>
      <c r="Z10" s="11">
        <f>2*Y10/$H$2</f>
        <v>3.0014562065028554</v>
      </c>
      <c r="AA10" s="12">
        <f>($F$2+4*$E$2)*$H$2*($N$2-Y10)/2</f>
        <v>0.20768714690108653</v>
      </c>
      <c r="AB10" s="11">
        <f>2*$D$2/G22^2</f>
        <v>5.4751923813132555E-2</v>
      </c>
      <c r="AC10" s="11">
        <f>2*AB10/$H$2</f>
        <v>2.3805184266579373</v>
      </c>
      <c r="AD10" s="12">
        <f>($F$2+4*$E$2)*$H$2*($N$2-AB10)/2</f>
        <v>0.20799164423238023</v>
      </c>
    </row>
    <row r="11" spans="1:30" ht="13.9" customHeight="1">
      <c r="A11" s="30" t="str">
        <f>_xlfn.CONCAT(TEXT(2*E2, $O$2), " ± ", TEXT(2*E3, $O$2))</f>
        <v>0,4400 ± 0,0010</v>
      </c>
      <c r="B11" s="1">
        <v>3.49</v>
      </c>
      <c r="C11" s="1">
        <v>4.16</v>
      </c>
      <c r="D11" s="1">
        <v>4.74</v>
      </c>
      <c r="E11" s="1">
        <v>5.25</v>
      </c>
      <c r="F11" s="1">
        <v>6.28</v>
      </c>
      <c r="G11" s="1">
        <v>7.1</v>
      </c>
      <c r="I11" s="1">
        <f>_xlfn.CONFIDENCE.T(0.05, _xlfn.STDEV.P(B7:B9), 3)</f>
        <v>3.0982640729781467E-2</v>
      </c>
      <c r="L11" s="7" t="str">
        <f>_xlfn.CONCAT("I, ", M2, "·", M1, "²")</f>
        <v>I, кг·м²</v>
      </c>
      <c r="M11" s="9"/>
      <c r="N11" s="9">
        <f>AVERAGE(N7:N10)</f>
        <v>5.9561912262356724</v>
      </c>
      <c r="O11" s="9">
        <v>2.2026E-2</v>
      </c>
      <c r="P11" s="9"/>
      <c r="Q11" s="9"/>
      <c r="R11" s="9">
        <v>3.041E-2</v>
      </c>
      <c r="S11" s="9"/>
      <c r="T11" s="9"/>
      <c r="U11" s="9">
        <v>3.9749E-2</v>
      </c>
      <c r="V11" s="9"/>
      <c r="W11" s="9"/>
      <c r="X11" s="9">
        <v>5.5356000000000002E-2</v>
      </c>
      <c r="Y11" s="9"/>
      <c r="Z11" s="9"/>
      <c r="AA11" s="9">
        <v>6.8024000000000001E-2</v>
      </c>
      <c r="AB11" s="9"/>
      <c r="AC11" s="9"/>
      <c r="AD11" s="9">
        <v>8.0596000000000001E-2</v>
      </c>
    </row>
    <row r="12" spans="1:30" ht="13.9" customHeight="1">
      <c r="A12" s="30"/>
      <c r="B12" s="1">
        <v>3.52</v>
      </c>
      <c r="C12" s="1">
        <v>4.0599999999999996</v>
      </c>
      <c r="D12" s="1">
        <v>4.7699999999999996</v>
      </c>
      <c r="E12" s="1">
        <v>5.58</v>
      </c>
      <c r="F12" s="1">
        <v>6.45</v>
      </c>
      <c r="G12" s="1">
        <v>7.21</v>
      </c>
      <c r="L12" s="7" t="str">
        <f>_xlfn.CONCAT("Mтр, H·", M1)</f>
        <v>Mтр, H·м</v>
      </c>
      <c r="M12" s="9"/>
      <c r="N12" s="9"/>
      <c r="O12" s="9">
        <v>1.3320000000000001E-3</v>
      </c>
      <c r="P12" s="9"/>
      <c r="Q12" s="9"/>
      <c r="R12" s="9">
        <v>2.8699999999999998E-4</v>
      </c>
      <c r="S12" s="9"/>
      <c r="T12" s="9"/>
      <c r="U12" s="9">
        <v>4.3829999999999997E-3</v>
      </c>
      <c r="V12" s="9"/>
      <c r="W12" s="9"/>
      <c r="X12" s="9">
        <v>4.6500000000000003E-4</v>
      </c>
      <c r="Y12" s="9"/>
      <c r="Z12" s="9"/>
      <c r="AA12" s="9">
        <v>6.0270000000000002E-3</v>
      </c>
      <c r="AB12" s="9"/>
      <c r="AC12" s="9"/>
      <c r="AD12" s="9">
        <v>1.4598E-2</v>
      </c>
    </row>
    <row r="13" spans="1:30" ht="13.9" customHeight="1">
      <c r="A13" s="30"/>
      <c r="B13" s="1">
        <v>3.5</v>
      </c>
      <c r="C13" s="1">
        <v>4.1100000000000003</v>
      </c>
      <c r="D13" s="1">
        <v>4.75</v>
      </c>
      <c r="E13" s="1">
        <v>5.42</v>
      </c>
      <c r="F13" s="1">
        <v>6.32</v>
      </c>
      <c r="G13" s="1">
        <v>7.15</v>
      </c>
      <c r="L13" s="13" t="str">
        <f>_xlfn.CONCAT("R, ", M1)</f>
        <v>R, м</v>
      </c>
      <c r="M13" s="14"/>
      <c r="N13" s="14"/>
      <c r="O13" s="11">
        <f>$J$2+(VALUE(MID(M5,1,1))-1)*$I$2+$K$2/2</f>
        <v>7.6999999999999999E-2</v>
      </c>
      <c r="P13" s="9"/>
      <c r="Q13" s="9"/>
      <c r="R13" s="9">
        <f>$J$2+(VALUE(MID(P5,1,1))-1)*$I$2+$K$2/2</f>
        <v>0.10200000000000001</v>
      </c>
      <c r="S13" s="9"/>
      <c r="T13" s="9"/>
      <c r="U13" s="9">
        <f>$J$2+(VALUE(MID(S5,1,1))-1)*$I$2+$K$2/2</f>
        <v>0.127</v>
      </c>
      <c r="V13" s="9"/>
      <c r="W13" s="9"/>
      <c r="X13" s="9">
        <f>$J$2+(VALUE(MID(V5,1,1))-1)*$I$2+$K$2/2</f>
        <v>0.152</v>
      </c>
      <c r="Y13" s="9"/>
      <c r="Z13" s="9"/>
      <c r="AA13" s="9">
        <f>$J$2+(VALUE(MID(Y5,1,1))-1)*$I$2+$K$2/2</f>
        <v>0.17699999999999999</v>
      </c>
      <c r="AB13" s="9"/>
      <c r="AC13" s="9"/>
      <c r="AD13" s="9">
        <f>$J$2+(VALUE(MID(AB5,1,1))-1)*$I$2+$K$2/2</f>
        <v>0.20199999999999999</v>
      </c>
    </row>
    <row r="14" spans="1:30" ht="13.9" customHeight="1">
      <c r="A14" s="30"/>
      <c r="B14" s="5">
        <f t="shared" ref="B14:G14" si="2">AVERAGE(B11:B13)</f>
        <v>3.5033333333333334</v>
      </c>
      <c r="C14" s="5">
        <f t="shared" si="2"/>
        <v>4.1099999999999994</v>
      </c>
      <c r="D14" s="5">
        <f t="shared" si="2"/>
        <v>4.753333333333333</v>
      </c>
      <c r="E14" s="5">
        <f t="shared" si="2"/>
        <v>5.416666666666667</v>
      </c>
      <c r="F14" s="5">
        <f t="shared" si="2"/>
        <v>6.3500000000000005</v>
      </c>
      <c r="G14" s="5">
        <f t="shared" si="2"/>
        <v>7.1533333333333333</v>
      </c>
      <c r="L14" s="7" t="str">
        <f>_xlfn.CONCAT("Δ", MID(M6,1,1), ", Δ", MID(N6,1,1), ", Δ", MID(O6,1,1))</f>
        <v>Δa, Δε, ΔM</v>
      </c>
      <c r="M14" s="7" t="str">
        <f>_xlfn.CONCAT("±", TEXT(M15, $O$2))</f>
        <v>±0,0894</v>
      </c>
      <c r="N14" s="7" t="str">
        <f>_xlfn.CONCAT("±", TEXT(N15, $O$2))</f>
        <v>±3,8858</v>
      </c>
      <c r="O14" s="7" t="str">
        <f>_xlfn.CONCAT("±", TEXT(O15, $O$2))</f>
        <v>±0,0859</v>
      </c>
    </row>
    <row r="15" spans="1:30">
      <c r="A15" s="30" t="str">
        <f>_xlfn.CONCAT(TEXT(3*E2, $O$2), " ± ", TEXT(3*E3, $O$2))</f>
        <v>0,6600 ± 0,0015</v>
      </c>
      <c r="B15" s="1">
        <v>2.91</v>
      </c>
      <c r="C15" s="1">
        <v>3.4</v>
      </c>
      <c r="D15" s="1">
        <v>3.96</v>
      </c>
      <c r="E15" s="1">
        <v>4.75</v>
      </c>
      <c r="F15" s="1">
        <v>5.32</v>
      </c>
      <c r="G15" s="1">
        <v>5.78</v>
      </c>
      <c r="M15" s="1">
        <f>_xlfn.CONFIDENCE.T(0.05, _xlfn.STDEV.P(M7:M10), 4)</f>
        <v>8.9373390818107371E-2</v>
      </c>
      <c r="N15" s="1">
        <f>_xlfn.CONFIDENCE.T(0.05, _xlfn.STDEV.P(N7:N10), 4)</f>
        <v>3.8857996007872764</v>
      </c>
      <c r="O15" s="1">
        <f>_xlfn.CONFIDENCE.T(0.05, _xlfn.STDEV.P(O7:O10), 4)</f>
        <v>8.5887502087852299E-2</v>
      </c>
    </row>
    <row r="16" spans="1:30">
      <c r="A16" s="30"/>
      <c r="B16" s="1">
        <v>2.87</v>
      </c>
      <c r="C16" s="1">
        <v>3.46</v>
      </c>
      <c r="D16" s="1">
        <v>4.07</v>
      </c>
      <c r="E16" s="1">
        <v>4.63</v>
      </c>
      <c r="F16" s="1">
        <v>5.25</v>
      </c>
      <c r="G16" s="1">
        <v>5.79</v>
      </c>
      <c r="N16" s="1" t="s">
        <v>28</v>
      </c>
    </row>
    <row r="17" spans="1:18">
      <c r="A17" s="30"/>
      <c r="B17" s="1">
        <v>2.85</v>
      </c>
      <c r="C17" s="1">
        <v>3.5</v>
      </c>
      <c r="D17" s="1">
        <v>3.93</v>
      </c>
      <c r="E17" s="1">
        <v>4.7300000000000004</v>
      </c>
      <c r="F17" s="1">
        <v>5.24</v>
      </c>
      <c r="G17" s="1">
        <v>5.82</v>
      </c>
    </row>
    <row r="18" spans="1:18">
      <c r="A18" s="30"/>
      <c r="B18" s="5">
        <f t="shared" ref="B18:G18" si="3">AVERAGE(B15:B17)</f>
        <v>2.8766666666666669</v>
      </c>
      <c r="C18" s="5">
        <f t="shared" si="3"/>
        <v>3.4533333333333331</v>
      </c>
      <c r="D18" s="5">
        <f t="shared" si="3"/>
        <v>3.9866666666666668</v>
      </c>
      <c r="E18" s="5">
        <f t="shared" si="3"/>
        <v>4.7033333333333331</v>
      </c>
      <c r="F18" s="5">
        <f t="shared" si="3"/>
        <v>5.2700000000000005</v>
      </c>
      <c r="G18" s="5">
        <f t="shared" si="3"/>
        <v>5.7966666666666669</v>
      </c>
      <c r="M18" s="1" t="str">
        <f>M5</f>
        <v>1 риска</v>
      </c>
      <c r="N18" s="1" t="str">
        <f>P5</f>
        <v>2 риска</v>
      </c>
      <c r="O18" s="1" t="str">
        <f>S5</f>
        <v>3 риска</v>
      </c>
      <c r="P18" s="1" t="str">
        <f>V5</f>
        <v>4 риска</v>
      </c>
      <c r="Q18" s="1" t="str">
        <f>Y5</f>
        <v>5 риска</v>
      </c>
      <c r="R18" s="1" t="str">
        <f>AB5</f>
        <v>6 риска</v>
      </c>
    </row>
    <row r="19" spans="1:18">
      <c r="A19" s="29" t="str">
        <f>_xlfn.CONCAT(TEXT(4*E2, $O$2), " ± ", TEXT(4*E3, $O$2))</f>
        <v>0,8800 ± 0,0020</v>
      </c>
      <c r="B19" s="1">
        <v>2.56</v>
      </c>
      <c r="C19" s="1">
        <v>2.89</v>
      </c>
      <c r="D19" s="1">
        <v>3.43</v>
      </c>
      <c r="E19" s="1">
        <v>4.16</v>
      </c>
      <c r="F19" s="1">
        <v>4.51</v>
      </c>
      <c r="G19" s="1">
        <v>5.05</v>
      </c>
      <c r="L19" s="7" t="str">
        <f>L11</f>
        <v>I, кг·м²</v>
      </c>
      <c r="M19" s="9">
        <f>O11</f>
        <v>2.2026E-2</v>
      </c>
      <c r="N19" s="9">
        <f>R11</f>
        <v>3.041E-2</v>
      </c>
      <c r="O19" s="9">
        <f>U11</f>
        <v>3.9749E-2</v>
      </c>
      <c r="P19" s="9">
        <f>X11</f>
        <v>5.5356000000000002E-2</v>
      </c>
      <c r="Q19" s="9">
        <f>AA11</f>
        <v>6.8024000000000001E-2</v>
      </c>
      <c r="R19" s="9">
        <f>AD11</f>
        <v>8.0596000000000001E-2</v>
      </c>
    </row>
    <row r="20" spans="1:18">
      <c r="A20" s="29"/>
      <c r="B20" s="1">
        <v>2.64</v>
      </c>
      <c r="C20" s="1">
        <v>2.99</v>
      </c>
      <c r="D20" s="1">
        <v>3.49</v>
      </c>
      <c r="E20" s="1">
        <v>3.9</v>
      </c>
      <c r="F20" s="1">
        <v>4.5199999999999996</v>
      </c>
      <c r="G20" s="1">
        <v>5.03</v>
      </c>
      <c r="L20" s="7" t="str">
        <f>L13</f>
        <v>R, м</v>
      </c>
      <c r="M20" s="9">
        <f>O13</f>
        <v>7.6999999999999999E-2</v>
      </c>
      <c r="N20" s="9">
        <f>R13</f>
        <v>0.10200000000000001</v>
      </c>
      <c r="O20" s="9">
        <f>U13</f>
        <v>0.127</v>
      </c>
      <c r="P20" s="9">
        <f>X13</f>
        <v>0.152</v>
      </c>
      <c r="Q20" s="9">
        <f>AA13</f>
        <v>0.17699999999999999</v>
      </c>
      <c r="R20" s="9">
        <f>AD13</f>
        <v>0.20199999999999999</v>
      </c>
    </row>
    <row r="21" spans="1:18">
      <c r="A21" s="29"/>
      <c r="B21" s="1">
        <v>2.61</v>
      </c>
      <c r="C21" s="1">
        <v>3.1</v>
      </c>
      <c r="D21" s="1">
        <v>3.45</v>
      </c>
      <c r="E21" s="1">
        <v>4.01</v>
      </c>
      <c r="F21" s="1">
        <v>4.4800000000000004</v>
      </c>
      <c r="G21" s="1">
        <v>5.09</v>
      </c>
      <c r="L21" s="13" t="str">
        <f>REPLACE(_xlfn.CONCAT(L13, "²"),1,1,"R²")</f>
        <v>R², м²</v>
      </c>
      <c r="M21" s="11">
        <f>M20^2</f>
        <v>5.9290000000000002E-3</v>
      </c>
      <c r="N21" s="11">
        <f t="shared" ref="N21:R21" si="4">N20^2</f>
        <v>1.0404000000000002E-2</v>
      </c>
      <c r="O21" s="11">
        <f t="shared" si="4"/>
        <v>1.6129000000000001E-2</v>
      </c>
      <c r="P21" s="11">
        <f t="shared" si="4"/>
        <v>2.3104E-2</v>
      </c>
      <c r="Q21" s="11">
        <f t="shared" si="4"/>
        <v>3.1328999999999996E-2</v>
      </c>
      <c r="R21" s="11">
        <f t="shared" si="4"/>
        <v>4.0803999999999993E-2</v>
      </c>
    </row>
    <row r="22" spans="1:18">
      <c r="A22" s="29"/>
      <c r="B22" s="5">
        <f t="shared" ref="B22:G22" si="5">AVERAGE(B19:B21)</f>
        <v>2.6033333333333335</v>
      </c>
      <c r="C22" s="5">
        <f t="shared" si="5"/>
        <v>2.9933333333333336</v>
      </c>
      <c r="D22" s="5">
        <f t="shared" si="5"/>
        <v>3.456666666666667</v>
      </c>
      <c r="E22" s="5">
        <f t="shared" si="5"/>
        <v>4.0233333333333334</v>
      </c>
      <c r="F22" s="5">
        <f t="shared" si="5"/>
        <v>4.503333333333333</v>
      </c>
      <c r="G22" s="5">
        <f t="shared" si="5"/>
        <v>5.0566666666666666</v>
      </c>
      <c r="L22" s="7" t="s">
        <v>29</v>
      </c>
      <c r="M22" s="1">
        <v>1.2911000000000001E-2</v>
      </c>
      <c r="O22" s="1" t="str">
        <f>_xlfn.CONCAT("Δ", L22)</f>
        <v>ΔI₀</v>
      </c>
      <c r="P22" s="18" t="str">
        <f>_xlfn.CONCAT("±", TEXT(N34, $O$2))</f>
        <v>±0,0092</v>
      </c>
    </row>
    <row r="23" spans="1:18" ht="13.9" customHeight="1">
      <c r="L23" s="7" t="s">
        <v>6</v>
      </c>
      <c r="M23" s="9">
        <f>1.713447/4</f>
        <v>0.42836174999999999</v>
      </c>
      <c r="O23" s="1" t="str">
        <f>_xlfn.CONCAT("Δ", L23)</f>
        <v>Δmут</v>
      </c>
      <c r="P23" s="7" t="str">
        <f>_xlfn.CONCAT("±", TEXT(N36, $O$2))</f>
        <v>±0,0054</v>
      </c>
    </row>
    <row r="26" spans="1:18">
      <c r="B26" s="23"/>
      <c r="L26" s="1" t="s">
        <v>30</v>
      </c>
      <c r="N26" s="1">
        <f>N15/AVERAGE(N7:N10)</f>
        <v>0.65239671682655354</v>
      </c>
      <c r="P26" s="1" t="s">
        <v>31</v>
      </c>
    </row>
    <row r="27" spans="1:18">
      <c r="B27" s="21"/>
      <c r="D27" s="1" t="s">
        <v>32</v>
      </c>
      <c r="E27" s="1" t="s">
        <v>33</v>
      </c>
      <c r="F27" s="1" t="s">
        <v>34</v>
      </c>
    </row>
    <row r="28" spans="1:18" ht="14.45">
      <c r="B28" s="22"/>
      <c r="D28" s="19" cm="1">
        <f t="array" ref="D28">(SUM(($B$7:$B$9-$B$10)^2)/6)^(1/2)</f>
        <v>8.8191710368820606E-3</v>
      </c>
      <c r="E28" s="1">
        <v>4.3</v>
      </c>
      <c r="F28" s="1">
        <f>$E$28*$D$28</f>
        <v>3.7922435458592856E-2</v>
      </c>
      <c r="G28" s="1" t="str">
        <f>_xlfn.CONCAT("±", TEXT(F28, $O$2))</f>
        <v>±0,0379</v>
      </c>
    </row>
    <row r="29" spans="1:18">
      <c r="B29" s="21"/>
      <c r="K29" s="9">
        <f>AVERAGE(M7:M10)</f>
        <v>0.13699239820342046</v>
      </c>
      <c r="L29" s="9">
        <f>AVERAGE(N7:N10)</f>
        <v>5.9561912262356724</v>
      </c>
      <c r="M29" s="9">
        <f>AVERAGE(O7:O10)</f>
        <v>0.13250358253492911</v>
      </c>
    </row>
    <row r="30" spans="1:18">
      <c r="D30" s="19" cm="1">
        <f t="array" ref="D30">SQRT(SUM(($N$7:$N$10-AVERAGE($N$7:$N$10))^2)/12)</f>
        <v>1.409901208266559</v>
      </c>
      <c r="E30" s="1">
        <v>3.18</v>
      </c>
      <c r="F30" s="1">
        <f>D30*E30</f>
        <v>4.4834858422876573</v>
      </c>
    </row>
    <row r="32" spans="1:18">
      <c r="D32" s="9">
        <f>AVERAGE(N7:N10)</f>
        <v>5.9561912262356724</v>
      </c>
      <c r="H32" s="9">
        <f>AVERAGE(M7:M10)</f>
        <v>0.13699239820342046</v>
      </c>
    </row>
    <row r="33" spans="4:20">
      <c r="D33" s="1">
        <f>POWER($D$32-N7,2)</f>
        <v>11.750498747864905</v>
      </c>
      <c r="F33" s="1">
        <f>SQRT(SUM(D33:D36)/12)*3.18</f>
        <v>4.4834858422876573</v>
      </c>
      <c r="H33" s="1">
        <f>POWER($H$32-M7,2)</f>
        <v>6.216013837620534E-3</v>
      </c>
      <c r="J33" s="1">
        <f>SQRT(SUM(H33:H36)/(12))</f>
        <v>3.242772779013086E-2</v>
      </c>
      <c r="L33" s="9">
        <f>SUM(M19:R19)/6</f>
        <v>4.936016666666667E-2</v>
      </c>
      <c r="M33" s="16">
        <f>POWER(M19-$L$33,2)</f>
        <v>7.4715666736111127E-4</v>
      </c>
      <c r="N33" s="17">
        <f>POWER(N19-$L$33,2)</f>
        <v>3.5910881669444462E-4</v>
      </c>
      <c r="O33" s="17">
        <f>POWER(O19-$L$33,2)</f>
        <v>9.2374524694444516E-5</v>
      </c>
      <c r="P33" s="17">
        <f>POWER(P19-$L$33,2)</f>
        <v>3.5950017361111097E-5</v>
      </c>
      <c r="Q33" s="17">
        <f>POWER(Q19-$L$33,2)</f>
        <v>3.4833867469444437E-4</v>
      </c>
      <c r="R33" s="17">
        <f>POWER(R19-$L$33,2)</f>
        <v>9.7567728402777763E-4</v>
      </c>
      <c r="T33" s="28"/>
    </row>
    <row r="34" spans="4:20">
      <c r="D34" s="1">
        <f>POWER($D$32-N8,2)</f>
        <v>0.99340745835864608</v>
      </c>
      <c r="H34" s="1">
        <f>POWER($H$32-M8,2)</f>
        <v>5.2551254547172357E-4</v>
      </c>
      <c r="J34" s="1">
        <f>J33*3.18</f>
        <v>0.10312017437261614</v>
      </c>
      <c r="M34" s="17">
        <f>SUM(M33:R33)/30</f>
        <v>8.528686616111112E-5</v>
      </c>
      <c r="N34" s="17">
        <f>SQRT(M34)</f>
        <v>9.2350888550739516E-3</v>
      </c>
      <c r="O34" s="17"/>
      <c r="P34" s="17"/>
      <c r="Q34" s="17"/>
      <c r="R34" s="17"/>
    </row>
    <row r="35" spans="4:20">
      <c r="D35" s="1">
        <f>POWER($D$32-N9,2)</f>
        <v>1.9584877709255064</v>
      </c>
      <c r="H35" s="1">
        <f>POWER($H$32-M9,2)</f>
        <v>1.0360400308195932E-3</v>
      </c>
      <c r="L35" s="9">
        <f>AVERAGE(M21:R21)</f>
        <v>2.1283166666666669E-2</v>
      </c>
      <c r="M35" s="16">
        <f>POWER(M21-$L$35,2)</f>
        <v>2.3575043402777784E-4</v>
      </c>
      <c r="N35" s="16">
        <f>POWER(N21-$L$35,2)</f>
        <v>1.1835626736111112E-4</v>
      </c>
      <c r="O35" s="16">
        <f t="shared" ref="N35:R35" si="6">POWER(O21-$L$35,2)</f>
        <v>2.6565434027777793E-5</v>
      </c>
      <c r="P35" s="16">
        <f t="shared" si="6"/>
        <v>3.3154340277777676E-6</v>
      </c>
      <c r="Q35" s="16">
        <f t="shared" si="6"/>
        <v>1.0091876736111099E-4</v>
      </c>
      <c r="R35" s="16">
        <f t="shared" si="6"/>
        <v>3.8106293402777742E-4</v>
      </c>
    </row>
    <row r="36" spans="4:20">
      <c r="D36" s="1">
        <f>POWER($D$32-N10,2)</f>
        <v>9.1514630277089815</v>
      </c>
      <c r="H36" s="1">
        <f>POWER($H$32-M10,2)</f>
        <v>4.8411239416580537E-3</v>
      </c>
      <c r="M36" s="17">
        <f>SUM(M35:R35)/30</f>
        <v>2.8865642361111099E-5</v>
      </c>
      <c r="N36" s="1">
        <f>SQRT(M36)</f>
        <v>5.3726755309725432E-3</v>
      </c>
    </row>
    <row r="38" spans="4:20" ht="14.25">
      <c r="D38" s="24">
        <f>0.001/0.7+2*$E$41/B10</f>
        <v>1.7123123622654057E-2</v>
      </c>
      <c r="M38" s="1" cm="1">
        <f t="array" ref="M38">SUM((M19:R19-$L$33)^2)/30</f>
        <v>8.528686616111112E-5</v>
      </c>
    </row>
    <row r="39" spans="4:20">
      <c r="J39" s="1" t="s">
        <v>35</v>
      </c>
    </row>
    <row r="40" spans="4:20">
      <c r="E40" s="25" t="s">
        <v>36</v>
      </c>
      <c r="F40" s="25" t="s">
        <v>37</v>
      </c>
      <c r="G40" s="25" t="s">
        <v>38</v>
      </c>
      <c r="H40" s="25" t="s">
        <v>39</v>
      </c>
      <c r="J40" s="1">
        <f>F45/M7</f>
        <v>6.3809310016919793E-2</v>
      </c>
      <c r="K40" s="1" t="s">
        <v>40</v>
      </c>
    </row>
    <row r="41" spans="4:20" ht="14.25">
      <c r="E41" s="27" cm="1">
        <f t="array" ref="E41">SQRT(4.3^2*SUM((B7:B9-B10)^2)/(3*(3-1))+(2/3*0.01)^2)</f>
        <v>3.8503968049482709E-2</v>
      </c>
      <c r="F41" s="26">
        <f>M7*(0.001/0.7+2*$E$41/B10)</f>
        <v>9.9572157467214622E-4</v>
      </c>
      <c r="G41" s="26">
        <f>N7*(0.001/0.7+2*$E$41/B10+$F$3/$F$2)</f>
        <v>7.0188957025497253E-2</v>
      </c>
      <c r="H41" s="26">
        <f>O7*(0.001/0.7+2*$E$41/B10+J7/K7+$H$3/$H$2)</f>
        <v>1.8124779346935143E-3</v>
      </c>
      <c r="J41" s="1">
        <f>G45/N7</f>
        <v>8.8871192535393287E-2</v>
      </c>
      <c r="K41" s="1" t="s">
        <v>41</v>
      </c>
    </row>
    <row r="42" spans="4:20">
      <c r="E42" s="26"/>
      <c r="F42" s="26">
        <f>M8*(0.001/0.7+2*$E$41/B14)</f>
        <v>2.6703288695377422E-3</v>
      </c>
      <c r="G42" s="26">
        <f>N8*(0.001/0.7+2*$E$41/B14+$F$3/$F$2)</f>
        <v>0.16886181847111004</v>
      </c>
      <c r="H42" s="26">
        <f>O8*(0.001/0.7+2*$E$41/B14+J8/K8+$H$3/$H$2)</f>
        <v>3.9697195501432929E-3</v>
      </c>
      <c r="J42" s="1">
        <f>H45/O7</f>
        <v>8.8932806865814187E-2</v>
      </c>
      <c r="K42" s="1" t="s">
        <v>42</v>
      </c>
    </row>
    <row r="43" spans="4:20">
      <c r="E43" s="26"/>
      <c r="F43" s="26">
        <f>M9*(0.001/0.7+2*$E$41/B18)</f>
        <v>4.770608256835787E-3</v>
      </c>
      <c r="G43" s="26">
        <f>N9*(0.001/0.7+2*$E$41/B18+$F$3/$F$2)</f>
        <v>0.28566935710793928</v>
      </c>
      <c r="H43" s="26">
        <f>O9*(0.001/0.7+2*$E$41/B18+J9/K9+$H$3/$H$2)</f>
        <v>6.4809579109091396E-3</v>
      </c>
    </row>
    <row r="44" spans="4:20">
      <c r="E44" s="26"/>
      <c r="F44" s="26">
        <f>M10*(0.001/0.7+2*$E$41/B22)</f>
        <v>6.4055647270983293E-3</v>
      </c>
      <c r="G44" s="26">
        <f>N10*(0.001/0.7+2*$E$41/B22+$F$3/$F$2)</f>
        <v>0.37404887528593361</v>
      </c>
      <c r="H44" s="26">
        <f>O10*(0.001/0.7+2*$E$41/B22+J10/K10+$H$3/$H$2)</f>
        <v>9.0402028021442319E-3</v>
      </c>
    </row>
    <row r="45" spans="4:20">
      <c r="E45" s="26"/>
      <c r="F45" s="27">
        <f>AVERAGE(F41:F44)</f>
        <v>3.7105558570360011E-3</v>
      </c>
      <c r="G45" s="27">
        <f>AVERAGE(G41:G44)</f>
        <v>0.22469225197262005</v>
      </c>
      <c r="H45" s="27">
        <f>AVERAGE(H41:H44)</f>
        <v>5.3258395494725445E-3</v>
      </c>
    </row>
    <row r="46" spans="4:20" ht="14.25"/>
  </sheetData>
  <mergeCells count="13">
    <mergeCell ref="V5:X5"/>
    <mergeCell ref="Y5:AA5"/>
    <mergeCell ref="AB5:AD5"/>
    <mergeCell ref="L5:L6"/>
    <mergeCell ref="M5:O5"/>
    <mergeCell ref="P5:R5"/>
    <mergeCell ref="S5:U5"/>
    <mergeCell ref="A19:A22"/>
    <mergeCell ref="A5:A6"/>
    <mergeCell ref="B5:G5"/>
    <mergeCell ref="A7:A10"/>
    <mergeCell ref="A11:A14"/>
    <mergeCell ref="A15:A18"/>
  </mergeCells>
  <phoneticPr fontId="3" type="noConversion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76ed5b6-a19c-425d-9a06-665f3bfd2b5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7AB6D66377CEBE4B97D4049C38F06275" ma:contentTypeVersion="3" ma:contentTypeDescription="Создание документа." ma:contentTypeScope="" ma:versionID="ca3de1e08f6b7ed3893556a4c3566ea4">
  <xsd:schema xmlns:xsd="http://www.w3.org/2001/XMLSchema" xmlns:xs="http://www.w3.org/2001/XMLSchema" xmlns:p="http://schemas.microsoft.com/office/2006/metadata/properties" xmlns:ns3="a76ed5b6-a19c-425d-9a06-665f3bfd2b55" targetNamespace="http://schemas.microsoft.com/office/2006/metadata/properties" ma:root="true" ma:fieldsID="21e21cf46b8010c83ddacd35a4e27271" ns3:_="">
    <xsd:import namespace="a76ed5b6-a19c-425d-9a06-665f3bfd2b5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6ed5b6-a19c-425d-9a06-665f3bfd2b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ED260E-3E66-420F-9745-B00A246787A1}"/>
</file>

<file path=customXml/itemProps2.xml><?xml version="1.0" encoding="utf-8"?>
<ds:datastoreItem xmlns:ds="http://schemas.openxmlformats.org/officeDocument/2006/customXml" ds:itemID="{98E9997C-7E54-4C5D-B056-D7C1735AAAF1}"/>
</file>

<file path=customXml/itemProps3.xml><?xml version="1.0" encoding="utf-8"?>
<ds:datastoreItem xmlns:ds="http://schemas.openxmlformats.org/officeDocument/2006/customXml" ds:itemID="{14DF9F7B-BB75-465C-ACB2-9A16065C6B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Павел Овчинников</dc:creator>
  <cp:keywords/>
  <dc:description/>
  <cp:lastModifiedBy/>
  <cp:revision/>
  <dcterms:created xsi:type="dcterms:W3CDTF">2023-03-15T16:39:11Z</dcterms:created>
  <dcterms:modified xsi:type="dcterms:W3CDTF">2024-02-13T12:39:49Z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0x0101007AB6D66377CEBE4B97D4049C38F06275</vt:lpwstr>
  </property>
</Properties>
</file>