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41774831ace9e/Документы/"/>
    </mc:Choice>
  </mc:AlternateContent>
  <xr:revisionPtr revIDLastSave="0" documentId="8_{735E08E4-BA4D-4F01-9320-1C26E071A254}" xr6:coauthVersionLast="47" xr6:coauthVersionMax="47" xr10:uidLastSave="{00000000-0000-0000-0000-000000000000}"/>
  <bookViews>
    <workbookView xWindow="-108" yWindow="-108" windowWidth="23256" windowHeight="12456" xr2:uid="{B345CB23-42C3-4E55-97CB-E322FEA68A29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1" l="1"/>
  <c r="F36" i="1"/>
  <c r="E36" i="1"/>
  <c r="AB8" i="1"/>
  <c r="AB6" i="1"/>
  <c r="AB4" i="1"/>
  <c r="Y17" i="1"/>
  <c r="X25" i="1"/>
  <c r="X24" i="1"/>
  <c r="X23" i="1"/>
  <c r="AB15" i="1"/>
  <c r="AC15" i="1"/>
  <c r="AD15" i="1"/>
  <c r="AE15" i="1"/>
  <c r="AF15" i="1"/>
  <c r="AG15" i="1"/>
  <c r="AH15" i="1"/>
  <c r="AI15" i="1"/>
  <c r="AJ15" i="1"/>
  <c r="AK15" i="1"/>
  <c r="AB16" i="1"/>
  <c r="AC16" i="1"/>
  <c r="AD16" i="1"/>
  <c r="AE16" i="1"/>
  <c r="AF16" i="1"/>
  <c r="AG16" i="1"/>
  <c r="AH16" i="1"/>
  <c r="AI16" i="1"/>
  <c r="AJ16" i="1"/>
  <c r="AK16" i="1"/>
  <c r="AC14" i="1"/>
  <c r="AD14" i="1"/>
  <c r="AE14" i="1"/>
  <c r="AF14" i="1"/>
  <c r="AG14" i="1"/>
  <c r="AH14" i="1"/>
  <c r="AI14" i="1"/>
  <c r="AJ14" i="1"/>
  <c r="AK14" i="1"/>
  <c r="X6" i="1"/>
  <c r="AB14" i="1"/>
  <c r="X4" i="1"/>
  <c r="X17" i="1"/>
  <c r="AK12" i="1"/>
  <c r="AB11" i="1"/>
  <c r="AC11" i="1"/>
  <c r="AD11" i="1"/>
  <c r="AE11" i="1"/>
  <c r="AF11" i="1"/>
  <c r="AG11" i="1"/>
  <c r="AH11" i="1"/>
  <c r="AI11" i="1"/>
  <c r="AJ11" i="1"/>
  <c r="AK11" i="1"/>
  <c r="AB12" i="1"/>
  <c r="AC12" i="1"/>
  <c r="AD12" i="1"/>
  <c r="AE12" i="1"/>
  <c r="AF12" i="1"/>
  <c r="AG12" i="1"/>
  <c r="AH12" i="1"/>
  <c r="AI12" i="1"/>
  <c r="AJ12" i="1"/>
  <c r="AC10" i="1"/>
  <c r="AD10" i="1"/>
  <c r="AE10" i="1"/>
  <c r="AF10" i="1"/>
  <c r="AG10" i="1"/>
  <c r="AH10" i="1"/>
  <c r="AI10" i="1"/>
  <c r="AJ10" i="1"/>
  <c r="AK10" i="1"/>
  <c r="AB10" i="1"/>
  <c r="W4" i="1"/>
  <c r="W17" i="1"/>
  <c r="V4" i="1"/>
  <c r="L10" i="1"/>
  <c r="I18" i="1"/>
  <c r="J22" i="1"/>
  <c r="I21" i="1"/>
  <c r="I22" i="1"/>
  <c r="I20" i="1"/>
  <c r="D2" i="1"/>
  <c r="F2" i="1"/>
  <c r="W8" i="1" s="1"/>
  <c r="I16" i="1"/>
  <c r="I15" i="1"/>
  <c r="I11" i="1" a="1"/>
  <c r="I11" i="1" s="1"/>
  <c r="I12" i="1" s="1"/>
  <c r="H10" i="1"/>
  <c r="G10" i="1"/>
  <c r="G9" i="1"/>
  <c r="G8" i="1"/>
  <c r="AJ4" i="1" a="1"/>
  <c r="AJ4" i="1" s="1"/>
  <c r="L11" i="1"/>
  <c r="M10" i="1"/>
  <c r="O10" i="1"/>
  <c r="Y11" i="1"/>
  <c r="Y10" i="1"/>
  <c r="U26" i="1"/>
  <c r="T29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B34" i="1"/>
  <c r="B33" i="1"/>
  <c r="B32" i="1"/>
  <c r="B31" i="1"/>
  <c r="B30" i="1"/>
  <c r="B29" i="1"/>
  <c r="C29" i="1" s="1"/>
  <c r="B28" i="1"/>
  <c r="B27" i="1"/>
  <c r="B26" i="1"/>
  <c r="C26" i="1" s="1"/>
  <c r="B25" i="1"/>
  <c r="C25" i="1" s="1"/>
  <c r="B24" i="1"/>
  <c r="B23" i="1"/>
  <c r="B22" i="1"/>
  <c r="C22" i="1" s="1"/>
  <c r="B21" i="1"/>
  <c r="C21" i="1" s="1"/>
  <c r="B20" i="1"/>
  <c r="B19" i="1"/>
  <c r="B18" i="1"/>
  <c r="C18" i="1" s="1"/>
  <c r="B17" i="1"/>
  <c r="C17" i="1" s="1"/>
  <c r="B16" i="1"/>
  <c r="B15" i="1"/>
  <c r="C15" i="1" s="1"/>
  <c r="B14" i="1"/>
  <c r="C14" i="1" s="1"/>
  <c r="U11" i="1"/>
  <c r="T11" i="1"/>
  <c r="S11" i="1"/>
  <c r="R11" i="1"/>
  <c r="Q11" i="1"/>
  <c r="P11" i="1"/>
  <c r="O11" i="1"/>
  <c r="N11" i="1"/>
  <c r="M11" i="1"/>
  <c r="M12" i="1"/>
  <c r="N12" i="1"/>
  <c r="O12" i="1"/>
  <c r="P12" i="1"/>
  <c r="Q12" i="1"/>
  <c r="R12" i="1"/>
  <c r="S12" i="1"/>
  <c r="T12" i="1"/>
  <c r="U12" i="1"/>
  <c r="L12" i="1"/>
  <c r="N10" i="1"/>
  <c r="P10" i="1"/>
  <c r="Q10" i="1"/>
  <c r="R10" i="1"/>
  <c r="S10" i="1"/>
  <c r="T10" i="1"/>
  <c r="U10" i="1"/>
  <c r="N4" i="1"/>
  <c r="L4" i="1"/>
  <c r="M4" i="1"/>
  <c r="K4" i="1"/>
  <c r="C10" i="1"/>
  <c r="D10" i="1"/>
  <c r="E10" i="1"/>
  <c r="B10" i="1"/>
  <c r="L6" i="1"/>
  <c r="T8" i="1"/>
  <c r="U6" i="1"/>
  <c r="U4" i="1"/>
  <c r="O4" i="1"/>
  <c r="P4" i="1"/>
  <c r="Q4" i="1"/>
  <c r="R4" i="1"/>
  <c r="S4" i="1"/>
  <c r="T4" i="1"/>
  <c r="L8" i="1"/>
  <c r="M8" i="1"/>
  <c r="N8" i="1"/>
  <c r="O8" i="1"/>
  <c r="P8" i="1"/>
  <c r="Q8" i="1"/>
  <c r="R8" i="1"/>
  <c r="S8" i="1"/>
  <c r="U8" i="1"/>
  <c r="M6" i="1"/>
  <c r="N6" i="1"/>
  <c r="O6" i="1"/>
  <c r="P6" i="1"/>
  <c r="Q6" i="1"/>
  <c r="R6" i="1"/>
  <c r="S6" i="1"/>
  <c r="T6" i="1"/>
  <c r="K8" i="1"/>
  <c r="K6" i="1"/>
  <c r="C2" i="1"/>
  <c r="C13" i="1" s="1"/>
  <c r="C33" i="1" l="1"/>
  <c r="C30" i="1"/>
  <c r="C34" i="1"/>
  <c r="C19" i="1"/>
  <c r="C23" i="1"/>
  <c r="C27" i="1"/>
  <c r="C31" i="1"/>
  <c r="Z4" i="1"/>
  <c r="C32" i="1"/>
  <c r="C24" i="1"/>
  <c r="C16" i="1"/>
  <c r="C28" i="1"/>
  <c r="C20" i="1"/>
  <c r="V8" i="1"/>
  <c r="Y8" i="1" s="1"/>
  <c r="V6" i="1"/>
  <c r="Y4" i="1" l="1"/>
  <c r="Z8" i="1"/>
  <c r="X8" i="1"/>
  <c r="Z6" i="1"/>
  <c r="W6" i="1"/>
  <c r="T17" i="1" s="1"/>
  <c r="O17" i="1"/>
  <c r="K15" i="1"/>
  <c r="L15" i="1"/>
  <c r="M15" i="1"/>
  <c r="N15" i="1"/>
  <c r="O15" i="1"/>
  <c r="P15" i="1"/>
  <c r="Q15" i="1"/>
  <c r="R15" i="1"/>
  <c r="S15" i="1"/>
  <c r="T15" i="1"/>
  <c r="U15" i="1"/>
  <c r="L19" i="1"/>
  <c r="M19" i="1"/>
  <c r="N19" i="1"/>
  <c r="O19" i="1"/>
  <c r="P19" i="1"/>
  <c r="Q19" i="1"/>
  <c r="R19" i="1"/>
  <c r="S19" i="1"/>
  <c r="T19" i="1"/>
  <c r="U19" i="1"/>
  <c r="U20" i="1" s="1"/>
  <c r="K19" i="1"/>
  <c r="U24" i="1"/>
  <c r="O16" i="1" l="1"/>
  <c r="Y6" i="1"/>
  <c r="S17" i="1"/>
  <c r="T18" i="1" s="1"/>
  <c r="T16" i="1"/>
  <c r="P17" i="1"/>
  <c r="P16" i="1"/>
  <c r="S16" i="1"/>
  <c r="R16" i="1"/>
  <c r="N16" i="1"/>
  <c r="N20" i="1"/>
  <c r="Q20" i="1"/>
  <c r="M20" i="1"/>
  <c r="T20" i="1"/>
  <c r="P20" i="1"/>
  <c r="K17" i="1"/>
  <c r="L18" i="1" s="1"/>
  <c r="R17" i="1"/>
  <c r="N17" i="1"/>
  <c r="O18" i="1" s="1"/>
  <c r="S20" i="1"/>
  <c r="O20" i="1"/>
  <c r="U16" i="1"/>
  <c r="Q16" i="1"/>
  <c r="M16" i="1"/>
  <c r="U17" i="1"/>
  <c r="U18" i="1" s="1"/>
  <c r="Q17" i="1"/>
  <c r="M17" i="1"/>
  <c r="R20" i="1"/>
  <c r="L16" i="1"/>
  <c r="P18" i="1"/>
  <c r="L17" i="1"/>
  <c r="L20" i="1"/>
  <c r="S18" i="1" l="1"/>
  <c r="Q18" i="1"/>
  <c r="M18" i="1"/>
  <c r="N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<sst xmlns="http://schemas.openxmlformats.org/spreadsheetml/2006/main" count="47" uniqueCount="29">
  <si>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№ п.п</t>
  </si>
  <si>
    <t>t. с</t>
  </si>
  <si>
    <t>t_cp. с</t>
  </si>
  <si>
    <t>T, с</t>
  </si>
  <si>
    <t>N</t>
  </si>
  <si>
    <t>ω_0</t>
  </si>
  <si>
    <t>Стьюдент для T и ω_0</t>
  </si>
  <si>
    <t>I_T. мА</t>
  </si>
  <si>
    <t>t. T</t>
  </si>
  <si>
    <t>λ</t>
  </si>
  <si>
    <t>β</t>
  </si>
  <si>
    <t>Q</t>
  </si>
  <si>
    <t>k</t>
  </si>
  <si>
    <t>A_k. дел</t>
  </si>
  <si>
    <t>ln(A_0/A_k)</t>
  </si>
  <si>
    <t>𝜃_0 рад</t>
  </si>
  <si>
    <t>U. В</t>
  </si>
  <si>
    <t>T. с</t>
  </si>
  <si>
    <t>𝜔. рад/с</t>
  </si>
  <si>
    <t>???</t>
  </si>
  <si>
    <t>𝜔</t>
  </si>
  <si>
    <t>𝜔/𝜔_0</t>
  </si>
  <si>
    <t>0,01 | 0,05 | 0,19</t>
  </si>
  <si>
    <t>delta_T</t>
  </si>
  <si>
    <t>delta_ω</t>
  </si>
  <si>
    <t>a_max</t>
  </si>
  <si>
    <t>-</t>
  </si>
  <si>
    <t>Q'</t>
  </si>
  <si>
    <t>Q''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</si>
</sst>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;[Red]0.000"/>
    <numFmt numFmtId="166" formatCode="0.000"/>
  </numFmts>
  <fonts count="3">
    <font>
      <sz val="11"/>
      <color theme="1"/>
      <name val="Calibri"/>
      <family val="2"/>
      <charset val="204"/>
      <scheme val="minor"/>
    </font>
    <font>
      <sz val="10"/>
      <color rgb="FF4D5156"/>
      <name val="Arial"/>
      <family val="2"/>
      <charset val="204"/>
    </font>
    <font>
      <sz val="8"/>
      <color rgb="FF4D515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Лист1!$AG$1:$AG$4</c:f>
              <c:numCache>
                <c:formatCode>0.000</c:formatCode>
                <c:ptCount val="4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</c:numCache>
            </c:numRef>
          </c:xVal>
          <c:yVal>
            <c:numRef>
              <c:f>Лист1!$AH$1:$AH$4</c:f>
              <c:numCache>
                <c:formatCode>0.000</c:formatCode>
                <c:ptCount val="4"/>
                <c:pt idx="0">
                  <c:v>3.51</c:v>
                </c:pt>
                <c:pt idx="1">
                  <c:v>3.83</c:v>
                </c:pt>
                <c:pt idx="2">
                  <c:v>4.05</c:v>
                </c:pt>
                <c:pt idx="3">
                  <c:v>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1-4A5F-916D-DFFB6D55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147856"/>
        <c:axId val="1460163696"/>
      </c:scatterChart>
      <c:valAx>
        <c:axId val="14601478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63696"/>
        <c:crosses val="autoZero"/>
        <c:crossBetween val="midCat"/>
      </c:valAx>
      <c:valAx>
        <c:axId val="14601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4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515471</xdr:colOff>
      <xdr:row>0</xdr:row>
      <xdr:rowOff>62753</xdr:rowOff>
    </xdr:from>
    <xdr:to>
      <xdr:col>48</xdr:col>
      <xdr:colOff>430307</xdr:colOff>
      <xdr:row>21</xdr:row>
      <xdr:rowOff>71717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061C4A-A4C5-D162-DA4B-15637A68B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942C-82E6-490A-8E47-B82213F8B0DF}">
  <dimension ref="A1:AK50"/>
  <sheetViews>
    <sheetView tabSelected="1" topLeftCell="A10" zoomScale="85" zoomScaleNormal="85" workbookViewId="0">
      <selection activeCell="E36" sqref="E36:G37"/>
    </sheetView>
  </sheetViews>
  <sheetFormatPr defaultRowHeight="14.45"/>
  <cols>
    <col min="2" max="2" width="10.7109375" customWidth="1"/>
    <col min="5" max="5" width="12.85546875" bestFit="1" customWidth="1"/>
    <col min="6" max="6" width="10.7109375" bestFit="1" customWidth="1"/>
    <col min="7" max="7" width="19.5703125" customWidth="1"/>
    <col min="8" max="8" width="9.85546875" customWidth="1"/>
    <col min="9" max="9" width="12.42578125" bestFit="1" customWidth="1"/>
  </cols>
  <sheetData>
    <row r="1" spans="1:3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I1" s="6" t="s">
        <v>7</v>
      </c>
      <c r="J1" s="21" t="s">
        <v>8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8" t="s">
        <v>9</v>
      </c>
      <c r="W1" s="2" t="s">
        <v>10</v>
      </c>
      <c r="X1" s="1" t="s">
        <v>11</v>
      </c>
      <c r="AG1" s="15">
        <v>7.5</v>
      </c>
      <c r="AH1" s="15">
        <v>3.51</v>
      </c>
      <c r="AI1" s="15"/>
      <c r="AJ1" s="15"/>
    </row>
    <row r="2" spans="1:37">
      <c r="A2" s="1">
        <v>1</v>
      </c>
      <c r="B2" s="5">
        <v>17.77</v>
      </c>
      <c r="C2" s="22">
        <f>AVERAGE(B2:B4)</f>
        <v>17.816666666666666</v>
      </c>
      <c r="D2" s="22">
        <f>$C$2/$E$2</f>
        <v>1.7816666666666667</v>
      </c>
      <c r="E2" s="25">
        <v>10</v>
      </c>
      <c r="F2" s="28">
        <f>2*PI()/D2</f>
        <v>3.5265773473412083</v>
      </c>
      <c r="G2" s="21">
        <v>2.92</v>
      </c>
      <c r="I2" s="1"/>
      <c r="J2" s="9" t="s">
        <v>12</v>
      </c>
      <c r="K2" s="9">
        <v>0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9">
        <v>6</v>
      </c>
      <c r="R2" s="9">
        <v>7</v>
      </c>
      <c r="S2" s="9">
        <v>8</v>
      </c>
      <c r="T2" s="9">
        <v>9</v>
      </c>
      <c r="U2" s="9">
        <v>10</v>
      </c>
      <c r="V2" s="12"/>
      <c r="W2" s="12"/>
      <c r="X2" s="12"/>
      <c r="AG2" s="15">
        <v>8</v>
      </c>
      <c r="AH2" s="15">
        <v>3.83</v>
      </c>
      <c r="AI2" s="15"/>
      <c r="AJ2" s="15"/>
    </row>
    <row r="3" spans="1:37">
      <c r="A3" s="1">
        <v>2</v>
      </c>
      <c r="B3" s="5">
        <v>17.87</v>
      </c>
      <c r="C3" s="23"/>
      <c r="D3" s="23"/>
      <c r="E3" s="26"/>
      <c r="F3" s="29"/>
      <c r="G3" s="21"/>
      <c r="I3" s="1">
        <v>0</v>
      </c>
      <c r="J3" s="1" t="s">
        <v>13</v>
      </c>
      <c r="K3" s="14">
        <v>19</v>
      </c>
      <c r="L3" s="14">
        <v>18.7</v>
      </c>
      <c r="M3" s="14">
        <v>18.3</v>
      </c>
      <c r="N3" s="14">
        <v>18</v>
      </c>
      <c r="O3" s="14">
        <v>17.600000000000001</v>
      </c>
      <c r="P3" s="14">
        <v>17.399999999999999</v>
      </c>
      <c r="Q3" s="14">
        <v>17</v>
      </c>
      <c r="R3" s="14">
        <v>16.7</v>
      </c>
      <c r="S3" s="14">
        <v>16.399999999999999</v>
      </c>
      <c r="T3" s="14">
        <v>16</v>
      </c>
      <c r="U3" s="14">
        <v>15.5</v>
      </c>
      <c r="V3" s="12"/>
      <c r="W3" s="12"/>
      <c r="X3" s="12"/>
      <c r="AG3" s="15">
        <v>8.5</v>
      </c>
      <c r="AH3" s="15">
        <v>4.05</v>
      </c>
      <c r="AI3" s="15"/>
      <c r="AJ3" s="15"/>
    </row>
    <row r="4" spans="1:37">
      <c r="A4" s="1">
        <v>3</v>
      </c>
      <c r="B4" s="5">
        <v>17.809999999999999</v>
      </c>
      <c r="C4" s="24"/>
      <c r="D4" s="24"/>
      <c r="E4" s="27"/>
      <c r="F4" s="30"/>
      <c r="G4" s="21"/>
      <c r="I4" s="1"/>
      <c r="J4" s="1" t="s">
        <v>14</v>
      </c>
      <c r="K4" s="14">
        <f t="shared" ref="K4:U4" si="0">LN($K$3/K3)</f>
        <v>0</v>
      </c>
      <c r="L4" s="14">
        <f t="shared" si="0"/>
        <v>1.5915455305899582E-2</v>
      </c>
      <c r="M4" s="14">
        <f t="shared" si="0"/>
        <v>3.7537919319065242E-2</v>
      </c>
      <c r="N4" s="14">
        <f t="shared" si="0"/>
        <v>5.4067221270275793E-2</v>
      </c>
      <c r="O4" s="14">
        <f t="shared" si="0"/>
        <v>7.6540077122334196E-2</v>
      </c>
      <c r="P4" s="14">
        <f t="shared" si="0"/>
        <v>8.7968772945957216E-2</v>
      </c>
      <c r="Q4" s="14">
        <f t="shared" si="0"/>
        <v>0.1112256351102244</v>
      </c>
      <c r="R4" s="14">
        <f t="shared" si="0"/>
        <v>0.12903025974373111</v>
      </c>
      <c r="S4" s="14">
        <f t="shared" si="0"/>
        <v>0.14715764433628784</v>
      </c>
      <c r="T4" s="14">
        <f t="shared" si="0"/>
        <v>0.17185025692665923</v>
      </c>
      <c r="U4" s="14">
        <f t="shared" si="0"/>
        <v>0.20359895524123955</v>
      </c>
      <c r="V4" s="14">
        <f>AVERAGE(L10:U10)</f>
        <v>2.0359895524123948E-2</v>
      </c>
      <c r="W4" s="14">
        <f>SQRT(V4^2*$F$2^2/(4*PI()^2+V4^2))</f>
        <v>1.1427383705336891E-2</v>
      </c>
      <c r="X4" s="14">
        <f>PI()/V4</f>
        <v>154.30298499652889</v>
      </c>
      <c r="Y4">
        <f>F2/(2*W4)</f>
        <v>154.30379508890576</v>
      </c>
      <c r="Z4">
        <f>V4/D2</f>
        <v>1.1427443699227661E-2</v>
      </c>
      <c r="AB4">
        <f>1/(2*W4)</f>
        <v>43.754547225581192</v>
      </c>
      <c r="AG4" s="15">
        <v>9</v>
      </c>
      <c r="AH4" s="15">
        <v>4.83</v>
      </c>
      <c r="AI4" s="15"/>
      <c r="AJ4" s="15" cm="1">
        <f t="array" ref="AJ4:AK4">LINEST(AH1:AH4,AG1:AG4)</f>
        <v>0.83600000000000008</v>
      </c>
      <c r="AK4">
        <v>-2.8420000000000005</v>
      </c>
    </row>
    <row r="5" spans="1:37">
      <c r="G5" s="1" t="s">
        <v>15</v>
      </c>
      <c r="I5" s="1">
        <v>200</v>
      </c>
      <c r="J5" s="1" t="s">
        <v>13</v>
      </c>
      <c r="K5" s="14">
        <v>19</v>
      </c>
      <c r="L5" s="14">
        <v>17.600000000000001</v>
      </c>
      <c r="M5" s="14">
        <v>16.399999999999999</v>
      </c>
      <c r="N5" s="14">
        <v>15.2</v>
      </c>
      <c r="O5" s="14">
        <v>13.8</v>
      </c>
      <c r="P5" s="14">
        <v>12.5</v>
      </c>
      <c r="Q5" s="14">
        <v>11.6</v>
      </c>
      <c r="R5" s="14">
        <v>10.4</v>
      </c>
      <c r="S5" s="14">
        <v>9.4</v>
      </c>
      <c r="T5" s="14">
        <v>8.6</v>
      </c>
      <c r="U5" s="14">
        <v>7.8</v>
      </c>
      <c r="V5" s="14"/>
      <c r="W5" s="14"/>
      <c r="X5" s="5"/>
      <c r="AG5" s="15"/>
      <c r="AH5" s="15"/>
      <c r="AI5" s="15"/>
      <c r="AJ5" s="15"/>
    </row>
    <row r="6" spans="1:37">
      <c r="A6" s="1" t="s">
        <v>16</v>
      </c>
      <c r="B6" s="14">
        <v>7.5</v>
      </c>
      <c r="C6" s="14">
        <v>8</v>
      </c>
      <c r="D6" s="14">
        <v>8.5</v>
      </c>
      <c r="E6" s="14">
        <v>9</v>
      </c>
      <c r="G6" s="1">
        <v>0.34899999999999998</v>
      </c>
      <c r="I6" s="1"/>
      <c r="J6" s="1" t="s">
        <v>14</v>
      </c>
      <c r="K6" s="14">
        <f t="shared" ref="K6:U6" si="1">LN($K$5/K5)</f>
        <v>0</v>
      </c>
      <c r="L6" s="14">
        <f t="shared" si="1"/>
        <v>7.6540077122334196E-2</v>
      </c>
      <c r="M6" s="14">
        <f t="shared" si="1"/>
        <v>0.14715764433628784</v>
      </c>
      <c r="N6" s="14">
        <f t="shared" si="1"/>
        <v>0.22314355131420976</v>
      </c>
      <c r="O6" s="14">
        <f t="shared" si="1"/>
        <v>0.31977038700328136</v>
      </c>
      <c r="P6" s="14">
        <f t="shared" si="1"/>
        <v>0.41871033485818504</v>
      </c>
      <c r="Q6" s="14">
        <f t="shared" si="1"/>
        <v>0.4934338810541215</v>
      </c>
      <c r="R6" s="14">
        <f t="shared" si="1"/>
        <v>0.60263317301911346</v>
      </c>
      <c r="S6" s="14">
        <f t="shared" si="1"/>
        <v>0.70372928989048233</v>
      </c>
      <c r="T6" s="14">
        <f t="shared" si="1"/>
        <v>0.79267677590697838</v>
      </c>
      <c r="U6" s="14">
        <f t="shared" si="1"/>
        <v>0.89031524547089447</v>
      </c>
      <c r="V6" s="14">
        <f>AVERAGE(L11:U11)</f>
        <v>8.9031524547089472E-2</v>
      </c>
      <c r="W6" s="14">
        <f>SQRT(V6^2*$F$2^2/(4*PI()^2+V6^2))</f>
        <v>4.996590525636057E-2</v>
      </c>
      <c r="X6" s="14">
        <f>PI()/V6</f>
        <v>35.286295158611829</v>
      </c>
      <c r="Y6">
        <f>F2/(2*W6)</f>
        <v>35.289837432618931</v>
      </c>
      <c r="Z6">
        <f>V6/D2</f>
        <v>4.9970921167683521E-2</v>
      </c>
      <c r="AB6">
        <f>1/(2*W6)</f>
        <v>10.006823601706904</v>
      </c>
      <c r="AG6" s="15"/>
      <c r="AH6" s="15"/>
      <c r="AI6" s="15"/>
      <c r="AJ6" s="15"/>
    </row>
    <row r="7" spans="1:37">
      <c r="A7" s="1" t="s">
        <v>4</v>
      </c>
      <c r="B7" s="14">
        <v>5</v>
      </c>
      <c r="C7" s="14">
        <v>5</v>
      </c>
      <c r="D7" s="14">
        <v>5</v>
      </c>
      <c r="E7" s="14">
        <v>10</v>
      </c>
      <c r="I7" s="1">
        <v>400</v>
      </c>
      <c r="J7" s="1" t="s">
        <v>13</v>
      </c>
      <c r="K7" s="14">
        <v>19</v>
      </c>
      <c r="L7" s="14">
        <v>14.6</v>
      </c>
      <c r="M7" s="14">
        <v>11.2</v>
      </c>
      <c r="N7" s="14">
        <v>8.8000000000000007</v>
      </c>
      <c r="O7" s="14">
        <v>6.8</v>
      </c>
      <c r="P7" s="14">
        <v>5.2</v>
      </c>
      <c r="Q7" s="14">
        <v>3.8</v>
      </c>
      <c r="R7" s="14">
        <v>2.8</v>
      </c>
      <c r="S7" s="14">
        <v>1.4</v>
      </c>
      <c r="T7" s="14">
        <v>1</v>
      </c>
      <c r="U7" s="14">
        <v>0.6</v>
      </c>
      <c r="V7" s="14"/>
      <c r="W7" s="14"/>
      <c r="X7" s="5"/>
      <c r="AG7" s="15"/>
      <c r="AH7" s="15"/>
      <c r="AI7" s="15"/>
      <c r="AJ7" s="15"/>
    </row>
    <row r="8" spans="1:37">
      <c r="A8" s="1" t="s">
        <v>1</v>
      </c>
      <c r="B8" s="14">
        <v>9.08</v>
      </c>
      <c r="C8" s="14">
        <v>8.61</v>
      </c>
      <c r="D8" s="14">
        <v>8.14</v>
      </c>
      <c r="E8" s="14">
        <v>15.3</v>
      </c>
      <c r="G8">
        <f>B2/$E$2</f>
        <v>1.7769999999999999</v>
      </c>
      <c r="I8" s="1"/>
      <c r="J8" s="1" t="s">
        <v>14</v>
      </c>
      <c r="K8" s="14">
        <f t="shared" ref="K8:U8" si="2">LN($K$7/K7)</f>
        <v>0</v>
      </c>
      <c r="L8" s="14">
        <f t="shared" si="2"/>
        <v>0.26341745045214976</v>
      </c>
      <c r="M8" s="14">
        <f t="shared" si="2"/>
        <v>0.52852520086539168</v>
      </c>
      <c r="N8" s="14">
        <f t="shared" si="2"/>
        <v>0.76968725768227952</v>
      </c>
      <c r="O8" s="14">
        <f t="shared" si="2"/>
        <v>1.0275163669843796</v>
      </c>
      <c r="P8" s="14">
        <f t="shared" si="2"/>
        <v>1.2957803535790589</v>
      </c>
      <c r="Q8" s="14">
        <f t="shared" si="2"/>
        <v>1.6094379124341003</v>
      </c>
      <c r="R8" s="14">
        <f t="shared" si="2"/>
        <v>1.9148195619852824</v>
      </c>
      <c r="S8" s="14">
        <f t="shared" si="2"/>
        <v>2.6079667425452278</v>
      </c>
      <c r="T8" s="14">
        <f t="shared" si="2"/>
        <v>2.9444389791664403</v>
      </c>
      <c r="U8" s="14">
        <f t="shared" si="2"/>
        <v>3.4552646029324312</v>
      </c>
      <c r="V8" s="14">
        <f>AVERAGE(L12:U12)</f>
        <v>0.34552646029324319</v>
      </c>
      <c r="W8" s="14">
        <f t="shared" ref="W8" si="3">SQRT(V8^2*$F$2^2/(4*PI()^2+V8^2))</f>
        <v>0.19364182278325476</v>
      </c>
      <c r="X8" s="14">
        <f>PI()/V8</f>
        <v>9.0921912345687499</v>
      </c>
      <c r="Y8">
        <f>F2/(2*W8)</f>
        <v>9.105928917247752</v>
      </c>
      <c r="Z8">
        <f>V8/D2</f>
        <v>0.1939344024096781</v>
      </c>
      <c r="AB8">
        <f>1/(2*W8)</f>
        <v>2.5820868282140426</v>
      </c>
      <c r="AG8" s="15"/>
      <c r="AH8" s="15"/>
      <c r="AI8" s="15"/>
      <c r="AJ8" s="15"/>
    </row>
    <row r="9" spans="1:37" ht="15" thickBot="1">
      <c r="A9" s="1" t="s">
        <v>17</v>
      </c>
      <c r="B9" s="14">
        <v>1.79</v>
      </c>
      <c r="C9" s="14">
        <v>1.64</v>
      </c>
      <c r="D9" s="14">
        <v>1.55</v>
      </c>
      <c r="E9" s="14">
        <v>1.3</v>
      </c>
      <c r="G9">
        <f t="shared" ref="G9" si="4">B3/$E$2</f>
        <v>1.7870000000000001</v>
      </c>
      <c r="AG9" s="15"/>
      <c r="AH9" s="15"/>
      <c r="AI9" s="15"/>
      <c r="AJ9" s="15"/>
    </row>
    <row r="10" spans="1:37" ht="15" thickBot="1">
      <c r="A10" s="1" t="s">
        <v>18</v>
      </c>
      <c r="B10" s="14">
        <f>2*PI()/B9</f>
        <v>3.5101593894858021</v>
      </c>
      <c r="C10" s="14">
        <f t="shared" ref="C10:E10" si="5">2*PI()/C9</f>
        <v>3.8312105531582845</v>
      </c>
      <c r="D10" s="14">
        <f t="shared" si="5"/>
        <v>4.0536679401158624</v>
      </c>
      <c r="E10" s="14">
        <f t="shared" si="5"/>
        <v>4.8332194670612196</v>
      </c>
      <c r="G10">
        <f>B4/$E$2</f>
        <v>1.7809999999999999</v>
      </c>
      <c r="H10">
        <f>AVERAGE(G8:G10)</f>
        <v>1.7816666666666665</v>
      </c>
      <c r="L10">
        <f>LN(K3/L3)</f>
        <v>1.5915455305899582E-2</v>
      </c>
      <c r="M10">
        <f>LN(L3/M3)</f>
        <v>2.1622464013165709E-2</v>
      </c>
      <c r="N10">
        <f t="shared" ref="N10:U10" si="6">LN(M3/N3)</f>
        <v>1.6529301951210506E-2</v>
      </c>
      <c r="O10">
        <f>LN(N3/O3)</f>
        <v>2.2472855852058576E-2</v>
      </c>
      <c r="P10">
        <f t="shared" si="6"/>
        <v>1.142869582362285E-2</v>
      </c>
      <c r="Q10">
        <f t="shared" si="6"/>
        <v>2.3256862164267183E-2</v>
      </c>
      <c r="R10">
        <f t="shared" si="6"/>
        <v>1.7804624633506686E-2</v>
      </c>
      <c r="S10">
        <f t="shared" si="6"/>
        <v>1.8127384592556701E-2</v>
      </c>
      <c r="T10">
        <f t="shared" si="6"/>
        <v>2.4692612590371414E-2</v>
      </c>
      <c r="U10">
        <f t="shared" si="6"/>
        <v>3.174869831458027E-2</v>
      </c>
      <c r="V10" s="11"/>
      <c r="Y10">
        <f>2.5/8</f>
        <v>0.3125</v>
      </c>
      <c r="AB10">
        <f>SQRT(L10^2*$F$2^2/(4*PI()^2+L10^2))</f>
        <v>8.9328742269674868E-3</v>
      </c>
      <c r="AC10">
        <f t="shared" ref="AC10:AK10" si="7">SQRT(M10^2*$F$2^2/(4*PI()^2+M10^2))</f>
        <v>1.2136016452846411E-2</v>
      </c>
      <c r="AD10">
        <f t="shared" si="7"/>
        <v>9.2774058490742977E-3</v>
      </c>
      <c r="AE10">
        <f t="shared" si="7"/>
        <v>1.2613308949100123E-2</v>
      </c>
      <c r="AF10">
        <f t="shared" si="7"/>
        <v>6.4145988312303455E-3</v>
      </c>
      <c r="AG10">
        <f t="shared" si="7"/>
        <v>1.3053341168392296E-2</v>
      </c>
      <c r="AH10">
        <f t="shared" si="7"/>
        <v>9.9932010196196446E-3</v>
      </c>
      <c r="AI10">
        <f t="shared" si="7"/>
        <v>1.0174354995653726E-2</v>
      </c>
      <c r="AJ10">
        <f t="shared" si="7"/>
        <v>1.3859170389056095E-2</v>
      </c>
      <c r="AK10">
        <f t="shared" si="7"/>
        <v>1.7819434805426825E-2</v>
      </c>
    </row>
    <row r="11" spans="1:37">
      <c r="I11" cm="1">
        <f t="array" ref="I11">SQRT(SUM(G8:G10-H10)^2/3)</f>
        <v>2.5639502485114184E-16</v>
      </c>
      <c r="J11" s="16" t="s">
        <v>19</v>
      </c>
      <c r="L11">
        <f>LN(K5/L5)</f>
        <v>7.6540077122334196E-2</v>
      </c>
      <c r="M11">
        <f t="shared" ref="M11:U11" si="8">LN(L5/M5)</f>
        <v>7.0617567213953625E-2</v>
      </c>
      <c r="N11">
        <f t="shared" si="8"/>
        <v>7.5985906977922055E-2</v>
      </c>
      <c r="O11">
        <f t="shared" si="8"/>
        <v>9.6626835689071502E-2</v>
      </c>
      <c r="P11">
        <f t="shared" si="8"/>
        <v>9.8939947854903648E-2</v>
      </c>
      <c r="Q11">
        <f t="shared" si="8"/>
        <v>7.4723546195936574E-2</v>
      </c>
      <c r="R11">
        <f t="shared" si="8"/>
        <v>0.10919929196499201</v>
      </c>
      <c r="S11">
        <f t="shared" si="8"/>
        <v>0.10109611687136881</v>
      </c>
      <c r="T11">
        <f t="shared" si="8"/>
        <v>8.894748601649631E-2</v>
      </c>
      <c r="U11">
        <f t="shared" si="8"/>
        <v>9.7638469563916072E-2</v>
      </c>
      <c r="Y11">
        <f>1/11.5</f>
        <v>8.6956521739130432E-2</v>
      </c>
      <c r="AB11">
        <f>SQRT(L11^2*$F$2^2/(4*PI()^2+L11^2))</f>
        <v>4.2956631630204356E-2</v>
      </c>
      <c r="AC11">
        <f t="shared" ref="AC11:AC12" si="9">SQRT(M11^2*$F$2^2/(4*PI()^2+M11^2))</f>
        <v>3.963317539539183E-2</v>
      </c>
      <c r="AD11">
        <f t="shared" ref="AD11:AD12" si="10">SQRT(N11^2*$F$2^2/(4*PI()^2+N11^2))</f>
        <v>4.2645660046960805E-2</v>
      </c>
      <c r="AE11">
        <f t="shared" ref="AE11:AE12" si="11">SQRT(O11^2*$F$2^2/(4*PI()^2+O11^2))</f>
        <v>5.4227546194686324E-2</v>
      </c>
      <c r="AF11">
        <f t="shared" ref="AF11:AF12" si="12">SQRT(P11^2*$F$2^2/(4*PI()^2+P11^2))</f>
        <v>5.5525360245872291E-2</v>
      </c>
      <c r="AG11">
        <f t="shared" ref="AG11:AG12" si="13">SQRT(Q11^2*$F$2^2/(4*PI()^2+Q11^2))</f>
        <v>4.1937284853788843E-2</v>
      </c>
      <c r="AH11">
        <f t="shared" ref="AH11:AH12" si="14">SQRT(R11^2*$F$2^2/(4*PI()^2+R11^2))</f>
        <v>6.1281274370321347E-2</v>
      </c>
      <c r="AI11">
        <f t="shared" ref="AI11:AI12" si="15">SQRT(S11^2*$F$2^2/(4*PI()^2+S11^2))</f>
        <v>5.6735098152038511E-2</v>
      </c>
      <c r="AJ11">
        <f t="shared" ref="AJ11:AJ12" si="16">SQRT(T11^2*$F$2^2/(4*PI()^2+T11^2))</f>
        <v>4.9918750952994084E-2</v>
      </c>
      <c r="AK11">
        <f t="shared" ref="AK11" si="17">SQRT(U11^2*$F$2^2/(4*PI()^2+U11^2))</f>
        <v>5.4795144697097072E-2</v>
      </c>
    </row>
    <row r="12" spans="1:37">
      <c r="A12" s="1" t="s">
        <v>16</v>
      </c>
      <c r="B12" s="1" t="s">
        <v>20</v>
      </c>
      <c r="C12" s="1" t="s">
        <v>21</v>
      </c>
      <c r="D12" s="1" t="s">
        <v>7</v>
      </c>
      <c r="E12" s="1">
        <v>0</v>
      </c>
      <c r="F12" s="1">
        <v>200</v>
      </c>
      <c r="G12" s="1">
        <v>400</v>
      </c>
      <c r="I12">
        <f>G2*I11</f>
        <v>7.4867347256533411E-16</v>
      </c>
      <c r="L12">
        <f t="shared" ref="L12:U12" si="18">LN(K7/L7)</f>
        <v>0.26341745045214976</v>
      </c>
      <c r="M12">
        <f t="shared" si="18"/>
        <v>0.26510775041324192</v>
      </c>
      <c r="N12">
        <f t="shared" si="18"/>
        <v>0.24116205681688788</v>
      </c>
      <c r="O12">
        <f t="shared" si="18"/>
        <v>0.25782910930209985</v>
      </c>
      <c r="P12">
        <f t="shared" si="18"/>
        <v>0.26826398659467937</v>
      </c>
      <c r="Q12">
        <f t="shared" si="18"/>
        <v>0.3136575588550416</v>
      </c>
      <c r="R12">
        <f t="shared" si="18"/>
        <v>0.30538164955118191</v>
      </c>
      <c r="S12">
        <f t="shared" si="18"/>
        <v>0.69314718055994529</v>
      </c>
      <c r="T12">
        <f t="shared" si="18"/>
        <v>0.33647223662121289</v>
      </c>
      <c r="U12">
        <f t="shared" si="18"/>
        <v>0.51082562376599072</v>
      </c>
      <c r="AB12">
        <f t="shared" ref="AB12" si="19">SQRT(L12^2*$F$2^2/(4*PI()^2+L12^2))</f>
        <v>0.14771913505494194</v>
      </c>
      <c r="AC12">
        <f t="shared" si="9"/>
        <v>0.14866534167723355</v>
      </c>
      <c r="AD12">
        <f t="shared" si="10"/>
        <v>0.13525796873900969</v>
      </c>
      <c r="AE12">
        <f t="shared" si="11"/>
        <v>0.14459063231360464</v>
      </c>
      <c r="AF12">
        <f t="shared" si="12"/>
        <v>0.15043207293585756</v>
      </c>
      <c r="AG12">
        <f t="shared" si="13"/>
        <v>0.17582832578464633</v>
      </c>
      <c r="AH12">
        <f t="shared" si="14"/>
        <v>0.1712001458565075</v>
      </c>
      <c r="AI12">
        <f t="shared" si="15"/>
        <v>0.3866983082299284</v>
      </c>
      <c r="AJ12">
        <f t="shared" si="16"/>
        <v>0.18858230992966374</v>
      </c>
      <c r="AK12">
        <f>SQRT(U12^2*$F$2^2/(4*PI()^2+U12^2))</f>
        <v>0.285769352601416</v>
      </c>
    </row>
    <row r="13" spans="1:37" ht="14.45" customHeight="1">
      <c r="A13" s="7">
        <v>0</v>
      </c>
      <c r="B13" s="13">
        <v>0</v>
      </c>
      <c r="C13" s="14">
        <f>B13/$F$2</f>
        <v>0</v>
      </c>
      <c r="D13" s="18"/>
      <c r="E13" s="14">
        <v>0</v>
      </c>
      <c r="F13" s="14">
        <v>0</v>
      </c>
      <c r="G13" s="14">
        <v>0</v>
      </c>
    </row>
    <row r="14" spans="1:37" ht="14.45" customHeight="1">
      <c r="A14" s="7">
        <v>7</v>
      </c>
      <c r="B14" s="13">
        <f>0.507*2*PI()</f>
        <v>3.1855749507400501</v>
      </c>
      <c r="C14" s="14">
        <f t="shared" ref="C14:C34" si="20">B14/$F$2</f>
        <v>0.90330500000000002</v>
      </c>
      <c r="D14" s="19"/>
      <c r="E14" s="14">
        <v>2.9</v>
      </c>
      <c r="F14" s="14">
        <v>2.6</v>
      </c>
      <c r="G14" s="14">
        <v>1.9</v>
      </c>
      <c r="Y14" t="s">
        <v>22</v>
      </c>
      <c r="AB14">
        <f>PI()/L10</f>
        <v>197.39257176169252</v>
      </c>
      <c r="AC14">
        <f t="shared" ref="AC14:AK14" si="21">PI()/M10</f>
        <v>145.2929995247955</v>
      </c>
      <c r="AD14">
        <f t="shared" si="21"/>
        <v>190.06202820075666</v>
      </c>
      <c r="AE14">
        <f t="shared" si="21"/>
        <v>139.79498975436246</v>
      </c>
      <c r="AF14">
        <f t="shared" si="21"/>
        <v>274.88636517004801</v>
      </c>
      <c r="AG14">
        <f t="shared" si="21"/>
        <v>135.08239552697128</v>
      </c>
      <c r="AH14">
        <f t="shared" si="21"/>
        <v>176.44812616142443</v>
      </c>
      <c r="AI14">
        <f t="shared" si="21"/>
        <v>173.3064490108388</v>
      </c>
      <c r="AJ14">
        <f t="shared" si="21"/>
        <v>127.2280380252197</v>
      </c>
      <c r="AK14">
        <f t="shared" si="21"/>
        <v>98.951856937928326</v>
      </c>
    </row>
    <row r="15" spans="1:37" ht="14.45" customHeight="1">
      <c r="A15" s="7">
        <v>7.1</v>
      </c>
      <c r="B15" s="13">
        <f>0.521*2*PI()</f>
        <v>3.2735395450405647</v>
      </c>
      <c r="C15" s="14">
        <f t="shared" si="20"/>
        <v>0.92824833333333345</v>
      </c>
      <c r="D15" s="19"/>
      <c r="E15" s="14">
        <v>3.2</v>
      </c>
      <c r="F15" s="14">
        <v>3.1</v>
      </c>
      <c r="G15" s="14">
        <v>1.9</v>
      </c>
      <c r="I15" s="17">
        <f>STDEVPA(G8:G10)</f>
        <v>4.1096093353127508E-3</v>
      </c>
      <c r="J15" t="s">
        <v>23</v>
      </c>
      <c r="K15">
        <f>(LN(19)-LN(K3))/$W$4</f>
        <v>0</v>
      </c>
      <c r="L15">
        <f t="shared" ref="L15:U15" si="22">(LN(19)-LN(L3))/$W$4</f>
        <v>1.3927470815971978</v>
      </c>
      <c r="M15">
        <f t="shared" si="22"/>
        <v>3.2849093271921554</v>
      </c>
      <c r="N15">
        <f t="shared" si="22"/>
        <v>4.7313735728524566</v>
      </c>
      <c r="O15">
        <f t="shared" si="22"/>
        <v>6.6979528381975717</v>
      </c>
      <c r="P15">
        <f t="shared" si="22"/>
        <v>7.6980676604806151</v>
      </c>
      <c r="Q15">
        <f t="shared" si="22"/>
        <v>9.7332546082511247</v>
      </c>
      <c r="R15">
        <f t="shared" si="22"/>
        <v>11.291321186972148</v>
      </c>
      <c r="S15">
        <f t="shared" si="22"/>
        <v>12.877632197434737</v>
      </c>
      <c r="T15">
        <f t="shared" si="22"/>
        <v>15.038460364851536</v>
      </c>
      <c r="U15">
        <f t="shared" si="22"/>
        <v>17.8167602043636</v>
      </c>
      <c r="AB15">
        <f t="shared" ref="AB15:AB16" si="23">PI()/L11</f>
        <v>41.045067782837187</v>
      </c>
      <c r="AC15">
        <f t="shared" ref="AC15:AC16" si="24">PI()/M11</f>
        <v>44.48740982638995</v>
      </c>
      <c r="AD15">
        <f t="shared" ref="AD15:AD16" si="25">PI()/N11</f>
        <v>41.344412122403078</v>
      </c>
      <c r="AE15">
        <f t="shared" ref="AE15:AE16" si="26">PI()/O11</f>
        <v>32.51263100138037</v>
      </c>
      <c r="AF15">
        <f t="shared" ref="AF15:AF16" si="27">PI()/P11</f>
        <v>31.752519803193831</v>
      </c>
      <c r="AG15">
        <f t="shared" ref="AG15:AG16" si="28">PI()/Q11</f>
        <v>42.042874214669311</v>
      </c>
      <c r="AH15">
        <f t="shared" ref="AH15:AH16" si="29">PI()/R11</f>
        <v>28.769350030190218</v>
      </c>
      <c r="AI15">
        <f t="shared" ref="AI15:AI16" si="30">PI()/S11</f>
        <v>31.075304876319301</v>
      </c>
      <c r="AJ15">
        <f t="shared" ref="AJ15:AJ16" si="31">PI()/T11</f>
        <v>35.319634025487233</v>
      </c>
      <c r="AK15">
        <f t="shared" ref="AK15:AK16" si="32">PI()/U11</f>
        <v>32.175767068258324</v>
      </c>
    </row>
    <row r="16" spans="1:37" ht="14.45" customHeight="1">
      <c r="A16" s="7">
        <v>7.2</v>
      </c>
      <c r="B16" s="13">
        <f>0.526*2*PI()</f>
        <v>3.3049554715764624</v>
      </c>
      <c r="C16" s="14">
        <f t="shared" si="20"/>
        <v>0.93715666666666675</v>
      </c>
      <c r="D16" s="19"/>
      <c r="E16" s="14">
        <v>3.6</v>
      </c>
      <c r="F16" s="14">
        <v>3.4</v>
      </c>
      <c r="G16" s="14">
        <v>2</v>
      </c>
      <c r="I16">
        <f>2*PI()*I15/H10^2</f>
        <v>8.1344369625832979E-3</v>
      </c>
      <c r="J16" t="s">
        <v>24</v>
      </c>
      <c r="L16">
        <f>L15-K15</f>
        <v>1.3927470815971978</v>
      </c>
      <c r="M16">
        <f t="shared" ref="M16:U16" si="33">M15-L15</f>
        <v>1.8921622455949576</v>
      </c>
      <c r="N16">
        <f t="shared" si="33"/>
        <v>1.4464642456603012</v>
      </c>
      <c r="O16">
        <f t="shared" si="33"/>
        <v>1.9665792653451151</v>
      </c>
      <c r="P16">
        <f t="shared" si="33"/>
        <v>1.0001148222830434</v>
      </c>
      <c r="Q16">
        <f t="shared" si="33"/>
        <v>2.0351869477705096</v>
      </c>
      <c r="R16">
        <f t="shared" si="33"/>
        <v>1.5580665787210233</v>
      </c>
      <c r="S16">
        <f t="shared" si="33"/>
        <v>1.5863110104625893</v>
      </c>
      <c r="T16">
        <f t="shared" si="33"/>
        <v>2.1608281674167991</v>
      </c>
      <c r="U16">
        <f t="shared" si="33"/>
        <v>2.7782998395120639</v>
      </c>
      <c r="AB16">
        <f t="shared" si="23"/>
        <v>11.926289045001857</v>
      </c>
      <c r="AC16">
        <f t="shared" si="24"/>
        <v>11.850248243187059</v>
      </c>
      <c r="AD16">
        <f t="shared" si="25"/>
        <v>13.026894425499014</v>
      </c>
      <c r="AE16">
        <f t="shared" si="26"/>
        <v>12.184786512638381</v>
      </c>
      <c r="AF16">
        <f t="shared" si="27"/>
        <v>11.7108251967359</v>
      </c>
      <c r="AG16">
        <f t="shared" si="28"/>
        <v>10.015995358306336</v>
      </c>
      <c r="AH16">
        <f t="shared" si="29"/>
        <v>10.287431016915974</v>
      </c>
      <c r="AI16">
        <f t="shared" si="30"/>
        <v>4.5323601418271942</v>
      </c>
      <c r="AJ16">
        <f t="shared" si="31"/>
        <v>9.3368555014732859</v>
      </c>
      <c r="AK16">
        <f t="shared" si="32"/>
        <v>6.1500294962277717</v>
      </c>
    </row>
    <row r="17" spans="1:25" ht="14.45" customHeight="1">
      <c r="A17" s="7">
        <v>7.3</v>
      </c>
      <c r="B17" s="13">
        <f>0.529*2*PI()</f>
        <v>3.3238050274980013</v>
      </c>
      <c r="C17" s="14">
        <f t="shared" si="20"/>
        <v>0.94250166666666679</v>
      </c>
      <c r="D17" s="19"/>
      <c r="E17" s="14">
        <v>4.8</v>
      </c>
      <c r="F17" s="14">
        <v>4.2</v>
      </c>
      <c r="G17" s="14">
        <v>2.4</v>
      </c>
      <c r="K17">
        <f>(LN(19)-LN(K5))/$W$6</f>
        <v>0</v>
      </c>
      <c r="L17">
        <f t="shared" ref="L17:U17" si="34">(LN(19)-LN(L5))/$W$6</f>
        <v>1.5318461004484751</v>
      </c>
      <c r="M17">
        <f t="shared" si="34"/>
        <v>2.9451611770319026</v>
      </c>
      <c r="N17">
        <f t="shared" si="34"/>
        <v>4.4659163117194591</v>
      </c>
      <c r="O17">
        <f t="shared" si="34"/>
        <v>6.3997717115827673</v>
      </c>
      <c r="P17">
        <f t="shared" si="34"/>
        <v>8.379920922274966</v>
      </c>
      <c r="Q17">
        <f t="shared" si="34"/>
        <v>9.8754116136284349</v>
      </c>
      <c r="R17">
        <f t="shared" si="34"/>
        <v>12.060887717878366</v>
      </c>
      <c r="S17">
        <f t="shared" si="34"/>
        <v>14.084189734577027</v>
      </c>
      <c r="T17">
        <f t="shared" si="34"/>
        <v>15.864353339341772</v>
      </c>
      <c r="U17">
        <f t="shared" si="34"/>
        <v>17.818455222675237</v>
      </c>
      <c r="W17">
        <f>STDEVPA(L10:U12)</f>
        <v>0.16104221540729283</v>
      </c>
      <c r="X17">
        <f>STDEVPA(AB10:AK12)</f>
        <v>9.001841448866961E-2</v>
      </c>
      <c r="Y17">
        <f>STDEVPA(AB14:AK16)</f>
        <v>73.315974149363015</v>
      </c>
    </row>
    <row r="18" spans="1:25" ht="14.45" customHeight="1">
      <c r="A18" s="7">
        <v>7.4</v>
      </c>
      <c r="B18" s="13">
        <f>0.532*2*PI()</f>
        <v>3.3426545834195402</v>
      </c>
      <c r="C18" s="14">
        <f t="shared" si="20"/>
        <v>0.94784666666666684</v>
      </c>
      <c r="D18" s="19"/>
      <c r="E18" s="14">
        <v>6.6</v>
      </c>
      <c r="F18" s="14">
        <v>5.2</v>
      </c>
      <c r="G18" s="14">
        <v>2.8</v>
      </c>
      <c r="I18" s="17">
        <f>STDEVPA(I20:I22)</f>
        <v>8.1300258754345156E-3</v>
      </c>
      <c r="J18" t="s">
        <v>24</v>
      </c>
      <c r="L18">
        <f>L17-K17</f>
        <v>1.5318461004484751</v>
      </c>
      <c r="M18">
        <f t="shared" ref="M18:U18" si="35">M17-L17</f>
        <v>1.4133150765834275</v>
      </c>
      <c r="N18">
        <f t="shared" si="35"/>
        <v>1.5207551346875565</v>
      </c>
      <c r="O18">
        <f t="shared" si="35"/>
        <v>1.9338553998633081</v>
      </c>
      <c r="P18">
        <f t="shared" si="35"/>
        <v>1.9801492106921987</v>
      </c>
      <c r="Q18">
        <f t="shared" si="35"/>
        <v>1.4954906913534689</v>
      </c>
      <c r="R18">
        <f t="shared" si="35"/>
        <v>2.1854761042499309</v>
      </c>
      <c r="S18">
        <f t="shared" si="35"/>
        <v>2.0233020166986613</v>
      </c>
      <c r="T18">
        <f t="shared" si="35"/>
        <v>1.7801636047647449</v>
      </c>
      <c r="U18">
        <f t="shared" si="35"/>
        <v>1.9541018833334647</v>
      </c>
    </row>
    <row r="19" spans="1:25" ht="14.45" customHeight="1">
      <c r="A19" s="7">
        <v>7.5</v>
      </c>
      <c r="B19" s="13">
        <f>0.562*2*PI()</f>
        <v>3.5311501426349277</v>
      </c>
      <c r="C19" s="14">
        <f t="shared" si="20"/>
        <v>1.0012966666666667</v>
      </c>
      <c r="D19" s="19"/>
      <c r="E19" s="14">
        <v>9.6</v>
      </c>
      <c r="F19" s="14">
        <v>6.2</v>
      </c>
      <c r="G19" s="14">
        <v>3</v>
      </c>
      <c r="K19">
        <f>(LN(19)-LN(K7))/$W$8</f>
        <v>0</v>
      </c>
      <c r="L19">
        <f t="shared" ref="L19:U19" si="36">(LN(19)-LN(L7))/$W$8</f>
        <v>1.3603334582684401</v>
      </c>
      <c r="M19">
        <f t="shared" si="36"/>
        <v>2.7293959190674171</v>
      </c>
      <c r="N19">
        <f t="shared" si="36"/>
        <v>3.974798659811202</v>
      </c>
      <c r="O19">
        <f t="shared" si="36"/>
        <v>5.3062729539294233</v>
      </c>
      <c r="P19">
        <f t="shared" si="36"/>
        <v>6.6916347664700444</v>
      </c>
      <c r="Q19">
        <f t="shared" si="36"/>
        <v>8.3114168690487915</v>
      </c>
      <c r="R19">
        <f t="shared" si="36"/>
        <v>9.8884607388175585</v>
      </c>
      <c r="S19">
        <f t="shared" si="36"/>
        <v>13.46799314869263</v>
      </c>
      <c r="T19">
        <f t="shared" si="36"/>
        <v>15.205594209171334</v>
      </c>
      <c r="U19">
        <f t="shared" si="36"/>
        <v>17.843586438452107</v>
      </c>
    </row>
    <row r="20" spans="1:25" ht="14.45" customHeight="1">
      <c r="A20" s="7">
        <v>7.6</v>
      </c>
      <c r="B20" s="13">
        <f>0.565*2*PI()</f>
        <v>3.5499996985564657</v>
      </c>
      <c r="C20" s="14">
        <f t="shared" si="20"/>
        <v>1.0066416666666664</v>
      </c>
      <c r="D20" s="19"/>
      <c r="E20" s="14">
        <v>13.2</v>
      </c>
      <c r="F20" s="14">
        <v>8.4</v>
      </c>
      <c r="G20" s="14">
        <v>3.4</v>
      </c>
      <c r="I20">
        <f>2*PI()*$E$2/B2</f>
        <v>3.5358386647043254</v>
      </c>
      <c r="L20">
        <f>L19-K19</f>
        <v>1.3603334582684401</v>
      </c>
      <c r="M20">
        <f t="shared" ref="M20:U20" si="37">M19-L19</f>
        <v>1.369062460798977</v>
      </c>
      <c r="N20">
        <f t="shared" si="37"/>
        <v>1.2454027407437849</v>
      </c>
      <c r="O20">
        <f t="shared" si="37"/>
        <v>1.3314742941182214</v>
      </c>
      <c r="P20">
        <f t="shared" si="37"/>
        <v>1.3853618125406211</v>
      </c>
      <c r="Q20">
        <f t="shared" si="37"/>
        <v>1.6197821025787471</v>
      </c>
      <c r="R20">
        <f t="shared" si="37"/>
        <v>1.577043869768767</v>
      </c>
      <c r="S20">
        <f t="shared" si="37"/>
        <v>3.5795324098750712</v>
      </c>
      <c r="T20">
        <f t="shared" si="37"/>
        <v>1.7376010604787044</v>
      </c>
      <c r="U20">
        <f t="shared" si="37"/>
        <v>2.6379922292807727</v>
      </c>
    </row>
    <row r="21" spans="1:25" ht="14.45" customHeight="1">
      <c r="A21" s="7">
        <v>7.7</v>
      </c>
      <c r="B21" s="13">
        <f>0.565*2*PI()</f>
        <v>3.5499996985564657</v>
      </c>
      <c r="C21" s="14">
        <f t="shared" si="20"/>
        <v>1.0066416666666664</v>
      </c>
      <c r="D21" s="19"/>
      <c r="E21" s="14">
        <v>19.2</v>
      </c>
      <c r="F21" s="14">
        <v>11.6</v>
      </c>
      <c r="G21" s="14">
        <v>3.6</v>
      </c>
      <c r="I21">
        <f t="shared" ref="I21:I22" si="38">2*PI()*$E$2/B3</f>
        <v>3.5160522144261814</v>
      </c>
    </row>
    <row r="22" spans="1:25" ht="14.45" customHeight="1">
      <c r="A22" s="7">
        <v>7.8</v>
      </c>
      <c r="B22" s="13">
        <f>0.571*2*PI()</f>
        <v>3.5876988103995435</v>
      </c>
      <c r="C22" s="14">
        <f t="shared" si="20"/>
        <v>1.0173316666666665</v>
      </c>
      <c r="D22" s="19"/>
      <c r="E22" s="14"/>
      <c r="F22" s="14">
        <v>10.199999999999999</v>
      </c>
      <c r="G22" s="14">
        <v>3.4</v>
      </c>
      <c r="I22">
        <f t="shared" si="38"/>
        <v>3.5278974212125696</v>
      </c>
      <c r="J22">
        <f>AVERAGE(I20:I22)</f>
        <v>3.5265961001143591</v>
      </c>
      <c r="X22" t="s">
        <v>25</v>
      </c>
    </row>
    <row r="23" spans="1:25" ht="14.45" customHeight="1">
      <c r="A23" s="7">
        <v>7.9</v>
      </c>
      <c r="B23" s="13">
        <f>0.581*2*PI()</f>
        <v>3.6505306634713395</v>
      </c>
      <c r="C23" s="14">
        <f t="shared" si="20"/>
        <v>1.0351483333333333</v>
      </c>
      <c r="D23" s="19"/>
      <c r="E23" s="14">
        <v>8.1999999999999993</v>
      </c>
      <c r="F23" s="14">
        <v>7</v>
      </c>
      <c r="G23" s="14">
        <v>3</v>
      </c>
      <c r="X23">
        <f>X4*G6</f>
        <v>53.851741763788581</v>
      </c>
    </row>
    <row r="24" spans="1:25">
      <c r="A24" s="7">
        <v>8</v>
      </c>
      <c r="B24" s="13">
        <f>0.579*2*PI()</f>
        <v>3.6379642928569802</v>
      </c>
      <c r="C24" s="14">
        <f t="shared" si="20"/>
        <v>1.031585</v>
      </c>
      <c r="D24" s="19"/>
      <c r="E24" s="14">
        <v>5.8</v>
      </c>
      <c r="F24" s="14">
        <v>4.5999999999999996</v>
      </c>
      <c r="G24" s="14">
        <v>2.8</v>
      </c>
      <c r="I24" s="13">
        <v>0</v>
      </c>
      <c r="J24" s="7">
        <v>0</v>
      </c>
      <c r="K24" s="13">
        <v>0</v>
      </c>
      <c r="L24" s="7"/>
      <c r="U24">
        <f>19.2/X4</f>
        <v>0.12443051571835705</v>
      </c>
      <c r="X24">
        <f>X6*G6</f>
        <v>12.314917010355527</v>
      </c>
    </row>
    <row r="25" spans="1:25">
      <c r="A25" s="7">
        <v>8.1</v>
      </c>
      <c r="B25" s="13">
        <f>0.585*2*PI()</f>
        <v>3.6756634047000576</v>
      </c>
      <c r="C25" s="14">
        <f t="shared" si="20"/>
        <v>1.0422749999999998</v>
      </c>
      <c r="D25" s="19"/>
      <c r="E25" s="14">
        <v>5</v>
      </c>
      <c r="F25" s="14">
        <v>4</v>
      </c>
      <c r="G25" s="14">
        <v>2.4</v>
      </c>
      <c r="I25" s="13">
        <f>0.507*2*PI()</f>
        <v>3.1855749507400501</v>
      </c>
      <c r="J25" s="7">
        <v>1.9</v>
      </c>
      <c r="K25" s="13">
        <f>0.507</f>
        <v>0.50700000000000001</v>
      </c>
      <c r="L25" s="7"/>
      <c r="X25">
        <f>X8*G6</f>
        <v>3.1731747408644937</v>
      </c>
    </row>
    <row r="26" spans="1:25">
      <c r="A26" s="7">
        <v>8.1999999999999993</v>
      </c>
      <c r="B26" s="13">
        <f>0.595*2*PI()</f>
        <v>3.7384952577718535</v>
      </c>
      <c r="C26" s="14">
        <f t="shared" si="20"/>
        <v>1.0600916666666667</v>
      </c>
      <c r="D26" s="19"/>
      <c r="E26" s="14">
        <v>4.4000000000000004</v>
      </c>
      <c r="F26" s="14">
        <v>3.4</v>
      </c>
      <c r="G26" s="14">
        <v>2.2000000000000002</v>
      </c>
      <c r="I26" s="13">
        <f>0.521*2*PI()</f>
        <v>3.2735395450405647</v>
      </c>
      <c r="J26" s="7">
        <v>1.9</v>
      </c>
      <c r="K26" s="13">
        <f>0.521</f>
        <v>0.52100000000000002</v>
      </c>
      <c r="L26" s="7"/>
      <c r="U26">
        <f>35.29*0.12</f>
        <v>4.2347999999999999</v>
      </c>
    </row>
    <row r="27" spans="1:25">
      <c r="A27" s="7">
        <v>8.3000000000000007</v>
      </c>
      <c r="B27" s="13">
        <f>0.606*2*PI()</f>
        <v>3.8076102961508291</v>
      </c>
      <c r="C27" s="14">
        <f t="shared" si="20"/>
        <v>1.07969</v>
      </c>
      <c r="D27" s="19"/>
      <c r="E27" s="14">
        <v>3.4</v>
      </c>
      <c r="F27" s="14">
        <v>3</v>
      </c>
      <c r="G27" s="14">
        <v>2</v>
      </c>
      <c r="I27" s="13">
        <f>0.526*2*PI()</f>
        <v>3.3049554715764624</v>
      </c>
      <c r="J27" s="7">
        <v>2</v>
      </c>
      <c r="K27" s="13">
        <f>0.526</f>
        <v>0.52600000000000002</v>
      </c>
      <c r="L27" s="7"/>
    </row>
    <row r="28" spans="1:25">
      <c r="A28" s="7">
        <v>8.4</v>
      </c>
      <c r="B28" s="13">
        <f>0.629*2*PI()</f>
        <v>3.95212355821596</v>
      </c>
      <c r="C28" s="14">
        <f t="shared" si="20"/>
        <v>1.1206683333333334</v>
      </c>
      <c r="D28" s="19"/>
      <c r="E28" s="14">
        <v>3</v>
      </c>
      <c r="F28" s="14">
        <v>2.6</v>
      </c>
      <c r="G28" s="14">
        <v>1.9</v>
      </c>
      <c r="I28" s="13">
        <f>0.529*2*PI()</f>
        <v>3.3238050274980013</v>
      </c>
      <c r="J28" s="7">
        <v>2.4</v>
      </c>
      <c r="K28" s="13">
        <f>0.529</f>
        <v>0.52900000000000003</v>
      </c>
      <c r="L28" s="7"/>
    </row>
    <row r="29" spans="1:25">
      <c r="A29" s="7">
        <v>8.5</v>
      </c>
      <c r="B29" s="13">
        <f>0.641*2*PI()</f>
        <v>4.0275217819021147</v>
      </c>
      <c r="C29" s="14">
        <f t="shared" si="20"/>
        <v>1.1420483333333333</v>
      </c>
      <c r="D29" s="19"/>
      <c r="E29" s="14">
        <v>2.6</v>
      </c>
      <c r="F29" s="14">
        <v>2.2000000000000002</v>
      </c>
      <c r="G29" s="14">
        <v>1.8</v>
      </c>
      <c r="I29" s="13">
        <f>0.532*2*PI()</f>
        <v>3.3426545834195402</v>
      </c>
      <c r="J29" s="7">
        <v>2.8</v>
      </c>
      <c r="K29" s="13">
        <f>0.532</f>
        <v>0.53200000000000003</v>
      </c>
      <c r="L29" s="7"/>
      <c r="T29">
        <f>154 * 0.7</f>
        <v>107.8</v>
      </c>
    </row>
    <row r="30" spans="1:25">
      <c r="A30" s="7">
        <v>8.6</v>
      </c>
      <c r="B30" s="13">
        <f>0.654*2*PI()</f>
        <v>4.1092031908954496</v>
      </c>
      <c r="C30" s="14">
        <f t="shared" si="20"/>
        <v>1.1652100000000001</v>
      </c>
      <c r="D30" s="19"/>
      <c r="E30" s="14">
        <v>2.2000000000000002</v>
      </c>
      <c r="F30" s="14">
        <v>2</v>
      </c>
      <c r="G30" s="14">
        <v>1.7</v>
      </c>
      <c r="I30" s="13">
        <f>0.562*2*PI()</f>
        <v>3.5311501426349277</v>
      </c>
      <c r="J30" s="7">
        <v>3</v>
      </c>
      <c r="K30" s="13">
        <f>0.562</f>
        <v>0.56200000000000006</v>
      </c>
      <c r="L30" s="7"/>
    </row>
    <row r="31" spans="1:25">
      <c r="A31" s="7">
        <v>8.6999999999999993</v>
      </c>
      <c r="B31" s="13">
        <f>0.662*2*PI()</f>
        <v>4.1594686733528867</v>
      </c>
      <c r="C31" s="14">
        <f t="shared" si="20"/>
        <v>1.1794633333333335</v>
      </c>
      <c r="D31" s="19"/>
      <c r="E31" s="14">
        <v>2</v>
      </c>
      <c r="F31" s="14">
        <v>1.9</v>
      </c>
      <c r="G31" s="14">
        <v>1.6</v>
      </c>
      <c r="I31" s="13">
        <f>0.565*2*PI()</f>
        <v>3.5499996985564657</v>
      </c>
      <c r="J31" s="7">
        <v>3.4</v>
      </c>
      <c r="K31" s="13">
        <f>0.565</f>
        <v>0.56499999999999995</v>
      </c>
      <c r="L31" s="7"/>
    </row>
    <row r="32" spans="1:25">
      <c r="A32" s="7">
        <v>8.8000000000000007</v>
      </c>
      <c r="B32" s="13">
        <f>0.671*2*PI()</f>
        <v>4.216017341117503</v>
      </c>
      <c r="C32" s="14">
        <f t="shared" si="20"/>
        <v>1.1954983333333336</v>
      </c>
      <c r="D32" s="19"/>
      <c r="E32" s="14">
        <v>2</v>
      </c>
      <c r="F32" s="14">
        <v>1.7</v>
      </c>
      <c r="G32" s="14">
        <v>1.5</v>
      </c>
      <c r="I32" s="13">
        <f>0.565*2*PI()</f>
        <v>3.5499996985564657</v>
      </c>
      <c r="J32" s="7">
        <v>3.6</v>
      </c>
      <c r="K32" s="13">
        <f>0.565</f>
        <v>0.56499999999999995</v>
      </c>
      <c r="L32" s="7"/>
    </row>
    <row r="33" spans="1:12">
      <c r="A33" s="7">
        <v>8.9</v>
      </c>
      <c r="B33" s="13">
        <f>0.676*2*PI()</f>
        <v>4.2474332676534008</v>
      </c>
      <c r="C33" s="14">
        <f t="shared" si="20"/>
        <v>1.2044066666666668</v>
      </c>
      <c r="D33" s="19"/>
      <c r="E33" s="14">
        <v>1.8</v>
      </c>
      <c r="F33" s="14">
        <v>1.6</v>
      </c>
      <c r="G33" s="14">
        <v>1.4</v>
      </c>
      <c r="I33" s="13">
        <f>0.571*2*PI()</f>
        <v>3.5876988103995435</v>
      </c>
      <c r="J33" s="7">
        <v>3.4</v>
      </c>
      <c r="K33" s="13">
        <f>0.571</f>
        <v>0.57099999999999995</v>
      </c>
      <c r="L33" s="7"/>
    </row>
    <row r="34" spans="1:12">
      <c r="A34" s="7">
        <v>9</v>
      </c>
      <c r="B34" s="13">
        <f>0.68*2*PI()</f>
        <v>4.2725660088821193</v>
      </c>
      <c r="C34" s="14">
        <f t="shared" si="20"/>
        <v>1.2115333333333336</v>
      </c>
      <c r="D34" s="20"/>
      <c r="E34" s="14">
        <v>1.7</v>
      </c>
      <c r="F34" s="14">
        <v>1.4</v>
      </c>
      <c r="G34" s="14">
        <v>1.3</v>
      </c>
      <c r="I34" s="13">
        <f>0.581*2*PI()</f>
        <v>3.6505306634713395</v>
      </c>
      <c r="J34" s="7">
        <v>3</v>
      </c>
      <c r="K34" s="13">
        <f>0.581</f>
        <v>0.58099999999999996</v>
      </c>
      <c r="L34" s="7"/>
    </row>
    <row r="35" spans="1:12">
      <c r="A35" s="4" t="s">
        <v>25</v>
      </c>
      <c r="B35" s="7" t="s">
        <v>26</v>
      </c>
      <c r="C35" s="7" t="s">
        <v>26</v>
      </c>
      <c r="D35" s="7" t="s">
        <v>26</v>
      </c>
      <c r="E35" s="14">
        <v>19.2</v>
      </c>
      <c r="F35" s="14">
        <v>11.6</v>
      </c>
      <c r="G35" s="14">
        <v>3.6</v>
      </c>
      <c r="I35" s="13">
        <f>0.579*2*PI()</f>
        <v>3.6379642928569802</v>
      </c>
      <c r="J35" s="7">
        <v>2.8</v>
      </c>
      <c r="K35" s="13">
        <f>0.579</f>
        <v>0.57899999999999996</v>
      </c>
      <c r="L35" s="7"/>
    </row>
    <row r="36" spans="1:12">
      <c r="A36" s="4" t="s">
        <v>27</v>
      </c>
      <c r="B36" s="1" t="s">
        <v>26</v>
      </c>
      <c r="C36" s="1" t="s">
        <v>26</v>
      </c>
      <c r="D36" s="1" t="s">
        <v>26</v>
      </c>
      <c r="E36" s="14">
        <f>1/(2*W4)</f>
        <v>43.754547225581192</v>
      </c>
      <c r="F36" s="14">
        <f>1/(2*W6)</f>
        <v>10.006823601706904</v>
      </c>
      <c r="G36" s="14">
        <f>1/(2*W8)</f>
        <v>2.5820868282140426</v>
      </c>
      <c r="I36" s="13">
        <f>0.585*2*PI()</f>
        <v>3.6756634047000576</v>
      </c>
      <c r="J36" s="7">
        <v>2.4</v>
      </c>
      <c r="K36" s="13">
        <f>0.585</f>
        <v>0.58499999999999996</v>
      </c>
      <c r="L36" s="7"/>
    </row>
    <row r="37" spans="1:12">
      <c r="A37" s="4" t="s">
        <v>28</v>
      </c>
      <c r="B37" s="1" t="s">
        <v>26</v>
      </c>
      <c r="C37" s="1" t="s">
        <v>26</v>
      </c>
      <c r="D37" s="1" t="s">
        <v>26</v>
      </c>
      <c r="E37" s="14">
        <v>0</v>
      </c>
      <c r="F37" s="14">
        <v>0</v>
      </c>
      <c r="G37" s="14">
        <v>0</v>
      </c>
      <c r="I37" s="13">
        <f>0.595*2*PI()</f>
        <v>3.7384952577718535</v>
      </c>
      <c r="J37" s="7">
        <v>2.2000000000000002</v>
      </c>
      <c r="K37" s="13">
        <f>0.595</f>
        <v>0.59499999999999997</v>
      </c>
      <c r="L37" s="7"/>
    </row>
    <row r="38" spans="1:12">
      <c r="A38" s="3"/>
      <c r="I38" s="13">
        <f>0.606*2*PI()</f>
        <v>3.8076102961508291</v>
      </c>
      <c r="J38" s="7">
        <v>2</v>
      </c>
      <c r="K38" s="13">
        <f>0.606</f>
        <v>0.60599999999999998</v>
      </c>
      <c r="L38" s="7"/>
    </row>
    <row r="39" spans="1:12">
      <c r="A39" s="3"/>
      <c r="I39" s="13">
        <f>0.629*2*PI()</f>
        <v>3.95212355821596</v>
      </c>
      <c r="J39" s="7">
        <v>1.9</v>
      </c>
      <c r="K39" s="13">
        <f>0.629</f>
        <v>0.629</v>
      </c>
      <c r="L39" s="7"/>
    </row>
    <row r="40" spans="1:12">
      <c r="A40" s="3"/>
      <c r="I40" s="13">
        <f>0.641*2*PI()</f>
        <v>4.0275217819021147</v>
      </c>
      <c r="J40" s="7">
        <v>1.8</v>
      </c>
      <c r="K40" s="13">
        <f>0.641</f>
        <v>0.64100000000000001</v>
      </c>
      <c r="L40" s="7"/>
    </row>
    <row r="41" spans="1:12">
      <c r="A41" s="3"/>
      <c r="I41" s="13">
        <f>0.654*2*PI()</f>
        <v>4.1092031908954496</v>
      </c>
      <c r="J41" s="7">
        <v>1.7</v>
      </c>
      <c r="K41" s="13">
        <f>0.654</f>
        <v>0.65400000000000003</v>
      </c>
      <c r="L41" s="7"/>
    </row>
    <row r="42" spans="1:12">
      <c r="A42" s="3"/>
      <c r="I42" s="13">
        <f>0.662*2*PI()</f>
        <v>4.1594686733528867</v>
      </c>
      <c r="J42" s="7">
        <v>1.6</v>
      </c>
      <c r="K42" s="13">
        <f>0.662</f>
        <v>0.66200000000000003</v>
      </c>
      <c r="L42" s="7"/>
    </row>
    <row r="43" spans="1:12">
      <c r="A43" s="3"/>
      <c r="I43" s="13">
        <f>0.671*2*PI()</f>
        <v>4.216017341117503</v>
      </c>
      <c r="J43" s="7">
        <v>1.5</v>
      </c>
      <c r="K43" s="13">
        <f>0.671</f>
        <v>0.67100000000000004</v>
      </c>
      <c r="L43" s="7"/>
    </row>
    <row r="44" spans="1:12">
      <c r="A44" s="3"/>
      <c r="I44" s="13">
        <f>0.676*2*PI()</f>
        <v>4.2474332676534008</v>
      </c>
      <c r="J44" s="7">
        <v>1.4</v>
      </c>
      <c r="K44" s="13">
        <f>0.676</f>
        <v>0.67600000000000005</v>
      </c>
      <c r="L44" s="7"/>
    </row>
    <row r="45" spans="1:12">
      <c r="A45" s="3"/>
      <c r="I45" s="13">
        <f>0.68*2*PI()</f>
        <v>4.2725660088821193</v>
      </c>
      <c r="J45" s="7">
        <v>1.3</v>
      </c>
      <c r="K45" s="13">
        <f>0.68</f>
        <v>0.68</v>
      </c>
      <c r="L45" s="7"/>
    </row>
    <row r="46" spans="1:12">
      <c r="A46" s="3"/>
      <c r="J46" s="7">
        <v>3.6</v>
      </c>
      <c r="K46" s="7">
        <v>19.2</v>
      </c>
    </row>
    <row r="47" spans="1:12">
      <c r="A47" s="3"/>
    </row>
    <row r="48" spans="1:12">
      <c r="A48" s="3"/>
    </row>
    <row r="49" spans="1:1">
      <c r="A49" s="3"/>
    </row>
    <row r="50" spans="1:1">
      <c r="A50" s="3"/>
    </row>
  </sheetData>
  <mergeCells count="7">
    <mergeCell ref="D13:D34"/>
    <mergeCell ref="J1:U1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Kseikoff</dc:creator>
  <cp:keywords/>
  <dc:description/>
  <cp:lastModifiedBy/>
  <cp:revision/>
  <dcterms:created xsi:type="dcterms:W3CDTF">2023-04-26T05:31:44Z</dcterms:created>
  <dcterms:modified xsi:type="dcterms:W3CDTF">2024-02-13T12:43:35Z</dcterms:modified>
  <cp:category/>
  <cp:contentStatus/>
</cp:coreProperties>
</file>